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asoncasey/Documents/Python Projects/public-comparative-data/data/"/>
    </mc:Choice>
  </mc:AlternateContent>
  <xr:revisionPtr revIDLastSave="0" documentId="13_ncr:1_{B042CED2-473C-904A-84E1-954BA3A5C1BB}" xr6:coauthVersionLast="45" xr6:coauthVersionMax="45" xr10:uidLastSave="{00000000-0000-0000-0000-000000000000}"/>
  <bookViews>
    <workbookView xWindow="240" yWindow="460" windowWidth="28560" windowHeight="15920" activeTab="2" xr2:uid="{00000000-000D-0000-FFFF-FFFF00000000}"/>
  </bookViews>
  <sheets>
    <sheet name="CIP1990" sheetId="4" r:id="rId1"/>
    <sheet name="CIP1985" sheetId="5" r:id="rId2"/>
    <sheet name="CIP2000" sheetId="6" r:id="rId3"/>
    <sheet name="CIP2000nces" sheetId="15" r:id="rId4"/>
    <sheet name="CIP2010" sheetId="14" r:id="rId5"/>
    <sheet name="CIPFAMILY" sheetId="7" r:id="rId6"/>
    <sheet name="Crosswalk_CIP85toCIP90" sheetId="8" r:id="rId7"/>
    <sheet name="Crosswalk_CIP90toCIP2K" sheetId="9" r:id="rId8"/>
    <sheet name="Crosswalk_HEGIStoCIP2K" sheetId="10" r:id="rId9"/>
    <sheet name="Crosswalk_HEGIStoCIP85" sheetId="11" r:id="rId10"/>
    <sheet name="Crosswalk_HEGIStoCIP90" sheetId="12" r:id="rId11"/>
    <sheet name="OccupationalCrosswalk" sheetId="13" r:id="rId12"/>
  </sheets>
  <definedNames>
    <definedName name="_CIP1985">'CIP1985'!$A$1:$D$465</definedName>
    <definedName name="_CIP1990">'CIP1990'!$A$1:$E$1460</definedName>
    <definedName name="_CIP2000">'CIP2000'!$A$1:$G$2039</definedName>
    <definedName name="CIPFAMILY">CIPFAMILY!$A$1:$F$54</definedName>
    <definedName name="Crosswalk_CIP85toCIP90">Crosswalk_CIP85toCIP90!$A$1:$D$435</definedName>
    <definedName name="Crosswalk_CIP90toCIP2K">Crosswalk_CIP90toCIP2K!$A$1:$D$2060</definedName>
    <definedName name="Crosswalk_HEGIStoCIP2K">Crosswalk_HEGIStoCIP2K!$A$1:$E$399</definedName>
    <definedName name="Crosswalk_HEGIStoCIP85">Crosswalk_HEGIStoCIP85!$A$1:$D$324</definedName>
    <definedName name="Crosswalk_HEGIStoCIP90">Crosswalk_HEGIStoCIP90!$A$1:$D$402</definedName>
    <definedName name="OccupationalCrosswalk">OccupationalCrosswalk!$A$1:$N$3963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 i="15" l="1"/>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468" i="15"/>
  <c r="D469" i="15"/>
  <c r="D470" i="15"/>
  <c r="D471" i="15"/>
  <c r="D472" i="15"/>
  <c r="D473" i="15"/>
  <c r="D474" i="15"/>
  <c r="D475" i="15"/>
  <c r="D476" i="15"/>
  <c r="D477" i="15"/>
  <c r="D478" i="15"/>
  <c r="D479" i="15"/>
  <c r="D480" i="15"/>
  <c r="D481" i="15"/>
  <c r="D482" i="15"/>
  <c r="D483" i="15"/>
  <c r="D484" i="15"/>
  <c r="D485" i="15"/>
  <c r="D486" i="15"/>
  <c r="D487" i="15"/>
  <c r="D488" i="15"/>
  <c r="D489" i="15"/>
  <c r="D490" i="15"/>
  <c r="D491" i="15"/>
  <c r="D492" i="15"/>
  <c r="D493" i="15"/>
  <c r="D494" i="15"/>
  <c r="D495" i="15"/>
  <c r="D496" i="15"/>
  <c r="D497" i="15"/>
  <c r="D498" i="15"/>
  <c r="D499" i="15"/>
  <c r="D500" i="15"/>
  <c r="D501" i="15"/>
  <c r="D502" i="15"/>
  <c r="D503" i="15"/>
  <c r="D504" i="15"/>
  <c r="D505" i="15"/>
  <c r="D506" i="15"/>
  <c r="D507" i="15"/>
  <c r="D508" i="15"/>
  <c r="D509" i="15"/>
  <c r="D510" i="15"/>
  <c r="D511" i="15"/>
  <c r="D512" i="15"/>
  <c r="D513" i="15"/>
  <c r="D514" i="15"/>
  <c r="D515" i="15"/>
  <c r="D516" i="15"/>
  <c r="D517" i="15"/>
  <c r="D518" i="15"/>
  <c r="D519" i="15"/>
  <c r="D520" i="15"/>
  <c r="D521" i="15"/>
  <c r="D522" i="15"/>
  <c r="D523" i="15"/>
  <c r="D524" i="15"/>
  <c r="D525" i="15"/>
  <c r="D526" i="15"/>
  <c r="D527" i="15"/>
  <c r="D528" i="15"/>
  <c r="D529" i="15"/>
  <c r="D530" i="15"/>
  <c r="D531" i="15"/>
  <c r="D532" i="15"/>
  <c r="D533" i="15"/>
  <c r="D534" i="15"/>
  <c r="D535" i="15"/>
  <c r="D536" i="15"/>
  <c r="D537" i="15"/>
  <c r="D538" i="15"/>
  <c r="D539" i="15"/>
  <c r="D540" i="15"/>
  <c r="D541" i="15"/>
  <c r="D542" i="15"/>
  <c r="D543" i="15"/>
  <c r="D544" i="15"/>
  <c r="D545" i="15"/>
  <c r="D546" i="15"/>
  <c r="D547" i="15"/>
  <c r="D548" i="15"/>
  <c r="D549" i="15"/>
  <c r="D550" i="15"/>
  <c r="D551" i="15"/>
  <c r="D552" i="15"/>
  <c r="D553" i="15"/>
  <c r="D554" i="15"/>
  <c r="D555" i="15"/>
  <c r="D556" i="15"/>
  <c r="D557" i="15"/>
  <c r="D558" i="15"/>
  <c r="D559" i="15"/>
  <c r="D560" i="15"/>
  <c r="D561" i="15"/>
  <c r="D562" i="15"/>
  <c r="D563" i="15"/>
  <c r="D564" i="15"/>
  <c r="D565" i="15"/>
  <c r="D566" i="15"/>
  <c r="D567" i="15"/>
  <c r="D568" i="15"/>
  <c r="D569" i="15"/>
  <c r="D570" i="15"/>
  <c r="D571" i="15"/>
  <c r="D572" i="15"/>
  <c r="D573" i="15"/>
  <c r="D574" i="15"/>
  <c r="D575" i="15"/>
  <c r="D576" i="15"/>
  <c r="D577" i="15"/>
  <c r="D578" i="15"/>
  <c r="D579" i="15"/>
  <c r="D580" i="15"/>
  <c r="D581" i="15"/>
  <c r="D582" i="15"/>
  <c r="D583" i="15"/>
  <c r="D584" i="15"/>
  <c r="D585" i="15"/>
  <c r="D586" i="15"/>
  <c r="D587" i="15"/>
  <c r="D588" i="15"/>
  <c r="D589" i="15"/>
  <c r="D590" i="15"/>
  <c r="D591" i="15"/>
  <c r="D592" i="15"/>
  <c r="D593" i="15"/>
  <c r="D594" i="15"/>
  <c r="D595" i="15"/>
  <c r="D596" i="15"/>
  <c r="D597" i="15"/>
  <c r="D598" i="15"/>
  <c r="D599" i="15"/>
  <c r="D600" i="15"/>
  <c r="D601" i="15"/>
  <c r="D602" i="15"/>
  <c r="D603" i="15"/>
  <c r="D604" i="15"/>
  <c r="D605" i="15"/>
  <c r="D606" i="15"/>
  <c r="D607" i="15"/>
  <c r="D608" i="15"/>
  <c r="D609" i="15"/>
  <c r="D610" i="15"/>
  <c r="D611" i="15"/>
  <c r="D612" i="15"/>
  <c r="D613" i="15"/>
  <c r="D614" i="15"/>
  <c r="D615" i="15"/>
  <c r="D616" i="15"/>
  <c r="D617" i="15"/>
  <c r="D618" i="15"/>
  <c r="D619" i="15"/>
  <c r="D620" i="15"/>
  <c r="D621" i="15"/>
  <c r="D622" i="15"/>
  <c r="D623" i="15"/>
  <c r="D624" i="15"/>
  <c r="D625" i="15"/>
  <c r="D626" i="15"/>
  <c r="D627" i="15"/>
  <c r="D628" i="15"/>
  <c r="D629" i="15"/>
  <c r="D630" i="15"/>
  <c r="D631" i="15"/>
  <c r="D632" i="15"/>
  <c r="D633" i="15"/>
  <c r="D634" i="15"/>
  <c r="D635" i="15"/>
  <c r="D636" i="15"/>
  <c r="D637" i="15"/>
  <c r="D638" i="15"/>
  <c r="D639" i="15"/>
  <c r="D640" i="15"/>
  <c r="D641" i="15"/>
  <c r="D642" i="15"/>
  <c r="D643" i="15"/>
  <c r="D644" i="15"/>
  <c r="D645" i="15"/>
  <c r="D646" i="15"/>
  <c r="D647" i="15"/>
  <c r="D648" i="15"/>
  <c r="D649" i="15"/>
  <c r="D650" i="15"/>
  <c r="D651" i="15"/>
  <c r="D652" i="15"/>
  <c r="D653" i="15"/>
  <c r="D654" i="15"/>
  <c r="D655" i="15"/>
  <c r="D656" i="15"/>
  <c r="D657" i="15"/>
  <c r="D658" i="15"/>
  <c r="D659" i="15"/>
  <c r="D660" i="15"/>
  <c r="D661" i="15"/>
  <c r="D662" i="15"/>
  <c r="D663" i="15"/>
  <c r="D664" i="15"/>
  <c r="D665" i="15"/>
  <c r="D666" i="15"/>
  <c r="D667" i="15"/>
  <c r="D668" i="15"/>
  <c r="D669" i="15"/>
  <c r="D670" i="15"/>
  <c r="D671" i="15"/>
  <c r="D672" i="15"/>
  <c r="D673" i="15"/>
  <c r="D674" i="15"/>
  <c r="D675" i="15"/>
  <c r="D676" i="15"/>
  <c r="D677" i="15"/>
  <c r="D678" i="15"/>
  <c r="D679" i="15"/>
  <c r="D680" i="15"/>
  <c r="D681" i="15"/>
  <c r="D682" i="15"/>
  <c r="D683" i="15"/>
  <c r="D684" i="15"/>
  <c r="D685" i="15"/>
  <c r="D686" i="15"/>
  <c r="D687" i="15"/>
  <c r="D688" i="15"/>
  <c r="D689" i="15"/>
  <c r="D690" i="15"/>
  <c r="D691" i="15"/>
  <c r="D692" i="15"/>
  <c r="D693" i="15"/>
  <c r="D694" i="15"/>
  <c r="D695" i="15"/>
  <c r="D696" i="15"/>
  <c r="D697" i="15"/>
  <c r="D698" i="15"/>
  <c r="D699" i="15"/>
  <c r="D700" i="15"/>
  <c r="D701" i="15"/>
  <c r="D702" i="15"/>
  <c r="D703" i="15"/>
  <c r="D704" i="15"/>
  <c r="D705" i="15"/>
  <c r="D706" i="15"/>
  <c r="D707" i="15"/>
  <c r="D708" i="15"/>
  <c r="D709" i="15"/>
  <c r="D710" i="15"/>
  <c r="D711" i="15"/>
  <c r="D712" i="15"/>
  <c r="D713" i="15"/>
  <c r="D714" i="15"/>
  <c r="D715" i="15"/>
  <c r="D716" i="15"/>
  <c r="D717" i="15"/>
  <c r="D718" i="15"/>
  <c r="D719" i="15"/>
  <c r="D720" i="15"/>
  <c r="D721" i="15"/>
  <c r="D722" i="15"/>
  <c r="D723" i="15"/>
  <c r="D724" i="15"/>
  <c r="D725" i="15"/>
  <c r="D726" i="15"/>
  <c r="D727" i="15"/>
  <c r="D728" i="15"/>
  <c r="D729" i="15"/>
  <c r="D730" i="15"/>
  <c r="D731" i="15"/>
  <c r="D732" i="15"/>
  <c r="D733" i="15"/>
  <c r="D734" i="15"/>
  <c r="D735" i="15"/>
  <c r="D736" i="15"/>
  <c r="D737" i="15"/>
  <c r="D738" i="15"/>
  <c r="D739" i="15"/>
  <c r="D740" i="15"/>
  <c r="D741" i="15"/>
  <c r="D742" i="15"/>
  <c r="D743" i="15"/>
  <c r="D744" i="15"/>
  <c r="D745" i="15"/>
  <c r="D746" i="15"/>
  <c r="D747" i="15"/>
  <c r="D748" i="15"/>
  <c r="D749" i="15"/>
  <c r="D750" i="15"/>
  <c r="D751" i="15"/>
  <c r="D752" i="15"/>
  <c r="D753" i="15"/>
  <c r="D754" i="15"/>
  <c r="D755" i="15"/>
  <c r="D756" i="15"/>
  <c r="D757" i="15"/>
  <c r="D758" i="15"/>
  <c r="D759" i="15"/>
  <c r="D760" i="15"/>
  <c r="D761" i="15"/>
  <c r="D762" i="15"/>
  <c r="D763" i="15"/>
  <c r="D764" i="15"/>
  <c r="D765" i="15"/>
  <c r="D766" i="15"/>
  <c r="D767" i="15"/>
  <c r="D768" i="15"/>
  <c r="D769" i="15"/>
  <c r="D770" i="15"/>
  <c r="D771" i="15"/>
  <c r="D772" i="15"/>
  <c r="D773" i="15"/>
  <c r="D774" i="15"/>
  <c r="D775" i="15"/>
  <c r="D776" i="15"/>
  <c r="D777" i="15"/>
  <c r="D778" i="15"/>
  <c r="D779" i="15"/>
  <c r="D780" i="15"/>
  <c r="D781" i="15"/>
  <c r="D782" i="15"/>
  <c r="D783" i="15"/>
  <c r="D784" i="15"/>
  <c r="D785" i="15"/>
  <c r="D786" i="15"/>
  <c r="D787" i="15"/>
  <c r="D788" i="15"/>
  <c r="D789" i="15"/>
  <c r="D790" i="15"/>
  <c r="D791" i="15"/>
  <c r="D792" i="15"/>
  <c r="D793" i="15"/>
  <c r="D794" i="15"/>
  <c r="D795" i="15"/>
  <c r="D796" i="15"/>
  <c r="D797" i="15"/>
  <c r="D798" i="15"/>
  <c r="D799" i="15"/>
  <c r="D800" i="15"/>
  <c r="D801" i="15"/>
  <c r="D802" i="15"/>
  <c r="D803" i="15"/>
  <c r="D804" i="15"/>
  <c r="D805" i="15"/>
  <c r="D806" i="15"/>
  <c r="D807" i="15"/>
  <c r="D808" i="15"/>
  <c r="D809" i="15"/>
  <c r="D810" i="15"/>
  <c r="D811" i="15"/>
  <c r="D812" i="15"/>
  <c r="D813" i="15"/>
  <c r="D814" i="15"/>
  <c r="D815" i="15"/>
  <c r="D816" i="15"/>
  <c r="D817" i="15"/>
  <c r="D818" i="15"/>
  <c r="D819" i="15"/>
  <c r="D820" i="15"/>
  <c r="D821" i="15"/>
  <c r="D822" i="15"/>
  <c r="D823" i="15"/>
  <c r="D824" i="15"/>
  <c r="D825" i="15"/>
  <c r="D826" i="15"/>
  <c r="D827" i="15"/>
  <c r="D828" i="15"/>
  <c r="D829" i="15"/>
  <c r="D830" i="15"/>
  <c r="D831" i="15"/>
  <c r="D832" i="15"/>
  <c r="D833" i="15"/>
  <c r="D834" i="15"/>
  <c r="D835" i="15"/>
  <c r="D836" i="15"/>
  <c r="D837" i="15"/>
  <c r="D838" i="15"/>
  <c r="D839" i="15"/>
  <c r="D840" i="15"/>
  <c r="D841" i="15"/>
  <c r="D842" i="15"/>
  <c r="D843" i="15"/>
  <c r="D844" i="15"/>
  <c r="D845" i="15"/>
  <c r="D846" i="15"/>
  <c r="D847" i="15"/>
  <c r="D848" i="15"/>
  <c r="D849" i="15"/>
  <c r="D850" i="15"/>
  <c r="D851" i="15"/>
  <c r="D852" i="15"/>
  <c r="D853" i="15"/>
  <c r="D854" i="15"/>
  <c r="D855" i="15"/>
  <c r="D856" i="15"/>
  <c r="D857" i="15"/>
  <c r="D858" i="15"/>
  <c r="D859" i="15"/>
  <c r="D860" i="15"/>
  <c r="D861" i="15"/>
  <c r="D862" i="15"/>
  <c r="D863" i="15"/>
  <c r="D864" i="15"/>
  <c r="D865" i="15"/>
  <c r="D866" i="15"/>
  <c r="D867" i="15"/>
  <c r="D868" i="15"/>
  <c r="D869" i="15"/>
  <c r="D870" i="15"/>
  <c r="D871" i="15"/>
  <c r="D872" i="15"/>
  <c r="D873" i="15"/>
  <c r="D874" i="15"/>
  <c r="D875" i="15"/>
  <c r="D876" i="15"/>
  <c r="D877" i="15"/>
  <c r="D878" i="15"/>
  <c r="D879" i="15"/>
  <c r="D880" i="15"/>
  <c r="D881" i="15"/>
  <c r="D882" i="15"/>
  <c r="D883" i="15"/>
  <c r="D884" i="15"/>
  <c r="D885" i="15"/>
  <c r="D886" i="15"/>
  <c r="D887" i="15"/>
  <c r="D888" i="15"/>
  <c r="D889" i="15"/>
  <c r="D890" i="15"/>
  <c r="D891" i="15"/>
  <c r="D892" i="15"/>
  <c r="D893" i="15"/>
  <c r="D894" i="15"/>
  <c r="D895" i="15"/>
  <c r="D896" i="15"/>
  <c r="D897" i="15"/>
  <c r="D898" i="15"/>
  <c r="D899" i="15"/>
  <c r="D900" i="15"/>
  <c r="D901" i="15"/>
  <c r="D902" i="15"/>
  <c r="D903" i="15"/>
  <c r="D904" i="15"/>
  <c r="D905" i="15"/>
  <c r="D906" i="15"/>
  <c r="D907" i="15"/>
  <c r="D908" i="15"/>
  <c r="D909" i="15"/>
  <c r="D910" i="15"/>
  <c r="D911" i="15"/>
  <c r="D912" i="15"/>
  <c r="D913" i="15"/>
  <c r="D914" i="15"/>
  <c r="D915" i="15"/>
  <c r="D916" i="15"/>
  <c r="D917" i="15"/>
  <c r="D918" i="15"/>
  <c r="D919" i="15"/>
  <c r="D920" i="15"/>
  <c r="D921" i="15"/>
  <c r="D922" i="15"/>
  <c r="D923" i="15"/>
  <c r="D924" i="15"/>
  <c r="D925" i="15"/>
  <c r="D926" i="15"/>
  <c r="D927" i="15"/>
  <c r="D928" i="15"/>
  <c r="D929" i="15"/>
  <c r="D930" i="15"/>
  <c r="D931" i="15"/>
  <c r="D932" i="15"/>
  <c r="D933" i="15"/>
  <c r="D934" i="15"/>
  <c r="D935" i="15"/>
  <c r="D936" i="15"/>
  <c r="D937" i="15"/>
  <c r="D938" i="15"/>
  <c r="D939" i="15"/>
  <c r="D940" i="15"/>
  <c r="D941" i="15"/>
  <c r="D942" i="15"/>
  <c r="D943" i="15"/>
  <c r="D944" i="15"/>
  <c r="D945" i="15"/>
  <c r="D946" i="15"/>
  <c r="D947" i="15"/>
  <c r="D948" i="15"/>
  <c r="D949" i="15"/>
  <c r="D950" i="15"/>
  <c r="D951" i="15"/>
  <c r="D952" i="15"/>
  <c r="D953" i="15"/>
  <c r="D954" i="15"/>
  <c r="D955" i="15"/>
  <c r="D956" i="15"/>
  <c r="D957" i="15"/>
  <c r="D958" i="15"/>
  <c r="D959" i="15"/>
  <c r="D960" i="15"/>
  <c r="D961" i="15"/>
  <c r="D962" i="15"/>
  <c r="D963" i="15"/>
  <c r="D964" i="15"/>
  <c r="D965" i="15"/>
  <c r="D966" i="15"/>
  <c r="D967" i="15"/>
  <c r="D968" i="15"/>
  <c r="D969" i="15"/>
  <c r="D970" i="15"/>
  <c r="D971" i="15"/>
  <c r="D972" i="15"/>
  <c r="D973" i="15"/>
  <c r="D974" i="15"/>
  <c r="D975" i="15"/>
  <c r="D976" i="15"/>
  <c r="D977" i="15"/>
  <c r="D978" i="15"/>
  <c r="D979" i="15"/>
  <c r="D980" i="15"/>
  <c r="D981" i="15"/>
  <c r="D982" i="15"/>
  <c r="D983" i="15"/>
  <c r="D984" i="15"/>
  <c r="D985" i="15"/>
  <c r="D986" i="15"/>
  <c r="D987" i="15"/>
  <c r="D988" i="15"/>
  <c r="D989" i="15"/>
  <c r="D990" i="15"/>
  <c r="D991" i="15"/>
  <c r="D992" i="15"/>
  <c r="D993" i="15"/>
  <c r="D994" i="15"/>
  <c r="D995" i="15"/>
  <c r="D996" i="15"/>
  <c r="D997" i="15"/>
  <c r="D998" i="15"/>
  <c r="D999" i="15"/>
  <c r="D1000" i="15"/>
  <c r="D1001" i="15"/>
  <c r="D1002" i="15"/>
  <c r="D1003" i="15"/>
  <c r="D1004" i="15"/>
  <c r="D1005" i="15"/>
  <c r="D1006" i="15"/>
  <c r="D1007" i="15"/>
  <c r="D1008" i="15"/>
  <c r="D1009" i="15"/>
  <c r="D1010" i="15"/>
  <c r="D1011" i="15"/>
  <c r="D1012" i="15"/>
  <c r="D1013" i="15"/>
  <c r="D1014" i="15"/>
  <c r="D1015" i="15"/>
  <c r="D1016" i="15"/>
  <c r="D1017" i="15"/>
  <c r="D1018" i="15"/>
  <c r="D1019" i="15"/>
  <c r="D1020" i="15"/>
  <c r="D1021" i="15"/>
  <c r="D1022" i="15"/>
  <c r="D1023" i="15"/>
  <c r="D1024" i="15"/>
  <c r="D1025" i="15"/>
  <c r="D1026" i="15"/>
  <c r="D1027" i="15"/>
  <c r="D1028" i="15"/>
  <c r="D1029" i="15"/>
  <c r="D1030" i="15"/>
  <c r="D1031" i="15"/>
  <c r="D1032" i="15"/>
  <c r="D1033" i="15"/>
  <c r="D1034" i="15"/>
  <c r="D1035" i="15"/>
  <c r="D1036" i="15"/>
  <c r="D1037" i="15"/>
  <c r="D1038" i="15"/>
  <c r="D1039" i="15"/>
  <c r="D1040" i="15"/>
  <c r="D1041" i="15"/>
  <c r="D1042" i="15"/>
  <c r="D1043" i="15"/>
  <c r="D1044" i="15"/>
  <c r="D1045" i="15"/>
  <c r="D1046" i="15"/>
  <c r="D1047" i="15"/>
  <c r="D1048" i="15"/>
  <c r="D1049" i="15"/>
  <c r="D1050" i="15"/>
  <c r="D1051" i="15"/>
  <c r="D1052" i="15"/>
  <c r="D1053" i="15"/>
  <c r="D1054" i="15"/>
  <c r="D1055" i="15"/>
  <c r="D1056" i="15"/>
  <c r="D1057" i="15"/>
  <c r="D1058" i="15"/>
  <c r="D1059" i="15"/>
  <c r="D1060" i="15"/>
  <c r="D1061" i="15"/>
  <c r="D1062" i="15"/>
  <c r="D1063" i="15"/>
  <c r="D1064" i="15"/>
  <c r="D1065" i="15"/>
  <c r="D1066" i="15"/>
  <c r="D1067" i="15"/>
  <c r="D1068" i="15"/>
  <c r="D1069" i="15"/>
  <c r="D1070" i="15"/>
  <c r="D1071" i="15"/>
  <c r="D1072" i="15"/>
  <c r="D1073" i="15"/>
  <c r="D1074" i="15"/>
  <c r="D1075" i="15"/>
  <c r="D1076" i="15"/>
  <c r="D1077" i="15"/>
  <c r="D1078" i="15"/>
  <c r="D1079" i="15"/>
  <c r="D1080" i="15"/>
  <c r="D1081" i="15"/>
  <c r="D1082" i="15"/>
  <c r="D1083" i="15"/>
  <c r="D1084" i="15"/>
  <c r="D1085" i="15"/>
  <c r="D1086" i="15"/>
  <c r="D1087" i="15"/>
  <c r="D1088" i="15"/>
  <c r="D1089" i="15"/>
  <c r="D1090" i="15"/>
  <c r="D1091" i="15"/>
  <c r="D1092" i="15"/>
  <c r="D1093" i="15"/>
  <c r="D1094" i="15"/>
  <c r="D1095" i="15"/>
  <c r="D1096" i="15"/>
  <c r="D1097" i="15"/>
  <c r="D1098" i="15"/>
  <c r="D1099" i="15"/>
  <c r="D1100" i="15"/>
  <c r="D1101" i="15"/>
  <c r="D1102" i="15"/>
  <c r="D1103" i="15"/>
  <c r="D1104" i="15"/>
  <c r="D1105" i="15"/>
  <c r="D1106" i="15"/>
  <c r="D1107" i="15"/>
  <c r="D1108" i="15"/>
  <c r="D1109" i="15"/>
  <c r="D1110" i="15"/>
  <c r="D1111" i="15"/>
  <c r="D1112" i="15"/>
  <c r="D1113" i="15"/>
  <c r="D1114" i="15"/>
  <c r="D1115" i="15"/>
  <c r="D1116" i="15"/>
  <c r="D1117" i="15"/>
  <c r="D1118" i="15"/>
  <c r="D1119" i="15"/>
  <c r="D1120" i="15"/>
  <c r="D1121" i="15"/>
  <c r="D1122" i="15"/>
  <c r="D1123" i="15"/>
  <c r="D1124" i="15"/>
  <c r="D1125" i="15"/>
  <c r="D1126" i="15"/>
  <c r="D1127" i="15"/>
  <c r="D1128" i="15"/>
  <c r="D1129" i="15"/>
  <c r="D1130" i="15"/>
  <c r="D1131" i="15"/>
  <c r="D1132" i="15"/>
  <c r="D1133" i="15"/>
  <c r="D1134" i="15"/>
  <c r="D1135" i="15"/>
  <c r="D1136" i="15"/>
  <c r="D1137" i="15"/>
  <c r="D1138" i="15"/>
  <c r="D1139" i="15"/>
  <c r="D1140" i="15"/>
  <c r="D1141" i="15"/>
  <c r="D1142" i="15"/>
  <c r="D1143" i="15"/>
  <c r="D1144" i="15"/>
  <c r="D1145" i="15"/>
  <c r="D1146" i="15"/>
  <c r="D1147" i="15"/>
  <c r="D1148" i="15"/>
  <c r="D1149" i="15"/>
  <c r="D1150" i="15"/>
  <c r="D1151" i="15"/>
  <c r="D1152" i="15"/>
  <c r="D1153" i="15"/>
  <c r="D1154" i="15"/>
  <c r="D1155" i="15"/>
  <c r="D1156" i="15"/>
  <c r="D1157" i="15"/>
  <c r="D1158" i="15"/>
  <c r="D1159" i="15"/>
  <c r="D1160" i="15"/>
  <c r="D1161" i="15"/>
  <c r="D1162" i="15"/>
  <c r="D1163" i="15"/>
  <c r="D1164" i="15"/>
  <c r="D1165" i="15"/>
  <c r="D1166" i="15"/>
  <c r="D1167" i="15"/>
  <c r="D1168" i="15"/>
  <c r="D1169" i="15"/>
  <c r="D1170" i="15"/>
  <c r="D1171" i="15"/>
  <c r="D1172" i="15"/>
  <c r="D1173" i="15"/>
  <c r="D1174" i="15"/>
  <c r="D1175" i="15"/>
  <c r="D1176" i="15"/>
  <c r="D1177" i="15"/>
  <c r="D1178" i="15"/>
  <c r="D1179" i="15"/>
  <c r="D1180" i="15"/>
  <c r="D1181" i="15"/>
  <c r="D1182" i="15"/>
  <c r="D1183" i="15"/>
  <c r="D1184" i="15"/>
  <c r="D1185" i="15"/>
  <c r="D1186" i="15"/>
  <c r="D1187" i="15"/>
  <c r="D1188" i="15"/>
  <c r="D1189" i="15"/>
  <c r="D1190" i="15"/>
  <c r="D1191" i="15"/>
  <c r="D1192" i="15"/>
  <c r="D1193" i="15"/>
  <c r="D1194" i="15"/>
  <c r="D1195" i="15"/>
  <c r="D1196" i="15"/>
  <c r="D1197" i="15"/>
  <c r="D1198" i="15"/>
  <c r="D1199" i="15"/>
  <c r="D1200" i="15"/>
  <c r="D1201" i="15"/>
  <c r="D1202" i="15"/>
  <c r="D1203" i="15"/>
  <c r="D1204" i="15"/>
  <c r="D1205" i="15"/>
  <c r="D1206" i="15"/>
  <c r="D1207" i="15"/>
  <c r="D1208" i="15"/>
  <c r="D1209" i="15"/>
  <c r="D1210" i="15"/>
  <c r="D1211" i="15"/>
  <c r="D1212" i="15"/>
  <c r="D1213" i="15"/>
  <c r="D1214" i="15"/>
  <c r="D1215" i="15"/>
  <c r="D1216" i="15"/>
  <c r="D1217" i="15"/>
  <c r="D1218" i="15"/>
  <c r="D1219" i="15"/>
  <c r="D1220" i="15"/>
  <c r="D1221" i="15"/>
  <c r="D1222" i="15"/>
  <c r="D1223" i="15"/>
  <c r="D1224" i="15"/>
  <c r="D1225" i="15"/>
  <c r="D1226" i="15"/>
  <c r="D1227" i="15"/>
  <c r="D1228" i="15"/>
  <c r="D1229" i="15"/>
  <c r="D1230" i="15"/>
  <c r="D1231" i="15"/>
  <c r="D1232" i="15"/>
  <c r="D1233" i="15"/>
  <c r="D1234" i="15"/>
  <c r="D1235" i="15"/>
  <c r="D1236" i="15"/>
  <c r="D1237" i="15"/>
  <c r="D1238" i="15"/>
  <c r="D1239" i="15"/>
  <c r="D1240" i="15"/>
  <c r="D1241" i="15"/>
  <c r="D1242" i="15"/>
  <c r="D1243" i="15"/>
  <c r="D1244" i="15"/>
  <c r="D1245" i="15"/>
  <c r="D1246" i="15"/>
  <c r="D1247" i="15"/>
  <c r="D1248" i="15"/>
  <c r="D1249" i="15"/>
  <c r="D1250" i="15"/>
  <c r="D1251" i="15"/>
  <c r="D1252" i="15"/>
  <c r="D1253" i="15"/>
  <c r="D1254" i="15"/>
  <c r="D1255" i="15"/>
  <c r="D1256" i="15"/>
  <c r="D1257" i="15"/>
  <c r="D1258" i="15"/>
  <c r="D1259" i="15"/>
  <c r="D1260" i="15"/>
  <c r="D1261" i="15"/>
  <c r="D1262" i="15"/>
  <c r="D1263" i="15"/>
  <c r="D1264" i="15"/>
  <c r="D1265" i="15"/>
  <c r="D1266" i="15"/>
  <c r="D1267" i="15"/>
  <c r="D1268" i="15"/>
  <c r="D1269" i="15"/>
  <c r="D1270" i="15"/>
  <c r="D1271" i="15"/>
  <c r="D1272" i="15"/>
  <c r="D1273" i="15"/>
  <c r="D1274" i="15"/>
  <c r="D1275" i="15"/>
  <c r="D1276" i="15"/>
  <c r="D1277" i="15"/>
  <c r="D1278" i="15"/>
  <c r="D1279" i="15"/>
  <c r="D1280" i="15"/>
  <c r="D1281" i="15"/>
  <c r="D1282" i="15"/>
  <c r="D1283" i="15"/>
  <c r="D1284" i="15"/>
  <c r="D1285" i="15"/>
  <c r="D1286" i="15"/>
  <c r="D1287" i="15"/>
  <c r="D1288" i="15"/>
  <c r="D1289" i="15"/>
  <c r="D1290" i="15"/>
  <c r="D1291" i="15"/>
  <c r="D1292" i="15"/>
  <c r="D1293" i="15"/>
  <c r="D1294" i="15"/>
  <c r="D1295" i="15"/>
  <c r="D1296" i="15"/>
  <c r="D1297" i="15"/>
  <c r="D1298" i="15"/>
  <c r="D1299" i="15"/>
  <c r="D1300" i="15"/>
  <c r="D1301" i="15"/>
  <c r="D1302" i="15"/>
  <c r="D1303" i="15"/>
  <c r="D1304" i="15"/>
  <c r="D1305" i="15"/>
  <c r="D1306" i="15"/>
  <c r="D1307" i="15"/>
  <c r="D1308" i="15"/>
  <c r="D1309" i="15"/>
  <c r="D1310" i="15"/>
  <c r="D1311" i="15"/>
  <c r="D1312" i="15"/>
  <c r="D1313" i="15"/>
  <c r="D1314" i="15"/>
  <c r="D1315" i="15"/>
  <c r="D1316" i="15"/>
  <c r="D1317" i="15"/>
  <c r="D1318" i="15"/>
  <c r="D1319" i="15"/>
  <c r="D1320" i="15"/>
  <c r="D1321" i="15"/>
  <c r="D1322" i="15"/>
  <c r="D1323" i="15"/>
  <c r="D1324" i="15"/>
  <c r="D1325" i="15"/>
  <c r="D1326" i="15"/>
  <c r="D1327" i="15"/>
  <c r="D1328" i="15"/>
  <c r="D1329" i="15"/>
  <c r="D1330" i="15"/>
  <c r="D1331" i="15"/>
  <c r="D1332" i="15"/>
  <c r="D1333" i="15"/>
  <c r="D1334" i="15"/>
  <c r="D1335" i="15"/>
  <c r="D1336" i="15"/>
  <c r="D1337" i="15"/>
  <c r="D1338" i="15"/>
  <c r="D1339" i="15"/>
  <c r="D1340" i="15"/>
  <c r="D1341" i="15"/>
  <c r="D1342" i="15"/>
  <c r="D1343" i="15"/>
  <c r="D1344" i="15"/>
  <c r="D1345" i="15"/>
  <c r="D1346" i="15"/>
  <c r="D1347" i="15"/>
  <c r="D1348" i="15"/>
  <c r="D1349" i="15"/>
  <c r="D1350" i="15"/>
  <c r="D1351" i="15"/>
  <c r="D1352" i="15"/>
  <c r="D1353" i="15"/>
  <c r="D1354" i="15"/>
  <c r="D1355" i="15"/>
  <c r="D1356" i="15"/>
  <c r="D1357" i="15"/>
  <c r="D1358" i="15"/>
  <c r="D1359" i="15"/>
  <c r="D1360" i="15"/>
  <c r="D1361" i="15"/>
  <c r="D1362" i="15"/>
  <c r="D1363" i="15"/>
  <c r="D1364" i="15"/>
  <c r="D1365" i="15"/>
  <c r="D1366" i="15"/>
  <c r="D1367" i="15"/>
  <c r="D1368" i="15"/>
  <c r="D1369" i="15"/>
  <c r="D1370" i="15"/>
  <c r="D1371" i="15"/>
  <c r="D1372" i="15"/>
  <c r="D1373" i="15"/>
  <c r="D1374" i="15"/>
  <c r="D1375" i="15"/>
  <c r="D1376" i="15"/>
  <c r="D1377" i="15"/>
  <c r="D1378" i="15"/>
  <c r="D1379" i="15"/>
  <c r="D1380" i="15"/>
  <c r="D1381" i="15"/>
  <c r="D1382" i="15"/>
  <c r="D1383" i="15"/>
  <c r="D1384" i="15"/>
  <c r="D1385" i="15"/>
  <c r="D1386" i="15"/>
  <c r="D1387" i="15"/>
  <c r="D1388" i="15"/>
  <c r="D1389" i="15"/>
  <c r="D1390" i="15"/>
  <c r="D1391" i="15"/>
  <c r="D1392" i="15"/>
  <c r="D1393" i="15"/>
  <c r="D1394" i="15"/>
  <c r="D1395" i="15"/>
  <c r="D1396" i="15"/>
  <c r="D1397" i="15"/>
  <c r="D1398" i="15"/>
  <c r="D1399" i="15"/>
  <c r="D1400" i="15"/>
  <c r="D1401" i="15"/>
  <c r="D1402" i="15"/>
  <c r="D1403" i="15"/>
  <c r="D1404" i="15"/>
  <c r="D1405" i="15"/>
  <c r="D1406" i="15"/>
  <c r="D1407" i="15"/>
  <c r="D1408" i="15"/>
  <c r="D1409" i="15"/>
  <c r="D1410" i="15"/>
  <c r="D1411" i="15"/>
  <c r="D1412" i="15"/>
  <c r="D1413" i="15"/>
  <c r="D1414" i="15"/>
  <c r="D1415" i="15"/>
  <c r="D1416" i="15"/>
  <c r="D1417" i="15"/>
  <c r="D1418" i="15"/>
  <c r="D1419" i="15"/>
  <c r="D1420" i="15"/>
  <c r="D1421" i="15"/>
  <c r="D1422" i="15"/>
  <c r="D1423" i="15"/>
  <c r="D1424" i="15"/>
  <c r="D1425" i="15"/>
  <c r="D1426" i="15"/>
  <c r="D1427" i="15"/>
  <c r="D1428" i="15"/>
  <c r="D1429" i="15"/>
  <c r="D1430" i="15"/>
  <c r="D1431" i="15"/>
  <c r="D1432" i="15"/>
  <c r="D1433" i="15"/>
  <c r="D1434" i="15"/>
  <c r="D1435" i="15"/>
  <c r="D1436" i="15"/>
  <c r="D1437" i="15"/>
  <c r="D1438" i="15"/>
  <c r="D1439" i="15"/>
  <c r="D1440" i="15"/>
  <c r="D1441" i="15"/>
  <c r="D1442" i="15"/>
  <c r="D1443" i="15"/>
  <c r="D1444" i="15"/>
  <c r="D1445" i="15"/>
  <c r="D1446" i="15"/>
  <c r="D1447" i="15"/>
  <c r="D1448" i="15"/>
  <c r="D1449" i="15"/>
  <c r="D1450" i="15"/>
  <c r="D1451" i="15"/>
  <c r="D1452" i="15"/>
  <c r="D1453" i="15"/>
  <c r="D1454" i="15"/>
  <c r="D1455" i="15"/>
  <c r="D1456" i="15"/>
  <c r="D1457" i="15"/>
  <c r="D1458" i="15"/>
  <c r="D1459" i="15"/>
  <c r="D1460" i="15"/>
  <c r="D1461" i="15"/>
  <c r="D1462" i="15"/>
  <c r="D1463" i="15"/>
  <c r="D1464" i="15"/>
  <c r="D1465" i="15"/>
  <c r="D1466" i="15"/>
  <c r="D1467" i="15"/>
  <c r="D1468" i="15"/>
  <c r="D1469" i="15"/>
  <c r="D1470" i="15"/>
  <c r="D1471" i="15"/>
  <c r="D1472" i="15"/>
  <c r="D1473" i="15"/>
  <c r="D1474" i="15"/>
  <c r="D1475" i="15"/>
  <c r="D1476" i="15"/>
  <c r="D1477" i="15"/>
  <c r="D1478" i="15"/>
  <c r="D1479" i="15"/>
  <c r="D1480" i="15"/>
  <c r="D1481" i="15"/>
  <c r="D1482" i="15"/>
  <c r="D1483" i="15"/>
  <c r="D1484" i="15"/>
  <c r="D1485" i="15"/>
  <c r="D1486" i="15"/>
  <c r="D1487" i="15"/>
  <c r="D1488" i="15"/>
  <c r="D1489" i="15"/>
  <c r="D1490" i="15"/>
  <c r="D1491" i="15"/>
  <c r="D1492" i="15"/>
  <c r="D1493" i="15"/>
  <c r="D1494" i="15"/>
  <c r="D1495" i="15"/>
  <c r="D1496" i="15"/>
  <c r="D1497" i="15"/>
  <c r="D1498" i="15"/>
  <c r="D1499" i="15"/>
  <c r="D1500" i="15"/>
  <c r="D1501" i="15"/>
  <c r="D1502" i="15"/>
  <c r="D1503" i="15"/>
  <c r="D1504" i="15"/>
  <c r="D1505" i="15"/>
  <c r="D1506" i="15"/>
  <c r="D1507" i="15"/>
  <c r="D1508" i="15"/>
  <c r="D1509" i="15"/>
  <c r="D1510" i="15"/>
  <c r="D1511" i="15"/>
  <c r="D1512" i="15"/>
  <c r="D1513" i="15"/>
  <c r="D1514" i="15"/>
  <c r="D1515" i="15"/>
  <c r="D1516" i="15"/>
  <c r="D1517" i="15"/>
  <c r="D1518" i="15"/>
  <c r="D1519" i="15"/>
  <c r="D1520" i="15"/>
  <c r="D1521" i="15"/>
  <c r="D1522" i="15"/>
  <c r="D1523" i="15"/>
  <c r="D1524" i="15"/>
  <c r="D1525" i="15"/>
  <c r="D1526" i="15"/>
  <c r="D1527" i="15"/>
  <c r="D1528" i="15"/>
  <c r="D1529" i="15"/>
  <c r="D1530" i="15"/>
  <c r="D1531" i="15"/>
  <c r="D1532" i="15"/>
  <c r="D1533" i="15"/>
  <c r="D1534" i="15"/>
  <c r="D1535" i="15"/>
  <c r="D1536" i="15"/>
  <c r="D1537" i="15"/>
  <c r="D1538" i="15"/>
  <c r="D1539" i="15"/>
  <c r="D1540" i="15"/>
  <c r="D1541" i="15"/>
  <c r="D1542" i="15"/>
  <c r="D1543" i="15"/>
  <c r="D1544" i="15"/>
  <c r="D1545" i="15"/>
  <c r="D1546" i="15"/>
  <c r="D1547" i="15"/>
  <c r="D1548" i="15"/>
  <c r="D1549" i="15"/>
  <c r="D1550" i="15"/>
  <c r="D1551" i="15"/>
  <c r="D1552" i="15"/>
  <c r="D1553" i="15"/>
  <c r="D1554" i="15"/>
  <c r="D1555" i="15"/>
  <c r="D1556" i="15"/>
  <c r="D1557" i="15"/>
  <c r="D1558" i="15"/>
  <c r="D1559" i="15"/>
  <c r="D1560" i="15"/>
  <c r="D1561" i="15"/>
  <c r="D156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 i="15"/>
  <c r="B2319" i="14" l="1"/>
  <c r="A2319" i="14"/>
  <c r="B2318" i="14"/>
  <c r="A2318" i="14"/>
  <c r="B2317" i="14"/>
  <c r="A2317" i="14"/>
  <c r="B2316" i="14"/>
  <c r="A2316" i="14"/>
  <c r="B2315" i="14"/>
  <c r="A2315" i="14"/>
  <c r="B2314" i="14"/>
  <c r="A2314" i="14"/>
  <c r="B2313" i="14"/>
  <c r="A2313" i="14"/>
  <c r="B2312" i="14"/>
  <c r="A2312" i="14"/>
  <c r="B2311" i="14"/>
  <c r="A2311" i="14"/>
  <c r="B2310" i="14"/>
  <c r="A2310" i="14"/>
  <c r="B2309" i="14"/>
  <c r="A2309" i="14"/>
  <c r="B2308" i="14"/>
  <c r="A2308" i="14"/>
  <c r="B2307" i="14"/>
  <c r="A2307" i="14"/>
  <c r="B2306" i="14"/>
  <c r="A2306" i="14"/>
  <c r="B2305" i="14"/>
  <c r="A2305" i="14"/>
  <c r="B2304" i="14"/>
  <c r="A2304" i="14"/>
  <c r="B2303" i="14"/>
  <c r="A2303" i="14"/>
  <c r="B2302" i="14"/>
  <c r="A2302" i="14"/>
  <c r="B2301" i="14"/>
  <c r="A2301" i="14"/>
  <c r="B2300" i="14"/>
  <c r="A2300" i="14"/>
  <c r="B2299" i="14"/>
  <c r="A2299" i="14"/>
  <c r="B2298" i="14"/>
  <c r="A2298" i="14"/>
  <c r="B2297" i="14"/>
  <c r="A2297" i="14"/>
  <c r="B2296" i="14"/>
  <c r="A2296" i="14"/>
  <c r="B2295" i="14"/>
  <c r="A2295" i="14"/>
  <c r="B2294" i="14"/>
  <c r="A2294" i="14"/>
  <c r="B2293" i="14"/>
  <c r="A2293" i="14"/>
  <c r="B2292" i="14"/>
  <c r="A2292" i="14"/>
  <c r="B2291" i="14"/>
  <c r="A2291" i="14"/>
  <c r="B2290" i="14"/>
  <c r="A2290" i="14"/>
  <c r="B2289" i="14"/>
  <c r="A2289" i="14"/>
  <c r="B2288" i="14"/>
  <c r="A2288" i="14"/>
  <c r="B2287" i="14"/>
  <c r="A2287" i="14"/>
  <c r="B2286" i="14"/>
  <c r="A2286" i="14"/>
  <c r="B2285" i="14"/>
  <c r="A2285" i="14"/>
  <c r="B2284" i="14"/>
  <c r="A2284" i="14"/>
  <c r="B2283" i="14"/>
  <c r="A2283" i="14"/>
  <c r="B2282" i="14"/>
  <c r="A2282" i="14"/>
  <c r="B2281" i="14"/>
  <c r="A2281" i="14"/>
  <c r="B2280" i="14"/>
  <c r="A2280" i="14"/>
  <c r="B2279" i="14"/>
  <c r="A2279" i="14"/>
  <c r="B2278" i="14"/>
  <c r="A2278" i="14"/>
  <c r="B2277" i="14"/>
  <c r="A2277" i="14"/>
  <c r="B2276" i="14"/>
  <c r="A2276" i="14"/>
  <c r="B2275" i="14"/>
  <c r="A2275" i="14"/>
  <c r="B2274" i="14"/>
  <c r="A2274" i="14"/>
  <c r="B2273" i="14"/>
  <c r="A2273" i="14"/>
  <c r="B2272" i="14"/>
  <c r="A2272" i="14"/>
  <c r="B2271" i="14"/>
  <c r="A2271" i="14"/>
  <c r="B2270" i="14"/>
  <c r="A2270" i="14"/>
  <c r="B2269" i="14"/>
  <c r="A2269" i="14"/>
  <c r="B2268" i="14"/>
  <c r="A2268" i="14"/>
  <c r="B2267" i="14"/>
  <c r="A2267" i="14"/>
  <c r="B2266" i="14"/>
  <c r="A2266" i="14"/>
  <c r="B2265" i="14"/>
  <c r="A2265" i="14"/>
  <c r="B2264" i="14"/>
  <c r="A2264" i="14"/>
  <c r="B2263" i="14"/>
  <c r="A2263" i="14"/>
  <c r="B2262" i="14"/>
  <c r="A2262" i="14"/>
  <c r="B2261" i="14"/>
  <c r="A2261" i="14"/>
  <c r="B2260" i="14"/>
  <c r="A2260" i="14"/>
  <c r="B2259" i="14"/>
  <c r="A2259" i="14"/>
  <c r="B2258" i="14"/>
  <c r="A2258" i="14"/>
  <c r="B2257" i="14"/>
  <c r="A2257" i="14"/>
  <c r="B2256" i="14"/>
  <c r="A2256" i="14"/>
  <c r="B2255" i="14"/>
  <c r="A2255" i="14"/>
  <c r="B2254" i="14"/>
  <c r="A2254" i="14"/>
  <c r="B2253" i="14"/>
  <c r="A2253" i="14"/>
  <c r="B2252" i="14"/>
  <c r="A2252" i="14"/>
  <c r="B2251" i="14"/>
  <c r="A2251" i="14"/>
  <c r="B2250" i="14"/>
  <c r="A2250" i="14"/>
  <c r="B2249" i="14"/>
  <c r="A2249" i="14"/>
  <c r="B2248" i="14"/>
  <c r="A2248" i="14"/>
  <c r="B2247" i="14"/>
  <c r="A2247" i="14"/>
  <c r="B2246" i="14"/>
  <c r="A2246" i="14"/>
  <c r="B2245" i="14"/>
  <c r="A2245" i="14"/>
  <c r="B2244" i="14"/>
  <c r="A2244" i="14"/>
  <c r="B2243" i="14"/>
  <c r="A2243" i="14"/>
  <c r="B2242" i="14"/>
  <c r="A2242" i="14"/>
  <c r="B2241" i="14"/>
  <c r="A2241" i="14"/>
  <c r="B2240" i="14"/>
  <c r="A2240" i="14"/>
  <c r="B2239" i="14"/>
  <c r="A2239" i="14"/>
  <c r="B2238" i="14"/>
  <c r="A2238" i="14"/>
  <c r="B2237" i="14"/>
  <c r="A2237" i="14"/>
  <c r="B2236" i="14"/>
  <c r="A2236" i="14"/>
  <c r="B2235" i="14"/>
  <c r="A2235" i="14"/>
  <c r="B2234" i="14"/>
  <c r="A2234" i="14"/>
  <c r="B2233" i="14"/>
  <c r="A2233" i="14"/>
  <c r="B2232" i="14"/>
  <c r="A2232" i="14"/>
  <c r="B2231" i="14"/>
  <c r="A2231" i="14"/>
  <c r="B2230" i="14"/>
  <c r="A2230" i="14"/>
  <c r="B2229" i="14"/>
  <c r="A2229" i="14"/>
  <c r="B2228" i="14"/>
  <c r="A2228" i="14"/>
  <c r="B2227" i="14"/>
  <c r="A2227" i="14"/>
  <c r="B2226" i="14"/>
  <c r="A2226" i="14"/>
  <c r="B2225" i="14"/>
  <c r="A2225" i="14"/>
  <c r="B2224" i="14"/>
  <c r="A2224" i="14"/>
  <c r="B2223" i="14"/>
  <c r="A2223" i="14"/>
  <c r="B2222" i="14"/>
  <c r="A2222" i="14"/>
  <c r="B2221" i="14"/>
  <c r="A2221" i="14"/>
  <c r="B2220" i="14"/>
  <c r="A2220" i="14"/>
  <c r="B2219" i="14"/>
  <c r="A2219" i="14"/>
  <c r="B2218" i="14"/>
  <c r="A2218" i="14"/>
  <c r="B2217" i="14"/>
  <c r="A2217" i="14"/>
  <c r="B2216" i="14"/>
  <c r="A2216" i="14"/>
  <c r="B2215" i="14"/>
  <c r="A2215" i="14"/>
  <c r="B2214" i="14"/>
  <c r="A2214" i="14"/>
  <c r="B2213" i="14"/>
  <c r="A2213" i="14"/>
  <c r="B2212" i="14"/>
  <c r="A2212" i="14"/>
  <c r="B2211" i="14"/>
  <c r="A2211" i="14"/>
  <c r="B2210" i="14"/>
  <c r="A2210" i="14"/>
  <c r="B2209" i="14"/>
  <c r="A2209" i="14"/>
  <c r="B2208" i="14"/>
  <c r="A2208" i="14"/>
  <c r="B2207" i="14"/>
  <c r="A2207" i="14"/>
  <c r="B2206" i="14"/>
  <c r="A2206" i="14"/>
  <c r="B2205" i="14"/>
  <c r="A2205" i="14"/>
  <c r="B2204" i="14"/>
  <c r="A2204" i="14"/>
  <c r="B2203" i="14"/>
  <c r="A2203" i="14"/>
  <c r="B2202" i="14"/>
  <c r="A2202" i="14"/>
  <c r="B2201" i="14"/>
  <c r="A2201" i="14"/>
  <c r="B2200" i="14"/>
  <c r="A2200" i="14"/>
  <c r="B2199" i="14"/>
  <c r="A2199" i="14"/>
  <c r="B2198" i="14"/>
  <c r="A2198" i="14"/>
  <c r="B2197" i="14"/>
  <c r="A2197" i="14"/>
  <c r="B2196" i="14"/>
  <c r="A2196" i="14"/>
  <c r="B2195" i="14"/>
  <c r="A2195" i="14"/>
  <c r="B2194" i="14"/>
  <c r="A2194" i="14"/>
  <c r="B2193" i="14"/>
  <c r="A2193" i="14"/>
  <c r="B2192" i="14"/>
  <c r="A2192" i="14"/>
  <c r="B2191" i="14"/>
  <c r="A2191" i="14"/>
  <c r="B2190" i="14"/>
  <c r="A2190" i="14"/>
  <c r="B2189" i="14"/>
  <c r="A2189" i="14"/>
  <c r="B2188" i="14"/>
  <c r="A2188" i="14"/>
  <c r="B2187" i="14"/>
  <c r="A2187" i="14"/>
  <c r="B2186" i="14"/>
  <c r="A2186" i="14"/>
  <c r="B2185" i="14"/>
  <c r="A2185" i="14"/>
  <c r="B2184" i="14"/>
  <c r="A2184" i="14"/>
  <c r="B2183" i="14"/>
  <c r="A2183" i="14"/>
  <c r="B2182" i="14"/>
  <c r="A2182" i="14"/>
  <c r="B2181" i="14"/>
  <c r="A2181" i="14"/>
  <c r="B2180" i="14"/>
  <c r="A2180" i="14"/>
  <c r="B2179" i="14"/>
  <c r="A2179" i="14"/>
  <c r="B2178" i="14"/>
  <c r="A2178" i="14"/>
  <c r="B2177" i="14"/>
  <c r="A2177" i="14"/>
  <c r="B2176" i="14"/>
  <c r="A2176" i="14"/>
  <c r="B2175" i="14"/>
  <c r="A2175" i="14"/>
  <c r="B2174" i="14"/>
  <c r="A2174" i="14"/>
  <c r="B2173" i="14"/>
  <c r="A2173" i="14"/>
  <c r="B2172" i="14"/>
  <c r="A2172" i="14"/>
  <c r="B2171" i="14"/>
  <c r="A2171" i="14"/>
  <c r="B2170" i="14"/>
  <c r="A2170" i="14"/>
  <c r="B2169" i="14"/>
  <c r="A2169" i="14"/>
  <c r="B2168" i="14"/>
  <c r="A2168" i="14"/>
  <c r="B2167" i="14"/>
  <c r="A2167" i="14"/>
  <c r="B2166" i="14"/>
  <c r="A2166" i="14"/>
  <c r="B2165" i="14"/>
  <c r="A2165" i="14"/>
  <c r="B2164" i="14"/>
  <c r="A2164" i="14"/>
  <c r="B2163" i="14"/>
  <c r="A2163" i="14"/>
  <c r="B2162" i="14"/>
  <c r="A2162" i="14"/>
  <c r="B2161" i="14"/>
  <c r="A2161" i="14"/>
  <c r="B2160" i="14"/>
  <c r="A2160" i="14"/>
  <c r="B2159" i="14"/>
  <c r="A2159" i="14"/>
  <c r="B2158" i="14"/>
  <c r="A2158" i="14"/>
  <c r="B2157" i="14"/>
  <c r="A2157" i="14"/>
  <c r="B2156" i="14"/>
  <c r="A2156" i="14"/>
  <c r="B2155" i="14"/>
  <c r="A2155" i="14"/>
  <c r="B2154" i="14"/>
  <c r="A2154" i="14"/>
  <c r="B2153" i="14"/>
  <c r="A2153" i="14"/>
  <c r="B2152" i="14"/>
  <c r="A2152" i="14"/>
  <c r="B2151" i="14"/>
  <c r="A2151" i="14"/>
  <c r="B2150" i="14"/>
  <c r="A2150" i="14"/>
  <c r="B2149" i="14"/>
  <c r="A2149" i="14"/>
  <c r="B2148" i="14"/>
  <c r="A2148" i="14"/>
  <c r="B2147" i="14"/>
  <c r="A2147" i="14"/>
  <c r="B2146" i="14"/>
  <c r="A2146" i="14"/>
  <c r="B2145" i="14"/>
  <c r="A2145" i="14"/>
  <c r="B2144" i="14"/>
  <c r="A2144" i="14"/>
  <c r="B2143" i="14"/>
  <c r="A2143" i="14"/>
  <c r="B2142" i="14"/>
  <c r="A2142" i="14"/>
  <c r="B2141" i="14"/>
  <c r="A2141" i="14"/>
  <c r="B2140" i="14"/>
  <c r="A2140" i="14"/>
  <c r="B2139" i="14"/>
  <c r="A2139" i="14"/>
  <c r="B2138" i="14"/>
  <c r="A2138" i="14"/>
  <c r="B2137" i="14"/>
  <c r="A2137" i="14"/>
  <c r="B2136" i="14"/>
  <c r="A2136" i="14"/>
  <c r="B2135" i="14"/>
  <c r="A2135" i="14"/>
  <c r="B2134" i="14"/>
  <c r="A2134" i="14"/>
  <c r="B2133" i="14"/>
  <c r="A2133" i="14"/>
  <c r="B2132" i="14"/>
  <c r="A2132" i="14"/>
  <c r="B2131" i="14"/>
  <c r="A2131" i="14"/>
  <c r="B2130" i="14"/>
  <c r="A2130" i="14"/>
  <c r="B2129" i="14"/>
  <c r="A2129" i="14"/>
  <c r="B2128" i="14"/>
  <c r="A2128" i="14"/>
  <c r="B2127" i="14"/>
  <c r="A2127" i="14"/>
  <c r="B2126" i="14"/>
  <c r="A2126" i="14"/>
  <c r="B2125" i="14"/>
  <c r="A2125" i="14"/>
  <c r="B2124" i="14"/>
  <c r="A2124" i="14"/>
  <c r="B2123" i="14"/>
  <c r="A2123" i="14"/>
  <c r="B2122" i="14"/>
  <c r="A2122" i="14"/>
  <c r="B2121" i="14"/>
  <c r="A2121" i="14"/>
  <c r="B2120" i="14"/>
  <c r="A2120" i="14"/>
  <c r="B2119" i="14"/>
  <c r="A2119" i="14"/>
  <c r="B2118" i="14"/>
  <c r="A2118" i="14"/>
  <c r="B2117" i="14"/>
  <c r="A2117" i="14"/>
  <c r="B2116" i="14"/>
  <c r="A2116" i="14"/>
  <c r="B2115" i="14"/>
  <c r="A2115" i="14"/>
  <c r="B2114" i="14"/>
  <c r="A2114" i="14"/>
  <c r="B2113" i="14"/>
  <c r="A2113" i="14"/>
  <c r="B2112" i="14"/>
  <c r="A2112" i="14"/>
  <c r="B2111" i="14"/>
  <c r="A2111" i="14"/>
  <c r="B2110" i="14"/>
  <c r="A2110" i="14"/>
  <c r="B2109" i="14"/>
  <c r="A2109" i="14"/>
  <c r="B2108" i="14"/>
  <c r="A2108" i="14"/>
  <c r="B2107" i="14"/>
  <c r="A2107" i="14"/>
  <c r="B2106" i="14"/>
  <c r="A2106" i="14"/>
  <c r="B2105" i="14"/>
  <c r="A2105" i="14"/>
  <c r="B2104" i="14"/>
  <c r="A2104" i="14"/>
  <c r="B2103" i="14"/>
  <c r="A2103" i="14"/>
  <c r="B2102" i="14"/>
  <c r="A2102" i="14"/>
  <c r="B2101" i="14"/>
  <c r="A2101" i="14"/>
  <c r="B2100" i="14"/>
  <c r="A2100" i="14"/>
  <c r="B2099" i="14"/>
  <c r="A2099" i="14"/>
  <c r="B2098" i="14"/>
  <c r="A2098" i="14"/>
  <c r="B2097" i="14"/>
  <c r="A2097" i="14"/>
  <c r="B2096" i="14"/>
  <c r="A2096" i="14"/>
  <c r="B2095" i="14"/>
  <c r="A2095" i="14"/>
  <c r="B2094" i="14"/>
  <c r="A2094" i="14"/>
  <c r="B2093" i="14"/>
  <c r="A2093" i="14"/>
  <c r="B2092" i="14"/>
  <c r="A2092" i="14"/>
  <c r="B2091" i="14"/>
  <c r="A2091" i="14"/>
  <c r="B2090" i="14"/>
  <c r="A2090" i="14"/>
  <c r="B2089" i="14"/>
  <c r="A2089" i="14"/>
  <c r="B2088" i="14"/>
  <c r="A2088" i="14"/>
  <c r="B2087" i="14"/>
  <c r="A2087" i="14"/>
  <c r="B2086" i="14"/>
  <c r="A2086" i="14"/>
  <c r="B2085" i="14"/>
  <c r="A2085" i="14"/>
  <c r="B2084" i="14"/>
  <c r="A2084" i="14"/>
  <c r="B2083" i="14"/>
  <c r="A2083" i="14"/>
  <c r="B2082" i="14"/>
  <c r="A2082" i="14"/>
  <c r="B2081" i="14"/>
  <c r="A2081" i="14"/>
  <c r="B2080" i="14"/>
  <c r="A2080" i="14"/>
  <c r="B2079" i="14"/>
  <c r="A2079" i="14"/>
  <c r="B2078" i="14"/>
  <c r="A2078" i="14"/>
  <c r="B2077" i="14"/>
  <c r="A2077" i="14"/>
  <c r="B2076" i="14"/>
  <c r="A2076" i="14"/>
  <c r="B2075" i="14"/>
  <c r="A2075" i="14"/>
  <c r="B2074" i="14"/>
  <c r="A2074" i="14"/>
  <c r="B2073" i="14"/>
  <c r="A2073" i="14"/>
  <c r="B2072" i="14"/>
  <c r="A2072" i="14"/>
  <c r="B2071" i="14"/>
  <c r="A2071" i="14"/>
  <c r="B2070" i="14"/>
  <c r="A2070" i="14"/>
  <c r="B2069" i="14"/>
  <c r="A2069" i="14"/>
  <c r="B2068" i="14"/>
  <c r="A2068" i="14"/>
  <c r="B2067" i="14"/>
  <c r="A2067" i="14"/>
  <c r="B2066" i="14"/>
  <c r="A2066" i="14"/>
  <c r="B2065" i="14"/>
  <c r="A2065" i="14"/>
  <c r="B2064" i="14"/>
  <c r="A2064" i="14"/>
  <c r="B2063" i="14"/>
  <c r="A2063" i="14"/>
  <c r="B2062" i="14"/>
  <c r="A2062" i="14"/>
  <c r="B2061" i="14"/>
  <c r="A2061" i="14"/>
  <c r="B2060" i="14"/>
  <c r="A2060" i="14"/>
  <c r="B2059" i="14"/>
  <c r="A2059" i="14"/>
  <c r="B2058" i="14"/>
  <c r="A2058" i="14"/>
  <c r="B2057" i="14"/>
  <c r="A2057" i="14"/>
  <c r="B2056" i="14"/>
  <c r="A2056" i="14"/>
  <c r="B2055" i="14"/>
  <c r="A2055" i="14"/>
  <c r="B2054" i="14"/>
  <c r="A2054" i="14"/>
  <c r="B2053" i="14"/>
  <c r="A2053" i="14"/>
  <c r="B2052" i="14"/>
  <c r="A2052" i="14"/>
  <c r="B2051" i="14"/>
  <c r="A2051" i="14"/>
  <c r="B2050" i="14"/>
  <c r="A2050" i="14"/>
  <c r="B2049" i="14"/>
  <c r="A2049" i="14"/>
  <c r="B2048" i="14"/>
  <c r="A2048" i="14"/>
  <c r="B2047" i="14"/>
  <c r="A2047" i="14"/>
  <c r="B2046" i="14"/>
  <c r="A2046" i="14"/>
  <c r="B2045" i="14"/>
  <c r="A2045" i="14"/>
  <c r="B2044" i="14"/>
  <c r="A2044" i="14"/>
  <c r="B2043" i="14"/>
  <c r="A2043" i="14"/>
  <c r="B2042" i="14"/>
  <c r="A2042" i="14"/>
  <c r="B2041" i="14"/>
  <c r="A2041" i="14"/>
  <c r="B2040" i="14"/>
  <c r="A2040" i="14"/>
  <c r="B2039" i="14"/>
  <c r="A2039" i="14"/>
  <c r="B2038" i="14"/>
  <c r="A2038" i="14"/>
  <c r="B2037" i="14"/>
  <c r="A2037" i="14"/>
  <c r="B2036" i="14"/>
  <c r="A2036" i="14"/>
  <c r="B2035" i="14"/>
  <c r="A2035" i="14"/>
  <c r="B2034" i="14"/>
  <c r="A2034" i="14"/>
  <c r="B2033" i="14"/>
  <c r="A2033" i="14"/>
  <c r="B2032" i="14"/>
  <c r="A2032" i="14"/>
  <c r="B2031" i="14"/>
  <c r="A2031" i="14"/>
  <c r="B2030" i="14"/>
  <c r="A2030" i="14"/>
  <c r="B2029" i="14"/>
  <c r="A2029" i="14"/>
  <c r="B2028" i="14"/>
  <c r="A2028" i="14"/>
  <c r="B2027" i="14"/>
  <c r="A2027" i="14"/>
  <c r="B2026" i="14"/>
  <c r="A2026" i="14"/>
  <c r="B2025" i="14"/>
  <c r="A2025" i="14"/>
  <c r="B2024" i="14"/>
  <c r="A2024" i="14"/>
  <c r="B2023" i="14"/>
  <c r="A2023" i="14"/>
  <c r="B2022" i="14"/>
  <c r="A2022" i="14"/>
  <c r="B2021" i="14"/>
  <c r="A2021" i="14"/>
  <c r="B2020" i="14"/>
  <c r="A2020" i="14"/>
  <c r="B2019" i="14"/>
  <c r="A2019" i="14"/>
  <c r="B2018" i="14"/>
  <c r="A2018" i="14"/>
  <c r="B2017" i="14"/>
  <c r="A2017" i="14"/>
  <c r="B2016" i="14"/>
  <c r="A2016" i="14"/>
  <c r="B2015" i="14"/>
  <c r="A2015" i="14"/>
  <c r="B2014" i="14"/>
  <c r="A2014" i="14"/>
  <c r="B2013" i="14"/>
  <c r="A2013" i="14"/>
  <c r="B2012" i="14"/>
  <c r="A2012" i="14"/>
  <c r="B2011" i="14"/>
  <c r="A2011" i="14"/>
  <c r="B2010" i="14"/>
  <c r="A2010" i="14"/>
  <c r="B2009" i="14"/>
  <c r="A2009" i="14"/>
  <c r="B2008" i="14"/>
  <c r="A2008" i="14"/>
  <c r="B2007" i="14"/>
  <c r="A2007" i="14"/>
  <c r="B2006" i="14"/>
  <c r="A2006" i="14"/>
  <c r="B2005" i="14"/>
  <c r="A2005" i="14"/>
  <c r="B2004" i="14"/>
  <c r="A2004" i="14"/>
  <c r="B2003" i="14"/>
  <c r="A2003" i="14"/>
  <c r="B2002" i="14"/>
  <c r="A2002" i="14"/>
  <c r="B2001" i="14"/>
  <c r="A2001" i="14"/>
  <c r="B2000" i="14"/>
  <c r="A2000" i="14"/>
  <c r="B1999" i="14"/>
  <c r="A1999" i="14"/>
  <c r="B1998" i="14"/>
  <c r="A1998" i="14"/>
  <c r="B1997" i="14"/>
  <c r="A1997" i="14"/>
  <c r="B1996" i="14"/>
  <c r="A1996" i="14"/>
  <c r="B1995" i="14"/>
  <c r="A1995" i="14"/>
  <c r="B1994" i="14"/>
  <c r="A1994" i="14"/>
  <c r="B1993" i="14"/>
  <c r="A1993" i="14"/>
  <c r="B1992" i="14"/>
  <c r="A1992" i="14"/>
  <c r="B1991" i="14"/>
  <c r="A1991" i="14"/>
  <c r="B1990" i="14"/>
  <c r="A1990" i="14"/>
  <c r="B1989" i="14"/>
  <c r="A1989" i="14"/>
  <c r="B1988" i="14"/>
  <c r="A1988" i="14"/>
  <c r="B1987" i="14"/>
  <c r="A1987" i="14"/>
  <c r="B1986" i="14"/>
  <c r="A1986" i="14"/>
  <c r="B1985" i="14"/>
  <c r="A1985" i="14"/>
  <c r="B1984" i="14"/>
  <c r="A1984" i="14"/>
  <c r="B1983" i="14"/>
  <c r="A1983" i="14"/>
  <c r="B1982" i="14"/>
  <c r="A1982" i="14"/>
  <c r="B1981" i="14"/>
  <c r="A1981" i="14"/>
  <c r="B1980" i="14"/>
  <c r="A1980" i="14"/>
  <c r="B1979" i="14"/>
  <c r="A1979" i="14"/>
  <c r="B1978" i="14"/>
  <c r="A1978" i="14"/>
  <c r="B1977" i="14"/>
  <c r="A1977" i="14"/>
  <c r="B1976" i="14"/>
  <c r="A1976" i="14"/>
  <c r="B1975" i="14"/>
  <c r="A1975" i="14"/>
  <c r="B1974" i="14"/>
  <c r="A1974" i="14"/>
  <c r="B1973" i="14"/>
  <c r="A1973" i="14"/>
  <c r="B1972" i="14"/>
  <c r="A1972" i="14"/>
  <c r="B1971" i="14"/>
  <c r="A1971" i="14"/>
  <c r="B1970" i="14"/>
  <c r="A1970" i="14"/>
  <c r="B1969" i="14"/>
  <c r="A1969" i="14"/>
  <c r="B1968" i="14"/>
  <c r="A1968" i="14"/>
  <c r="B1967" i="14"/>
  <c r="A1967" i="14"/>
  <c r="B1966" i="14"/>
  <c r="A1966" i="14"/>
  <c r="B1965" i="14"/>
  <c r="A1965" i="14"/>
  <c r="B1964" i="14"/>
  <c r="A1964" i="14"/>
  <c r="B1963" i="14"/>
  <c r="A1963" i="14"/>
  <c r="B1962" i="14"/>
  <c r="A1962" i="14"/>
  <c r="B1961" i="14"/>
  <c r="A1961" i="14"/>
  <c r="B1960" i="14"/>
  <c r="A1960" i="14"/>
  <c r="B1959" i="14"/>
  <c r="A1959" i="14"/>
  <c r="B1958" i="14"/>
  <c r="A1958" i="14"/>
  <c r="B1957" i="14"/>
  <c r="A1957" i="14"/>
  <c r="B1956" i="14"/>
  <c r="A1956" i="14"/>
  <c r="B1955" i="14"/>
  <c r="A1955" i="14"/>
  <c r="B1954" i="14"/>
  <c r="A1954" i="14"/>
  <c r="B1953" i="14"/>
  <c r="A1953" i="14"/>
  <c r="B1952" i="14"/>
  <c r="A1952" i="14"/>
  <c r="B1951" i="14"/>
  <c r="A1951" i="14"/>
  <c r="B1950" i="14"/>
  <c r="A1950" i="14"/>
  <c r="B1949" i="14"/>
  <c r="A1949" i="14"/>
  <c r="B1948" i="14"/>
  <c r="A1948" i="14"/>
  <c r="B1947" i="14"/>
  <c r="A1947" i="14"/>
  <c r="B1946" i="14"/>
  <c r="A1946" i="14"/>
  <c r="B1945" i="14"/>
  <c r="A1945" i="14"/>
  <c r="B1944" i="14"/>
  <c r="A1944" i="14"/>
  <c r="B1943" i="14"/>
  <c r="A1943" i="14"/>
  <c r="B1942" i="14"/>
  <c r="A1942" i="14"/>
  <c r="B1941" i="14"/>
  <c r="A1941" i="14"/>
  <c r="B1940" i="14"/>
  <c r="A1940" i="14"/>
  <c r="B1939" i="14"/>
  <c r="A1939" i="14"/>
  <c r="B1938" i="14"/>
  <c r="A1938" i="14"/>
  <c r="B1937" i="14"/>
  <c r="A1937" i="14"/>
  <c r="B1936" i="14"/>
  <c r="A1936" i="14"/>
  <c r="B1935" i="14"/>
  <c r="A1935" i="14"/>
  <c r="B1934" i="14"/>
  <c r="A1934" i="14"/>
  <c r="B1933" i="14"/>
  <c r="A1933" i="14"/>
  <c r="B1932" i="14"/>
  <c r="A1932" i="14"/>
  <c r="B1931" i="14"/>
  <c r="A1931" i="14"/>
  <c r="B1930" i="14"/>
  <c r="A1930" i="14"/>
  <c r="B1929" i="14"/>
  <c r="A1929" i="14"/>
  <c r="B1928" i="14"/>
  <c r="A1928" i="14"/>
  <c r="B1927" i="14"/>
  <c r="A1927" i="14"/>
  <c r="B1926" i="14"/>
  <c r="A1926" i="14"/>
  <c r="B1925" i="14"/>
  <c r="A1925" i="14"/>
  <c r="B1924" i="14"/>
  <c r="A1924" i="14"/>
  <c r="B1923" i="14"/>
  <c r="A1923" i="14"/>
  <c r="B1922" i="14"/>
  <c r="A1922" i="14"/>
  <c r="B1921" i="14"/>
  <c r="A1921" i="14"/>
  <c r="B1920" i="14"/>
  <c r="A1920" i="14"/>
  <c r="B1919" i="14"/>
  <c r="A1919" i="14"/>
  <c r="B1918" i="14"/>
  <c r="A1918" i="14"/>
  <c r="B1917" i="14"/>
  <c r="A1917" i="14"/>
  <c r="B1916" i="14"/>
  <c r="A1916" i="14"/>
  <c r="B1915" i="14"/>
  <c r="A1915" i="14"/>
  <c r="B1914" i="14"/>
  <c r="A1914" i="14"/>
  <c r="B1913" i="14"/>
  <c r="A1913" i="14"/>
  <c r="B1912" i="14"/>
  <c r="A1912" i="14"/>
  <c r="B1911" i="14"/>
  <c r="A1911" i="14"/>
  <c r="B1910" i="14"/>
  <c r="A1910" i="14"/>
  <c r="B1909" i="14"/>
  <c r="A1909" i="14"/>
  <c r="B1908" i="14"/>
  <c r="A1908" i="14"/>
  <c r="B1907" i="14"/>
  <c r="A1907" i="14"/>
  <c r="B1906" i="14"/>
  <c r="A1906" i="14"/>
  <c r="B1905" i="14"/>
  <c r="A1905" i="14"/>
  <c r="B1904" i="14"/>
  <c r="A1904" i="14"/>
  <c r="B1903" i="14"/>
  <c r="A1903" i="14"/>
  <c r="B1902" i="14"/>
  <c r="A1902" i="14"/>
  <c r="B1901" i="14"/>
  <c r="A1901" i="14"/>
  <c r="B1900" i="14"/>
  <c r="A1900" i="14"/>
  <c r="B1899" i="14"/>
  <c r="A1899" i="14"/>
  <c r="B1898" i="14"/>
  <c r="A1898" i="14"/>
  <c r="B1897" i="14"/>
  <c r="A1897" i="14"/>
  <c r="B1896" i="14"/>
  <c r="A1896" i="14"/>
  <c r="B1895" i="14"/>
  <c r="A1895" i="14"/>
  <c r="B1894" i="14"/>
  <c r="A1894" i="14"/>
  <c r="B1893" i="14"/>
  <c r="A1893" i="14"/>
  <c r="B1892" i="14"/>
  <c r="A1892" i="14"/>
  <c r="B1891" i="14"/>
  <c r="A1891" i="14"/>
  <c r="B1890" i="14"/>
  <c r="A1890" i="14"/>
  <c r="B1889" i="14"/>
  <c r="A1889" i="14"/>
  <c r="B1888" i="14"/>
  <c r="A1888" i="14"/>
  <c r="B1887" i="14"/>
  <c r="A1887" i="14"/>
  <c r="B1886" i="14"/>
  <c r="A1886" i="14"/>
  <c r="B1885" i="14"/>
  <c r="A1885" i="14"/>
  <c r="B1884" i="14"/>
  <c r="A1884" i="14"/>
  <c r="B1883" i="14"/>
  <c r="A1883" i="14"/>
  <c r="B1882" i="14"/>
  <c r="A1882" i="14"/>
  <c r="B1881" i="14"/>
  <c r="A1881" i="14"/>
  <c r="B1880" i="14"/>
  <c r="A1880" i="14"/>
  <c r="B1879" i="14"/>
  <c r="A1879" i="14"/>
  <c r="B1878" i="14"/>
  <c r="A1878" i="14"/>
  <c r="B1877" i="14"/>
  <c r="A1877" i="14"/>
  <c r="B1876" i="14"/>
  <c r="A1876" i="14"/>
  <c r="B1875" i="14"/>
  <c r="A1875" i="14"/>
  <c r="B1874" i="14"/>
  <c r="A1874" i="14"/>
  <c r="B1873" i="14"/>
  <c r="A1873" i="14"/>
  <c r="B1872" i="14"/>
  <c r="A1872" i="14"/>
  <c r="B1871" i="14"/>
  <c r="A1871" i="14"/>
  <c r="B1870" i="14"/>
  <c r="A1870" i="14"/>
  <c r="B1869" i="14"/>
  <c r="A1869" i="14"/>
  <c r="B1868" i="14"/>
  <c r="A1868" i="14"/>
  <c r="B1867" i="14"/>
  <c r="A1867" i="14"/>
  <c r="B1866" i="14"/>
  <c r="A1866" i="14"/>
  <c r="B1865" i="14"/>
  <c r="A1865" i="14"/>
  <c r="B1864" i="14"/>
  <c r="A1864" i="14"/>
  <c r="B1863" i="14"/>
  <c r="A1863" i="14"/>
  <c r="B1862" i="14"/>
  <c r="A1862" i="14"/>
  <c r="B1861" i="14"/>
  <c r="A1861" i="14"/>
  <c r="B1860" i="14"/>
  <c r="A1860" i="14"/>
  <c r="B1859" i="14"/>
  <c r="A1859" i="14"/>
  <c r="B1858" i="14"/>
  <c r="A1858" i="14"/>
  <c r="B1857" i="14"/>
  <c r="A1857" i="14"/>
  <c r="B1856" i="14"/>
  <c r="A1856" i="14"/>
  <c r="B1855" i="14"/>
  <c r="A1855" i="14"/>
  <c r="B1854" i="14"/>
  <c r="A1854" i="14"/>
  <c r="B1853" i="14"/>
  <c r="A1853" i="14"/>
  <c r="B1852" i="14"/>
  <c r="A1852" i="14"/>
  <c r="B1851" i="14"/>
  <c r="A1851" i="14"/>
  <c r="B1850" i="14"/>
  <c r="A1850" i="14"/>
  <c r="B1849" i="14"/>
  <c r="A1849" i="14"/>
  <c r="B1848" i="14"/>
  <c r="A1848" i="14"/>
  <c r="B1847" i="14"/>
  <c r="A1847" i="14"/>
  <c r="B1846" i="14"/>
  <c r="A1846" i="14"/>
  <c r="B1845" i="14"/>
  <c r="A1845" i="14"/>
  <c r="B1844" i="14"/>
  <c r="A1844" i="14"/>
  <c r="B1843" i="14"/>
  <c r="A1843" i="14"/>
  <c r="B1842" i="14"/>
  <c r="A1842" i="14"/>
  <c r="B1841" i="14"/>
  <c r="A1841" i="14"/>
  <c r="B1840" i="14"/>
  <c r="A1840" i="14"/>
  <c r="B1839" i="14"/>
  <c r="A1839" i="14"/>
  <c r="B1838" i="14"/>
  <c r="A1838" i="14"/>
  <c r="B1837" i="14"/>
  <c r="A1837" i="14"/>
  <c r="B1836" i="14"/>
  <c r="A1836" i="14"/>
  <c r="B1835" i="14"/>
  <c r="A1835" i="14"/>
  <c r="B1834" i="14"/>
  <c r="A1834" i="14"/>
  <c r="B1833" i="14"/>
  <c r="A1833" i="14"/>
  <c r="B1832" i="14"/>
  <c r="A1832" i="14"/>
  <c r="B1831" i="14"/>
  <c r="A1831" i="14"/>
  <c r="B1830" i="14"/>
  <c r="A1830" i="14"/>
  <c r="B1829" i="14"/>
  <c r="A1829" i="14"/>
  <c r="B1828" i="14"/>
  <c r="A1828" i="14"/>
  <c r="B1827" i="14"/>
  <c r="A1827" i="14"/>
  <c r="B1826" i="14"/>
  <c r="A1826" i="14"/>
  <c r="B1825" i="14"/>
  <c r="A1825" i="14"/>
  <c r="B1824" i="14"/>
  <c r="A1824" i="14"/>
  <c r="B1823" i="14"/>
  <c r="A1823" i="14"/>
  <c r="B1822" i="14"/>
  <c r="A1822" i="14"/>
  <c r="B1821" i="14"/>
  <c r="A1821" i="14"/>
  <c r="B1820" i="14"/>
  <c r="A1820" i="14"/>
  <c r="B1819" i="14"/>
  <c r="A1819" i="14"/>
  <c r="B1818" i="14"/>
  <c r="A1818" i="14"/>
  <c r="B1817" i="14"/>
  <c r="A1817" i="14"/>
  <c r="B1816" i="14"/>
  <c r="A1816" i="14"/>
  <c r="B1815" i="14"/>
  <c r="A1815" i="14"/>
  <c r="B1814" i="14"/>
  <c r="A1814" i="14"/>
  <c r="B1813" i="14"/>
  <c r="A1813" i="14"/>
  <c r="B1812" i="14"/>
  <c r="A1812" i="14"/>
  <c r="B1811" i="14"/>
  <c r="A1811" i="14"/>
  <c r="B1810" i="14"/>
  <c r="A1810" i="14"/>
  <c r="B1809" i="14"/>
  <c r="A1809" i="14"/>
  <c r="B1808" i="14"/>
  <c r="A1808" i="14"/>
  <c r="B1807" i="14"/>
  <c r="A1807" i="14"/>
  <c r="B1806" i="14"/>
  <c r="A1806" i="14"/>
  <c r="B1805" i="14"/>
  <c r="A1805" i="14"/>
  <c r="B1804" i="14"/>
  <c r="A1804" i="14"/>
  <c r="B1803" i="14"/>
  <c r="A1803" i="14"/>
  <c r="B1802" i="14"/>
  <c r="A1802" i="14"/>
  <c r="B1801" i="14"/>
  <c r="A1801" i="14"/>
  <c r="B1800" i="14"/>
  <c r="A1800" i="14"/>
  <c r="B1799" i="14"/>
  <c r="A1799" i="14"/>
  <c r="B1798" i="14"/>
  <c r="A1798" i="14"/>
  <c r="B1797" i="14"/>
  <c r="A1797" i="14"/>
  <c r="B1796" i="14"/>
  <c r="A1796" i="14"/>
  <c r="B1795" i="14"/>
  <c r="A1795" i="14"/>
  <c r="B1794" i="14"/>
  <c r="A1794" i="14"/>
  <c r="B1793" i="14"/>
  <c r="A1793" i="14"/>
  <c r="B1792" i="14"/>
  <c r="A1792" i="14"/>
  <c r="B1791" i="14"/>
  <c r="A1791" i="14"/>
  <c r="B1790" i="14"/>
  <c r="A1790" i="14"/>
  <c r="B1789" i="14"/>
  <c r="A1789" i="14"/>
  <c r="B1788" i="14"/>
  <c r="A1788" i="14"/>
  <c r="B1787" i="14"/>
  <c r="A1787" i="14"/>
  <c r="B1786" i="14"/>
  <c r="A1786" i="14"/>
  <c r="B1785" i="14"/>
  <c r="A1785" i="14"/>
  <c r="B1784" i="14"/>
  <c r="A1784" i="14"/>
  <c r="B1783" i="14"/>
  <c r="A1783" i="14"/>
  <c r="B1782" i="14"/>
  <c r="A1782" i="14"/>
  <c r="B1781" i="14"/>
  <c r="A1781" i="14"/>
  <c r="B1780" i="14"/>
  <c r="A1780" i="14"/>
  <c r="B1779" i="14"/>
  <c r="A1779" i="14"/>
  <c r="B1778" i="14"/>
  <c r="A1778" i="14"/>
  <c r="B1777" i="14"/>
  <c r="A1777" i="14"/>
  <c r="B1776" i="14"/>
  <c r="A1776" i="14"/>
  <c r="B1775" i="14"/>
  <c r="A1775" i="14"/>
  <c r="B1774" i="14"/>
  <c r="A1774" i="14"/>
  <c r="B1773" i="14"/>
  <c r="A1773" i="14"/>
  <c r="B1772" i="14"/>
  <c r="A1772" i="14"/>
  <c r="B1771" i="14"/>
  <c r="A1771" i="14"/>
  <c r="B1770" i="14"/>
  <c r="A1770" i="14"/>
  <c r="B1769" i="14"/>
  <c r="A1769" i="14"/>
  <c r="B1768" i="14"/>
  <c r="A1768" i="14"/>
  <c r="B1767" i="14"/>
  <c r="A1767" i="14"/>
  <c r="B1766" i="14"/>
  <c r="A1766" i="14"/>
  <c r="B1765" i="14"/>
  <c r="A1765" i="14"/>
  <c r="B1764" i="14"/>
  <c r="A1764" i="14"/>
  <c r="B1763" i="14"/>
  <c r="A1763" i="14"/>
  <c r="B1762" i="14"/>
  <c r="A1762" i="14"/>
  <c r="B1761" i="14"/>
  <c r="A1761" i="14"/>
  <c r="B1760" i="14"/>
  <c r="A1760" i="14"/>
  <c r="B1759" i="14"/>
  <c r="A1759" i="14"/>
  <c r="B1758" i="14"/>
  <c r="A1758" i="14"/>
  <c r="B1757" i="14"/>
  <c r="A1757" i="14"/>
  <c r="B1756" i="14"/>
  <c r="A1756" i="14"/>
  <c r="B1755" i="14"/>
  <c r="A1755" i="14"/>
  <c r="B1754" i="14"/>
  <c r="A1754" i="14"/>
  <c r="B1753" i="14"/>
  <c r="A1753" i="14"/>
  <c r="B1752" i="14"/>
  <c r="A1752" i="14"/>
  <c r="B1751" i="14"/>
  <c r="A1751" i="14"/>
  <c r="B1750" i="14"/>
  <c r="A1750" i="14"/>
  <c r="B1749" i="14"/>
  <c r="A1749" i="14"/>
  <c r="B1748" i="14"/>
  <c r="A1748" i="14"/>
  <c r="B1747" i="14"/>
  <c r="A1747" i="14"/>
  <c r="B1746" i="14"/>
  <c r="A1746" i="14"/>
  <c r="B1745" i="14"/>
  <c r="A1745" i="14"/>
  <c r="B1744" i="14"/>
  <c r="A1744" i="14"/>
  <c r="B1743" i="14"/>
  <c r="A1743" i="14"/>
  <c r="B1742" i="14"/>
  <c r="A1742" i="14"/>
  <c r="B1741" i="14"/>
  <c r="A1741" i="14"/>
  <c r="B1740" i="14"/>
  <c r="A1740" i="14"/>
  <c r="B1739" i="14"/>
  <c r="A1739" i="14"/>
  <c r="B1738" i="14"/>
  <c r="A1738" i="14"/>
  <c r="B1737" i="14"/>
  <c r="A1737" i="14"/>
  <c r="B1736" i="14"/>
  <c r="A1736" i="14"/>
  <c r="B1735" i="14"/>
  <c r="A1735" i="14"/>
  <c r="B1734" i="14"/>
  <c r="A1734" i="14"/>
  <c r="B1733" i="14"/>
  <c r="A1733" i="14"/>
  <c r="B1732" i="14"/>
  <c r="A1732" i="14"/>
  <c r="B1731" i="14"/>
  <c r="A1731" i="14"/>
  <c r="B1730" i="14"/>
  <c r="A1730" i="14"/>
  <c r="B1729" i="14"/>
  <c r="A1729" i="14"/>
  <c r="B1728" i="14"/>
  <c r="A1728" i="14"/>
  <c r="B1727" i="14"/>
  <c r="A1727" i="14"/>
  <c r="B1726" i="14"/>
  <c r="A1726" i="14"/>
  <c r="B1725" i="14"/>
  <c r="A1725" i="14"/>
  <c r="B1724" i="14"/>
  <c r="A1724" i="14"/>
  <c r="B1723" i="14"/>
  <c r="A1723" i="14"/>
  <c r="B1722" i="14"/>
  <c r="A1722" i="14"/>
  <c r="B1721" i="14"/>
  <c r="A1721" i="14"/>
  <c r="B1720" i="14"/>
  <c r="A1720" i="14"/>
  <c r="B1719" i="14"/>
  <c r="A1719" i="14"/>
  <c r="B1718" i="14"/>
  <c r="A1718" i="14"/>
  <c r="B1717" i="14"/>
  <c r="A1717" i="14"/>
  <c r="B1716" i="14"/>
  <c r="A1716" i="14"/>
  <c r="B1715" i="14"/>
  <c r="A1715" i="14"/>
  <c r="B1714" i="14"/>
  <c r="A1714" i="14"/>
  <c r="B1713" i="14"/>
  <c r="A1713" i="14"/>
  <c r="B1712" i="14"/>
  <c r="A1712" i="14"/>
  <c r="B1711" i="14"/>
  <c r="A1711" i="14"/>
  <c r="B1710" i="14"/>
  <c r="A1710" i="14"/>
  <c r="B1709" i="14"/>
  <c r="A1709" i="14"/>
  <c r="B1708" i="14"/>
  <c r="A1708" i="14"/>
  <c r="B1707" i="14"/>
  <c r="A1707" i="14"/>
  <c r="B1706" i="14"/>
  <c r="A1706" i="14"/>
  <c r="B1705" i="14"/>
  <c r="A1705" i="14"/>
  <c r="B1704" i="14"/>
  <c r="A1704" i="14"/>
  <c r="B1703" i="14"/>
  <c r="A1703" i="14"/>
  <c r="B1702" i="14"/>
  <c r="A1702" i="14"/>
  <c r="B1701" i="14"/>
  <c r="A1701" i="14"/>
  <c r="B1700" i="14"/>
  <c r="A1700" i="14"/>
  <c r="B1699" i="14"/>
  <c r="A1699" i="14"/>
  <c r="B1698" i="14"/>
  <c r="A1698" i="14"/>
  <c r="B1697" i="14"/>
  <c r="A1697" i="14"/>
  <c r="B1696" i="14"/>
  <c r="A1696" i="14"/>
  <c r="B1695" i="14"/>
  <c r="A1695" i="14"/>
  <c r="B1694" i="14"/>
  <c r="A1694" i="14"/>
  <c r="B1693" i="14"/>
  <c r="A1693" i="14"/>
  <c r="B1692" i="14"/>
  <c r="A1692" i="14"/>
  <c r="B1691" i="14"/>
  <c r="A1691" i="14"/>
  <c r="B1690" i="14"/>
  <c r="A1690" i="14"/>
  <c r="B1689" i="14"/>
  <c r="A1689" i="14"/>
  <c r="B1688" i="14"/>
  <c r="A1688" i="14"/>
  <c r="B1687" i="14"/>
  <c r="A1687" i="14"/>
  <c r="B1686" i="14"/>
  <c r="A1686" i="14"/>
  <c r="B1685" i="14"/>
  <c r="A1685" i="14"/>
  <c r="B1684" i="14"/>
  <c r="A1684" i="14"/>
  <c r="B1683" i="14"/>
  <c r="A1683" i="14"/>
  <c r="B1682" i="14"/>
  <c r="A1682" i="14"/>
  <c r="B1681" i="14"/>
  <c r="A1681" i="14"/>
  <c r="B1680" i="14"/>
  <c r="A1680" i="14"/>
  <c r="B1679" i="14"/>
  <c r="A1679" i="14"/>
  <c r="B1678" i="14"/>
  <c r="A1678" i="14"/>
  <c r="B1677" i="14"/>
  <c r="A1677" i="14"/>
  <c r="B1676" i="14"/>
  <c r="A1676" i="14"/>
  <c r="B1675" i="14"/>
  <c r="A1675" i="14"/>
  <c r="B1674" i="14"/>
  <c r="A1674" i="14"/>
  <c r="B1673" i="14"/>
  <c r="A1673" i="14"/>
  <c r="B1672" i="14"/>
  <c r="A1672" i="14"/>
  <c r="B1671" i="14"/>
  <c r="A1671" i="14"/>
  <c r="B1670" i="14"/>
  <c r="A1670" i="14"/>
  <c r="B1669" i="14"/>
  <c r="A1669" i="14"/>
  <c r="B1668" i="14"/>
  <c r="A1668" i="14"/>
  <c r="B1667" i="14"/>
  <c r="A1667" i="14"/>
  <c r="B1666" i="14"/>
  <c r="A1666" i="14"/>
  <c r="B1665" i="14"/>
  <c r="A1665" i="14"/>
  <c r="B1664" i="14"/>
  <c r="A1664" i="14"/>
  <c r="B1663" i="14"/>
  <c r="A1663" i="14"/>
  <c r="B1662" i="14"/>
  <c r="A1662" i="14"/>
  <c r="B1661" i="14"/>
  <c r="A1661" i="14"/>
  <c r="B1660" i="14"/>
  <c r="A1660" i="14"/>
  <c r="B1659" i="14"/>
  <c r="A1659" i="14"/>
  <c r="B1658" i="14"/>
  <c r="A1658" i="14"/>
  <c r="B1657" i="14"/>
  <c r="A1657" i="14"/>
  <c r="B1656" i="14"/>
  <c r="A1656" i="14"/>
  <c r="B1655" i="14"/>
  <c r="A1655" i="14"/>
  <c r="B1654" i="14"/>
  <c r="A1654" i="14"/>
  <c r="B1653" i="14"/>
  <c r="A1653" i="14"/>
  <c r="B1652" i="14"/>
  <c r="A1652" i="14"/>
  <c r="B1651" i="14"/>
  <c r="A1651" i="14"/>
  <c r="B1650" i="14"/>
  <c r="A1650" i="14"/>
  <c r="B1649" i="14"/>
  <c r="A1649" i="14"/>
  <c r="B1648" i="14"/>
  <c r="A1648" i="14"/>
  <c r="B1647" i="14"/>
  <c r="A1647" i="14"/>
  <c r="B1646" i="14"/>
  <c r="A1646" i="14"/>
  <c r="B1645" i="14"/>
  <c r="A1645" i="14"/>
  <c r="B1644" i="14"/>
  <c r="A1644" i="14"/>
  <c r="B1643" i="14"/>
  <c r="A1643" i="14"/>
  <c r="B1642" i="14"/>
  <c r="A1642" i="14"/>
  <c r="B1641" i="14"/>
  <c r="A1641" i="14"/>
  <c r="B1640" i="14"/>
  <c r="A1640" i="14"/>
  <c r="B1639" i="14"/>
  <c r="A1639" i="14"/>
  <c r="B1638" i="14"/>
  <c r="A1638" i="14"/>
  <c r="B1637" i="14"/>
  <c r="A1637" i="14"/>
  <c r="B1636" i="14"/>
  <c r="A1636" i="14"/>
  <c r="B1635" i="14"/>
  <c r="A1635" i="14"/>
  <c r="B1634" i="14"/>
  <c r="A1634" i="14"/>
  <c r="B1633" i="14"/>
  <c r="A1633" i="14"/>
  <c r="B1632" i="14"/>
  <c r="A1632" i="14"/>
  <c r="B1631" i="14"/>
  <c r="A1631" i="14"/>
  <c r="B1630" i="14"/>
  <c r="A1630" i="14"/>
  <c r="B1629" i="14"/>
  <c r="A1629" i="14"/>
  <c r="B1628" i="14"/>
  <c r="A1628" i="14"/>
  <c r="B1627" i="14"/>
  <c r="A1627" i="14"/>
  <c r="B1626" i="14"/>
  <c r="A1626" i="14"/>
  <c r="B1625" i="14"/>
  <c r="A1625" i="14"/>
  <c r="B1624" i="14"/>
  <c r="A1624" i="14"/>
  <c r="B1623" i="14"/>
  <c r="A1623" i="14"/>
  <c r="B1622" i="14"/>
  <c r="A1622" i="14"/>
  <c r="B1621" i="14"/>
  <c r="A1621" i="14"/>
  <c r="B1620" i="14"/>
  <c r="A1620" i="14"/>
  <c r="B1619" i="14"/>
  <c r="A1619" i="14"/>
  <c r="B1618" i="14"/>
  <c r="A1618" i="14"/>
  <c r="B1617" i="14"/>
  <c r="A1617" i="14"/>
  <c r="B1616" i="14"/>
  <c r="A1616" i="14"/>
  <c r="B1615" i="14"/>
  <c r="A1615" i="14"/>
  <c r="B1614" i="14"/>
  <c r="A1614" i="14"/>
  <c r="B1613" i="14"/>
  <c r="A1613" i="14"/>
  <c r="B1612" i="14"/>
  <c r="A1612" i="14"/>
  <c r="B1611" i="14"/>
  <c r="A1611" i="14"/>
  <c r="B1610" i="14"/>
  <c r="A1610" i="14"/>
  <c r="B1609" i="14"/>
  <c r="A1609" i="14"/>
  <c r="B1608" i="14"/>
  <c r="A1608" i="14"/>
  <c r="B1607" i="14"/>
  <c r="A1607" i="14"/>
  <c r="B1606" i="14"/>
  <c r="A1606" i="14"/>
  <c r="B1605" i="14"/>
  <c r="A1605" i="14"/>
  <c r="B1604" i="14"/>
  <c r="A1604" i="14"/>
  <c r="B1603" i="14"/>
  <c r="A1603" i="14"/>
  <c r="B1602" i="14"/>
  <c r="A1602" i="14"/>
  <c r="B1601" i="14"/>
  <c r="A1601" i="14"/>
  <c r="B1600" i="14"/>
  <c r="A1600" i="14"/>
  <c r="B1599" i="14"/>
  <c r="A1599" i="14"/>
  <c r="B1598" i="14"/>
  <c r="A1598" i="14"/>
  <c r="B1597" i="14"/>
  <c r="A1597" i="14"/>
  <c r="B1596" i="14"/>
  <c r="A1596" i="14"/>
  <c r="B1595" i="14"/>
  <c r="A1595" i="14"/>
  <c r="B1594" i="14"/>
  <c r="A1594" i="14"/>
  <c r="B1593" i="14"/>
  <c r="A1593" i="14"/>
  <c r="B1592" i="14"/>
  <c r="A1592" i="14"/>
  <c r="B1591" i="14"/>
  <c r="A1591" i="14"/>
  <c r="B1590" i="14"/>
  <c r="A1590" i="14"/>
  <c r="B1589" i="14"/>
  <c r="A1589" i="14"/>
  <c r="B1588" i="14"/>
  <c r="A1588" i="14"/>
  <c r="B1587" i="14"/>
  <c r="A1587" i="14"/>
  <c r="B1586" i="14"/>
  <c r="A1586" i="14"/>
  <c r="B1585" i="14"/>
  <c r="A1585" i="14"/>
  <c r="B1584" i="14"/>
  <c r="A1584" i="14"/>
  <c r="B1583" i="14"/>
  <c r="A1583" i="14"/>
  <c r="B1582" i="14"/>
  <c r="A1582" i="14"/>
  <c r="B1581" i="14"/>
  <c r="A1581" i="14"/>
  <c r="B1580" i="14"/>
  <c r="A1580" i="14"/>
  <c r="B1579" i="14"/>
  <c r="A1579" i="14"/>
  <c r="B1578" i="14"/>
  <c r="A1578" i="14"/>
  <c r="B1577" i="14"/>
  <c r="A1577" i="14"/>
  <c r="B1576" i="14"/>
  <c r="A1576" i="14"/>
  <c r="B1575" i="14"/>
  <c r="A1575" i="14"/>
  <c r="B1574" i="14"/>
  <c r="A1574" i="14"/>
  <c r="B1573" i="14"/>
  <c r="A1573" i="14"/>
  <c r="B1572" i="14"/>
  <c r="A1572" i="14"/>
  <c r="B1571" i="14"/>
  <c r="A1571" i="14"/>
  <c r="B1570" i="14"/>
  <c r="A1570" i="14"/>
  <c r="B1569" i="14"/>
  <c r="A1569" i="14"/>
  <c r="B1568" i="14"/>
  <c r="A1568" i="14"/>
  <c r="B1567" i="14"/>
  <c r="A1567" i="14"/>
  <c r="B1566" i="14"/>
  <c r="A1566" i="14"/>
  <c r="B1565" i="14"/>
  <c r="A1565" i="14"/>
  <c r="B1564" i="14"/>
  <c r="A1564" i="14"/>
  <c r="B1563" i="14"/>
  <c r="A1563" i="14"/>
  <c r="B1562" i="14"/>
  <c r="A1562" i="14"/>
  <c r="B1561" i="14"/>
  <c r="A1561" i="14"/>
  <c r="B1560" i="14"/>
  <c r="A1560" i="14"/>
  <c r="B1559" i="14"/>
  <c r="A1559" i="14"/>
  <c r="B1558" i="14"/>
  <c r="A1558" i="14"/>
  <c r="B1557" i="14"/>
  <c r="A1557" i="14"/>
  <c r="B1556" i="14"/>
  <c r="A1556" i="14"/>
  <c r="B1555" i="14"/>
  <c r="A1555" i="14"/>
  <c r="B1554" i="14"/>
  <c r="A1554" i="14"/>
  <c r="B1553" i="14"/>
  <c r="A1553" i="14"/>
  <c r="B1552" i="14"/>
  <c r="A1552" i="14"/>
  <c r="B1551" i="14"/>
  <c r="A1551" i="14"/>
  <c r="B1550" i="14"/>
  <c r="A1550" i="14"/>
  <c r="B1549" i="14"/>
  <c r="A1549" i="14"/>
  <c r="B1548" i="14"/>
  <c r="A1548" i="14"/>
  <c r="B1547" i="14"/>
  <c r="A1547" i="14"/>
  <c r="B1546" i="14"/>
  <c r="A1546" i="14"/>
  <c r="B1545" i="14"/>
  <c r="A1545" i="14"/>
  <c r="B1544" i="14"/>
  <c r="A1544" i="14"/>
  <c r="B1543" i="14"/>
  <c r="A1543" i="14"/>
  <c r="B1542" i="14"/>
  <c r="A1542" i="14"/>
  <c r="B1541" i="14"/>
  <c r="A1541" i="14"/>
  <c r="B1540" i="14"/>
  <c r="A1540" i="14"/>
  <c r="B1539" i="14"/>
  <c r="A1539" i="14"/>
  <c r="B1538" i="14"/>
  <c r="A1538" i="14"/>
  <c r="B1537" i="14"/>
  <c r="A1537" i="14"/>
  <c r="B1536" i="14"/>
  <c r="A1536" i="14"/>
  <c r="B1535" i="14"/>
  <c r="A1535" i="14"/>
  <c r="B1534" i="14"/>
  <c r="A1534" i="14"/>
  <c r="B1533" i="14"/>
  <c r="A1533" i="14"/>
  <c r="B1532" i="14"/>
  <c r="A1532" i="14"/>
  <c r="B1531" i="14"/>
  <c r="A1531" i="14"/>
  <c r="B1530" i="14"/>
  <c r="A1530" i="14"/>
  <c r="B1529" i="14"/>
  <c r="A1529" i="14"/>
  <c r="B1528" i="14"/>
  <c r="A1528" i="14"/>
  <c r="B1527" i="14"/>
  <c r="A1527" i="14"/>
  <c r="B1526" i="14"/>
  <c r="A1526" i="14"/>
  <c r="B1525" i="14"/>
  <c r="A1525" i="14"/>
  <c r="B1524" i="14"/>
  <c r="A1524" i="14"/>
  <c r="B1523" i="14"/>
  <c r="A1523" i="14"/>
  <c r="B1522" i="14"/>
  <c r="A1522" i="14"/>
  <c r="B1521" i="14"/>
  <c r="A1521" i="14"/>
  <c r="B1520" i="14"/>
  <c r="A1520" i="14"/>
  <c r="B1519" i="14"/>
  <c r="A1519" i="14"/>
  <c r="B1518" i="14"/>
  <c r="A1518" i="14"/>
  <c r="B1517" i="14"/>
  <c r="A1517" i="14"/>
  <c r="B1516" i="14"/>
  <c r="A1516" i="14"/>
  <c r="B1515" i="14"/>
  <c r="A1515" i="14"/>
  <c r="B1514" i="14"/>
  <c r="A1514" i="14"/>
  <c r="B1513" i="14"/>
  <c r="A1513" i="14"/>
  <c r="B1512" i="14"/>
  <c r="A1512" i="14"/>
  <c r="B1511" i="14"/>
  <c r="A1511" i="14"/>
  <c r="B1510" i="14"/>
  <c r="A1510" i="14"/>
  <c r="B1509" i="14"/>
  <c r="A1509" i="14"/>
  <c r="B1508" i="14"/>
  <c r="A1508" i="14"/>
  <c r="B1507" i="14"/>
  <c r="A1507" i="14"/>
  <c r="B1506" i="14"/>
  <c r="A1506" i="14"/>
  <c r="B1505" i="14"/>
  <c r="A1505" i="14"/>
  <c r="B1504" i="14"/>
  <c r="A1504" i="14"/>
  <c r="B1503" i="14"/>
  <c r="A1503" i="14"/>
  <c r="B1502" i="14"/>
  <c r="A1502" i="14"/>
  <c r="B1501" i="14"/>
  <c r="A1501" i="14"/>
  <c r="B1500" i="14"/>
  <c r="A1500" i="14"/>
  <c r="B1499" i="14"/>
  <c r="A1499" i="14"/>
  <c r="B1498" i="14"/>
  <c r="A1498" i="14"/>
  <c r="B1497" i="14"/>
  <c r="A1497" i="14"/>
  <c r="B1496" i="14"/>
  <c r="A1496" i="14"/>
  <c r="B1495" i="14"/>
  <c r="A1495" i="14"/>
  <c r="B1494" i="14"/>
  <c r="A1494" i="14"/>
  <c r="B1493" i="14"/>
  <c r="A1493" i="14"/>
  <c r="B1492" i="14"/>
  <c r="A1492" i="14"/>
  <c r="B1491" i="14"/>
  <c r="A1491" i="14"/>
  <c r="B1490" i="14"/>
  <c r="A1490" i="14"/>
  <c r="B1489" i="14"/>
  <c r="A1489" i="14"/>
  <c r="B1488" i="14"/>
  <c r="A1488" i="14"/>
  <c r="B1487" i="14"/>
  <c r="A1487" i="14"/>
  <c r="B1486" i="14"/>
  <c r="A1486" i="14"/>
  <c r="B1485" i="14"/>
  <c r="A1485" i="14"/>
  <c r="B1484" i="14"/>
  <c r="A1484" i="14"/>
  <c r="B1483" i="14"/>
  <c r="A1483" i="14"/>
  <c r="B1482" i="14"/>
  <c r="A1482" i="14"/>
  <c r="B1481" i="14"/>
  <c r="A1481" i="14"/>
  <c r="B1480" i="14"/>
  <c r="A1480" i="14"/>
  <c r="B1479" i="14"/>
  <c r="A1479" i="14"/>
  <c r="B1478" i="14"/>
  <c r="A1478" i="14"/>
  <c r="B1477" i="14"/>
  <c r="A1477" i="14"/>
  <c r="B1476" i="14"/>
  <c r="A1476" i="14"/>
  <c r="B1475" i="14"/>
  <c r="A1475" i="14"/>
  <c r="B1474" i="14"/>
  <c r="A1474" i="14"/>
  <c r="B1473" i="14"/>
  <c r="A1473" i="14"/>
  <c r="B1472" i="14"/>
  <c r="A1472" i="14"/>
  <c r="B1471" i="14"/>
  <c r="A1471" i="14"/>
  <c r="B1470" i="14"/>
  <c r="A1470" i="14"/>
  <c r="B1469" i="14"/>
  <c r="A1469" i="14"/>
  <c r="B1468" i="14"/>
  <c r="A1468" i="14"/>
  <c r="B1467" i="14"/>
  <c r="A1467" i="14"/>
  <c r="B1466" i="14"/>
  <c r="A1466" i="14"/>
  <c r="B1465" i="14"/>
  <c r="A1465" i="14"/>
  <c r="B1464" i="14"/>
  <c r="A1464" i="14"/>
  <c r="B1463" i="14"/>
  <c r="A1463" i="14"/>
  <c r="B1462" i="14"/>
  <c r="A1462" i="14"/>
  <c r="B1461" i="14"/>
  <c r="A1461" i="14"/>
  <c r="B1460" i="14"/>
  <c r="A1460" i="14"/>
  <c r="B1459" i="14"/>
  <c r="A1459" i="14"/>
  <c r="B1458" i="14"/>
  <c r="A1458" i="14"/>
  <c r="B1457" i="14"/>
  <c r="A1457" i="14"/>
  <c r="B1456" i="14"/>
  <c r="A1456" i="14"/>
  <c r="B1455" i="14"/>
  <c r="A1455" i="14"/>
  <c r="B1454" i="14"/>
  <c r="A1454" i="14"/>
  <c r="B1453" i="14"/>
  <c r="A1453" i="14"/>
  <c r="B1452" i="14"/>
  <c r="A1452" i="14"/>
  <c r="B1451" i="14"/>
  <c r="A1451" i="14"/>
  <c r="B1450" i="14"/>
  <c r="A1450" i="14"/>
  <c r="B1449" i="14"/>
  <c r="A1449" i="14"/>
  <c r="B1448" i="14"/>
  <c r="A1448" i="14"/>
  <c r="B1447" i="14"/>
  <c r="A1447" i="14"/>
  <c r="B1446" i="14"/>
  <c r="A1446" i="14"/>
  <c r="B1445" i="14"/>
  <c r="A1445" i="14"/>
  <c r="B1444" i="14"/>
  <c r="A1444" i="14"/>
  <c r="B1443" i="14"/>
  <c r="A1443" i="14"/>
  <c r="B1442" i="14"/>
  <c r="A1442" i="14"/>
  <c r="B1441" i="14"/>
  <c r="A1441" i="14"/>
  <c r="B1440" i="14"/>
  <c r="A1440" i="14"/>
  <c r="B1439" i="14"/>
  <c r="A1439" i="14"/>
  <c r="B1438" i="14"/>
  <c r="A1438" i="14"/>
  <c r="B1437" i="14"/>
  <c r="A1437" i="14"/>
  <c r="B1436" i="14"/>
  <c r="A1436" i="14"/>
  <c r="B1435" i="14"/>
  <c r="A1435" i="14"/>
  <c r="B1434" i="14"/>
  <c r="A1434" i="14"/>
  <c r="B1433" i="14"/>
  <c r="A1433" i="14"/>
  <c r="B1432" i="14"/>
  <c r="A1432" i="14"/>
  <c r="B1431" i="14"/>
  <c r="A1431" i="14"/>
  <c r="B1430" i="14"/>
  <c r="A1430" i="14"/>
  <c r="B1429" i="14"/>
  <c r="A1429" i="14"/>
  <c r="B1428" i="14"/>
  <c r="A1428" i="14"/>
  <c r="B1427" i="14"/>
  <c r="A1427" i="14"/>
  <c r="B1426" i="14"/>
  <c r="A1426" i="14"/>
  <c r="B1425" i="14"/>
  <c r="A1425" i="14"/>
  <c r="B1424" i="14"/>
  <c r="A1424" i="14"/>
  <c r="B1423" i="14"/>
  <c r="A1423" i="14"/>
  <c r="B1422" i="14"/>
  <c r="A1422" i="14"/>
  <c r="B1421" i="14"/>
  <c r="A1421" i="14"/>
  <c r="B1420" i="14"/>
  <c r="A1420" i="14"/>
  <c r="B1419" i="14"/>
  <c r="A1419" i="14"/>
  <c r="B1418" i="14"/>
  <c r="A1418" i="14"/>
  <c r="B1417" i="14"/>
  <c r="A1417" i="14"/>
  <c r="B1416" i="14"/>
  <c r="A1416" i="14"/>
  <c r="B1415" i="14"/>
  <c r="A1415" i="14"/>
  <c r="B1414" i="14"/>
  <c r="A1414" i="14"/>
  <c r="B1413" i="14"/>
  <c r="A1413" i="14"/>
  <c r="B1412" i="14"/>
  <c r="A1412" i="14"/>
  <c r="B1411" i="14"/>
  <c r="A1411" i="14"/>
  <c r="B1410" i="14"/>
  <c r="A1410" i="14"/>
  <c r="B1409" i="14"/>
  <c r="A1409" i="14"/>
  <c r="B1408" i="14"/>
  <c r="A1408" i="14"/>
  <c r="B1407" i="14"/>
  <c r="A1407" i="14"/>
  <c r="B1406" i="14"/>
  <c r="A1406" i="14"/>
  <c r="B1405" i="14"/>
  <c r="A1405" i="14"/>
  <c r="B1404" i="14"/>
  <c r="A1404" i="14"/>
  <c r="B1403" i="14"/>
  <c r="A1403" i="14"/>
  <c r="B1402" i="14"/>
  <c r="A1402" i="14"/>
  <c r="B1401" i="14"/>
  <c r="A1401" i="14"/>
  <c r="B1400" i="14"/>
  <c r="A1400" i="14"/>
  <c r="B1399" i="14"/>
  <c r="A1399" i="14"/>
  <c r="B1398" i="14"/>
  <c r="A1398" i="14"/>
  <c r="B1397" i="14"/>
  <c r="A1397" i="14"/>
  <c r="B1396" i="14"/>
  <c r="A1396" i="14"/>
  <c r="B1395" i="14"/>
  <c r="A1395" i="14"/>
  <c r="B1394" i="14"/>
  <c r="A1394" i="14"/>
  <c r="B1393" i="14"/>
  <c r="A1393" i="14"/>
  <c r="B1392" i="14"/>
  <c r="A1392" i="14"/>
  <c r="B1391" i="14"/>
  <c r="A1391" i="14"/>
  <c r="B1390" i="14"/>
  <c r="A1390" i="14"/>
  <c r="B1389" i="14"/>
  <c r="A1389" i="14"/>
  <c r="B1388" i="14"/>
  <c r="A1388" i="14"/>
  <c r="B1387" i="14"/>
  <c r="A1387" i="14"/>
  <c r="B1386" i="14"/>
  <c r="A1386" i="14"/>
  <c r="B1385" i="14"/>
  <c r="A1385" i="14"/>
  <c r="B1384" i="14"/>
  <c r="A1384" i="14"/>
  <c r="B1383" i="14"/>
  <c r="A1383" i="14"/>
  <c r="B1382" i="14"/>
  <c r="A1382" i="14"/>
  <c r="B1381" i="14"/>
  <c r="A1381" i="14"/>
  <c r="B1380" i="14"/>
  <c r="A1380" i="14"/>
  <c r="B1379" i="14"/>
  <c r="A1379" i="14"/>
  <c r="B1378" i="14"/>
  <c r="A1378" i="14"/>
  <c r="B1377" i="14"/>
  <c r="A1377" i="14"/>
  <c r="B1376" i="14"/>
  <c r="A1376" i="14"/>
  <c r="B1375" i="14"/>
  <c r="A1375" i="14"/>
  <c r="B1374" i="14"/>
  <c r="A1374" i="14"/>
  <c r="B1373" i="14"/>
  <c r="A1373" i="14"/>
  <c r="B1372" i="14"/>
  <c r="A1372" i="14"/>
  <c r="B1371" i="14"/>
  <c r="A1371" i="14"/>
  <c r="B1370" i="14"/>
  <c r="A1370" i="14"/>
  <c r="B1369" i="14"/>
  <c r="A1369" i="14"/>
  <c r="B1368" i="14"/>
  <c r="A1368" i="14"/>
  <c r="B1367" i="14"/>
  <c r="A1367" i="14"/>
  <c r="B1366" i="14"/>
  <c r="A1366" i="14"/>
  <c r="B1365" i="14"/>
  <c r="A1365" i="14"/>
  <c r="B1364" i="14"/>
  <c r="A1364" i="14"/>
  <c r="B1363" i="14"/>
  <c r="A1363" i="14"/>
  <c r="B1362" i="14"/>
  <c r="A1362" i="14"/>
  <c r="B1361" i="14"/>
  <c r="A1361" i="14"/>
  <c r="B1360" i="14"/>
  <c r="A1360" i="14"/>
  <c r="B1359" i="14"/>
  <c r="A1359" i="14"/>
  <c r="B1358" i="14"/>
  <c r="A1358" i="14"/>
  <c r="B1357" i="14"/>
  <c r="A1357" i="14"/>
  <c r="B1356" i="14"/>
  <c r="A1356" i="14"/>
  <c r="B1355" i="14"/>
  <c r="A1355" i="14"/>
  <c r="B1354" i="14"/>
  <c r="A1354" i="14"/>
  <c r="B1353" i="14"/>
  <c r="A1353" i="14"/>
  <c r="B1352" i="14"/>
  <c r="A1352" i="14"/>
  <c r="B1351" i="14"/>
  <c r="A1351" i="14"/>
  <c r="B1350" i="14"/>
  <c r="A1350" i="14"/>
  <c r="B1349" i="14"/>
  <c r="A1349" i="14"/>
  <c r="B1348" i="14"/>
  <c r="A1348" i="14"/>
  <c r="B1347" i="14"/>
  <c r="A1347" i="14"/>
  <c r="B1346" i="14"/>
  <c r="A1346" i="14"/>
  <c r="B1345" i="14"/>
  <c r="A1345" i="14"/>
  <c r="B1344" i="14"/>
  <c r="A1344" i="14"/>
  <c r="B1343" i="14"/>
  <c r="A1343" i="14"/>
  <c r="B1342" i="14"/>
  <c r="A1342" i="14"/>
  <c r="B1341" i="14"/>
  <c r="A1341" i="14"/>
  <c r="B1340" i="14"/>
  <c r="A1340" i="14"/>
  <c r="B1339" i="14"/>
  <c r="A1339" i="14"/>
  <c r="B1338" i="14"/>
  <c r="A1338" i="14"/>
  <c r="B1337" i="14"/>
  <c r="A1337" i="14"/>
  <c r="B1336" i="14"/>
  <c r="A1336" i="14"/>
  <c r="B1335" i="14"/>
  <c r="A1335" i="14"/>
  <c r="B1334" i="14"/>
  <c r="A1334" i="14"/>
  <c r="B1333" i="14"/>
  <c r="A1333" i="14"/>
  <c r="B1332" i="14"/>
  <c r="A1332" i="14"/>
  <c r="B1331" i="14"/>
  <c r="A1331" i="14"/>
  <c r="B1330" i="14"/>
  <c r="A1330" i="14"/>
  <c r="B1329" i="14"/>
  <c r="A1329" i="14"/>
  <c r="B1328" i="14"/>
  <c r="A1328" i="14"/>
  <c r="B1327" i="14"/>
  <c r="A1327" i="14"/>
  <c r="B1326" i="14"/>
  <c r="A1326" i="14"/>
  <c r="B1325" i="14"/>
  <c r="A1325" i="14"/>
  <c r="B1324" i="14"/>
  <c r="A1324" i="14"/>
  <c r="B1323" i="14"/>
  <c r="A1323" i="14"/>
  <c r="B1322" i="14"/>
  <c r="A1322" i="14"/>
  <c r="B1321" i="14"/>
  <c r="A1321" i="14"/>
  <c r="B1320" i="14"/>
  <c r="A1320" i="14"/>
  <c r="B1319" i="14"/>
  <c r="A1319" i="14"/>
  <c r="B1318" i="14"/>
  <c r="A1318" i="14"/>
  <c r="B1317" i="14"/>
  <c r="A1317" i="14"/>
  <c r="B1316" i="14"/>
  <c r="A1316" i="14"/>
  <c r="B1315" i="14"/>
  <c r="A1315" i="14"/>
  <c r="B1314" i="14"/>
  <c r="A1314" i="14"/>
  <c r="B1313" i="14"/>
  <c r="A1313" i="14"/>
  <c r="B1312" i="14"/>
  <c r="A1312" i="14"/>
  <c r="B1311" i="14"/>
  <c r="A1311" i="14"/>
  <c r="B1310" i="14"/>
  <c r="A1310" i="14"/>
  <c r="B1309" i="14"/>
  <c r="A1309" i="14"/>
  <c r="B1308" i="14"/>
  <c r="A1308" i="14"/>
  <c r="B1307" i="14"/>
  <c r="A1307" i="14"/>
  <c r="B1306" i="14"/>
  <c r="A1306" i="14"/>
  <c r="B1305" i="14"/>
  <c r="A1305" i="14"/>
  <c r="B1304" i="14"/>
  <c r="A1304" i="14"/>
  <c r="B1303" i="14"/>
  <c r="A1303" i="14"/>
  <c r="B1302" i="14"/>
  <c r="A1302" i="14"/>
  <c r="B1301" i="14"/>
  <c r="A1301" i="14"/>
  <c r="B1300" i="14"/>
  <c r="A1300" i="14"/>
  <c r="B1299" i="14"/>
  <c r="A1299" i="14"/>
  <c r="B1298" i="14"/>
  <c r="A1298" i="14"/>
  <c r="B1297" i="14"/>
  <c r="A1297" i="14"/>
  <c r="B1296" i="14"/>
  <c r="A1296" i="14"/>
  <c r="B1295" i="14"/>
  <c r="A1295" i="14"/>
  <c r="B1294" i="14"/>
  <c r="A1294" i="14"/>
  <c r="B1293" i="14"/>
  <c r="A1293" i="14"/>
  <c r="B1292" i="14"/>
  <c r="A1292" i="14"/>
  <c r="B1291" i="14"/>
  <c r="A1291" i="14"/>
  <c r="B1290" i="14"/>
  <c r="A1290" i="14"/>
  <c r="B1289" i="14"/>
  <c r="A1289" i="14"/>
  <c r="B1288" i="14"/>
  <c r="A1288" i="14"/>
  <c r="B1287" i="14"/>
  <c r="A1287" i="14"/>
  <c r="B1286" i="14"/>
  <c r="A1286" i="14"/>
  <c r="B1285" i="14"/>
  <c r="A1285" i="14"/>
  <c r="B1284" i="14"/>
  <c r="A1284" i="14"/>
  <c r="B1283" i="14"/>
  <c r="A1283" i="14"/>
  <c r="B1282" i="14"/>
  <c r="A1282" i="14"/>
  <c r="B1281" i="14"/>
  <c r="A1281" i="14"/>
  <c r="B1280" i="14"/>
  <c r="A1280" i="14"/>
  <c r="B1279" i="14"/>
  <c r="A1279" i="14"/>
  <c r="B1278" i="14"/>
  <c r="A1278" i="14"/>
  <c r="B1277" i="14"/>
  <c r="A1277" i="14"/>
  <c r="B1276" i="14"/>
  <c r="A1276" i="14"/>
  <c r="B1275" i="14"/>
  <c r="A1275" i="14"/>
  <c r="B1274" i="14"/>
  <c r="A1274" i="14"/>
  <c r="B1273" i="14"/>
  <c r="A1273" i="14"/>
  <c r="B1272" i="14"/>
  <c r="A1272" i="14"/>
  <c r="B1271" i="14"/>
  <c r="A1271" i="14"/>
  <c r="B1270" i="14"/>
  <c r="A1270" i="14"/>
  <c r="B1269" i="14"/>
  <c r="A1269" i="14"/>
  <c r="B1268" i="14"/>
  <c r="A1268" i="14"/>
  <c r="B1267" i="14"/>
  <c r="A1267" i="14"/>
  <c r="B1266" i="14"/>
  <c r="A1266" i="14"/>
  <c r="B1265" i="14"/>
  <c r="A1265" i="14"/>
  <c r="B1264" i="14"/>
  <c r="A1264" i="14"/>
  <c r="B1263" i="14"/>
  <c r="A1263" i="14"/>
  <c r="B1262" i="14"/>
  <c r="A1262" i="14"/>
  <c r="B1261" i="14"/>
  <c r="A1261" i="14"/>
  <c r="B1260" i="14"/>
  <c r="A1260" i="14"/>
  <c r="B1259" i="14"/>
  <c r="A1259" i="14"/>
  <c r="B1258" i="14"/>
  <c r="A1258" i="14"/>
  <c r="B1257" i="14"/>
  <c r="A1257" i="14"/>
  <c r="B1256" i="14"/>
  <c r="A1256" i="14"/>
  <c r="B1255" i="14"/>
  <c r="A1255" i="14"/>
  <c r="B1254" i="14"/>
  <c r="A1254" i="14"/>
  <c r="B1253" i="14"/>
  <c r="A1253" i="14"/>
  <c r="B1252" i="14"/>
  <c r="A1252" i="14"/>
  <c r="B1251" i="14"/>
  <c r="A1251" i="14"/>
  <c r="B1250" i="14"/>
  <c r="A1250" i="14"/>
  <c r="B1249" i="14"/>
  <c r="A1249" i="14"/>
  <c r="B1248" i="14"/>
  <c r="A1248" i="14"/>
  <c r="B1247" i="14"/>
  <c r="A1247" i="14"/>
  <c r="B1246" i="14"/>
  <c r="A1246" i="14"/>
  <c r="B1245" i="14"/>
  <c r="A1245" i="14"/>
  <c r="B1244" i="14"/>
  <c r="A1244" i="14"/>
  <c r="B1243" i="14"/>
  <c r="A1243" i="14"/>
  <c r="B1242" i="14"/>
  <c r="A1242" i="14"/>
  <c r="B1241" i="14"/>
  <c r="A1241" i="14"/>
  <c r="B1240" i="14"/>
  <c r="A1240" i="14"/>
  <c r="B1239" i="14"/>
  <c r="A1239" i="14"/>
  <c r="B1238" i="14"/>
  <c r="A1238" i="14"/>
  <c r="B1237" i="14"/>
  <c r="A1237" i="14"/>
  <c r="B1236" i="14"/>
  <c r="A1236" i="14"/>
  <c r="B1235" i="14"/>
  <c r="A1235" i="14"/>
  <c r="B1234" i="14"/>
  <c r="A1234" i="14"/>
  <c r="B1233" i="14"/>
  <c r="A1233" i="14"/>
  <c r="B1232" i="14"/>
  <c r="A1232" i="14"/>
  <c r="B1231" i="14"/>
  <c r="A1231" i="14"/>
  <c r="B1230" i="14"/>
  <c r="A1230" i="14"/>
  <c r="B1229" i="14"/>
  <c r="A1229" i="14"/>
  <c r="B1228" i="14"/>
  <c r="A1228" i="14"/>
  <c r="B1227" i="14"/>
  <c r="A1227" i="14"/>
  <c r="B1226" i="14"/>
  <c r="A1226" i="14"/>
  <c r="B1225" i="14"/>
  <c r="A1225" i="14"/>
  <c r="B1224" i="14"/>
  <c r="A1224" i="14"/>
  <c r="B1223" i="14"/>
  <c r="A1223" i="14"/>
  <c r="B1222" i="14"/>
  <c r="A1222" i="14"/>
  <c r="B1221" i="14"/>
  <c r="A1221" i="14"/>
  <c r="B1220" i="14"/>
  <c r="A1220" i="14"/>
  <c r="B1219" i="14"/>
  <c r="A1219" i="14"/>
  <c r="B1218" i="14"/>
  <c r="A1218" i="14"/>
  <c r="B1217" i="14"/>
  <c r="A1217" i="14"/>
  <c r="B1216" i="14"/>
  <c r="A1216" i="14"/>
  <c r="B1215" i="14"/>
  <c r="A1215" i="14"/>
  <c r="B1214" i="14"/>
  <c r="A1214" i="14"/>
  <c r="B1213" i="14"/>
  <c r="A1213" i="14"/>
  <c r="B1212" i="14"/>
  <c r="A1212" i="14"/>
  <c r="B1211" i="14"/>
  <c r="A1211" i="14"/>
  <c r="B1210" i="14"/>
  <c r="A1210" i="14"/>
  <c r="B1209" i="14"/>
  <c r="A1209" i="14"/>
  <c r="B1208" i="14"/>
  <c r="A1208" i="14"/>
  <c r="B1207" i="14"/>
  <c r="A1207" i="14"/>
  <c r="B1206" i="14"/>
  <c r="A1206" i="14"/>
  <c r="B1205" i="14"/>
  <c r="A1205" i="14"/>
  <c r="B1204" i="14"/>
  <c r="A1204" i="14"/>
  <c r="B1203" i="14"/>
  <c r="A1203" i="14"/>
  <c r="B1202" i="14"/>
  <c r="A1202" i="14"/>
  <c r="B1201" i="14"/>
  <c r="A1201" i="14"/>
  <c r="B1200" i="14"/>
  <c r="A1200" i="14"/>
  <c r="B1199" i="14"/>
  <c r="A1199" i="14"/>
  <c r="B1198" i="14"/>
  <c r="A1198" i="14"/>
  <c r="B1197" i="14"/>
  <c r="A1197" i="14"/>
  <c r="B1196" i="14"/>
  <c r="A1196" i="14"/>
  <c r="B1195" i="14"/>
  <c r="A1195" i="14"/>
  <c r="B1194" i="14"/>
  <c r="A1194" i="14"/>
  <c r="B1193" i="14"/>
  <c r="A1193" i="14"/>
  <c r="B1192" i="14"/>
  <c r="A1192" i="14"/>
  <c r="B1191" i="14"/>
  <c r="A1191" i="14"/>
  <c r="B1190" i="14"/>
  <c r="A1190" i="14"/>
  <c r="B1189" i="14"/>
  <c r="A1189" i="14"/>
  <c r="B1188" i="14"/>
  <c r="A1188" i="14"/>
  <c r="B1187" i="14"/>
  <c r="A1187" i="14"/>
  <c r="B1186" i="14"/>
  <c r="A1186" i="14"/>
  <c r="B1185" i="14"/>
  <c r="A1185" i="14"/>
  <c r="B1184" i="14"/>
  <c r="A1184" i="14"/>
  <c r="B1183" i="14"/>
  <c r="A1183" i="14"/>
  <c r="B1182" i="14"/>
  <c r="A1182" i="14"/>
  <c r="B1181" i="14"/>
  <c r="A1181" i="14"/>
  <c r="B1180" i="14"/>
  <c r="A1180" i="14"/>
  <c r="B1179" i="14"/>
  <c r="A1179" i="14"/>
  <c r="B1178" i="14"/>
  <c r="A1178" i="14"/>
  <c r="B1177" i="14"/>
  <c r="A1177" i="14"/>
  <c r="B1176" i="14"/>
  <c r="A1176" i="14"/>
  <c r="B1175" i="14"/>
  <c r="A1175" i="14"/>
  <c r="B1174" i="14"/>
  <c r="A1174" i="14"/>
  <c r="B1173" i="14"/>
  <c r="A1173" i="14"/>
  <c r="B1172" i="14"/>
  <c r="A1172" i="14"/>
  <c r="B1171" i="14"/>
  <c r="A1171" i="14"/>
  <c r="B1170" i="14"/>
  <c r="A1170" i="14"/>
  <c r="B1169" i="14"/>
  <c r="A1169" i="14"/>
  <c r="B1168" i="14"/>
  <c r="A1168" i="14"/>
  <c r="B1167" i="14"/>
  <c r="A1167" i="14"/>
  <c r="B1166" i="14"/>
  <c r="A1166" i="14"/>
  <c r="B1165" i="14"/>
  <c r="A1165" i="14"/>
  <c r="B1164" i="14"/>
  <c r="A1164" i="14"/>
  <c r="B1163" i="14"/>
  <c r="A1163" i="14"/>
  <c r="B1162" i="14"/>
  <c r="A1162" i="14"/>
  <c r="B1161" i="14"/>
  <c r="A1161" i="14"/>
  <c r="B1160" i="14"/>
  <c r="A1160" i="14"/>
  <c r="B1159" i="14"/>
  <c r="A1159" i="14"/>
  <c r="B1158" i="14"/>
  <c r="A1158" i="14"/>
  <c r="B1157" i="14"/>
  <c r="A1157" i="14"/>
  <c r="B1156" i="14"/>
  <c r="A1156" i="14"/>
  <c r="B1155" i="14"/>
  <c r="A1155" i="14"/>
  <c r="B1154" i="14"/>
  <c r="A1154" i="14"/>
  <c r="B1153" i="14"/>
  <c r="A1153" i="14"/>
  <c r="B1152" i="14"/>
  <c r="A1152" i="14"/>
  <c r="B1151" i="14"/>
  <c r="A1151" i="14"/>
  <c r="B1150" i="14"/>
  <c r="A1150" i="14"/>
  <c r="B1149" i="14"/>
  <c r="A1149" i="14"/>
  <c r="B1148" i="14"/>
  <c r="A1148" i="14"/>
  <c r="B1147" i="14"/>
  <c r="A1147" i="14"/>
  <c r="B1146" i="14"/>
  <c r="A1146" i="14"/>
  <c r="B1145" i="14"/>
  <c r="A1145" i="14"/>
  <c r="B1144" i="14"/>
  <c r="A1144" i="14"/>
  <c r="B1143" i="14"/>
  <c r="A1143" i="14"/>
  <c r="B1142" i="14"/>
  <c r="A1142" i="14"/>
  <c r="B1141" i="14"/>
  <c r="A1141" i="14"/>
  <c r="B1140" i="14"/>
  <c r="A1140" i="14"/>
  <c r="B1139" i="14"/>
  <c r="A1139" i="14"/>
  <c r="B1138" i="14"/>
  <c r="A1138" i="14"/>
  <c r="B1137" i="14"/>
  <c r="A1137" i="14"/>
  <c r="B1136" i="14"/>
  <c r="A1136" i="14"/>
  <c r="B1135" i="14"/>
  <c r="A1135" i="14"/>
  <c r="B1134" i="14"/>
  <c r="A1134" i="14"/>
  <c r="B1133" i="14"/>
  <c r="A1133" i="14"/>
  <c r="B1132" i="14"/>
  <c r="A1132" i="14"/>
  <c r="B1131" i="14"/>
  <c r="A1131" i="14"/>
  <c r="B1130" i="14"/>
  <c r="A1130" i="14"/>
  <c r="B1129" i="14"/>
  <c r="A1129" i="14"/>
  <c r="B1128" i="14"/>
  <c r="A1128" i="14"/>
  <c r="B1127" i="14"/>
  <c r="A1127" i="14"/>
  <c r="B1126" i="14"/>
  <c r="A1126" i="14"/>
  <c r="B1125" i="14"/>
  <c r="A1125" i="14"/>
  <c r="B1124" i="14"/>
  <c r="A1124" i="14"/>
  <c r="B1123" i="14"/>
  <c r="A1123" i="14"/>
  <c r="B1122" i="14"/>
  <c r="A1122" i="14"/>
  <c r="B1121" i="14"/>
  <c r="A1121" i="14"/>
  <c r="B1120" i="14"/>
  <c r="A1120" i="14"/>
  <c r="B1119" i="14"/>
  <c r="A1119" i="14"/>
  <c r="B1118" i="14"/>
  <c r="A1118" i="14"/>
  <c r="B1117" i="14"/>
  <c r="A1117" i="14"/>
  <c r="B1116" i="14"/>
  <c r="A1116" i="14"/>
  <c r="B1115" i="14"/>
  <c r="A1115" i="14"/>
  <c r="B1114" i="14"/>
  <c r="A1114" i="14"/>
  <c r="B1113" i="14"/>
  <c r="A1113" i="14"/>
  <c r="B1112" i="14"/>
  <c r="A1112" i="14"/>
  <c r="B1111" i="14"/>
  <c r="A1111" i="14"/>
  <c r="B1110" i="14"/>
  <c r="A1110" i="14"/>
  <c r="B1109" i="14"/>
  <c r="A1109" i="14"/>
  <c r="B1108" i="14"/>
  <c r="A1108" i="14"/>
  <c r="B1107" i="14"/>
  <c r="A1107" i="14"/>
  <c r="B1106" i="14"/>
  <c r="A1106" i="14"/>
  <c r="B1105" i="14"/>
  <c r="A1105" i="14"/>
  <c r="B1104" i="14"/>
  <c r="A1104" i="14"/>
  <c r="B1103" i="14"/>
  <c r="A1103" i="14"/>
  <c r="B1102" i="14"/>
  <c r="A1102" i="14"/>
  <c r="B1101" i="14"/>
  <c r="A1101" i="14"/>
  <c r="B1100" i="14"/>
  <c r="A1100" i="14"/>
  <c r="B1099" i="14"/>
  <c r="A1099" i="14"/>
  <c r="B1098" i="14"/>
  <c r="A1098" i="14"/>
  <c r="B1097" i="14"/>
  <c r="A1097" i="14"/>
  <c r="B1096" i="14"/>
  <c r="A1096" i="14"/>
  <c r="B1095" i="14"/>
  <c r="A1095" i="14"/>
  <c r="B1094" i="14"/>
  <c r="A1094" i="14"/>
  <c r="B1093" i="14"/>
  <c r="A1093" i="14"/>
  <c r="B1092" i="14"/>
  <c r="A1092" i="14"/>
  <c r="B1091" i="14"/>
  <c r="A1091" i="14"/>
  <c r="B1090" i="14"/>
  <c r="A1090" i="14"/>
  <c r="B1089" i="14"/>
  <c r="A1089" i="14"/>
  <c r="B1088" i="14"/>
  <c r="A1088" i="14"/>
  <c r="B1087" i="14"/>
  <c r="A1087" i="14"/>
  <c r="B1086" i="14"/>
  <c r="A1086" i="14"/>
  <c r="B1085" i="14"/>
  <c r="A1085" i="14"/>
  <c r="B1084" i="14"/>
  <c r="A1084" i="14"/>
  <c r="B1083" i="14"/>
  <c r="A1083" i="14"/>
  <c r="B1082" i="14"/>
  <c r="A1082" i="14"/>
  <c r="B1081" i="14"/>
  <c r="A1081" i="14"/>
  <c r="B1080" i="14"/>
  <c r="A1080" i="14"/>
  <c r="B1079" i="14"/>
  <c r="A1079" i="14"/>
  <c r="B1078" i="14"/>
  <c r="A1078" i="14"/>
  <c r="B1077" i="14"/>
  <c r="A1077" i="14"/>
  <c r="B1076" i="14"/>
  <c r="A1076" i="14"/>
  <c r="B1075" i="14"/>
  <c r="A1075" i="14"/>
  <c r="B1074" i="14"/>
  <c r="A1074" i="14"/>
  <c r="B1073" i="14"/>
  <c r="A1073" i="14"/>
  <c r="B1072" i="14"/>
  <c r="A1072" i="14"/>
  <c r="B1071" i="14"/>
  <c r="A1071" i="14"/>
  <c r="B1070" i="14"/>
  <c r="A1070" i="14"/>
  <c r="B1069" i="14"/>
  <c r="A1069" i="14"/>
  <c r="B1068" i="14"/>
  <c r="A1068" i="14"/>
  <c r="B1067" i="14"/>
  <c r="A1067" i="14"/>
  <c r="B1066" i="14"/>
  <c r="A1066" i="14"/>
  <c r="B1065" i="14"/>
  <c r="A1065" i="14"/>
  <c r="B1064" i="14"/>
  <c r="A1064" i="14"/>
  <c r="B1063" i="14"/>
  <c r="A1063" i="14"/>
  <c r="B1062" i="14"/>
  <c r="A1062" i="14"/>
  <c r="B1061" i="14"/>
  <c r="A1061" i="14"/>
  <c r="B1060" i="14"/>
  <c r="A1060" i="14"/>
  <c r="B1059" i="14"/>
  <c r="A1059" i="14"/>
  <c r="B1058" i="14"/>
  <c r="A1058" i="14"/>
  <c r="B1057" i="14"/>
  <c r="A1057" i="14"/>
  <c r="B1056" i="14"/>
  <c r="A1056" i="14"/>
  <c r="B1055" i="14"/>
  <c r="A1055" i="14"/>
  <c r="B1054" i="14"/>
  <c r="A1054" i="14"/>
  <c r="B1053" i="14"/>
  <c r="A1053" i="14"/>
  <c r="B1052" i="14"/>
  <c r="A1052" i="14"/>
  <c r="B1051" i="14"/>
  <c r="A1051" i="14"/>
  <c r="B1050" i="14"/>
  <c r="A1050" i="14"/>
  <c r="B1049" i="14"/>
  <c r="A1049" i="14"/>
  <c r="B1048" i="14"/>
  <c r="A1048" i="14"/>
  <c r="B1047" i="14"/>
  <c r="A1047" i="14"/>
  <c r="B1046" i="14"/>
  <c r="A1046" i="14"/>
  <c r="B1045" i="14"/>
  <c r="A1045" i="14"/>
  <c r="B1044" i="14"/>
  <c r="A1044" i="14"/>
  <c r="B1043" i="14"/>
  <c r="A1043" i="14"/>
  <c r="B1042" i="14"/>
  <c r="A1042" i="14"/>
  <c r="B1041" i="14"/>
  <c r="A1041" i="14"/>
  <c r="B1040" i="14"/>
  <c r="A1040" i="14"/>
  <c r="B1039" i="14"/>
  <c r="A1039" i="14"/>
  <c r="B1038" i="14"/>
  <c r="A1038" i="14"/>
  <c r="B1037" i="14"/>
  <c r="A1037" i="14"/>
  <c r="B1036" i="14"/>
  <c r="A1036" i="14"/>
  <c r="B1035" i="14"/>
  <c r="A1035" i="14"/>
  <c r="B1034" i="14"/>
  <c r="A1034" i="14"/>
  <c r="B1033" i="14"/>
  <c r="A1033" i="14"/>
  <c r="B1032" i="14"/>
  <c r="A1032" i="14"/>
  <c r="B1031" i="14"/>
  <c r="A1031" i="14"/>
  <c r="B1030" i="14"/>
  <c r="A1030" i="14"/>
  <c r="B1029" i="14"/>
  <c r="A1029" i="14"/>
  <c r="B1028" i="14"/>
  <c r="A1028" i="14"/>
  <c r="B1027" i="14"/>
  <c r="A1027" i="14"/>
  <c r="B1026" i="14"/>
  <c r="A1026" i="14"/>
  <c r="B1025" i="14"/>
  <c r="A1025" i="14"/>
  <c r="B1024" i="14"/>
  <c r="A1024" i="14"/>
  <c r="B1023" i="14"/>
  <c r="A1023" i="14"/>
  <c r="B1022" i="14"/>
  <c r="A1022" i="14"/>
  <c r="B1021" i="14"/>
  <c r="A1021" i="14"/>
  <c r="B1020" i="14"/>
  <c r="A1020" i="14"/>
  <c r="B1019" i="14"/>
  <c r="A1019" i="14"/>
  <c r="B1018" i="14"/>
  <c r="A1018" i="14"/>
  <c r="B1017" i="14"/>
  <c r="A1017" i="14"/>
  <c r="B1016" i="14"/>
  <c r="A1016" i="14"/>
  <c r="B1015" i="14"/>
  <c r="A1015" i="14"/>
  <c r="B1014" i="14"/>
  <c r="A1014" i="14"/>
  <c r="B1013" i="14"/>
  <c r="A1013" i="14"/>
  <c r="B1012" i="14"/>
  <c r="A1012" i="14"/>
  <c r="B1011" i="14"/>
  <c r="A1011" i="14"/>
  <c r="B1010" i="14"/>
  <c r="A1010" i="14"/>
  <c r="B1009" i="14"/>
  <c r="A1009" i="14"/>
  <c r="B1008" i="14"/>
  <c r="A1008" i="14"/>
  <c r="B1007" i="14"/>
  <c r="A1007" i="14"/>
  <c r="B1006" i="14"/>
  <c r="A1006" i="14"/>
  <c r="B1005" i="14"/>
  <c r="A1005" i="14"/>
  <c r="B1004" i="14"/>
  <c r="A1004" i="14"/>
  <c r="B1003" i="14"/>
  <c r="A1003" i="14"/>
  <c r="B1002" i="14"/>
  <c r="A1002" i="14"/>
  <c r="B1001" i="14"/>
  <c r="A1001" i="14"/>
  <c r="B1000" i="14"/>
  <c r="A1000" i="14"/>
  <c r="B999" i="14"/>
  <c r="A999" i="14"/>
  <c r="B998" i="14"/>
  <c r="A998" i="14"/>
  <c r="B997" i="14"/>
  <c r="A997" i="14"/>
  <c r="B996" i="14"/>
  <c r="A996" i="14"/>
  <c r="B995" i="14"/>
  <c r="A995" i="14"/>
  <c r="B994" i="14"/>
  <c r="A994" i="14"/>
  <c r="B993" i="14"/>
  <c r="A993" i="14"/>
  <c r="B992" i="14"/>
  <c r="A992" i="14"/>
  <c r="B991" i="14"/>
  <c r="A991" i="14"/>
  <c r="B990" i="14"/>
  <c r="A990" i="14"/>
  <c r="B989" i="14"/>
  <c r="A989" i="14"/>
  <c r="B988" i="14"/>
  <c r="A988" i="14"/>
  <c r="B987" i="14"/>
  <c r="A987" i="14"/>
  <c r="B986" i="14"/>
  <c r="A986" i="14"/>
  <c r="B985" i="14"/>
  <c r="A985" i="14"/>
  <c r="B984" i="14"/>
  <c r="A984" i="14"/>
  <c r="B983" i="14"/>
  <c r="A983" i="14"/>
  <c r="B982" i="14"/>
  <c r="A982" i="14"/>
  <c r="B981" i="14"/>
  <c r="A981" i="14"/>
  <c r="B980" i="14"/>
  <c r="A980" i="14"/>
  <c r="B979" i="14"/>
  <c r="A979" i="14"/>
  <c r="B978" i="14"/>
  <c r="A978" i="14"/>
  <c r="B977" i="14"/>
  <c r="A977" i="14"/>
  <c r="B976" i="14"/>
  <c r="A976" i="14"/>
  <c r="B975" i="14"/>
  <c r="A975" i="14"/>
  <c r="B974" i="14"/>
  <c r="A974" i="14"/>
  <c r="B973" i="14"/>
  <c r="A973" i="14"/>
  <c r="B972" i="14"/>
  <c r="A972" i="14"/>
  <c r="B971" i="14"/>
  <c r="A971" i="14"/>
  <c r="B970" i="14"/>
  <c r="A970" i="14"/>
  <c r="B969" i="14"/>
  <c r="A969" i="14"/>
  <c r="B968" i="14"/>
  <c r="A968" i="14"/>
  <c r="B967" i="14"/>
  <c r="A967" i="14"/>
  <c r="B966" i="14"/>
  <c r="A966" i="14"/>
  <c r="B965" i="14"/>
  <c r="A965" i="14"/>
  <c r="B964" i="14"/>
  <c r="A964" i="14"/>
  <c r="B963" i="14"/>
  <c r="A963" i="14"/>
  <c r="B962" i="14"/>
  <c r="A962" i="14"/>
  <c r="B961" i="14"/>
  <c r="A961" i="14"/>
  <c r="B960" i="14"/>
  <c r="A960" i="14"/>
  <c r="B959" i="14"/>
  <c r="A959" i="14"/>
  <c r="B958" i="14"/>
  <c r="A958" i="14"/>
  <c r="B957" i="14"/>
  <c r="A957" i="14"/>
  <c r="B956" i="14"/>
  <c r="A956" i="14"/>
  <c r="B955" i="14"/>
  <c r="A955" i="14"/>
  <c r="B954" i="14"/>
  <c r="A954" i="14"/>
  <c r="B953" i="14"/>
  <c r="A953" i="14"/>
  <c r="B952" i="14"/>
  <c r="A952" i="14"/>
  <c r="B951" i="14"/>
  <c r="A951" i="14"/>
  <c r="B950" i="14"/>
  <c r="A950" i="14"/>
  <c r="B949" i="14"/>
  <c r="A949" i="14"/>
  <c r="B948" i="14"/>
  <c r="A948" i="14"/>
  <c r="B947" i="14"/>
  <c r="A947" i="14"/>
  <c r="B946" i="14"/>
  <c r="A946" i="14"/>
  <c r="B945" i="14"/>
  <c r="A945" i="14"/>
  <c r="B944" i="14"/>
  <c r="A944" i="14"/>
  <c r="B943" i="14"/>
  <c r="A943" i="14"/>
  <c r="B942" i="14"/>
  <c r="A942" i="14"/>
  <c r="B941" i="14"/>
  <c r="A941" i="14"/>
  <c r="B940" i="14"/>
  <c r="A940" i="14"/>
  <c r="B939" i="14"/>
  <c r="A939" i="14"/>
  <c r="B938" i="14"/>
  <c r="A938" i="14"/>
  <c r="B937" i="14"/>
  <c r="A937" i="14"/>
  <c r="B936" i="14"/>
  <c r="A936" i="14"/>
  <c r="B935" i="14"/>
  <c r="A935" i="14"/>
  <c r="B934" i="14"/>
  <c r="A934" i="14"/>
  <c r="B933" i="14"/>
  <c r="A933" i="14"/>
  <c r="B932" i="14"/>
  <c r="A932" i="14"/>
  <c r="B931" i="14"/>
  <c r="A931" i="14"/>
  <c r="B930" i="14"/>
  <c r="A930" i="14"/>
  <c r="B929" i="14"/>
  <c r="A929" i="14"/>
  <c r="B928" i="14"/>
  <c r="A928" i="14"/>
  <c r="B927" i="14"/>
  <c r="A927" i="14"/>
  <c r="B926" i="14"/>
  <c r="A926" i="14"/>
  <c r="B925" i="14"/>
  <c r="A925" i="14"/>
  <c r="B924" i="14"/>
  <c r="A924" i="14"/>
  <c r="B923" i="14"/>
  <c r="A923" i="14"/>
  <c r="B922" i="14"/>
  <c r="A922" i="14"/>
  <c r="B921" i="14"/>
  <c r="A921" i="14"/>
  <c r="B920" i="14"/>
  <c r="A920" i="14"/>
  <c r="B919" i="14"/>
  <c r="A919" i="14"/>
  <c r="B918" i="14"/>
  <c r="A918" i="14"/>
  <c r="B917" i="14"/>
  <c r="A917" i="14"/>
  <c r="B916" i="14"/>
  <c r="A916" i="14"/>
  <c r="B915" i="14"/>
  <c r="A915" i="14"/>
  <c r="B914" i="14"/>
  <c r="A914" i="14"/>
  <c r="B913" i="14"/>
  <c r="A913" i="14"/>
  <c r="B912" i="14"/>
  <c r="A912" i="14"/>
  <c r="B911" i="14"/>
  <c r="A911" i="14"/>
  <c r="B910" i="14"/>
  <c r="A910" i="14"/>
  <c r="B909" i="14"/>
  <c r="A909" i="14"/>
  <c r="B908" i="14"/>
  <c r="A908" i="14"/>
  <c r="B907" i="14"/>
  <c r="A907" i="14"/>
  <c r="B906" i="14"/>
  <c r="A906" i="14"/>
  <c r="B905" i="14"/>
  <c r="A905" i="14"/>
  <c r="B904" i="14"/>
  <c r="A904" i="14"/>
  <c r="B903" i="14"/>
  <c r="A903" i="14"/>
  <c r="B902" i="14"/>
  <c r="A902" i="14"/>
  <c r="B901" i="14"/>
  <c r="A901" i="14"/>
  <c r="B900" i="14"/>
  <c r="A900" i="14"/>
  <c r="B899" i="14"/>
  <c r="A899" i="14"/>
  <c r="B898" i="14"/>
  <c r="A898" i="14"/>
  <c r="B897" i="14"/>
  <c r="A897" i="14"/>
  <c r="B896" i="14"/>
  <c r="A896" i="14"/>
  <c r="B895" i="14"/>
  <c r="A895" i="14"/>
  <c r="B894" i="14"/>
  <c r="A894" i="14"/>
  <c r="B893" i="14"/>
  <c r="A893" i="14"/>
  <c r="B892" i="14"/>
  <c r="A892" i="14"/>
  <c r="B891" i="14"/>
  <c r="A891" i="14"/>
  <c r="B890" i="14"/>
  <c r="A890" i="14"/>
  <c r="B889" i="14"/>
  <c r="A889" i="14"/>
  <c r="B888" i="14"/>
  <c r="A888" i="14"/>
  <c r="B887" i="14"/>
  <c r="A887" i="14"/>
  <c r="B886" i="14"/>
  <c r="A886" i="14"/>
  <c r="B885" i="14"/>
  <c r="A885" i="14"/>
  <c r="B884" i="14"/>
  <c r="A884" i="14"/>
  <c r="B883" i="14"/>
  <c r="A883" i="14"/>
  <c r="B882" i="14"/>
  <c r="A882" i="14"/>
  <c r="B881" i="14"/>
  <c r="A881" i="14"/>
  <c r="B880" i="14"/>
  <c r="A880" i="14"/>
  <c r="B879" i="14"/>
  <c r="A879" i="14"/>
  <c r="B878" i="14"/>
  <c r="A878" i="14"/>
  <c r="B877" i="14"/>
  <c r="A877" i="14"/>
  <c r="B876" i="14"/>
  <c r="A876" i="14"/>
  <c r="B875" i="14"/>
  <c r="A875" i="14"/>
  <c r="B874" i="14"/>
  <c r="A874" i="14"/>
  <c r="B873" i="14"/>
  <c r="A873" i="14"/>
  <c r="B872" i="14"/>
  <c r="A872" i="14"/>
  <c r="B871" i="14"/>
  <c r="A871" i="14"/>
  <c r="B870" i="14"/>
  <c r="A870" i="14"/>
  <c r="B869" i="14"/>
  <c r="A869" i="14"/>
  <c r="B868" i="14"/>
  <c r="A868" i="14"/>
  <c r="B867" i="14"/>
  <c r="A867" i="14"/>
  <c r="B866" i="14"/>
  <c r="A866" i="14"/>
  <c r="B865" i="14"/>
  <c r="A865" i="14"/>
  <c r="B864" i="14"/>
  <c r="A864" i="14"/>
  <c r="B863" i="14"/>
  <c r="A863" i="14"/>
  <c r="B862" i="14"/>
  <c r="A862" i="14"/>
  <c r="B861" i="14"/>
  <c r="A861" i="14"/>
  <c r="B860" i="14"/>
  <c r="A860" i="14"/>
  <c r="B859" i="14"/>
  <c r="A859" i="14"/>
  <c r="B858" i="14"/>
  <c r="A858" i="14"/>
  <c r="B857" i="14"/>
  <c r="A857" i="14"/>
  <c r="B856" i="14"/>
  <c r="A856" i="14"/>
  <c r="B855" i="14"/>
  <c r="A855" i="14"/>
  <c r="B854" i="14"/>
  <c r="A854" i="14"/>
  <c r="B853" i="14"/>
  <c r="A853" i="14"/>
  <c r="B852" i="14"/>
  <c r="A852" i="14"/>
  <c r="B851" i="14"/>
  <c r="A851" i="14"/>
  <c r="B850" i="14"/>
  <c r="A850" i="14"/>
  <c r="B849" i="14"/>
  <c r="A849" i="14"/>
  <c r="B848" i="14"/>
  <c r="A848" i="14"/>
  <c r="B847" i="14"/>
  <c r="A847" i="14"/>
  <c r="B846" i="14"/>
  <c r="A846" i="14"/>
  <c r="B845" i="14"/>
  <c r="A845" i="14"/>
  <c r="B844" i="14"/>
  <c r="A844" i="14"/>
  <c r="B843" i="14"/>
  <c r="A843" i="14"/>
  <c r="B842" i="14"/>
  <c r="A842" i="14"/>
  <c r="B841" i="14"/>
  <c r="A841" i="14"/>
  <c r="B840" i="14"/>
  <c r="A840" i="14"/>
  <c r="B839" i="14"/>
  <c r="A839" i="14"/>
  <c r="B838" i="14"/>
  <c r="A838" i="14"/>
  <c r="B837" i="14"/>
  <c r="A837" i="14"/>
  <c r="B836" i="14"/>
  <c r="A836" i="14"/>
  <c r="B835" i="14"/>
  <c r="A835" i="14"/>
  <c r="B834" i="14"/>
  <c r="A834" i="14"/>
  <c r="B833" i="14"/>
  <c r="A833" i="14"/>
  <c r="B832" i="14"/>
  <c r="A832" i="14"/>
  <c r="B831" i="14"/>
  <c r="A831" i="14"/>
  <c r="B830" i="14"/>
  <c r="A830" i="14"/>
  <c r="B829" i="14"/>
  <c r="A829" i="14"/>
  <c r="B828" i="14"/>
  <c r="A828" i="14"/>
  <c r="B827" i="14"/>
  <c r="A827" i="14"/>
  <c r="B826" i="14"/>
  <c r="A826" i="14"/>
  <c r="B825" i="14"/>
  <c r="A825" i="14"/>
  <c r="B824" i="14"/>
  <c r="A824" i="14"/>
  <c r="B823" i="14"/>
  <c r="A823" i="14"/>
  <c r="B822" i="14"/>
  <c r="A822" i="14"/>
  <c r="B821" i="14"/>
  <c r="A821" i="14"/>
  <c r="B820" i="14"/>
  <c r="A820" i="14"/>
  <c r="B819" i="14"/>
  <c r="A819" i="14"/>
  <c r="B818" i="14"/>
  <c r="A818" i="14"/>
  <c r="B817" i="14"/>
  <c r="A817" i="14"/>
  <c r="B816" i="14"/>
  <c r="A816" i="14"/>
  <c r="B815" i="14"/>
  <c r="A815" i="14"/>
  <c r="B814" i="14"/>
  <c r="A814" i="14"/>
  <c r="B813" i="14"/>
  <c r="A813" i="14"/>
  <c r="B812" i="14"/>
  <c r="A812" i="14"/>
  <c r="B811" i="14"/>
  <c r="A811" i="14"/>
  <c r="B810" i="14"/>
  <c r="A810" i="14"/>
  <c r="B809" i="14"/>
  <c r="A809" i="14"/>
  <c r="B808" i="14"/>
  <c r="A808" i="14"/>
  <c r="B807" i="14"/>
  <c r="A807" i="14"/>
  <c r="B806" i="14"/>
  <c r="A806" i="14"/>
  <c r="B805" i="14"/>
  <c r="A805" i="14"/>
  <c r="B804" i="14"/>
  <c r="A804" i="14"/>
  <c r="B803" i="14"/>
  <c r="A803" i="14"/>
  <c r="B802" i="14"/>
  <c r="A802" i="14"/>
  <c r="B801" i="14"/>
  <c r="A801" i="14"/>
  <c r="B800" i="14"/>
  <c r="A800" i="14"/>
  <c r="B799" i="14"/>
  <c r="A799" i="14"/>
  <c r="B798" i="14"/>
  <c r="A798" i="14"/>
  <c r="B797" i="14"/>
  <c r="A797" i="14"/>
  <c r="B796" i="14"/>
  <c r="A796" i="14"/>
  <c r="B795" i="14"/>
  <c r="A795" i="14"/>
  <c r="B794" i="14"/>
  <c r="A794" i="14"/>
  <c r="B793" i="14"/>
  <c r="A793" i="14"/>
  <c r="B792" i="14"/>
  <c r="A792" i="14"/>
  <c r="B791" i="14"/>
  <c r="A791" i="14"/>
  <c r="B790" i="14"/>
  <c r="A790" i="14"/>
  <c r="B789" i="14"/>
  <c r="A789" i="14"/>
  <c r="B788" i="14"/>
  <c r="A788" i="14"/>
  <c r="B787" i="14"/>
  <c r="A787" i="14"/>
  <c r="B786" i="14"/>
  <c r="A786" i="14"/>
  <c r="B785" i="14"/>
  <c r="A785" i="14"/>
  <c r="B784" i="14"/>
  <c r="A784" i="14"/>
  <c r="B783" i="14"/>
  <c r="A783" i="14"/>
  <c r="B782" i="14"/>
  <c r="A782" i="14"/>
  <c r="B781" i="14"/>
  <c r="A781" i="14"/>
  <c r="B780" i="14"/>
  <c r="A780" i="14"/>
  <c r="B779" i="14"/>
  <c r="A779" i="14"/>
  <c r="B778" i="14"/>
  <c r="A778" i="14"/>
  <c r="B777" i="14"/>
  <c r="A777" i="14"/>
  <c r="B776" i="14"/>
  <c r="A776" i="14"/>
  <c r="B775" i="14"/>
  <c r="A775" i="14"/>
  <c r="B774" i="14"/>
  <c r="A774" i="14"/>
  <c r="B773" i="14"/>
  <c r="A773" i="14"/>
  <c r="B772" i="14"/>
  <c r="A772" i="14"/>
  <c r="B771" i="14"/>
  <c r="A771" i="14"/>
  <c r="B770" i="14"/>
  <c r="A770" i="14"/>
  <c r="B769" i="14"/>
  <c r="A769" i="14"/>
  <c r="B768" i="14"/>
  <c r="A768" i="14"/>
  <c r="B767" i="14"/>
  <c r="A767" i="14"/>
  <c r="B766" i="14"/>
  <c r="A766" i="14"/>
  <c r="B765" i="14"/>
  <c r="A765" i="14"/>
  <c r="B764" i="14"/>
  <c r="A764" i="14"/>
  <c r="B763" i="14"/>
  <c r="A763" i="14"/>
  <c r="B762" i="14"/>
  <c r="A762" i="14"/>
  <c r="B761" i="14"/>
  <c r="A761" i="14"/>
  <c r="B760" i="14"/>
  <c r="A760" i="14"/>
  <c r="B759" i="14"/>
  <c r="A759" i="14"/>
  <c r="B758" i="14"/>
  <c r="A758" i="14"/>
  <c r="B757" i="14"/>
  <c r="A757" i="14"/>
  <c r="B756" i="14"/>
  <c r="A756" i="14"/>
  <c r="B755" i="14"/>
  <c r="A755" i="14"/>
  <c r="B754" i="14"/>
  <c r="A754" i="14"/>
  <c r="B753" i="14"/>
  <c r="A753" i="14"/>
  <c r="B752" i="14"/>
  <c r="A752" i="14"/>
  <c r="B751" i="14"/>
  <c r="A751" i="14"/>
  <c r="B750" i="14"/>
  <c r="A750" i="14"/>
  <c r="B749" i="14"/>
  <c r="A749" i="14"/>
  <c r="B748" i="14"/>
  <c r="A748" i="14"/>
  <c r="B747" i="14"/>
  <c r="A747" i="14"/>
  <c r="B746" i="14"/>
  <c r="A746" i="14"/>
  <c r="B745" i="14"/>
  <c r="A745" i="14"/>
  <c r="B744" i="14"/>
  <c r="A744" i="14"/>
  <c r="B743" i="14"/>
  <c r="A743" i="14"/>
  <c r="B742" i="14"/>
  <c r="A742" i="14"/>
  <c r="B741" i="14"/>
  <c r="A741" i="14"/>
  <c r="B740" i="14"/>
  <c r="A740" i="14"/>
  <c r="B739" i="14"/>
  <c r="A739" i="14"/>
  <c r="B738" i="14"/>
  <c r="A738" i="14"/>
  <c r="B737" i="14"/>
  <c r="A737" i="14"/>
  <c r="B736" i="14"/>
  <c r="A736" i="14"/>
  <c r="B735" i="14"/>
  <c r="A735" i="14"/>
  <c r="B734" i="14"/>
  <c r="A734" i="14"/>
  <c r="B733" i="14"/>
  <c r="A733" i="14"/>
  <c r="B732" i="14"/>
  <c r="A732" i="14"/>
  <c r="B731" i="14"/>
  <c r="A731" i="14"/>
  <c r="B730" i="14"/>
  <c r="A730" i="14"/>
  <c r="B729" i="14"/>
  <c r="A729" i="14"/>
  <c r="B728" i="14"/>
  <c r="A728" i="14"/>
  <c r="B727" i="14"/>
  <c r="A727" i="14"/>
  <c r="B726" i="14"/>
  <c r="A726" i="14"/>
  <c r="B725" i="14"/>
  <c r="A725" i="14"/>
  <c r="B724" i="14"/>
  <c r="A724" i="14"/>
  <c r="B723" i="14"/>
  <c r="A723" i="14"/>
  <c r="B722" i="14"/>
  <c r="A722" i="14"/>
  <c r="B721" i="14"/>
  <c r="A721" i="14"/>
  <c r="B720" i="14"/>
  <c r="A720" i="14"/>
  <c r="B719" i="14"/>
  <c r="A719" i="14"/>
  <c r="B718" i="14"/>
  <c r="A718" i="14"/>
  <c r="B717" i="14"/>
  <c r="A717" i="14"/>
  <c r="B716" i="14"/>
  <c r="A716" i="14"/>
  <c r="B715" i="14"/>
  <c r="A715" i="14"/>
  <c r="B714" i="14"/>
  <c r="A714" i="14"/>
  <c r="B713" i="14"/>
  <c r="A713" i="14"/>
  <c r="B712" i="14"/>
  <c r="A712" i="14"/>
  <c r="B711" i="14"/>
  <c r="A711" i="14"/>
  <c r="B710" i="14"/>
  <c r="A710" i="14"/>
  <c r="B709" i="14"/>
  <c r="A709" i="14"/>
  <c r="B708" i="14"/>
  <c r="A708" i="14"/>
  <c r="B707" i="14"/>
  <c r="A707" i="14"/>
  <c r="B706" i="14"/>
  <c r="A706" i="14"/>
  <c r="B705" i="14"/>
  <c r="A705" i="14"/>
  <c r="B704" i="14"/>
  <c r="A704" i="14"/>
  <c r="B703" i="14"/>
  <c r="A703" i="14"/>
  <c r="B702" i="14"/>
  <c r="A702" i="14"/>
  <c r="B701" i="14"/>
  <c r="A701" i="14"/>
  <c r="B700" i="14"/>
  <c r="A700" i="14"/>
  <c r="B699" i="14"/>
  <c r="A699" i="14"/>
  <c r="B698" i="14"/>
  <c r="A698" i="14"/>
  <c r="B697" i="14"/>
  <c r="A697" i="14"/>
  <c r="B696" i="14"/>
  <c r="A696" i="14"/>
  <c r="B695" i="14"/>
  <c r="A695" i="14"/>
  <c r="B694" i="14"/>
  <c r="A694" i="14"/>
  <c r="B693" i="14"/>
  <c r="A693" i="14"/>
  <c r="B692" i="14"/>
  <c r="A692" i="14"/>
  <c r="B691" i="14"/>
  <c r="A691" i="14"/>
  <c r="B690" i="14"/>
  <c r="A690" i="14"/>
  <c r="B689" i="14"/>
  <c r="A689" i="14"/>
  <c r="B688" i="14"/>
  <c r="A688" i="14"/>
  <c r="B687" i="14"/>
  <c r="A687" i="14"/>
  <c r="B686" i="14"/>
  <c r="A686" i="14"/>
  <c r="B685" i="14"/>
  <c r="A685" i="14"/>
  <c r="B684" i="14"/>
  <c r="A684" i="14"/>
  <c r="B683" i="14"/>
  <c r="A683" i="14"/>
  <c r="B682" i="14"/>
  <c r="A682" i="14"/>
  <c r="B681" i="14"/>
  <c r="A681" i="14"/>
  <c r="B680" i="14"/>
  <c r="A680" i="14"/>
  <c r="B679" i="14"/>
  <c r="A679" i="14"/>
  <c r="B678" i="14"/>
  <c r="A678" i="14"/>
  <c r="B677" i="14"/>
  <c r="A677" i="14"/>
  <c r="B676" i="14"/>
  <c r="A676" i="14"/>
  <c r="B675" i="14"/>
  <c r="A675" i="14"/>
  <c r="B674" i="14"/>
  <c r="A674" i="14"/>
  <c r="B673" i="14"/>
  <c r="A673" i="14"/>
  <c r="B672" i="14"/>
  <c r="A672" i="14"/>
  <c r="B671" i="14"/>
  <c r="A671" i="14"/>
  <c r="B670" i="14"/>
  <c r="A670" i="14"/>
  <c r="B669" i="14"/>
  <c r="A669" i="14"/>
  <c r="B668" i="14"/>
  <c r="A668" i="14"/>
  <c r="B667" i="14"/>
  <c r="A667" i="14"/>
  <c r="B666" i="14"/>
  <c r="A666" i="14"/>
  <c r="B665" i="14"/>
  <c r="A665" i="14"/>
  <c r="B664" i="14"/>
  <c r="A664" i="14"/>
  <c r="B663" i="14"/>
  <c r="A663" i="14"/>
  <c r="B662" i="14"/>
  <c r="A662" i="14"/>
  <c r="B661" i="14"/>
  <c r="A661" i="14"/>
  <c r="B660" i="14"/>
  <c r="A660" i="14"/>
  <c r="B659" i="14"/>
  <c r="A659" i="14"/>
  <c r="B658" i="14"/>
  <c r="A658" i="14"/>
  <c r="B657" i="14"/>
  <c r="A657" i="14"/>
  <c r="B656" i="14"/>
  <c r="A656" i="14"/>
  <c r="B655" i="14"/>
  <c r="A655" i="14"/>
  <c r="B654" i="14"/>
  <c r="A654" i="14"/>
  <c r="B653" i="14"/>
  <c r="A653" i="14"/>
  <c r="B652" i="14"/>
  <c r="A652" i="14"/>
  <c r="B651" i="14"/>
  <c r="A651" i="14"/>
  <c r="B650" i="14"/>
  <c r="A650" i="14"/>
  <c r="B649" i="14"/>
  <c r="A649" i="14"/>
  <c r="B648" i="14"/>
  <c r="A648" i="14"/>
  <c r="B647" i="14"/>
  <c r="A647" i="14"/>
  <c r="B646" i="14"/>
  <c r="A646" i="14"/>
  <c r="B645" i="14"/>
  <c r="A645" i="14"/>
  <c r="B644" i="14"/>
  <c r="A644" i="14"/>
  <c r="B643" i="14"/>
  <c r="A643" i="14"/>
  <c r="B642" i="14"/>
  <c r="A642" i="14"/>
  <c r="B641" i="14"/>
  <c r="A641" i="14"/>
  <c r="B640" i="14"/>
  <c r="A640" i="14"/>
  <c r="B639" i="14"/>
  <c r="A639" i="14"/>
  <c r="B638" i="14"/>
  <c r="A638" i="14"/>
  <c r="B637" i="14"/>
  <c r="A637" i="14"/>
  <c r="B636" i="14"/>
  <c r="A636" i="14"/>
  <c r="B635" i="14"/>
  <c r="A635" i="14"/>
  <c r="B634" i="14"/>
  <c r="A634" i="14"/>
  <c r="B633" i="14"/>
  <c r="A633" i="14"/>
  <c r="B632" i="14"/>
  <c r="A632" i="14"/>
  <c r="B631" i="14"/>
  <c r="A631" i="14"/>
  <c r="B630" i="14"/>
  <c r="A630" i="14"/>
  <c r="B629" i="14"/>
  <c r="A629" i="14"/>
  <c r="B628" i="14"/>
  <c r="A628" i="14"/>
  <c r="B627" i="14"/>
  <c r="A627" i="14"/>
  <c r="B626" i="14"/>
  <c r="A626" i="14"/>
  <c r="B625" i="14"/>
  <c r="A625" i="14"/>
  <c r="B624" i="14"/>
  <c r="A624" i="14"/>
  <c r="B623" i="14"/>
  <c r="A623" i="14"/>
  <c r="B622" i="14"/>
  <c r="A622" i="14"/>
  <c r="B621" i="14"/>
  <c r="A621" i="14"/>
  <c r="B620" i="14"/>
  <c r="A620" i="14"/>
  <c r="B619" i="14"/>
  <c r="A619" i="14"/>
  <c r="B618" i="14"/>
  <c r="A618" i="14"/>
  <c r="B617" i="14"/>
  <c r="A617" i="14"/>
  <c r="B616" i="14"/>
  <c r="A616" i="14"/>
  <c r="B615" i="14"/>
  <c r="A615" i="14"/>
  <c r="B614" i="14"/>
  <c r="A614" i="14"/>
  <c r="B613" i="14"/>
  <c r="A613" i="14"/>
  <c r="B612" i="14"/>
  <c r="A612" i="14"/>
  <c r="B611" i="14"/>
  <c r="A611" i="14"/>
  <c r="B610" i="14"/>
  <c r="A610" i="14"/>
  <c r="B609" i="14"/>
  <c r="A609" i="14"/>
  <c r="B608" i="14"/>
  <c r="A608" i="14"/>
  <c r="B607" i="14"/>
  <c r="A607" i="14"/>
  <c r="B606" i="14"/>
  <c r="A606" i="14"/>
  <c r="B605" i="14"/>
  <c r="A605" i="14"/>
  <c r="B604" i="14"/>
  <c r="A604" i="14"/>
  <c r="B603" i="14"/>
  <c r="A603" i="14"/>
  <c r="B602" i="14"/>
  <c r="A602" i="14"/>
  <c r="B601" i="14"/>
  <c r="A601" i="14"/>
  <c r="B600" i="14"/>
  <c r="A600" i="14"/>
  <c r="B599" i="14"/>
  <c r="A599" i="14"/>
  <c r="B598" i="14"/>
  <c r="A598" i="14"/>
  <c r="B597" i="14"/>
  <c r="A597" i="14"/>
  <c r="B596" i="14"/>
  <c r="A596" i="14"/>
  <c r="B595" i="14"/>
  <c r="A595" i="14"/>
  <c r="B594" i="14"/>
  <c r="A594" i="14"/>
  <c r="B593" i="14"/>
  <c r="A593" i="14"/>
  <c r="B592" i="14"/>
  <c r="A592" i="14"/>
  <c r="B591" i="14"/>
  <c r="A591" i="14"/>
  <c r="B590" i="14"/>
  <c r="A590" i="14"/>
  <c r="B589" i="14"/>
  <c r="A589" i="14"/>
  <c r="B588" i="14"/>
  <c r="A588" i="14"/>
  <c r="B587" i="14"/>
  <c r="A587" i="14"/>
  <c r="B586" i="14"/>
  <c r="A586" i="14"/>
  <c r="B585" i="14"/>
  <c r="A585" i="14"/>
  <c r="B584" i="14"/>
  <c r="A584" i="14"/>
  <c r="B583" i="14"/>
  <c r="A583" i="14"/>
  <c r="B582" i="14"/>
  <c r="A582" i="14"/>
  <c r="B581" i="14"/>
  <c r="A581" i="14"/>
  <c r="B580" i="14"/>
  <c r="A580" i="14"/>
  <c r="B579" i="14"/>
  <c r="A579" i="14"/>
  <c r="B578" i="14"/>
  <c r="A578" i="14"/>
  <c r="B577" i="14"/>
  <c r="A577" i="14"/>
  <c r="B576" i="14"/>
  <c r="A576" i="14"/>
  <c r="B575" i="14"/>
  <c r="A575" i="14"/>
  <c r="B574" i="14"/>
  <c r="A574" i="14"/>
  <c r="B573" i="14"/>
  <c r="A573" i="14"/>
  <c r="B572" i="14"/>
  <c r="A572" i="14"/>
  <c r="B571" i="14"/>
  <c r="A571" i="14"/>
  <c r="B570" i="14"/>
  <c r="A570" i="14"/>
  <c r="B569" i="14"/>
  <c r="A569" i="14"/>
  <c r="B568" i="14"/>
  <c r="A568" i="14"/>
  <c r="B567" i="14"/>
  <c r="A567" i="14"/>
  <c r="B566" i="14"/>
  <c r="A566" i="14"/>
  <c r="B565" i="14"/>
  <c r="A565" i="14"/>
  <c r="B564" i="14"/>
  <c r="A564" i="14"/>
  <c r="B563" i="14"/>
  <c r="A563" i="14"/>
  <c r="B562" i="14"/>
  <c r="A562" i="14"/>
  <c r="B561" i="14"/>
  <c r="A561" i="14"/>
  <c r="B560" i="14"/>
  <c r="A560" i="14"/>
  <c r="B559" i="14"/>
  <c r="A559" i="14"/>
  <c r="B558" i="14"/>
  <c r="A558" i="14"/>
  <c r="B557" i="14"/>
  <c r="A557" i="14"/>
  <c r="B556" i="14"/>
  <c r="A556" i="14"/>
  <c r="B555" i="14"/>
  <c r="A555" i="14"/>
  <c r="B554" i="14"/>
  <c r="A554" i="14"/>
  <c r="B553" i="14"/>
  <c r="A553" i="14"/>
  <c r="B552" i="14"/>
  <c r="A552" i="14"/>
  <c r="B551" i="14"/>
  <c r="A551" i="14"/>
  <c r="B550" i="14"/>
  <c r="A550" i="14"/>
  <c r="B549" i="14"/>
  <c r="A549" i="14"/>
  <c r="B548" i="14"/>
  <c r="A548" i="14"/>
  <c r="B547" i="14"/>
  <c r="A547" i="14"/>
  <c r="B546" i="14"/>
  <c r="A546" i="14"/>
  <c r="B545" i="14"/>
  <c r="A545" i="14"/>
  <c r="B544" i="14"/>
  <c r="A544" i="14"/>
  <c r="B543" i="14"/>
  <c r="A543" i="14"/>
  <c r="B542" i="14"/>
  <c r="A542" i="14"/>
  <c r="B541" i="14"/>
  <c r="A541" i="14"/>
  <c r="B540" i="14"/>
  <c r="A540" i="14"/>
  <c r="B539" i="14"/>
  <c r="A539" i="14"/>
  <c r="B538" i="14"/>
  <c r="A538" i="14"/>
  <c r="B537" i="14"/>
  <c r="A537" i="14"/>
  <c r="B536" i="14"/>
  <c r="A536" i="14"/>
  <c r="B535" i="14"/>
  <c r="A535" i="14"/>
  <c r="B534" i="14"/>
  <c r="A534" i="14"/>
  <c r="B533" i="14"/>
  <c r="A533" i="14"/>
  <c r="B532" i="14"/>
  <c r="A532" i="14"/>
  <c r="B531" i="14"/>
  <c r="A531" i="14"/>
  <c r="B530" i="14"/>
  <c r="A530" i="14"/>
  <c r="B529" i="14"/>
  <c r="A529" i="14"/>
  <c r="B528" i="14"/>
  <c r="A528" i="14"/>
  <c r="B527" i="14"/>
  <c r="A527" i="14"/>
  <c r="B526" i="14"/>
  <c r="A526" i="14"/>
  <c r="B525" i="14"/>
  <c r="A525" i="14"/>
  <c r="B524" i="14"/>
  <c r="A524" i="14"/>
  <c r="B523" i="14"/>
  <c r="A523" i="14"/>
  <c r="B522" i="14"/>
  <c r="A522" i="14"/>
  <c r="B521" i="14"/>
  <c r="A521" i="14"/>
  <c r="B520" i="14"/>
  <c r="A520" i="14"/>
  <c r="B519" i="14"/>
  <c r="A519" i="14"/>
  <c r="B518" i="14"/>
  <c r="A518" i="14"/>
  <c r="B517" i="14"/>
  <c r="A517" i="14"/>
  <c r="B516" i="14"/>
  <c r="A516" i="14"/>
  <c r="B515" i="14"/>
  <c r="A515" i="14"/>
  <c r="B514" i="14"/>
  <c r="A514" i="14"/>
  <c r="B513" i="14"/>
  <c r="A513" i="14"/>
  <c r="B512" i="14"/>
  <c r="A512" i="14"/>
  <c r="B511" i="14"/>
  <c r="A511" i="14"/>
  <c r="B510" i="14"/>
  <c r="A510" i="14"/>
  <c r="B509" i="14"/>
  <c r="A509" i="14"/>
  <c r="B508" i="14"/>
  <c r="A508" i="14"/>
  <c r="B507" i="14"/>
  <c r="A507" i="14"/>
  <c r="B506" i="14"/>
  <c r="A506" i="14"/>
  <c r="B505" i="14"/>
  <c r="A505" i="14"/>
  <c r="B504" i="14"/>
  <c r="A504" i="14"/>
  <c r="B503" i="14"/>
  <c r="A503" i="14"/>
  <c r="B502" i="14"/>
  <c r="A502" i="14"/>
  <c r="B501" i="14"/>
  <c r="A501" i="14"/>
  <c r="B500" i="14"/>
  <c r="A500" i="14"/>
  <c r="B499" i="14"/>
  <c r="A499" i="14"/>
  <c r="B498" i="14"/>
  <c r="A498" i="14"/>
  <c r="B497" i="14"/>
  <c r="A497" i="14"/>
  <c r="B496" i="14"/>
  <c r="A496" i="14"/>
  <c r="B495" i="14"/>
  <c r="A495" i="14"/>
  <c r="B494" i="14"/>
  <c r="A494" i="14"/>
  <c r="B493" i="14"/>
  <c r="A493" i="14"/>
  <c r="B492" i="14"/>
  <c r="A492" i="14"/>
  <c r="B491" i="14"/>
  <c r="A491" i="14"/>
  <c r="B490" i="14"/>
  <c r="A490" i="14"/>
  <c r="B489" i="14"/>
  <c r="A489" i="14"/>
  <c r="B488" i="14"/>
  <c r="A488" i="14"/>
  <c r="B487" i="14"/>
  <c r="A487" i="14"/>
  <c r="B486" i="14"/>
  <c r="A486" i="14"/>
  <c r="B485" i="14"/>
  <c r="A485" i="14"/>
  <c r="B484" i="14"/>
  <c r="A484" i="14"/>
  <c r="B483" i="14"/>
  <c r="A483" i="14"/>
  <c r="B482" i="14"/>
  <c r="A482" i="14"/>
  <c r="B481" i="14"/>
  <c r="A481" i="14"/>
  <c r="B480" i="14"/>
  <c r="A480" i="14"/>
  <c r="B479" i="14"/>
  <c r="A479" i="14"/>
  <c r="B478" i="14"/>
  <c r="A478" i="14"/>
  <c r="B477" i="14"/>
  <c r="A477" i="14"/>
  <c r="B476" i="14"/>
  <c r="A476" i="14"/>
  <c r="B475" i="14"/>
  <c r="A475" i="14"/>
  <c r="B474" i="14"/>
  <c r="A474" i="14"/>
  <c r="B473" i="14"/>
  <c r="A473" i="14"/>
  <c r="B472" i="14"/>
  <c r="A472" i="14"/>
  <c r="B471" i="14"/>
  <c r="A471" i="14"/>
  <c r="B470" i="14"/>
  <c r="A470" i="14"/>
  <c r="B469" i="14"/>
  <c r="A469" i="14"/>
  <c r="B468" i="14"/>
  <c r="A468" i="14"/>
  <c r="B467" i="14"/>
  <c r="A467" i="14"/>
  <c r="B466" i="14"/>
  <c r="A466" i="14"/>
  <c r="B465" i="14"/>
  <c r="A465" i="14"/>
  <c r="B464" i="14"/>
  <c r="A464" i="14"/>
  <c r="B463" i="14"/>
  <c r="A463" i="14"/>
  <c r="B462" i="14"/>
  <c r="A462" i="14"/>
  <c r="B461" i="14"/>
  <c r="A461" i="14"/>
  <c r="B460" i="14"/>
  <c r="A460" i="14"/>
  <c r="B459" i="14"/>
  <c r="A459" i="14"/>
  <c r="B458" i="14"/>
  <c r="A458" i="14"/>
  <c r="B457" i="14"/>
  <c r="A457" i="14"/>
  <c r="B456" i="14"/>
  <c r="A456" i="14"/>
  <c r="B455" i="14"/>
  <c r="A455" i="14"/>
  <c r="B454" i="14"/>
  <c r="A454" i="14"/>
  <c r="B453" i="14"/>
  <c r="A453" i="14"/>
  <c r="B452" i="14"/>
  <c r="A452" i="14"/>
  <c r="B451" i="14"/>
  <c r="A451" i="14"/>
  <c r="B450" i="14"/>
  <c r="A450" i="14"/>
  <c r="B449" i="14"/>
  <c r="A449" i="14"/>
  <c r="B448" i="14"/>
  <c r="A448" i="14"/>
  <c r="B447" i="14"/>
  <c r="A447" i="14"/>
  <c r="B446" i="14"/>
  <c r="A446" i="14"/>
  <c r="B445" i="14"/>
  <c r="A445" i="14"/>
  <c r="B444" i="14"/>
  <c r="A444" i="14"/>
  <c r="B443" i="14"/>
  <c r="A443" i="14"/>
  <c r="B442" i="14"/>
  <c r="A442" i="14"/>
  <c r="B441" i="14"/>
  <c r="A441" i="14"/>
  <c r="B440" i="14"/>
  <c r="A440" i="14"/>
  <c r="B439" i="14"/>
  <c r="A439" i="14"/>
  <c r="B438" i="14"/>
  <c r="A438" i="14"/>
  <c r="B437" i="14"/>
  <c r="A437" i="14"/>
  <c r="B436" i="14"/>
  <c r="A436" i="14"/>
  <c r="B435" i="14"/>
  <c r="A435" i="14"/>
  <c r="B434" i="14"/>
  <c r="A434" i="14"/>
  <c r="B433" i="14"/>
  <c r="A433" i="14"/>
  <c r="B432" i="14"/>
  <c r="A432" i="14"/>
  <c r="B431" i="14"/>
  <c r="A431" i="14"/>
  <c r="B430" i="14"/>
  <c r="A430" i="14"/>
  <c r="B429" i="14"/>
  <c r="A429" i="14"/>
  <c r="B428" i="14"/>
  <c r="A428" i="14"/>
  <c r="B427" i="14"/>
  <c r="A427" i="14"/>
  <c r="B426" i="14"/>
  <c r="A426" i="14"/>
  <c r="B425" i="14"/>
  <c r="A425" i="14"/>
  <c r="B424" i="14"/>
  <c r="A424" i="14"/>
  <c r="B423" i="14"/>
  <c r="A423" i="14"/>
  <c r="B422" i="14"/>
  <c r="A422" i="14"/>
  <c r="B421" i="14"/>
  <c r="A421" i="14"/>
  <c r="B420" i="14"/>
  <c r="A420" i="14"/>
  <c r="B419" i="14"/>
  <c r="A419" i="14"/>
  <c r="B418" i="14"/>
  <c r="A418" i="14"/>
  <c r="B417" i="14"/>
  <c r="A417" i="14"/>
  <c r="B416" i="14"/>
  <c r="A416" i="14"/>
  <c r="B415" i="14"/>
  <c r="A415" i="14"/>
  <c r="B414" i="14"/>
  <c r="A414" i="14"/>
  <c r="B413" i="14"/>
  <c r="A413" i="14"/>
  <c r="B412" i="14"/>
  <c r="A412" i="14"/>
  <c r="B411" i="14"/>
  <c r="A411" i="14"/>
  <c r="B410" i="14"/>
  <c r="A410" i="14"/>
  <c r="B409" i="14"/>
  <c r="A409" i="14"/>
  <c r="B408" i="14"/>
  <c r="A408" i="14"/>
  <c r="B407" i="14"/>
  <c r="A407" i="14"/>
  <c r="B406" i="14"/>
  <c r="A406" i="14"/>
  <c r="B405" i="14"/>
  <c r="A405" i="14"/>
  <c r="B404" i="14"/>
  <c r="A404" i="14"/>
  <c r="B403" i="14"/>
  <c r="A403" i="14"/>
  <c r="B402" i="14"/>
  <c r="A402" i="14"/>
  <c r="B401" i="14"/>
  <c r="A401" i="14"/>
  <c r="B400" i="14"/>
  <c r="A400" i="14"/>
  <c r="B399" i="14"/>
  <c r="A399" i="14"/>
  <c r="B398" i="14"/>
  <c r="A398" i="14"/>
  <c r="B397" i="14"/>
  <c r="A397" i="14"/>
  <c r="B396" i="14"/>
  <c r="A396" i="14"/>
  <c r="B395" i="14"/>
  <c r="A395" i="14"/>
  <c r="B394" i="14"/>
  <c r="A394" i="14"/>
  <c r="B393" i="14"/>
  <c r="A393" i="14"/>
  <c r="B392" i="14"/>
  <c r="A392" i="14"/>
  <c r="B391" i="14"/>
  <c r="A391" i="14"/>
  <c r="B390" i="14"/>
  <c r="A390" i="14"/>
  <c r="B389" i="14"/>
  <c r="A389" i="14"/>
  <c r="B388" i="14"/>
  <c r="A388" i="14"/>
  <c r="B387" i="14"/>
  <c r="A387" i="14"/>
  <c r="B386" i="14"/>
  <c r="A386" i="14"/>
  <c r="B385" i="14"/>
  <c r="A385" i="14"/>
  <c r="B384" i="14"/>
  <c r="A384" i="14"/>
  <c r="B383" i="14"/>
  <c r="A383" i="14"/>
  <c r="B382" i="14"/>
  <c r="A382" i="14"/>
  <c r="B381" i="14"/>
  <c r="A381" i="14"/>
  <c r="B380" i="14"/>
  <c r="A380" i="14"/>
  <c r="B379" i="14"/>
  <c r="A379" i="14"/>
  <c r="B378" i="14"/>
  <c r="A378" i="14"/>
  <c r="B377" i="14"/>
  <c r="A377" i="14"/>
  <c r="B376" i="14"/>
  <c r="A376" i="14"/>
  <c r="B375" i="14"/>
  <c r="A375" i="14"/>
  <c r="B374" i="14"/>
  <c r="A374" i="14"/>
  <c r="B373" i="14"/>
  <c r="A373" i="14"/>
  <c r="B372" i="14"/>
  <c r="A372" i="14"/>
  <c r="B371" i="14"/>
  <c r="A371" i="14"/>
  <c r="B370" i="14"/>
  <c r="A370" i="14"/>
  <c r="B369" i="14"/>
  <c r="A369" i="14"/>
  <c r="B368" i="14"/>
  <c r="A368" i="14"/>
  <c r="B367" i="14"/>
  <c r="A367" i="14"/>
  <c r="B366" i="14"/>
  <c r="A366" i="14"/>
  <c r="B365" i="14"/>
  <c r="A365" i="14"/>
  <c r="B364" i="14"/>
  <c r="A364" i="14"/>
  <c r="B363" i="14"/>
  <c r="A363" i="14"/>
  <c r="B362" i="14"/>
  <c r="A362" i="14"/>
  <c r="B361" i="14"/>
  <c r="A361" i="14"/>
  <c r="B360" i="14"/>
  <c r="A360" i="14"/>
  <c r="B359" i="14"/>
  <c r="A359" i="14"/>
  <c r="B358" i="14"/>
  <c r="A358" i="14"/>
  <c r="B357" i="14"/>
  <c r="A357" i="14"/>
  <c r="B356" i="14"/>
  <c r="A356" i="14"/>
  <c r="B355" i="14"/>
  <c r="A355" i="14"/>
  <c r="B354" i="14"/>
  <c r="A354" i="14"/>
  <c r="B353" i="14"/>
  <c r="A353" i="14"/>
  <c r="B352" i="14"/>
  <c r="A352" i="14"/>
  <c r="B351" i="14"/>
  <c r="A351" i="14"/>
  <c r="B350" i="14"/>
  <c r="A350" i="14"/>
  <c r="B349" i="14"/>
  <c r="A349" i="14"/>
  <c r="B348" i="14"/>
  <c r="A348" i="14"/>
  <c r="B347" i="14"/>
  <c r="A347" i="14"/>
  <c r="B346" i="14"/>
  <c r="A346" i="14"/>
  <c r="B345" i="14"/>
  <c r="A345" i="14"/>
  <c r="B344" i="14"/>
  <c r="A344" i="14"/>
  <c r="B343" i="14"/>
  <c r="A343" i="14"/>
  <c r="B342" i="14"/>
  <c r="A342" i="14"/>
  <c r="B341" i="14"/>
  <c r="A341" i="14"/>
  <c r="B340" i="14"/>
  <c r="A340" i="14"/>
  <c r="B339" i="14"/>
  <c r="A339" i="14"/>
  <c r="B338" i="14"/>
  <c r="A338" i="14"/>
  <c r="B337" i="14"/>
  <c r="A337" i="14"/>
  <c r="B336" i="14"/>
  <c r="A336" i="14"/>
  <c r="B335" i="14"/>
  <c r="A335" i="14"/>
  <c r="B334" i="14"/>
  <c r="A334" i="14"/>
  <c r="B333" i="14"/>
  <c r="A333" i="14"/>
  <c r="B332" i="14"/>
  <c r="A332" i="14"/>
  <c r="B331" i="14"/>
  <c r="A331" i="14"/>
  <c r="B330" i="14"/>
  <c r="A330" i="14"/>
  <c r="B329" i="14"/>
  <c r="A329" i="14"/>
  <c r="B328" i="14"/>
  <c r="A328" i="14"/>
  <c r="B327" i="14"/>
  <c r="A327" i="14"/>
  <c r="B326" i="14"/>
  <c r="A326" i="14"/>
  <c r="B325" i="14"/>
  <c r="A325" i="14"/>
  <c r="B324" i="14"/>
  <c r="A324" i="14"/>
  <c r="B323" i="14"/>
  <c r="A323" i="14"/>
  <c r="B322" i="14"/>
  <c r="A322" i="14"/>
  <c r="B321" i="14"/>
  <c r="A321" i="14"/>
  <c r="B320" i="14"/>
  <c r="A320" i="14"/>
  <c r="B319" i="14"/>
  <c r="A319" i="14"/>
  <c r="B318" i="14"/>
  <c r="A318" i="14"/>
  <c r="B317" i="14"/>
  <c r="A317" i="14"/>
  <c r="B316" i="14"/>
  <c r="A316" i="14"/>
  <c r="B315" i="14"/>
  <c r="A315" i="14"/>
  <c r="B314" i="14"/>
  <c r="A314" i="14"/>
  <c r="B313" i="14"/>
  <c r="A313" i="14"/>
  <c r="B312" i="14"/>
  <c r="A312" i="14"/>
  <c r="B311" i="14"/>
  <c r="A311" i="14"/>
  <c r="B310" i="14"/>
  <c r="A310" i="14"/>
  <c r="B309" i="14"/>
  <c r="A309" i="14"/>
  <c r="B308" i="14"/>
  <c r="A308" i="14"/>
  <c r="B307" i="14"/>
  <c r="A307" i="14"/>
  <c r="B306" i="14"/>
  <c r="A306" i="14"/>
  <c r="B305" i="14"/>
  <c r="A305" i="14"/>
  <c r="B304" i="14"/>
  <c r="A304" i="14"/>
  <c r="B303" i="14"/>
  <c r="A303" i="14"/>
  <c r="B302" i="14"/>
  <c r="A302" i="14"/>
  <c r="B301" i="14"/>
  <c r="A301" i="14"/>
  <c r="B300" i="14"/>
  <c r="A300" i="14"/>
  <c r="B299" i="14"/>
  <c r="A299" i="14"/>
  <c r="B298" i="14"/>
  <c r="A298" i="14"/>
  <c r="B297" i="14"/>
  <c r="A297" i="14"/>
  <c r="B296" i="14"/>
  <c r="A296" i="14"/>
  <c r="B295" i="14"/>
  <c r="A295" i="14"/>
  <c r="B294" i="14"/>
  <c r="A294" i="14"/>
  <c r="B293" i="14"/>
  <c r="A293" i="14"/>
  <c r="B292" i="14"/>
  <c r="A292" i="14"/>
  <c r="B291" i="14"/>
  <c r="A291" i="14"/>
  <c r="B290" i="14"/>
  <c r="A290" i="14"/>
  <c r="B289" i="14"/>
  <c r="A289" i="14"/>
  <c r="B288" i="14"/>
  <c r="A288" i="14"/>
  <c r="B287" i="14"/>
  <c r="A287" i="14"/>
  <c r="B286" i="14"/>
  <c r="A286" i="14"/>
  <c r="B285" i="14"/>
  <c r="A285" i="14"/>
  <c r="B284" i="14"/>
  <c r="A284" i="14"/>
  <c r="B283" i="14"/>
  <c r="A283" i="14"/>
  <c r="B282" i="14"/>
  <c r="A282" i="14"/>
  <c r="B281" i="14"/>
  <c r="A281" i="14"/>
  <c r="B280" i="14"/>
  <c r="A280" i="14"/>
  <c r="B279" i="14"/>
  <c r="A279" i="14"/>
  <c r="B278" i="14"/>
  <c r="A278" i="14"/>
  <c r="B277" i="14"/>
  <c r="A277" i="14"/>
  <c r="B276" i="14"/>
  <c r="A276" i="14"/>
  <c r="B275" i="14"/>
  <c r="A275" i="14"/>
  <c r="B274" i="14"/>
  <c r="A274" i="14"/>
  <c r="B273" i="14"/>
  <c r="A273" i="14"/>
  <c r="B272" i="14"/>
  <c r="A272" i="14"/>
  <c r="B271" i="14"/>
  <c r="A271" i="14"/>
  <c r="B270" i="14"/>
  <c r="A270" i="14"/>
  <c r="B269" i="14"/>
  <c r="A269" i="14"/>
  <c r="B268" i="14"/>
  <c r="A268" i="14"/>
  <c r="B267" i="14"/>
  <c r="A267" i="14"/>
  <c r="B266" i="14"/>
  <c r="A266" i="14"/>
  <c r="B265" i="14"/>
  <c r="A265" i="14"/>
  <c r="B264" i="14"/>
  <c r="A264" i="14"/>
  <c r="B263" i="14"/>
  <c r="A263" i="14"/>
  <c r="B262" i="14"/>
  <c r="A262" i="14"/>
  <c r="B261" i="14"/>
  <c r="A261" i="14"/>
  <c r="B260" i="14"/>
  <c r="A260" i="14"/>
  <c r="B259" i="14"/>
  <c r="A259" i="14"/>
  <c r="B258" i="14"/>
  <c r="A258" i="14"/>
  <c r="B257" i="14"/>
  <c r="A257" i="14"/>
  <c r="B256" i="14"/>
  <c r="A256" i="14"/>
  <c r="B255" i="14"/>
  <c r="A255" i="14"/>
  <c r="B254" i="14"/>
  <c r="A254" i="14"/>
  <c r="B253" i="14"/>
  <c r="A253" i="14"/>
  <c r="B252" i="14"/>
  <c r="A252" i="14"/>
  <c r="B251" i="14"/>
  <c r="A251" i="14"/>
  <c r="B250" i="14"/>
  <c r="A250" i="14"/>
  <c r="B249" i="14"/>
  <c r="A249" i="14"/>
  <c r="B248" i="14"/>
  <c r="A248" i="14"/>
  <c r="B247" i="14"/>
  <c r="A247" i="14"/>
  <c r="B246" i="14"/>
  <c r="A246" i="14"/>
  <c r="B245" i="14"/>
  <c r="A245" i="14"/>
  <c r="B244" i="14"/>
  <c r="A244" i="14"/>
  <c r="B243" i="14"/>
  <c r="A243" i="14"/>
  <c r="B242" i="14"/>
  <c r="A242" i="14"/>
  <c r="B241" i="14"/>
  <c r="A241" i="14"/>
  <c r="B240" i="14"/>
  <c r="A240" i="14"/>
  <c r="B239" i="14"/>
  <c r="A239" i="14"/>
  <c r="B238" i="14"/>
  <c r="A238" i="14"/>
  <c r="B237" i="14"/>
  <c r="A237" i="14"/>
  <c r="B236" i="14"/>
  <c r="A236" i="14"/>
  <c r="B235" i="14"/>
  <c r="A235" i="14"/>
  <c r="B234" i="14"/>
  <c r="A234" i="14"/>
  <c r="B233" i="14"/>
  <c r="A233" i="14"/>
  <c r="B232" i="14"/>
  <c r="A232" i="14"/>
  <c r="B231" i="14"/>
  <c r="A231" i="14"/>
  <c r="B230" i="14"/>
  <c r="A230" i="14"/>
  <c r="B229" i="14"/>
  <c r="A229" i="14"/>
  <c r="B228" i="14"/>
  <c r="A228" i="14"/>
  <c r="B227" i="14"/>
  <c r="A227" i="14"/>
  <c r="B226" i="14"/>
  <c r="A226" i="14"/>
  <c r="B225" i="14"/>
  <c r="A225" i="14"/>
  <c r="B224" i="14"/>
  <c r="A224" i="14"/>
  <c r="B223" i="14"/>
  <c r="A223" i="14"/>
  <c r="B222" i="14"/>
  <c r="A222" i="14"/>
  <c r="B221" i="14"/>
  <c r="A221" i="14"/>
  <c r="B220" i="14"/>
  <c r="A220" i="14"/>
  <c r="B219" i="14"/>
  <c r="A219" i="14"/>
  <c r="B218" i="14"/>
  <c r="A218" i="14"/>
  <c r="B217" i="14"/>
  <c r="A217" i="14"/>
  <c r="B216" i="14"/>
  <c r="A216" i="14"/>
  <c r="B215" i="14"/>
  <c r="A215" i="14"/>
  <c r="B214" i="14"/>
  <c r="A214" i="14"/>
  <c r="B213" i="14"/>
  <c r="A213" i="14"/>
  <c r="B212" i="14"/>
  <c r="A212" i="14"/>
  <c r="B211" i="14"/>
  <c r="A211" i="14"/>
  <c r="B210" i="14"/>
  <c r="A210" i="14"/>
  <c r="B209" i="14"/>
  <c r="A209" i="14"/>
  <c r="B208" i="14"/>
  <c r="A208" i="14"/>
  <c r="B207" i="14"/>
  <c r="A207" i="14"/>
  <c r="B206" i="14"/>
  <c r="A206" i="14"/>
  <c r="B205" i="14"/>
  <c r="A205" i="14"/>
  <c r="B204" i="14"/>
  <c r="A204" i="14"/>
  <c r="B203" i="14"/>
  <c r="A203" i="14"/>
  <c r="B202" i="14"/>
  <c r="A202" i="14"/>
  <c r="B201" i="14"/>
  <c r="A201" i="14"/>
  <c r="B200" i="14"/>
  <c r="A200" i="14"/>
  <c r="B199" i="14"/>
  <c r="A199" i="14"/>
  <c r="B198" i="14"/>
  <c r="A198" i="14"/>
  <c r="B197" i="14"/>
  <c r="A197" i="14"/>
  <c r="B196" i="14"/>
  <c r="A196" i="14"/>
  <c r="B195" i="14"/>
  <c r="A195" i="14"/>
  <c r="B194" i="14"/>
  <c r="A194" i="14"/>
  <c r="B193" i="14"/>
  <c r="A193" i="14"/>
  <c r="B192" i="14"/>
  <c r="A192" i="14"/>
  <c r="B191" i="14"/>
  <c r="A191" i="14"/>
  <c r="B190" i="14"/>
  <c r="A190" i="14"/>
  <c r="B189" i="14"/>
  <c r="A189" i="14"/>
  <c r="B188" i="14"/>
  <c r="A188" i="14"/>
  <c r="B187" i="14"/>
  <c r="A187" i="14"/>
  <c r="B186" i="14"/>
  <c r="A186" i="14"/>
  <c r="B185" i="14"/>
  <c r="A185" i="14"/>
  <c r="B184" i="14"/>
  <c r="A184" i="14"/>
  <c r="B183" i="14"/>
  <c r="A183" i="14"/>
  <c r="B182" i="14"/>
  <c r="A182" i="14"/>
  <c r="B181" i="14"/>
  <c r="A181" i="14"/>
  <c r="B180" i="14"/>
  <c r="A180" i="14"/>
  <c r="B179" i="14"/>
  <c r="A179" i="14"/>
  <c r="B178" i="14"/>
  <c r="A178" i="14"/>
  <c r="B177" i="14"/>
  <c r="A177" i="14"/>
  <c r="B176" i="14"/>
  <c r="A176" i="14"/>
  <c r="B175" i="14"/>
  <c r="A175" i="14"/>
  <c r="B174" i="14"/>
  <c r="A174" i="14"/>
  <c r="B173" i="14"/>
  <c r="A173" i="14"/>
  <c r="B172" i="14"/>
  <c r="A172" i="14"/>
  <c r="B171" i="14"/>
  <c r="A171" i="14"/>
  <c r="B170" i="14"/>
  <c r="A170" i="14"/>
  <c r="B169" i="14"/>
  <c r="A169" i="14"/>
  <c r="B168" i="14"/>
  <c r="A168" i="14"/>
  <c r="B167" i="14"/>
  <c r="A167" i="14"/>
  <c r="B166" i="14"/>
  <c r="A166" i="14"/>
  <c r="B165" i="14"/>
  <c r="A165" i="14"/>
  <c r="B164" i="14"/>
  <c r="A164" i="14"/>
  <c r="B163" i="14"/>
  <c r="A163" i="14"/>
  <c r="B162" i="14"/>
  <c r="A162" i="14"/>
  <c r="B161" i="14"/>
  <c r="A161" i="14"/>
  <c r="B160" i="14"/>
  <c r="A160" i="14"/>
  <c r="B159" i="14"/>
  <c r="A159" i="14"/>
  <c r="B158" i="14"/>
  <c r="A158" i="14"/>
  <c r="B157" i="14"/>
  <c r="A157" i="14"/>
  <c r="B156" i="14"/>
  <c r="A156" i="14"/>
  <c r="B155" i="14"/>
  <c r="A155" i="14"/>
  <c r="B154" i="14"/>
  <c r="A154" i="14"/>
  <c r="B153" i="14"/>
  <c r="A153" i="14"/>
  <c r="B152" i="14"/>
  <c r="A152" i="14"/>
  <c r="B151" i="14"/>
  <c r="A151" i="14"/>
  <c r="B150" i="14"/>
  <c r="A150" i="14"/>
  <c r="B149" i="14"/>
  <c r="A149" i="14"/>
  <c r="B148" i="14"/>
  <c r="A148" i="14"/>
  <c r="B147" i="14"/>
  <c r="A147" i="14"/>
  <c r="B146" i="14"/>
  <c r="A146" i="14"/>
  <c r="B145" i="14"/>
  <c r="A145" i="14"/>
  <c r="B144" i="14"/>
  <c r="A144" i="14"/>
  <c r="B143" i="14"/>
  <c r="A143" i="14"/>
  <c r="B142" i="14"/>
  <c r="A142" i="14"/>
  <c r="B141" i="14"/>
  <c r="A141" i="14"/>
  <c r="B140" i="14"/>
  <c r="A140" i="14"/>
  <c r="B139" i="14"/>
  <c r="A139" i="14"/>
  <c r="B138" i="14"/>
  <c r="A138" i="14"/>
  <c r="B137" i="14"/>
  <c r="A137" i="14"/>
  <c r="B136" i="14"/>
  <c r="A136" i="14"/>
  <c r="B135" i="14"/>
  <c r="A135" i="14"/>
  <c r="B134" i="14"/>
  <c r="A134" i="14"/>
  <c r="B133" i="14"/>
  <c r="A133" i="14"/>
  <c r="B132" i="14"/>
  <c r="A132" i="14"/>
  <c r="B131" i="14"/>
  <c r="A131" i="14"/>
  <c r="B130" i="14"/>
  <c r="A130" i="14"/>
  <c r="B129" i="14"/>
  <c r="A129" i="14"/>
  <c r="B128" i="14"/>
  <c r="A128" i="14"/>
  <c r="B127" i="14"/>
  <c r="A127" i="14"/>
  <c r="B126" i="14"/>
  <c r="A126" i="14"/>
  <c r="B125" i="14"/>
  <c r="A125" i="14"/>
  <c r="B124" i="14"/>
  <c r="A124" i="14"/>
  <c r="B123" i="14"/>
  <c r="A123" i="14"/>
  <c r="B122" i="14"/>
  <c r="A122" i="14"/>
  <c r="B121" i="14"/>
  <c r="A121" i="14"/>
  <c r="B120" i="14"/>
  <c r="A120" i="14"/>
  <c r="B119" i="14"/>
  <c r="A119" i="14"/>
  <c r="B118" i="14"/>
  <c r="A118" i="14"/>
  <c r="B117" i="14"/>
  <c r="A117" i="14"/>
  <c r="B116" i="14"/>
  <c r="A116" i="14"/>
  <c r="B115" i="14"/>
  <c r="A115" i="14"/>
  <c r="B114" i="14"/>
  <c r="A114" i="14"/>
  <c r="B113" i="14"/>
  <c r="A113" i="14"/>
  <c r="B112" i="14"/>
  <c r="A112" i="14"/>
  <c r="B111" i="14"/>
  <c r="A111" i="14"/>
  <c r="B110" i="14"/>
  <c r="A110" i="14"/>
  <c r="B109" i="14"/>
  <c r="A109" i="14"/>
  <c r="B108" i="14"/>
  <c r="A108" i="14"/>
  <c r="B107" i="14"/>
  <c r="A107" i="14"/>
  <c r="B106" i="14"/>
  <c r="A106" i="14"/>
  <c r="B105" i="14"/>
  <c r="A105" i="14"/>
  <c r="B104" i="14"/>
  <c r="A104" i="14"/>
  <c r="B103" i="14"/>
  <c r="A103" i="14"/>
  <c r="B102" i="14"/>
  <c r="A102" i="14"/>
  <c r="B101" i="14"/>
  <c r="A101" i="14"/>
  <c r="B100" i="14"/>
  <c r="A100" i="14"/>
  <c r="B99" i="14"/>
  <c r="A99" i="14"/>
  <c r="B98" i="14"/>
  <c r="A98" i="14"/>
  <c r="B97" i="14"/>
  <c r="A97" i="14"/>
  <c r="B96" i="14"/>
  <c r="A96" i="14"/>
  <c r="B95" i="14"/>
  <c r="A95" i="14"/>
  <c r="B94" i="14"/>
  <c r="A94" i="14"/>
  <c r="B93" i="14"/>
  <c r="A93" i="14"/>
  <c r="B92" i="14"/>
  <c r="A92" i="14"/>
  <c r="B91" i="14"/>
  <c r="A91" i="14"/>
  <c r="B90" i="14"/>
  <c r="A90" i="14"/>
  <c r="B89" i="14"/>
  <c r="A89" i="14"/>
  <c r="B88" i="14"/>
  <c r="A88" i="14"/>
  <c r="B87" i="14"/>
  <c r="A87" i="14"/>
  <c r="B86" i="14"/>
  <c r="A86" i="14"/>
  <c r="B85" i="14"/>
  <c r="A85" i="14"/>
  <c r="B84" i="14"/>
  <c r="A84" i="14"/>
  <c r="B83" i="14"/>
  <c r="A83" i="14"/>
  <c r="B82" i="14"/>
  <c r="A82" i="14"/>
  <c r="B81" i="14"/>
  <c r="A81" i="14"/>
  <c r="B80" i="14"/>
  <c r="A80" i="14"/>
  <c r="B79" i="14"/>
  <c r="A79" i="14"/>
  <c r="B78" i="14"/>
  <c r="A78" i="14"/>
  <c r="B77" i="14"/>
  <c r="A77" i="14"/>
  <c r="B76" i="14"/>
  <c r="A76" i="14"/>
  <c r="B75" i="14"/>
  <c r="A75" i="14"/>
  <c r="B74" i="14"/>
  <c r="A74" i="14"/>
  <c r="B73" i="14"/>
  <c r="A73" i="14"/>
  <c r="B72" i="14"/>
  <c r="A72" i="14"/>
  <c r="B71" i="14"/>
  <c r="A71" i="14"/>
  <c r="B70" i="14"/>
  <c r="A70" i="14"/>
  <c r="B69" i="14"/>
  <c r="A69" i="14"/>
  <c r="B68" i="14"/>
  <c r="A68" i="14"/>
  <c r="B67" i="14"/>
  <c r="A67" i="14"/>
  <c r="B66" i="14"/>
  <c r="A66" i="14"/>
  <c r="B65" i="14"/>
  <c r="A65" i="14"/>
  <c r="B64" i="14"/>
  <c r="A64" i="14"/>
  <c r="B63" i="14"/>
  <c r="A63" i="14"/>
  <c r="B62" i="14"/>
  <c r="A62" i="14"/>
  <c r="B61" i="14"/>
  <c r="A61" i="14"/>
  <c r="B60" i="14"/>
  <c r="A60" i="14"/>
  <c r="B59" i="14"/>
  <c r="A59" i="14"/>
  <c r="B58" i="14"/>
  <c r="A58" i="14"/>
  <c r="B57" i="14"/>
  <c r="A57" i="14"/>
  <c r="B56" i="14"/>
  <c r="A56" i="14"/>
  <c r="B55" i="14"/>
  <c r="A55" i="14"/>
  <c r="B54" i="14"/>
  <c r="A54" i="14"/>
  <c r="B53" i="14"/>
  <c r="A53" i="14"/>
  <c r="B52" i="14"/>
  <c r="A52" i="14"/>
  <c r="B51" i="14"/>
  <c r="A51" i="14"/>
  <c r="B50" i="14"/>
  <c r="A50" i="14"/>
  <c r="B49" i="14"/>
  <c r="A49" i="14"/>
  <c r="B48" i="14"/>
  <c r="A48" i="14"/>
  <c r="B47" i="14"/>
  <c r="A47" i="14"/>
  <c r="B46" i="14"/>
  <c r="A46" i="14"/>
  <c r="B45" i="14"/>
  <c r="A45" i="14"/>
  <c r="B44" i="14"/>
  <c r="A44" i="14"/>
  <c r="B43" i="14"/>
  <c r="A43" i="14"/>
  <c r="B42" i="14"/>
  <c r="A42" i="14"/>
  <c r="B41" i="14"/>
  <c r="A41" i="14"/>
  <c r="B40" i="14"/>
  <c r="A40" i="14"/>
  <c r="B39" i="14"/>
  <c r="A39" i="14"/>
  <c r="B38" i="14"/>
  <c r="A38" i="14"/>
  <c r="B37" i="14"/>
  <c r="A37" i="14"/>
  <c r="B36" i="14"/>
  <c r="A36" i="14"/>
  <c r="B35" i="14"/>
  <c r="A35" i="14"/>
  <c r="B34" i="14"/>
  <c r="A34" i="14"/>
  <c r="B33" i="14"/>
  <c r="A33" i="14"/>
  <c r="B32" i="14"/>
  <c r="A32" i="14"/>
  <c r="B31" i="14"/>
  <c r="A31" i="14"/>
  <c r="B30" i="14"/>
  <c r="A30" i="14"/>
  <c r="B29" i="14"/>
  <c r="A29" i="14"/>
  <c r="B28" i="14"/>
  <c r="A28" i="14"/>
  <c r="B27" i="14"/>
  <c r="A27" i="14"/>
  <c r="B26" i="14"/>
  <c r="A26" i="14"/>
  <c r="B25" i="14"/>
  <c r="A25" i="14"/>
  <c r="B24" i="14"/>
  <c r="A24" i="14"/>
  <c r="B23" i="14"/>
  <c r="A23" i="14"/>
  <c r="B22" i="14"/>
  <c r="A22" i="14"/>
  <c r="B21" i="14"/>
  <c r="A21" i="14"/>
  <c r="B20" i="14"/>
  <c r="A20" i="14"/>
  <c r="B19" i="14"/>
  <c r="A19" i="14"/>
  <c r="B18" i="14"/>
  <c r="A18" i="14"/>
  <c r="B17" i="14"/>
  <c r="A17" i="14"/>
  <c r="B16" i="14"/>
  <c r="A16" i="14"/>
  <c r="B15" i="14"/>
  <c r="A15" i="14"/>
  <c r="B14" i="14"/>
  <c r="A14" i="14"/>
  <c r="B13" i="14"/>
  <c r="A13" i="14"/>
  <c r="B12" i="14"/>
  <c r="A12" i="14"/>
  <c r="B11" i="14"/>
  <c r="A11" i="14"/>
  <c r="B10" i="14"/>
  <c r="A10" i="14"/>
  <c r="B9" i="14"/>
  <c r="A9" i="14"/>
  <c r="B8" i="14"/>
  <c r="A8" i="14"/>
  <c r="B7" i="14"/>
  <c r="A7" i="14"/>
  <c r="B6" i="14"/>
  <c r="A6" i="14"/>
  <c r="B5" i="14"/>
  <c r="A5" i="14"/>
  <c r="B4" i="14"/>
  <c r="A4" i="14"/>
  <c r="B3" i="14"/>
  <c r="A3" i="14"/>
  <c r="B2" i="14"/>
  <c r="A2" i="14"/>
</calcChain>
</file>

<file path=xl/sharedStrings.xml><?xml version="1.0" encoding="utf-8"?>
<sst xmlns="http://schemas.openxmlformats.org/spreadsheetml/2006/main" count="92281" uniqueCount="21544">
  <si>
    <t>Construction Drillers</t>
  </si>
  <si>
    <t>47-5021.02</t>
  </si>
  <si>
    <t>Well &amp; Core Drill Operators</t>
  </si>
  <si>
    <t>Explosives Workers, Ordnance Handling Experts, &amp; Blasters</t>
  </si>
  <si>
    <t>47-5031</t>
  </si>
  <si>
    <t>47-5031.00</t>
  </si>
  <si>
    <t>Mining Machine Operators</t>
  </si>
  <si>
    <t>47-5040</t>
  </si>
  <si>
    <t>47-5040.00</t>
  </si>
  <si>
    <t>47-5041</t>
  </si>
  <si>
    <t>Continuous Mining Machine Operators</t>
  </si>
  <si>
    <t>47-5041.00</t>
  </si>
  <si>
    <t>47-5042</t>
  </si>
  <si>
    <t>Mine Cutting &amp; Channeling Machine Operators</t>
  </si>
  <si>
    <t>47-5042.00</t>
  </si>
  <si>
    <t>47-5049</t>
  </si>
  <si>
    <t>Mining Machine Operators, All Other</t>
  </si>
  <si>
    <t>47-5049.00</t>
  </si>
  <si>
    <t>47-5051</t>
  </si>
  <si>
    <t>Rock Splitters, Quarry</t>
  </si>
  <si>
    <t>47-5051.00</t>
  </si>
  <si>
    <t>Roof Bolters, Mining</t>
  </si>
  <si>
    <t>47-5061</t>
  </si>
  <si>
    <t>47-5061.00</t>
  </si>
  <si>
    <t>Roustabouts, Oil &amp; Gas</t>
  </si>
  <si>
    <t>47-5071</t>
  </si>
  <si>
    <t>47-5071.00</t>
  </si>
  <si>
    <t>Helpers--Extraction Workers</t>
  </si>
  <si>
    <t>47-5081</t>
  </si>
  <si>
    <t>47-5081.00</t>
  </si>
  <si>
    <t>Other Extraction Workers</t>
  </si>
  <si>
    <t>47-5099</t>
  </si>
  <si>
    <t>Extraction Workers, All Other</t>
  </si>
  <si>
    <t>47-5099.00</t>
  </si>
  <si>
    <t>First-Line Supervisors/Managers of Mechanics, Installers, &amp; Repairers</t>
  </si>
  <si>
    <t>49-1011</t>
  </si>
  <si>
    <t>49-1011.00</t>
  </si>
  <si>
    <t>Computer, Automated Teller, &amp; Office Machine Repairers</t>
  </si>
  <si>
    <t>49-2011</t>
  </si>
  <si>
    <t>49-2011.00</t>
  </si>
  <si>
    <t>Business Machine Repair</t>
  </si>
  <si>
    <t>49-2011.01</t>
  </si>
  <si>
    <t>Automatic Teller Machine Servicers</t>
  </si>
  <si>
    <t>49-2011.02</t>
  </si>
  <si>
    <t>Data Processing Equipment Repairers</t>
  </si>
  <si>
    <t>49-2011.03</t>
  </si>
  <si>
    <t>Office Machine &amp; Cash Register Servicers</t>
  </si>
  <si>
    <t>Computer Installation &amp; Repair Technology/Technician</t>
  </si>
  <si>
    <t>Radio &amp; Telecommunications Equipment Installers &amp; Repairers</t>
  </si>
  <si>
    <t>49-2020</t>
  </si>
  <si>
    <t>49-2020.00</t>
  </si>
  <si>
    <t>49-2021</t>
  </si>
  <si>
    <t>Radio Mechanics</t>
  </si>
  <si>
    <t>49-2021.00</t>
  </si>
  <si>
    <t>49-2022</t>
  </si>
  <si>
    <t>Telecommunications Equipment Installers &amp; Repairers, Except Line Installers</t>
  </si>
  <si>
    <t>49-2022.00</t>
  </si>
  <si>
    <t>49-2022.01</t>
  </si>
  <si>
    <t>Central Office &amp; PBX Installers &amp; Repairers</t>
  </si>
  <si>
    <t>49-2022.02</t>
  </si>
  <si>
    <t>Frame Wirers, Central Office</t>
  </si>
  <si>
    <t>49-2022.03</t>
  </si>
  <si>
    <t>Communication Equipment Mechanics, Installers, &amp; Repairers</t>
  </si>
  <si>
    <t>49-2022.04</t>
  </si>
  <si>
    <t>Telecommunications Facility Examiners</t>
  </si>
  <si>
    <t>49-2022.05</t>
  </si>
  <si>
    <t>Station Installers &amp; Repairers, Telephone</t>
  </si>
  <si>
    <t>Avionics Technicians</t>
  </si>
  <si>
    <t>49-2091</t>
  </si>
  <si>
    <t>49-2091.00</t>
  </si>
  <si>
    <t>Airframe Mechanics &amp; Aircraft Maintenance Technology/Technician</t>
  </si>
  <si>
    <t>Avionics Maintenance &amp; Technology/Technician</t>
  </si>
  <si>
    <t>49-2092</t>
  </si>
  <si>
    <t>Electric Motor, Power Tool, &amp; Related Repairers</t>
  </si>
  <si>
    <t>49-2092.00</t>
  </si>
  <si>
    <t>Electrical/Electronics Equipment Installation &amp; Repair, General</t>
  </si>
  <si>
    <t>49-2092.01</t>
  </si>
  <si>
    <t>Electric Home Appliance &amp; Power Tool Repairers</t>
  </si>
  <si>
    <t>49-2092.02</t>
  </si>
  <si>
    <t>Electric Motor &amp; Switch Assemblers &amp; Repairers</t>
  </si>
  <si>
    <t>49-2092.03</t>
  </si>
  <si>
    <t>Battery Repairers</t>
  </si>
  <si>
    <t>49-2092.04</t>
  </si>
  <si>
    <t>Transformer Repairers</t>
  </si>
  <si>
    <t>49-2092.05</t>
  </si>
  <si>
    <t>Electrical Parts Reconditioners</t>
  </si>
  <si>
    <t>49-2092.06</t>
  </si>
  <si>
    <t>Hand &amp; Portable Power Tool Repairers</t>
  </si>
  <si>
    <t>Electrical &amp; Electronics Installers &amp; Repairers, Transportation Equipment</t>
  </si>
  <si>
    <t>49-2093</t>
  </si>
  <si>
    <t>49-2093.00</t>
  </si>
  <si>
    <t>Automobile/Automotive Mechanics/Technology/Technician</t>
  </si>
  <si>
    <t>Electrical &amp; Electronics Repairers, Industrial &amp; Utility</t>
  </si>
  <si>
    <t>49-2094</t>
  </si>
  <si>
    <t>Electrical &amp; Electronics Repairers, Commercial &amp; Industrial Equipment</t>
  </si>
  <si>
    <t>49-2094.00</t>
  </si>
  <si>
    <t>49-2095</t>
  </si>
  <si>
    <t>Electrical &amp; Electronics Repairers, Powerhouse, Substation, &amp; Relay</t>
  </si>
  <si>
    <t>49-2095.00</t>
  </si>
  <si>
    <t>Electronic Equipment Installers &amp; Repairers, Motor Vehicles</t>
  </si>
  <si>
    <t>49-2096</t>
  </si>
  <si>
    <t>49-2096.00</t>
  </si>
  <si>
    <t>Electronic Home Entertainment Equipment Installers &amp; Repairers</t>
  </si>
  <si>
    <t>49-2097</t>
  </si>
  <si>
    <t>49-2097.00</t>
  </si>
  <si>
    <t>Security &amp; Fire Alarm Systems Installers</t>
  </si>
  <si>
    <t>49-2098</t>
  </si>
  <si>
    <t>49-2098.00</t>
  </si>
  <si>
    <t>Security System Installation, Repair, &amp; Inspection Technology/Technician  (New)</t>
  </si>
  <si>
    <t>Aircraft Mechanics &amp; Service Technicians</t>
  </si>
  <si>
    <t>49-3011</t>
  </si>
  <si>
    <t>49-3011.00</t>
  </si>
  <si>
    <t>Agricultural Mechanics &amp; Equipment/Machine Technology (New)</t>
  </si>
  <si>
    <t>49-3011.01</t>
  </si>
  <si>
    <t>Airframe-and-Power-Plant Mechanics</t>
  </si>
  <si>
    <t>49-3011.02</t>
  </si>
  <si>
    <t>Aircraft Engine Specialists</t>
  </si>
  <si>
    <t>49-3011.03</t>
  </si>
  <si>
    <t>Aircraft Body &amp; Bonded Structure Repairers</t>
  </si>
  <si>
    <t>Automotive Body &amp; Related Repairers</t>
  </si>
  <si>
    <t>49-3021</t>
  </si>
  <si>
    <t>49-3021.00</t>
  </si>
  <si>
    <t>Autobody/Collision &amp; Repair Technology &amp; Technician</t>
  </si>
  <si>
    <t>Automotive Glass Installers &amp; Repairers</t>
  </si>
  <si>
    <t>49-3022</t>
  </si>
  <si>
    <t>49-3022.00</t>
  </si>
  <si>
    <t>Automotive Service Technicians &amp; Mechanics</t>
  </si>
  <si>
    <t>49-3023</t>
  </si>
  <si>
    <t>49-3023.00</t>
  </si>
  <si>
    <t>Vehicle Emissions Inspection &amp; Maintenance Technology/Technician  (New)</t>
  </si>
  <si>
    <t>Medium/Heavy Vehicle &amp; Truck Technology/Technician  (New)</t>
  </si>
  <si>
    <t>Alternative Fuel Vehicle Technology/Technician  (New)</t>
  </si>
  <si>
    <t>49-3023.01</t>
  </si>
  <si>
    <t>Automotive Master Mechanics</t>
  </si>
  <si>
    <t>49-3023.02</t>
  </si>
  <si>
    <t>Automotive Specialty Technicians</t>
  </si>
  <si>
    <t>Bus &amp; Truck Mechanics &amp; Diesel Engine Specialists</t>
  </si>
  <si>
    <t>49-3031</t>
  </si>
  <si>
    <t>49-3031.00</t>
  </si>
  <si>
    <t>Heavy Vehicle &amp; Mobile Equipment Service Technicians &amp; Mechanics</t>
  </si>
  <si>
    <t>49-3040</t>
  </si>
  <si>
    <t>49-3040.00</t>
  </si>
  <si>
    <t>49-3041</t>
  </si>
  <si>
    <t>Farm Equipment Mechanics</t>
  </si>
  <si>
    <t>49-3041.00</t>
  </si>
  <si>
    <t>49-3042</t>
  </si>
  <si>
    <t>Mobile Heavy Equipment Mechanics, Except Engines</t>
  </si>
  <si>
    <t>49-3042.00</t>
  </si>
  <si>
    <t>Heavy Equipment Maintenance/Technology/Technician</t>
  </si>
  <si>
    <t>49-3043</t>
  </si>
  <si>
    <t>Rail Car Repairers</t>
  </si>
  <si>
    <t>49-3043.00</t>
  </si>
  <si>
    <t>Small Engine Mechanics</t>
  </si>
  <si>
    <t>49-3050</t>
  </si>
  <si>
    <t>49-3050.00</t>
  </si>
  <si>
    <t>49-3051</t>
  </si>
  <si>
    <t>Motorboat Mechanics</t>
  </si>
  <si>
    <t>49-3051.00</t>
  </si>
  <si>
    <t>Small Engine Mechanics &amp; Repair Technology</t>
  </si>
  <si>
    <t>Marine Maintenance/Fitter &amp; Ship Repair Technology  (New)</t>
  </si>
  <si>
    <t>49-3052</t>
  </si>
  <si>
    <t>Motorcycle Mechanics</t>
  </si>
  <si>
    <t>49-3052.00</t>
  </si>
  <si>
    <t>Motorcycle Maintenance &amp;  Repair Technology/Technician</t>
  </si>
  <si>
    <t>49-3053</t>
  </si>
  <si>
    <t>Outdoor Power Equipment &amp; Other Small Engine Mechanics</t>
  </si>
  <si>
    <t>49-3053.00</t>
  </si>
  <si>
    <t>Miscellaneous Vehicle &amp; Mobile Equipment Mechanics, Installers, &amp; Repairers</t>
  </si>
  <si>
    <t>49-3090</t>
  </si>
  <si>
    <t>49-3090.00</t>
  </si>
  <si>
    <t>49-3091</t>
  </si>
  <si>
    <t>Bicycle Repairers</t>
  </si>
  <si>
    <t>49-3091.00</t>
  </si>
  <si>
    <t>Bicycle Mechanics &amp; Repair</t>
  </si>
  <si>
    <t>49-3092</t>
  </si>
  <si>
    <t>Recreational Vehicle Service Technicians</t>
  </si>
  <si>
    <t>49-3092.00</t>
  </si>
  <si>
    <t>Vehicle Maintenance &amp; Repair Technologies, Other</t>
  </si>
  <si>
    <t>49-3093</t>
  </si>
  <si>
    <t>Tire Repairers &amp; Changers</t>
  </si>
  <si>
    <t>49-3093.00</t>
  </si>
  <si>
    <t>49-3099</t>
  </si>
  <si>
    <t>All Other Vehicle &amp; Mobile Equipment Mechanics, Installers, &amp; Repairers</t>
  </si>
  <si>
    <t>No comparable SOC</t>
  </si>
  <si>
    <t>49-3099.00</t>
  </si>
  <si>
    <t>Control &amp; Valve Installers &amp; Repairers</t>
  </si>
  <si>
    <t>49-9010</t>
  </si>
  <si>
    <t>49-9010.00</t>
  </si>
  <si>
    <t>49-9011</t>
  </si>
  <si>
    <t>Mechanical Door Repairers</t>
  </si>
  <si>
    <t>49-9011.00</t>
  </si>
  <si>
    <t>49-9012</t>
  </si>
  <si>
    <t>Control &amp; Valve Installers &amp; Repairers, Except Mechanical Door</t>
  </si>
  <si>
    <t>49-9012.00</t>
  </si>
  <si>
    <t>Electric Meter Installers &amp; Repairers</t>
  </si>
  <si>
    <t>49-9012.01</t>
  </si>
  <si>
    <t>Valve &amp; Regulator Repairers</t>
  </si>
  <si>
    <t>49-9012.02</t>
  </si>
  <si>
    <t>Meter Mechanics</t>
  </si>
  <si>
    <t>49-9012.03</t>
  </si>
  <si>
    <t>Heating, Air Conditioning, &amp; Refrigeration Mechanics &amp; Installers</t>
  </si>
  <si>
    <t>49-9021</t>
  </si>
  <si>
    <t>49-9021.00</t>
  </si>
  <si>
    <t>Heating, Air Conditioning &amp; Refrigeration Technology/Technician (ACH/ACR/ACHR/HRAC/HVAC/AC Technol</t>
  </si>
  <si>
    <t>Heating, Air Conditioning, Ventilation &amp; Refrigeration Maintenance Technology/Technician (HAC, HAC</t>
  </si>
  <si>
    <t>49-9021.01</t>
  </si>
  <si>
    <t>Heating &amp; Air Conditioning Mechanics</t>
  </si>
  <si>
    <t>Heating, Air Conditioning &amp; Refrigeration Technology/Technician</t>
  </si>
  <si>
    <t>Heating, Air Conditioning, Ventilation &amp; Refrigeration Maintenance Technology/Technician</t>
  </si>
  <si>
    <t>49-9021.02</t>
  </si>
  <si>
    <t>Refrigeration Mechanics</t>
  </si>
  <si>
    <t>Home Appliance Repairers</t>
  </si>
  <si>
    <t>49-9031</t>
  </si>
  <si>
    <t>49-9031.00</t>
  </si>
  <si>
    <t>Appliance Installation &amp; Repair Technology/Technician</t>
  </si>
  <si>
    <t>49-9031.01</t>
  </si>
  <si>
    <t>Home Appliance Installers</t>
  </si>
  <si>
    <t>49-9031.02</t>
  </si>
  <si>
    <t>Gas Appliance Repairers</t>
  </si>
  <si>
    <t>Industrial &amp; Refractory Machinery Mechanics</t>
  </si>
  <si>
    <t>49-9041</t>
  </si>
  <si>
    <t>Industrial Machinery Mechanics</t>
  </si>
  <si>
    <t>49-9041.00</t>
  </si>
  <si>
    <t>Millwrights</t>
  </si>
  <si>
    <t>49-9044</t>
  </si>
  <si>
    <t>49-9044.00</t>
  </si>
  <si>
    <t>49-9045</t>
  </si>
  <si>
    <t>Refractory Materials Repairers, Except Brickmasons</t>
  </si>
  <si>
    <t>49-9045.00</t>
  </si>
  <si>
    <t>Maintenance &amp; Repair Workers, General</t>
  </si>
  <si>
    <t>49-9042</t>
  </si>
  <si>
    <t>49-9042.00</t>
  </si>
  <si>
    <t>Maintenance Workers, Machinery</t>
  </si>
  <si>
    <t>49-9043</t>
  </si>
  <si>
    <t>49-9043.00</t>
  </si>
  <si>
    <t>Other Installation, Maintenance, &amp; Repair Workers</t>
  </si>
  <si>
    <t>49-9099</t>
  </si>
  <si>
    <t>Installation, Maintenance, &amp; Repair Workers, All Other</t>
  </si>
  <si>
    <t>49-9099.00</t>
  </si>
  <si>
    <t>Electrical Power-Line Installers &amp; Repairers</t>
  </si>
  <si>
    <t>49-9051</t>
  </si>
  <si>
    <t>49-9051.00</t>
  </si>
  <si>
    <t>Telecommunications Line Installers &amp; Repairers</t>
  </si>
  <si>
    <t>49-9052</t>
  </si>
  <si>
    <t>49-9052.00</t>
  </si>
  <si>
    <t>Precision Instrument &amp; Equipment Repairers</t>
  </si>
  <si>
    <t>49-9060</t>
  </si>
  <si>
    <t>49-9060.00</t>
  </si>
  <si>
    <t>49-9061</t>
  </si>
  <si>
    <t>Camera &amp; Photographic Equipment Repairers</t>
  </si>
  <si>
    <t>49-9061.00</t>
  </si>
  <si>
    <t>49-9062</t>
  </si>
  <si>
    <t>Medical Equipment Repairers</t>
  </si>
  <si>
    <t>49-9062.00</t>
  </si>
  <si>
    <t>49-9063</t>
  </si>
  <si>
    <t>Musical Instrument Repairers &amp; Tuners</t>
  </si>
  <si>
    <t>49-9063.00</t>
  </si>
  <si>
    <t>Musical Instrument Fabrication &amp; Repair</t>
  </si>
  <si>
    <t>49-9063.01</t>
  </si>
  <si>
    <t>Keyboard Instrument Repairers &amp; Tuners</t>
  </si>
  <si>
    <t>49-9063.02</t>
  </si>
  <si>
    <t>Stringed Instrument Repairers &amp; Tuners</t>
  </si>
  <si>
    <t>49-9063.03</t>
  </si>
  <si>
    <t>Reed or Wind Instrument Repairers &amp; Tuners</t>
  </si>
  <si>
    <t>49-9063.04</t>
  </si>
  <si>
    <t>Percussion Instrument Repairers &amp; Tuners</t>
  </si>
  <si>
    <t>49-9064</t>
  </si>
  <si>
    <t>Watch Repairers</t>
  </si>
  <si>
    <t>49-9064.00</t>
  </si>
  <si>
    <t>Watchmaking &amp; Jewelrymaking</t>
  </si>
  <si>
    <t>49-9069</t>
  </si>
  <si>
    <t>Precision Instrument &amp; Equipment Repairers, All Other</t>
  </si>
  <si>
    <t>49-9069.00</t>
  </si>
  <si>
    <t>Electromechanical &amp; Instrumentation &amp; Maintenance Technologies/Technicians, Other</t>
  </si>
  <si>
    <t>Coin, Vending, &amp; Amusement Machine Servicers &amp; Repairers</t>
  </si>
  <si>
    <t>49-9091</t>
  </si>
  <si>
    <t>49-9091.00</t>
  </si>
  <si>
    <t>Electrical/Electronics Maintenance &amp; Repair Technology, Other</t>
  </si>
  <si>
    <t>Commercial Divers</t>
  </si>
  <si>
    <t>49-9092</t>
  </si>
  <si>
    <t>49-9092.00</t>
  </si>
  <si>
    <t>Diver, Professional &amp; Instructor</t>
  </si>
  <si>
    <t>49-9093</t>
  </si>
  <si>
    <t>Fabric Menders, Except Garment</t>
  </si>
  <si>
    <t>49-9093.00</t>
  </si>
  <si>
    <t>Locksmiths &amp; Safe Repairers</t>
  </si>
  <si>
    <t>49-9094</t>
  </si>
  <si>
    <t>49-9094.00</t>
  </si>
  <si>
    <t>Locksmithing &amp; Safe Repair</t>
  </si>
  <si>
    <t>Manufactured Building &amp; Mobile Home Installers</t>
  </si>
  <si>
    <t>49-9095</t>
  </si>
  <si>
    <t>49-9095.00</t>
  </si>
  <si>
    <t>Riggers</t>
  </si>
  <si>
    <t>49-9096</t>
  </si>
  <si>
    <t>49-9096.00</t>
  </si>
  <si>
    <t>Construction/Heavy Equipment/ Earthmoving Equipment Operation</t>
  </si>
  <si>
    <t>Signal &amp; Track Switch Repairers</t>
  </si>
  <si>
    <t>49-9097</t>
  </si>
  <si>
    <t>49-9097.00</t>
  </si>
  <si>
    <t>Helpers--Installation, Maintenance, &amp; Repair Workers</t>
  </si>
  <si>
    <t>49-9098</t>
  </si>
  <si>
    <t>49-9098.00</t>
  </si>
  <si>
    <t>Parts &amp; Warehousing Operations &amp; Maintenance Technology/Technician  (New)</t>
  </si>
  <si>
    <t>Prescision Systems Maintenance and Repair Technologies, Other</t>
  </si>
  <si>
    <t>First-Line Supervisors/Managers of Production &amp; Operating Workers</t>
  </si>
  <si>
    <t>51-1011</t>
  </si>
  <si>
    <t>51-1011.00</t>
  </si>
  <si>
    <t>Aircraft Structure, Surfaces, Rigging, &amp; Systems Assemblers</t>
  </si>
  <si>
    <t>51-2011</t>
  </si>
  <si>
    <t>51-2011.00</t>
  </si>
  <si>
    <t>51-2011.01</t>
  </si>
  <si>
    <t>Aircraft Structure Assemblers, Precision</t>
  </si>
  <si>
    <t>51-2011.02</t>
  </si>
  <si>
    <t>Aircraft Systems Assemblers, Precision</t>
  </si>
  <si>
    <t>51-2011.03</t>
  </si>
  <si>
    <t>Aircraft Rigging Assemblers</t>
  </si>
  <si>
    <t>Electrical, Electronics, &amp; Electromechanical Assemblers</t>
  </si>
  <si>
    <t>51-2020</t>
  </si>
  <si>
    <t>51-2020.00</t>
  </si>
  <si>
    <t>51-2021</t>
  </si>
  <si>
    <t>Coil Winders, Tapers, &amp; Finishers</t>
  </si>
  <si>
    <t>51-2021.00</t>
  </si>
  <si>
    <t>51-2022</t>
  </si>
  <si>
    <t>Electrical &amp; Electronic Equipment Assemblers</t>
  </si>
  <si>
    <t>51-2022.00</t>
  </si>
  <si>
    <t>51-2023</t>
  </si>
  <si>
    <t>Electromechanical Equipment Assemblers</t>
  </si>
  <si>
    <t>51-2023.00</t>
  </si>
  <si>
    <t>Engine &amp; Other Machine Assemblers</t>
  </si>
  <si>
    <t>51-2031</t>
  </si>
  <si>
    <t>51-2031.00</t>
  </si>
  <si>
    <t>Engine Machinist  (New)</t>
  </si>
  <si>
    <t>Structural Metal Fabricators &amp; Fitters</t>
  </si>
  <si>
    <t>51-2041</t>
  </si>
  <si>
    <t>51-2041.00</t>
  </si>
  <si>
    <t>51-2041.01</t>
  </si>
  <si>
    <t>Metal Fabricators, Structural Metal Products</t>
  </si>
  <si>
    <t>51-2041.02</t>
  </si>
  <si>
    <t>Fitters, Structural Metal- Precision</t>
  </si>
  <si>
    <t>Miscellaneous Assemblers &amp; Fabricators</t>
  </si>
  <si>
    <t>51-2090</t>
  </si>
  <si>
    <t>51-2090.00</t>
  </si>
  <si>
    <t>51-2091</t>
  </si>
  <si>
    <t>Fiberglass Laminators &amp; Fabricators</t>
  </si>
  <si>
    <t>51-2091.00</t>
  </si>
  <si>
    <t>51-2092</t>
  </si>
  <si>
    <t>Team Assemblers</t>
  </si>
  <si>
    <t>51-2092.00</t>
  </si>
  <si>
    <t>51-2093</t>
  </si>
  <si>
    <t>Timing Device Assemblers, Adjusters, &amp; Calibrators</t>
  </si>
  <si>
    <t>51-2093.00</t>
  </si>
  <si>
    <t>51-2099</t>
  </si>
  <si>
    <t>Assemblers &amp; Fabricators, All Other</t>
  </si>
  <si>
    <t>51-2099.00</t>
  </si>
  <si>
    <t>Bakers</t>
  </si>
  <si>
    <t>51-3011</t>
  </si>
  <si>
    <t>51-3011.00</t>
  </si>
  <si>
    <t>Baking &amp; Pastry Arts/Baker/Pastry Chef</t>
  </si>
  <si>
    <t>51-3011.01</t>
  </si>
  <si>
    <t>Bakers, Bread &amp; Pastry</t>
  </si>
  <si>
    <t>51-3011.02</t>
  </si>
  <si>
    <t>Bakers, Manufacturing</t>
  </si>
  <si>
    <t>Butchers &amp; Other Meat, Poultry, &amp; Fish Processing Workers</t>
  </si>
  <si>
    <t>51-3020</t>
  </si>
  <si>
    <t>51-3020.00</t>
  </si>
  <si>
    <t>51-3021</t>
  </si>
  <si>
    <t>Butchers &amp; Meat Cutters</t>
  </si>
  <si>
    <t>51-3021.00</t>
  </si>
  <si>
    <t>51-3022</t>
  </si>
  <si>
    <t>Meat, Poultry, &amp; Fish Cutters &amp; Trimmers</t>
  </si>
  <si>
    <t>51-3022.00</t>
  </si>
  <si>
    <t>51-3023</t>
  </si>
  <si>
    <t>Slaughterers &amp; Meat Packers</t>
  </si>
  <si>
    <t>51-3023.00</t>
  </si>
  <si>
    <t>Food &amp; Tobacco Roasting, Baking, &amp; Drying Machine Operators &amp; Tenders</t>
  </si>
  <si>
    <t>51-3091</t>
  </si>
  <si>
    <t>51-3091.00</t>
  </si>
  <si>
    <t>Food Batchmakers</t>
  </si>
  <si>
    <t>51-3092</t>
  </si>
  <si>
    <t>51-3092.00</t>
  </si>
  <si>
    <t>Food Cooking Machine Operators &amp; Tenders</t>
  </si>
  <si>
    <t>51-3093</t>
  </si>
  <si>
    <t>51-3093.00</t>
  </si>
  <si>
    <t>Computer Control Programmers &amp; Operators</t>
  </si>
  <si>
    <t>51-4010</t>
  </si>
  <si>
    <t>51-4010.00</t>
  </si>
  <si>
    <t>51-4011</t>
  </si>
  <si>
    <t>Computer-Controlled Machine Tool Operators, Metal &amp; Plastic</t>
  </si>
  <si>
    <t>51-4011.00</t>
  </si>
  <si>
    <t>51-4011.01</t>
  </si>
  <si>
    <t>Numerical Control Machine Tool Operators &amp; Tenders, Metal &amp; Plastic</t>
  </si>
  <si>
    <t>51-4012</t>
  </si>
  <si>
    <t>Numerical Tool &amp; Process Control Programmers</t>
  </si>
  <si>
    <t>51-4012.00</t>
  </si>
  <si>
    <t>Extruding &amp; Drawing Machine Setters, Operators, &amp; Tenders, Metal &amp; Plastic</t>
  </si>
  <si>
    <t>51-4021</t>
  </si>
  <si>
    <t>51-4021.00</t>
  </si>
  <si>
    <t>Forging Machine Setters, Operators, &amp; Tenders, Metal &amp; Plastic</t>
  </si>
  <si>
    <t>51-4022</t>
  </si>
  <si>
    <t>51-4022.00</t>
  </si>
  <si>
    <t>Rolling Machine Setters, Operators, &amp; Tenders, Metal &amp; Plastic</t>
  </si>
  <si>
    <t>51-4023</t>
  </si>
  <si>
    <t>51-4023.00</t>
  </si>
  <si>
    <t>Cutting, Punching, &amp; Press Machine Setters, Operators, &amp; Tenders, Metal &amp; Plastic</t>
  </si>
  <si>
    <t>51-4031</t>
  </si>
  <si>
    <t>51-4031.00</t>
  </si>
  <si>
    <t>51-4031.01</t>
  </si>
  <si>
    <t>Sawing Machine Tool Setters &amp; Set-Up Operators, Metal &amp; Plastic</t>
  </si>
  <si>
    <t>51-4031.02</t>
  </si>
  <si>
    <t>Punching Machine Setters &amp; Set-Up Operators, Metal &amp; Plastic</t>
  </si>
  <si>
    <t>51-4031.03</t>
  </si>
  <si>
    <t>Press &amp; Press Brake Machine Setters &amp; Set-Up Operators, Metal &amp; Plastic</t>
  </si>
  <si>
    <t>51-4031.04</t>
  </si>
  <si>
    <t>Shear &amp; Slitter Machine Setters &amp; Set-Up Operators, Metal &amp; Plastic</t>
  </si>
  <si>
    <t>Drilling &amp; Boring Machine Tool Setters, Operators, &amp; Tenders, Metal &amp; Plastic</t>
  </si>
  <si>
    <t>51-4032</t>
  </si>
  <si>
    <t>51-4032.00</t>
  </si>
  <si>
    <t>Grinding, Lapping, Polishing, &amp; Buffing Machine Tool Setters, Operators, &amp; Tenders, Metal &amp; Plastic</t>
  </si>
  <si>
    <t>51-4033</t>
  </si>
  <si>
    <t>Grinding, Lapping, Polishing, &amp; Buffing Machine Tool Setters, Operators, &amp; Tenders, Metal &amp; Pl</t>
  </si>
  <si>
    <t>51-4033.00</t>
  </si>
  <si>
    <t>51-4033.01</t>
  </si>
  <si>
    <t>Grinding, Honing, Lapping, &amp; Deburring Machine Set-Up Operators</t>
  </si>
  <si>
    <t>51-4033.02</t>
  </si>
  <si>
    <t>Buffing &amp; Polishing Set-Up Operators</t>
  </si>
  <si>
    <t>Lathe &amp; Turning Machine Tool Setters, Operators, &amp; Tenders, Metal &amp; Plastic</t>
  </si>
  <si>
    <t>51-4034</t>
  </si>
  <si>
    <t>51-4034.00</t>
  </si>
  <si>
    <t>Milling &amp; Planing Machine Setters, Operators, &amp; Tenders, Metal &amp; Plastic</t>
  </si>
  <si>
    <t>51-4035</t>
  </si>
  <si>
    <t>51-4035.00</t>
  </si>
  <si>
    <t>Machinists</t>
  </si>
  <si>
    <t>51-4041</t>
  </si>
  <si>
    <t>51-4041.00</t>
  </si>
  <si>
    <t>Metal Furnace &amp; Kiln Operators &amp; Tenders</t>
  </si>
  <si>
    <t>51-4050</t>
  </si>
  <si>
    <t>51-4050.00</t>
  </si>
  <si>
    <t>51-4051</t>
  </si>
  <si>
    <t>Metal-Refining Furnace Operators &amp; Tenders</t>
  </si>
  <si>
    <t>51-4051.00</t>
  </si>
  <si>
    <t>51-4052</t>
  </si>
  <si>
    <t>Pourers &amp; Casters, Metal</t>
  </si>
  <si>
    <t>51-4052.00</t>
  </si>
  <si>
    <t>Model Makers &amp; Patternmakers, Metal &amp; Plastic</t>
  </si>
  <si>
    <t>51-4060</t>
  </si>
  <si>
    <t>51-4060.00</t>
  </si>
  <si>
    <t>51-4061</t>
  </si>
  <si>
    <t>Model Makers, Metal &amp; Plastic</t>
  </si>
  <si>
    <t>51-4061.00</t>
  </si>
  <si>
    <t>51-4062</t>
  </si>
  <si>
    <t>Patternmakers, Metal &amp; Plastic</t>
  </si>
  <si>
    <t>51-4062.00</t>
  </si>
  <si>
    <t>Molders &amp; Molding Machine Setters, Operators, &amp; Tenders, Metal &amp; Plastic</t>
  </si>
  <si>
    <t>51-4070</t>
  </si>
  <si>
    <t>51-4070.00</t>
  </si>
  <si>
    <t>51-4071</t>
  </si>
  <si>
    <t>Foundry Mold &amp; Coremakers</t>
  </si>
  <si>
    <t>51-4071.00</t>
  </si>
  <si>
    <t>Ironworking/Ironworker  (New)</t>
  </si>
  <si>
    <t>51-4072</t>
  </si>
  <si>
    <t>Molding, Coremaking, &amp; Casting Machine Setters, Operators, &amp; Tenders, Metal &amp; Plastic</t>
  </si>
  <si>
    <t>51-4072.00</t>
  </si>
  <si>
    <t>Plastic Molding &amp; Casting Machine Setters &amp; Set-Up Operators</t>
  </si>
  <si>
    <t>51-4072.01</t>
  </si>
  <si>
    <t>Plastic Molding &amp; Casting Machine Operators &amp; Tenders</t>
  </si>
  <si>
    <t>51-4072.02</t>
  </si>
  <si>
    <t>Metal Molding, Coremaking, &amp; Casting Machine Setters &amp; Set-Up Operators</t>
  </si>
  <si>
    <t>51-4072.03</t>
  </si>
  <si>
    <t>Metal Molding, Coremaking, &amp; Casting Machine Operators &amp; Tenders</t>
  </si>
  <si>
    <t>51-4072.04</t>
  </si>
  <si>
    <t>Casting Machine Set-Up Operators</t>
  </si>
  <si>
    <t>51-4072.05</t>
  </si>
  <si>
    <t>Multiple Machine Tool Setters, Operators, &amp; Tenders, Metal &amp; Plastic</t>
  </si>
  <si>
    <t>51-4081</t>
  </si>
  <si>
    <t>51-4081.00</t>
  </si>
  <si>
    <t>51-4081.01</t>
  </si>
  <si>
    <t>Combination Machine Tool Setters &amp; Set-Up Operators, Metal &amp; Plastic</t>
  </si>
  <si>
    <t>51-4081.02</t>
  </si>
  <si>
    <t>Combination Machine Tool Operators &amp; Tenders, Metal &amp; Plastic</t>
  </si>
  <si>
    <t>Tool &amp; Die Makers</t>
  </si>
  <si>
    <t>51-4111</t>
  </si>
  <si>
    <t>51-4111.00</t>
  </si>
  <si>
    <t>Tool &amp; Die Technology/Technician</t>
  </si>
  <si>
    <t>Welding, Soldering, &amp; Brazing Workers</t>
  </si>
  <si>
    <t>51-4120</t>
  </si>
  <si>
    <t>51-4120.00</t>
  </si>
  <si>
    <t>51-4121</t>
  </si>
  <si>
    <t>Welders, Cutters, Solderers, &amp; Brazers</t>
  </si>
  <si>
    <t>51-4121.00</t>
  </si>
  <si>
    <t>51-4121.01</t>
  </si>
  <si>
    <t>Welders, Production</t>
  </si>
  <si>
    <t>51-4121.02</t>
  </si>
  <si>
    <t>Welders &amp; Cutters</t>
  </si>
  <si>
    <t>51-4121.03</t>
  </si>
  <si>
    <t>Welder-Fitters</t>
  </si>
  <si>
    <t>51-4121.04</t>
  </si>
  <si>
    <t>Solderers</t>
  </si>
  <si>
    <t>51-4121.05</t>
  </si>
  <si>
    <t>Brazers</t>
  </si>
  <si>
    <t>51-4122</t>
  </si>
  <si>
    <t>Welding, Soldering, &amp; Brazing Machine Setters, Operators, &amp; Tenders</t>
  </si>
  <si>
    <t>51-4122.00</t>
  </si>
  <si>
    <t>51-4122.01</t>
  </si>
  <si>
    <t>Welding Machine Setters &amp; Set-Up Operators</t>
  </si>
  <si>
    <t>51-4122.02</t>
  </si>
  <si>
    <t>Welding Machine Operators &amp; Tenders</t>
  </si>
  <si>
    <t>51-4122.03</t>
  </si>
  <si>
    <t>Soldering &amp; Brazing Machine Setters &amp; Set-Up Operators</t>
  </si>
  <si>
    <t>51-4122.04</t>
  </si>
  <si>
    <t>Soldering &amp; Brazing Machine Operators &amp; Tenders</t>
  </si>
  <si>
    <t>Heat Treating Equipment Setters, Operators, &amp; Tenders, Metal &amp; Plastic</t>
  </si>
  <si>
    <t>51-4191</t>
  </si>
  <si>
    <t>51-4191.00</t>
  </si>
  <si>
    <t>51-4191.01</t>
  </si>
  <si>
    <t>Heating Equipment Setters &amp; Set-Up Operators, Metal &amp; Plastic</t>
  </si>
  <si>
    <t>51-4191.02</t>
  </si>
  <si>
    <t>Heat Treating, Annealing, &amp; Tempering Machine Operators &amp; Tenders, Metal &amp; Plastic</t>
  </si>
  <si>
    <t>51-4191.03</t>
  </si>
  <si>
    <t>Heaters, Metal &amp; Plastic</t>
  </si>
  <si>
    <t>Lay-Out Workers, Metal &amp; Plastic</t>
  </si>
  <si>
    <t>51-4192</t>
  </si>
  <si>
    <t>51-4192.00</t>
  </si>
  <si>
    <t>Plating &amp; Coating Machine Setters, Operators, &amp; Tenders, Metal &amp; Plastic</t>
  </si>
  <si>
    <t>51-4193</t>
  </si>
  <si>
    <t>51-4193.00</t>
  </si>
  <si>
    <t>Electrolytic Plating &amp; Coating Machine Setters &amp; Set-Up Operators, Metal &amp; Plastic</t>
  </si>
  <si>
    <t>51-4193.01</t>
  </si>
  <si>
    <t>Electrolytic Plating &amp; Coating Machine Operators &amp; Tenders, Metal &amp; Plastic</t>
  </si>
  <si>
    <t>51-4193.02</t>
  </si>
  <si>
    <t>Nonelectrolytic Plating &amp; Coating Machine Setters &amp; Set-Up Operators, Metal &amp; Plastic</t>
  </si>
  <si>
    <t>51-4193.03</t>
  </si>
  <si>
    <t>Nonelectrolytic Plating &amp; Coating Machine Operators &amp; Tenders, Metal &amp; Plastic</t>
  </si>
  <si>
    <t>51-4193.04</t>
  </si>
  <si>
    <t>Tool Grinders, Filers, &amp; Sharpeners</t>
  </si>
  <si>
    <t>51-4194</t>
  </si>
  <si>
    <t>51-4194.00</t>
  </si>
  <si>
    <t>Metalworkers &amp; Plastic Workers, All Other</t>
  </si>
  <si>
    <t>51-4199</t>
  </si>
  <si>
    <t>Metal Workers &amp; Plastic Workers, All Other</t>
  </si>
  <si>
    <t>51-4199.00</t>
  </si>
  <si>
    <t>Bookbinders &amp; Bindery Workers</t>
  </si>
  <si>
    <t>51-5010</t>
  </si>
  <si>
    <t>51-5010.00</t>
  </si>
  <si>
    <t>51-5011</t>
  </si>
  <si>
    <t>Bindery Workers</t>
  </si>
  <si>
    <t>51-5011.00</t>
  </si>
  <si>
    <t>Graphic Communications, Other  (New)</t>
  </si>
  <si>
    <t>51-5011.01</t>
  </si>
  <si>
    <t>Bindery Machine Setters &amp; Set-Up Operators</t>
  </si>
  <si>
    <t>51-5011.02</t>
  </si>
  <si>
    <t>Bindery Machine Operators &amp; Tenders</t>
  </si>
  <si>
    <t>51-5012</t>
  </si>
  <si>
    <t>Bookbinders</t>
  </si>
  <si>
    <t>51-5012.00</t>
  </si>
  <si>
    <t>Job Printers</t>
  </si>
  <si>
    <t>51-5021</t>
  </si>
  <si>
    <t>51-5021.00</t>
  </si>
  <si>
    <t>Printing Management  (New)</t>
  </si>
  <si>
    <t>Prepress Technicians &amp; Workers</t>
  </si>
  <si>
    <t>51-5022</t>
  </si>
  <si>
    <t>51-5022.00</t>
  </si>
  <si>
    <t>Graphic Communications, General  (New)</t>
  </si>
  <si>
    <t>51-5022.01</t>
  </si>
  <si>
    <t>Hand Compositors &amp; Typesetters</t>
  </si>
  <si>
    <t>51-5022.02</t>
  </si>
  <si>
    <t>Paste-Up Workers</t>
  </si>
  <si>
    <t>51-5022.03</t>
  </si>
  <si>
    <t>Photoengravers</t>
  </si>
  <si>
    <t>51-5022.04</t>
  </si>
  <si>
    <t>Camera Operators</t>
  </si>
  <si>
    <t>51-5022.05</t>
  </si>
  <si>
    <t>Scanner Operators</t>
  </si>
  <si>
    <t>51-5022.06</t>
  </si>
  <si>
    <t>Strippers</t>
  </si>
  <si>
    <t>51-5022.07</t>
  </si>
  <si>
    <t>Platemakers</t>
  </si>
  <si>
    <t>51-5022.08</t>
  </si>
  <si>
    <t>Dot Etchers</t>
  </si>
  <si>
    <t>51-5022.09</t>
  </si>
  <si>
    <t>Electronic Masking System Operators</t>
  </si>
  <si>
    <t>51-5022.10</t>
  </si>
  <si>
    <t>Electrotypers &amp; Stereotypers</t>
  </si>
  <si>
    <t>51-5022.11</t>
  </si>
  <si>
    <t>Plate Finishers</t>
  </si>
  <si>
    <t>51-5022.12</t>
  </si>
  <si>
    <t>Typesetting &amp; Composing Machine Operators &amp; Tenders</t>
  </si>
  <si>
    <t>51-5022.13</t>
  </si>
  <si>
    <t>Photoengraving &amp; Lithographing Machine Operators &amp; Tenders</t>
  </si>
  <si>
    <t>Printing Machine Operators</t>
  </si>
  <si>
    <t>51-5023</t>
  </si>
  <si>
    <t>51-5023.00</t>
  </si>
  <si>
    <t>51-5023.01</t>
  </si>
  <si>
    <t>Precision Printing Workers</t>
  </si>
  <si>
    <t>51-5023.02</t>
  </si>
  <si>
    <t>Offset Lithographic Press Setters &amp; Set-Up Operators</t>
  </si>
  <si>
    <t>51-5023.03</t>
  </si>
  <si>
    <t>Letterpress Setters &amp; Set-Up Operators</t>
  </si>
  <si>
    <t>51-5023.04</t>
  </si>
  <si>
    <t>Design Printing Machine Setters &amp; Set-Up Operators</t>
  </si>
  <si>
    <t>51-5023.05</t>
  </si>
  <si>
    <t>Marking &amp; Identification Printing Machine Setters &amp; Set-Up Operators</t>
  </si>
  <si>
    <t>51-5023.06</t>
  </si>
  <si>
    <t>Screen Printing Machine Setters &amp; Set-Up Operators</t>
  </si>
  <si>
    <t>51-5023.07</t>
  </si>
  <si>
    <t>Embossing Machine Set-Up Operators</t>
  </si>
  <si>
    <t>51-5023.08</t>
  </si>
  <si>
    <t>Engraver Set-Up Operators</t>
  </si>
  <si>
    <t>51-5023.09</t>
  </si>
  <si>
    <t>Printing Press Machine Operators &amp; Tenders</t>
  </si>
  <si>
    <t>Laundry &amp; Dry-Cleaning Workers</t>
  </si>
  <si>
    <t>51-6011</t>
  </si>
  <si>
    <t>51-6011.00</t>
  </si>
  <si>
    <t>Spotters, Dry Cleaning</t>
  </si>
  <si>
    <t>51-6011.01</t>
  </si>
  <si>
    <t>Precision Dyers</t>
  </si>
  <si>
    <t>51-6011.02</t>
  </si>
  <si>
    <t>Laundry &amp; Drycleaning Machine Operators &amp; Tenders, Except Pressing</t>
  </si>
  <si>
    <t>51-6011.03</t>
  </si>
  <si>
    <t>Pressers, Textile, Garment, &amp; Related Materials</t>
  </si>
  <si>
    <t>51-6021</t>
  </si>
  <si>
    <t>51-6021.00</t>
  </si>
  <si>
    <t>Pressers, Delicate Fabrics</t>
  </si>
  <si>
    <t>51-6021.01</t>
  </si>
  <si>
    <t>Pressing Machine Operators &amp; Tenders- Textile, Garment, &amp; Related Materials</t>
  </si>
  <si>
    <t>51-6021.02</t>
  </si>
  <si>
    <t>Pressers, Hand</t>
  </si>
  <si>
    <t>51-6021.03</t>
  </si>
  <si>
    <t>Sewing Machine Operators</t>
  </si>
  <si>
    <t>51-6031</t>
  </si>
  <si>
    <t>51-6031.00</t>
  </si>
  <si>
    <t>Sewing Machine Operators, Garment</t>
  </si>
  <si>
    <t>51-6031.01</t>
  </si>
  <si>
    <t>Sewing Machine Operators, Non-Garment</t>
  </si>
  <si>
    <t>51-6031.02</t>
  </si>
  <si>
    <t>Shoe &amp; Leather Workers &amp; Repairers</t>
  </si>
  <si>
    <t>51-6041</t>
  </si>
  <si>
    <t>51-6041.00</t>
  </si>
  <si>
    <t>Shoe, Boot &amp; Leather Repair</t>
  </si>
  <si>
    <t>Leatherworking &amp; Upholstery, Other</t>
  </si>
  <si>
    <t>Shoe Machine Operators &amp; Tenders</t>
  </si>
  <si>
    <t>51-6042</t>
  </si>
  <si>
    <t>51-6042.00</t>
  </si>
  <si>
    <t>Tailors, Dressmakers, &amp; Sewers</t>
  </si>
  <si>
    <t>51-6050</t>
  </si>
  <si>
    <t>51-6050.00</t>
  </si>
  <si>
    <t>51-6051</t>
  </si>
  <si>
    <t>Sewers, Hand</t>
  </si>
  <si>
    <t>51-6051.00</t>
  </si>
  <si>
    <t>51-6052</t>
  </si>
  <si>
    <t>Tailors, Dressmakers, &amp; Custom Sewers</t>
  </si>
  <si>
    <t>51-6052.00</t>
  </si>
  <si>
    <t>Shop &amp; Alteration Tailors</t>
  </si>
  <si>
    <t>51-6052.01</t>
  </si>
  <si>
    <t>Custom Tailors</t>
  </si>
  <si>
    <t>51-6052.02</t>
  </si>
  <si>
    <t>Textile Bleaching &amp; Dyeing Machine Operators &amp; Tenders</t>
  </si>
  <si>
    <t>51-6061</t>
  </si>
  <si>
    <t>51-6061.00</t>
  </si>
  <si>
    <t>Textile Cutting Machine Setters, Operators, &amp; Tenders</t>
  </si>
  <si>
    <t>51-6062</t>
  </si>
  <si>
    <t>51-6062.00</t>
  </si>
  <si>
    <t>Textile Knitting &amp; Weaving Machine Setters, Operators, &amp; Tenders</t>
  </si>
  <si>
    <t>51-6063</t>
  </si>
  <si>
    <t>51-6063.00</t>
  </si>
  <si>
    <t>Textile Winding, Twisting, &amp; Drawing Out Machine Setters, Operators, &amp; Tenders</t>
  </si>
  <si>
    <t>51-6064</t>
  </si>
  <si>
    <t>51-6064.00</t>
  </si>
  <si>
    <t>Extruding &amp; Forming Machine Setters, Operators, &amp; Tenders, Synthetic &amp; Glass Fibers</t>
  </si>
  <si>
    <t>51-6091</t>
  </si>
  <si>
    <t>51-6091.00</t>
  </si>
  <si>
    <t>Extruding &amp; Forming Machine Operators &amp; Tenders, Synthetic or Glass Fibers</t>
  </si>
  <si>
    <t>51-6091.01</t>
  </si>
  <si>
    <t>Fabric &amp; Apparel Patternmakers</t>
  </si>
  <si>
    <t>51-6092</t>
  </si>
  <si>
    <t>51-6092.00</t>
  </si>
  <si>
    <t>51-6093</t>
  </si>
  <si>
    <t>51-6093.00</t>
  </si>
  <si>
    <t>Textile, Apparel, &amp; Furnishings Workers, All Other</t>
  </si>
  <si>
    <t>51-6099</t>
  </si>
  <si>
    <t>51-6099.00</t>
  </si>
  <si>
    <t>Cabinetmakers &amp; Bench Carpenters</t>
  </si>
  <si>
    <t>51-7011</t>
  </si>
  <si>
    <t>51-7011.00</t>
  </si>
  <si>
    <t>Cabinetmaking &amp; Millwork/Millwright</t>
  </si>
  <si>
    <t>Furniture Finishers</t>
  </si>
  <si>
    <t>51-7021</t>
  </si>
  <si>
    <t>51-7021.00</t>
  </si>
  <si>
    <t>Furniture Design &amp; Manufacturing</t>
  </si>
  <si>
    <t>Model Makers &amp; Patternmakers, Wood</t>
  </si>
  <si>
    <t>51-7030</t>
  </si>
  <si>
    <t>51-7030.00</t>
  </si>
  <si>
    <t>51-7031</t>
  </si>
  <si>
    <t>Model Makers, Wood</t>
  </si>
  <si>
    <t>51-7031.00</t>
  </si>
  <si>
    <t>51-7032</t>
  </si>
  <si>
    <t>Patternmakers, Wood</t>
  </si>
  <si>
    <t>51-7032.00</t>
  </si>
  <si>
    <t>Sawing Machine Setters, Operators, &amp; Tenders, Wood</t>
  </si>
  <si>
    <t>51-7041</t>
  </si>
  <si>
    <t>51-7041.00</t>
  </si>
  <si>
    <t>51-7041.01</t>
  </si>
  <si>
    <t>Sawing Machine Setters &amp; Set-Up Operators</t>
  </si>
  <si>
    <t>51-7041.02</t>
  </si>
  <si>
    <t>Sawing Machine Operators &amp; Tenders</t>
  </si>
  <si>
    <t>Woodworking Machine Setters, Operators, &amp; Tenders, Except Sawing</t>
  </si>
  <si>
    <t>51-7042</t>
  </si>
  <si>
    <t>51-7042.00</t>
  </si>
  <si>
    <t>51-7042.01</t>
  </si>
  <si>
    <t>Woodworking Machine Setters &amp; Set-Up Operators, Except Sawing</t>
  </si>
  <si>
    <t>51-7042.02</t>
  </si>
  <si>
    <t>Woodworking Machine Operators &amp; Tenders, Except Sawing</t>
  </si>
  <si>
    <t>Woodworkers, All Other</t>
  </si>
  <si>
    <t>51-7099</t>
  </si>
  <si>
    <t>51-7099.00</t>
  </si>
  <si>
    <t>Power Plant Operators, Distributors, &amp; Dispatchers</t>
  </si>
  <si>
    <t>51-8010</t>
  </si>
  <si>
    <t>51-8010.00</t>
  </si>
  <si>
    <t>51-8011</t>
  </si>
  <si>
    <t>Nuclear Power Reactor Operators</t>
  </si>
  <si>
    <t>51-8011.00</t>
  </si>
  <si>
    <t>51-8012</t>
  </si>
  <si>
    <t>Power Distributors &amp; Dispatchers</t>
  </si>
  <si>
    <t>51-8012.00</t>
  </si>
  <si>
    <t>51-8013</t>
  </si>
  <si>
    <t>Power Plant Operators</t>
  </si>
  <si>
    <t>51-8013.00</t>
  </si>
  <si>
    <t>Power Generating Plant Operators, Except Auxiliary Equipment Operators</t>
  </si>
  <si>
    <t>51-8013.01</t>
  </si>
  <si>
    <t>Auxiliary Equipment Operators, Power</t>
  </si>
  <si>
    <t>51-8013.02</t>
  </si>
  <si>
    <t>Stationary Engineers &amp; Boiler Operators</t>
  </si>
  <si>
    <t>51-8021</t>
  </si>
  <si>
    <t>51-8021.00</t>
  </si>
  <si>
    <t>Boiler Operators &amp; Tenders, Low Pressure</t>
  </si>
  <si>
    <t>51-8021.01</t>
  </si>
  <si>
    <t>Stationary Engineers</t>
  </si>
  <si>
    <t>51-8021.02</t>
  </si>
  <si>
    <t>Water &amp; Liquid Waste Treatment Plant &amp; System Operators</t>
  </si>
  <si>
    <t>51-8031</t>
  </si>
  <si>
    <t>51-8031.00</t>
  </si>
  <si>
    <t>Water Quality &amp; Wastewater Treatment Management &amp; Recycling Technology/Technician</t>
  </si>
  <si>
    <t>Miscellaneous Plant &amp; System Operators</t>
  </si>
  <si>
    <t>51-8090</t>
  </si>
  <si>
    <t>51-8090.00</t>
  </si>
  <si>
    <t>51-8091</t>
  </si>
  <si>
    <t>Chemical Plant &amp; System Operators</t>
  </si>
  <si>
    <t>51-8091.00</t>
  </si>
  <si>
    <t>51-8092</t>
  </si>
  <si>
    <t>Gas Plant Operators</t>
  </si>
  <si>
    <t>51-8092.00</t>
  </si>
  <si>
    <t>Gas Processing Plant Operators</t>
  </si>
  <si>
    <t>51-8092.01</t>
  </si>
  <si>
    <t>Gas Distribution Plant Operators</t>
  </si>
  <si>
    <t>51-8092.02</t>
  </si>
  <si>
    <t>51-8093</t>
  </si>
  <si>
    <t>Petroleum Pump System Operators, Refinery Operators, &amp; Gaugers</t>
  </si>
  <si>
    <t>51-8093.00</t>
  </si>
  <si>
    <t>Petroleum Pump System Operators</t>
  </si>
  <si>
    <t>51-8093.01</t>
  </si>
  <si>
    <t>Petroleum Refinery &amp; Control Panel Operators</t>
  </si>
  <si>
    <t>51-8093.02</t>
  </si>
  <si>
    <t>Gaugers</t>
  </si>
  <si>
    <t>51-8093.03</t>
  </si>
  <si>
    <t>51-8099</t>
  </si>
  <si>
    <t>Plant &amp; System Operators, All Other</t>
  </si>
  <si>
    <t>Chemical Processing Machine Setters, Operators, &amp; Tenders</t>
  </si>
  <si>
    <t>51-9010</t>
  </si>
  <si>
    <t>51-9010.00</t>
  </si>
  <si>
    <t>51-9011</t>
  </si>
  <si>
    <t>Chemical Equipment Operators &amp; Tenders</t>
  </si>
  <si>
    <t>51-9011.00</t>
  </si>
  <si>
    <t>51-9011.01</t>
  </si>
  <si>
    <t>Chemical Equipment Controllers &amp; Operators</t>
  </si>
  <si>
    <t>51-9011.02</t>
  </si>
  <si>
    <t>Chemical Equipment Tenders</t>
  </si>
  <si>
    <t>51-9012</t>
  </si>
  <si>
    <t>Separating, Filtering, Clarifying, Precipitating, &amp; Still Machine Setters, Operators, &amp; Tenders</t>
  </si>
  <si>
    <t>51-9012.00</t>
  </si>
  <si>
    <t>Crushing, Grinding, Polishing, Mixing, &amp; Blending Workers</t>
  </si>
  <si>
    <t>51-9020</t>
  </si>
  <si>
    <t>51-9020.00</t>
  </si>
  <si>
    <t>51-9021</t>
  </si>
  <si>
    <t>Crushing, Grinding, &amp; Polishing Machine Setters, Operators, &amp; Tenders</t>
  </si>
  <si>
    <t>51-9021.00</t>
  </si>
  <si>
    <t>51-9022</t>
  </si>
  <si>
    <t>Grinding &amp; Polishing Workers, Hand</t>
  </si>
  <si>
    <t>51-9022.00</t>
  </si>
  <si>
    <t>51-9023</t>
  </si>
  <si>
    <t>Mixing &amp; Blending Machine Setters, Operators, &amp; Tenders</t>
  </si>
  <si>
    <t>51-9023.00</t>
  </si>
  <si>
    <t>Cutting Workers</t>
  </si>
  <si>
    <t>51-9030</t>
  </si>
  <si>
    <t>51-9030.00</t>
  </si>
  <si>
    <t>51-9031</t>
  </si>
  <si>
    <t>Cutters &amp; Trimmers, Hand</t>
  </si>
  <si>
    <t>51-9031.00</t>
  </si>
  <si>
    <t>51-9032</t>
  </si>
  <si>
    <t>Cutting &amp; Slicing Machine Setters, Operators, &amp; Tenders</t>
  </si>
  <si>
    <t>51-9032.00</t>
  </si>
  <si>
    <t>Fiber Product Cutting Machine Setters &amp; Set-Up Operators</t>
  </si>
  <si>
    <t>51-9032.01</t>
  </si>
  <si>
    <t>Stone Sawyers</t>
  </si>
  <si>
    <t>51-9032.02</t>
  </si>
  <si>
    <t>Glass Cutting Machine Setters &amp; Set-Up Operators</t>
  </si>
  <si>
    <t>51-9032.03</t>
  </si>
  <si>
    <t>Cutting &amp; Slicing Machine Operators &amp; Tenders</t>
  </si>
  <si>
    <t>51-9032.04</t>
  </si>
  <si>
    <t>Extruding, Forming, Pressing, &amp; Compacting Machine Setters, Operators, &amp; Tenders</t>
  </si>
  <si>
    <t>51-9041</t>
  </si>
  <si>
    <t>51-9041.00</t>
  </si>
  <si>
    <t>Extruding, Forming, Pressing, &amp; Compacting Machine Setters &amp; Set-Up Operators</t>
  </si>
  <si>
    <t>51-9041.01</t>
  </si>
  <si>
    <t>Extruding, Forming, Pressing, &amp; Compacting Machine Operators &amp; Tenders</t>
  </si>
  <si>
    <t>51-9041.02</t>
  </si>
  <si>
    <t>Furnace, Kiln, Oven, Drier, &amp; Kettle Operators &amp; Tenders</t>
  </si>
  <si>
    <t>51-9051</t>
  </si>
  <si>
    <t>51-9051.00</t>
  </si>
  <si>
    <t>Inspectors, Testers, Sorters, Samplers, &amp; Weighers</t>
  </si>
  <si>
    <t>51-9061</t>
  </si>
  <si>
    <t>51-9061.00</t>
  </si>
  <si>
    <t>51-9061.01</t>
  </si>
  <si>
    <t>Materials Inspectors</t>
  </si>
  <si>
    <t>51-9061.02</t>
  </si>
  <si>
    <t>Mechanical Inspectors</t>
  </si>
  <si>
    <t>51-9061.03</t>
  </si>
  <si>
    <t>Precision Devices Inspectors &amp; Testers</t>
  </si>
  <si>
    <t>51-9061.04</t>
  </si>
  <si>
    <t>Electrical &amp; Electronic Inspectors &amp; Testers</t>
  </si>
  <si>
    <t>51-9061.05</t>
  </si>
  <si>
    <t>Production Inspectors, Testers, Graders, Sorters, Samplers, Weighers</t>
  </si>
  <si>
    <t>Jewelers &amp; Precious Stone &amp; Metal Workers</t>
  </si>
  <si>
    <t>51-9071</t>
  </si>
  <si>
    <t>51-9071.00</t>
  </si>
  <si>
    <t>51-9071.01</t>
  </si>
  <si>
    <t>Jewelers</t>
  </si>
  <si>
    <t>51-9071.02</t>
  </si>
  <si>
    <t>Silversmiths</t>
  </si>
  <si>
    <t>51-9071.03</t>
  </si>
  <si>
    <t>Model &amp; Mold Makers, Jewelry</t>
  </si>
  <si>
    <t>51-9071.04</t>
  </si>
  <si>
    <t>Bench Workers, Jewelry</t>
  </si>
  <si>
    <t>51-9071.05</t>
  </si>
  <si>
    <t>Pewter Casters &amp; Finishers</t>
  </si>
  <si>
    <t>51-9071.06</t>
  </si>
  <si>
    <t>Gem &amp; Diamond Workers</t>
  </si>
  <si>
    <t>Medical, Dental, &amp; Ophthalmic Laboratory Technicians</t>
  </si>
  <si>
    <t>51-9080</t>
  </si>
  <si>
    <t>51-9080.00</t>
  </si>
  <si>
    <t>51-9081</t>
  </si>
  <si>
    <t>Dental Laboratory Technicians</t>
  </si>
  <si>
    <t>51-9081.00</t>
  </si>
  <si>
    <t>51-9082</t>
  </si>
  <si>
    <t>Medical Appliance Technicians</t>
  </si>
  <si>
    <t>51-9082.00</t>
  </si>
  <si>
    <t>51-9083</t>
  </si>
  <si>
    <t>Ophthalmic Laboratory Technicians</t>
  </si>
  <si>
    <t>51-9083.00</t>
  </si>
  <si>
    <t>51-9083.01</t>
  </si>
  <si>
    <t>Precision Lens Grinders &amp; Polishers</t>
  </si>
  <si>
    <t>51-9083.02</t>
  </si>
  <si>
    <t>Optical Instrument Assemblers</t>
  </si>
  <si>
    <t>Packaging &amp; Filling Machine Operators &amp; Tenders</t>
  </si>
  <si>
    <t>51-9111</t>
  </si>
  <si>
    <t>51-9111.00</t>
  </si>
  <si>
    <t>Painting Workers</t>
  </si>
  <si>
    <t>51-9120</t>
  </si>
  <si>
    <t>51-9120.00</t>
  </si>
  <si>
    <t>51-9121</t>
  </si>
  <si>
    <t>Coating, Painting, &amp; Spraying Machine Setters, Operators, &amp; Tenders</t>
  </si>
  <si>
    <t>51-9121.00</t>
  </si>
  <si>
    <t>Coating, Painting, &amp; Spraying Machine Setters &amp; Set-Up Operators</t>
  </si>
  <si>
    <t>51-9121.01</t>
  </si>
  <si>
    <t>Coating, Painting, &amp; Spraying Machine Operators &amp; Tenders</t>
  </si>
  <si>
    <t>51-9121.02</t>
  </si>
  <si>
    <t>51-9122</t>
  </si>
  <si>
    <t>Painters, Transportation Equipment</t>
  </si>
  <si>
    <t>51-9122.00</t>
  </si>
  <si>
    <t>51-9123</t>
  </si>
  <si>
    <t>Painting, Coating, &amp; Decorating Workers</t>
  </si>
  <si>
    <t>51-9123.00</t>
  </si>
  <si>
    <t>Photographic Process Workers &amp; Processing Machine Operators</t>
  </si>
  <si>
    <t>51-9130</t>
  </si>
  <si>
    <t>51-9130.00</t>
  </si>
  <si>
    <t>51-9131</t>
  </si>
  <si>
    <t>Photographic Process Workers</t>
  </si>
  <si>
    <t>51-9131.00</t>
  </si>
  <si>
    <t>Photographic &amp; Film/Video Technology/Technician &amp; Assistant   (New)</t>
  </si>
  <si>
    <t>51-9131.01</t>
  </si>
  <si>
    <t>Photographic Retouchers &amp; Restorers</t>
  </si>
  <si>
    <t>51-9131.02</t>
  </si>
  <si>
    <t>Photographic Reproduction Technicians</t>
  </si>
  <si>
    <t>51-9131.03</t>
  </si>
  <si>
    <t>Photographic Hand Developers</t>
  </si>
  <si>
    <t>51-9131.04</t>
  </si>
  <si>
    <t>Film Laboratory Technicians</t>
  </si>
  <si>
    <t>51-9132</t>
  </si>
  <si>
    <t>Photographic Processing Machine Operators</t>
  </si>
  <si>
    <t>51-9132.00</t>
  </si>
  <si>
    <t>Semiconductor Processors</t>
  </si>
  <si>
    <t>51-9141</t>
  </si>
  <si>
    <t>51-9141.00</t>
  </si>
  <si>
    <t>Cementing &amp; Gluing Machine Operators &amp; Tenders</t>
  </si>
  <si>
    <t>51-9191</t>
  </si>
  <si>
    <t>51-9191.00</t>
  </si>
  <si>
    <t>Cleaning, Washing, &amp; Metal Pickling Equipment Operators &amp; Tenders</t>
  </si>
  <si>
    <t>51-9192</t>
  </si>
  <si>
    <t>51-9192.00</t>
  </si>
  <si>
    <t>Cooling &amp; Freezing Equipment Operators &amp; Tenders</t>
  </si>
  <si>
    <t>51-9193</t>
  </si>
  <si>
    <t>51-9193.00</t>
  </si>
  <si>
    <t>Etchers &amp; Engravers</t>
  </si>
  <si>
    <t>51-9194</t>
  </si>
  <si>
    <t>51-9194.00</t>
  </si>
  <si>
    <t>51-9194.01</t>
  </si>
  <si>
    <t>Precision Etchers &amp; Engravers, Hand or Machine</t>
  </si>
  <si>
    <t>51-9194.02</t>
  </si>
  <si>
    <t>Engravers/Carvers</t>
  </si>
  <si>
    <t>51-9194.03</t>
  </si>
  <si>
    <t>Etchers</t>
  </si>
  <si>
    <t>51-9194.04</t>
  </si>
  <si>
    <t>Pantograph Engravers</t>
  </si>
  <si>
    <t>51-9194.05</t>
  </si>
  <si>
    <t>Etchers, Hand</t>
  </si>
  <si>
    <t>51-9194.06</t>
  </si>
  <si>
    <t>Engravers, Hand</t>
  </si>
  <si>
    <t>Molders, Shapers, &amp; Casters, Except Metal &amp; Plastic</t>
  </si>
  <si>
    <t>51-9195</t>
  </si>
  <si>
    <t>51-9195.00</t>
  </si>
  <si>
    <t>Precision Mold &amp; Pattern Casters, except Nonferrous Metals</t>
  </si>
  <si>
    <t>51-9195.01</t>
  </si>
  <si>
    <t>Precision Pattern &amp; Die Casters, Nonferrous Metals</t>
  </si>
  <si>
    <t>51-9195.02</t>
  </si>
  <si>
    <t>Stone Cutters &amp; Carvers</t>
  </si>
  <si>
    <t>51-9195.03</t>
  </si>
  <si>
    <t>Glass Blowers, Molders, Benders, &amp; Finishers</t>
  </si>
  <si>
    <t>51-9195.04</t>
  </si>
  <si>
    <t>Potters</t>
  </si>
  <si>
    <t>51-9195.05</t>
  </si>
  <si>
    <t>Mold Makers, Hand</t>
  </si>
  <si>
    <t>51-9195.06</t>
  </si>
  <si>
    <t>Molding &amp; Casting Workers</t>
  </si>
  <si>
    <t>51-9195.07</t>
  </si>
  <si>
    <t>Paper Goods Machine Setters, Operators, &amp; Tenders</t>
  </si>
  <si>
    <t>51-9196</t>
  </si>
  <si>
    <t>51-9196.00</t>
  </si>
  <si>
    <t>Tire Builders</t>
  </si>
  <si>
    <t>51-9197</t>
  </si>
  <si>
    <t>51-9197.00</t>
  </si>
  <si>
    <t>Helpers--Production Workers</t>
  </si>
  <si>
    <t>51-9198</t>
  </si>
  <si>
    <t>51-9198.00</t>
  </si>
  <si>
    <t>Production Laborers</t>
  </si>
  <si>
    <t>51-9198.01</t>
  </si>
  <si>
    <t>Production Helpers</t>
  </si>
  <si>
    <t>51-9198.02</t>
  </si>
  <si>
    <t>Production Workers, All Other</t>
  </si>
  <si>
    <t>51-9199</t>
  </si>
  <si>
    <t>51-9199.00</t>
  </si>
  <si>
    <t>Supervisors, Transportation &amp; Material Moving Workers</t>
  </si>
  <si>
    <t>53-1000</t>
  </si>
  <si>
    <t>53-1000.00</t>
  </si>
  <si>
    <t>53-1011</t>
  </si>
  <si>
    <t>Aircraft Cargo Handling Supervisors</t>
  </si>
  <si>
    <t>53-1011.00</t>
  </si>
  <si>
    <t>53-1021</t>
  </si>
  <si>
    <t>First-Line Supervisors/Managers of Helpers, Laborers, &amp; Material Movers, Hand</t>
  </si>
  <si>
    <t>53-1021.00</t>
  </si>
  <si>
    <t>53-1031</t>
  </si>
  <si>
    <t>First-Line Supervisors/Managers of Transportation &amp; Material-Moving Machine &amp; Vehicle Operators</t>
  </si>
  <si>
    <t>53-1031.00</t>
  </si>
  <si>
    <t>Aircraft Pilots &amp; Flight Engineers</t>
  </si>
  <si>
    <t>53-2010</t>
  </si>
  <si>
    <t>53-2010.00</t>
  </si>
  <si>
    <t>53-2011</t>
  </si>
  <si>
    <t>Airline Pilots, Copilots, &amp; Flight Engineers</t>
  </si>
  <si>
    <t>53-2011.00</t>
  </si>
  <si>
    <t>Airline/Commercial/Professional Pilot &amp; Flight Crew</t>
  </si>
  <si>
    <t>Flight Instructor</t>
  </si>
  <si>
    <t>53-2012</t>
  </si>
  <si>
    <t>Commercial Pilots</t>
  </si>
  <si>
    <t>53-2012.00</t>
  </si>
  <si>
    <t>Air Traffic Controllers &amp; Airfield Operations Specialists</t>
  </si>
  <si>
    <t>53-2020</t>
  </si>
  <si>
    <t>53-2020.00</t>
  </si>
  <si>
    <t>53-2021</t>
  </si>
  <si>
    <t>Air Traffic Controllers</t>
  </si>
  <si>
    <t>53-2021.00</t>
  </si>
  <si>
    <t>53-2022</t>
  </si>
  <si>
    <t>Airfield Operations Specialists</t>
  </si>
  <si>
    <t>53-2022.00</t>
  </si>
  <si>
    <t>Ambulance Drivers &amp; Attendants, Except Emergency Medical Technicians</t>
  </si>
  <si>
    <t>53-3011</t>
  </si>
  <si>
    <t>53-3011.00</t>
  </si>
  <si>
    <t>Bus Drivers</t>
  </si>
  <si>
    <t>53-3020</t>
  </si>
  <si>
    <t>53-3020.00</t>
  </si>
  <si>
    <t>53-3021</t>
  </si>
  <si>
    <t>Bus Drivers, Transit &amp; Intercity</t>
  </si>
  <si>
    <t>53-3021.00</t>
  </si>
  <si>
    <t>Truck &amp; Bus Driver/Commercial Vehicle Operation</t>
  </si>
  <si>
    <t>53-3022</t>
  </si>
  <si>
    <t>Bus Drivers, School</t>
  </si>
  <si>
    <t>53-3022.00</t>
  </si>
  <si>
    <t>Driver/Sales Workers &amp; Truck Drivers</t>
  </si>
  <si>
    <t>53-3031</t>
  </si>
  <si>
    <t>Driver/Sales Workers</t>
  </si>
  <si>
    <t>53-3031.00</t>
  </si>
  <si>
    <t>53-3032</t>
  </si>
  <si>
    <t>Truck Drivers, Heavy &amp; Tractor-Trailer</t>
  </si>
  <si>
    <t>53-3032.00</t>
  </si>
  <si>
    <t>53-3032.01</t>
  </si>
  <si>
    <t>Truck Drivers, Heavy</t>
  </si>
  <si>
    <t>53-3032.02</t>
  </si>
  <si>
    <t>Tractor-Trailer Truck Drivers</t>
  </si>
  <si>
    <t>53-3033</t>
  </si>
  <si>
    <t>Truck Drivers, Light or Delivery Services</t>
  </si>
  <si>
    <t>53-3033.00</t>
  </si>
  <si>
    <t>Taxi Drivers &amp; Chauffeurs</t>
  </si>
  <si>
    <t>53-3041</t>
  </si>
  <si>
    <t>53-3041.00</t>
  </si>
  <si>
    <t>Motor Vehicle Operators, All Other</t>
  </si>
  <si>
    <t>53-3099</t>
  </si>
  <si>
    <t>53-3099.00</t>
  </si>
  <si>
    <t>Locomotive Engineers &amp; Operators</t>
  </si>
  <si>
    <t>53-4010</t>
  </si>
  <si>
    <t>53-4010.00</t>
  </si>
  <si>
    <t>53-4011</t>
  </si>
  <si>
    <t>Locomotive Engineers</t>
  </si>
  <si>
    <t>53-4011.00</t>
  </si>
  <si>
    <t>Transportation &amp; Materials Moving Services, Other</t>
  </si>
  <si>
    <t>53-4012</t>
  </si>
  <si>
    <t>Locomotive Firers</t>
  </si>
  <si>
    <t>53-4012.00</t>
  </si>
  <si>
    <t>53-4013</t>
  </si>
  <si>
    <t>Rail Yard Engineers, Dinkey Operators, &amp; Hostlers</t>
  </si>
  <si>
    <t>53-4013.00</t>
  </si>
  <si>
    <t>Railroad Brake, Signal, &amp; Switch Operators</t>
  </si>
  <si>
    <t>53-4021</t>
  </si>
  <si>
    <t>53-4021.00</t>
  </si>
  <si>
    <t>53-4021.01</t>
  </si>
  <si>
    <t>Train Crew Members</t>
  </si>
  <si>
    <t>53-4021.02</t>
  </si>
  <si>
    <t>Railroad Yard Workers</t>
  </si>
  <si>
    <t>Railroad Conductors &amp; Yardmasters</t>
  </si>
  <si>
    <t>53-4031</t>
  </si>
  <si>
    <t>53-4031.00</t>
  </si>
  <si>
    <t>Subway, Streetcar, &amp; Other Rail Transportation Workers</t>
  </si>
  <si>
    <t>53-4048</t>
  </si>
  <si>
    <t>53-4041</t>
  </si>
  <si>
    <t>Subway &amp; Streetcar Operators</t>
  </si>
  <si>
    <t>53-4041.00</t>
  </si>
  <si>
    <t>53-4099</t>
  </si>
  <si>
    <t>Rail Transportation Workers, All Other</t>
  </si>
  <si>
    <t>53-4099.00</t>
  </si>
  <si>
    <t>Sailors &amp; Marine Oilers</t>
  </si>
  <si>
    <t>53-5011</t>
  </si>
  <si>
    <t>53-5011.00</t>
  </si>
  <si>
    <t>Marine Transportation Services, Other</t>
  </si>
  <si>
    <t>53-5011.01</t>
  </si>
  <si>
    <t>Able Seamen</t>
  </si>
  <si>
    <t>53-5011.02</t>
  </si>
  <si>
    <t>Ordinary Seamen &amp; Marine Oilers</t>
  </si>
  <si>
    <t>Ship &amp; Boat Captains &amp; Operators</t>
  </si>
  <si>
    <t>53-5020</t>
  </si>
  <si>
    <t>53-5020.00</t>
  </si>
  <si>
    <t>53-5021</t>
  </si>
  <si>
    <t>Captains, Mates, &amp; Pilots of Water Vessels</t>
  </si>
  <si>
    <t>53-5021.00</t>
  </si>
  <si>
    <t>53-5021.01</t>
  </si>
  <si>
    <t>Ship &amp; Boat Captains</t>
  </si>
  <si>
    <t>53-5021.02</t>
  </si>
  <si>
    <t>Mates- Ship, Boat, &amp; Barge</t>
  </si>
  <si>
    <t>53-5021.03</t>
  </si>
  <si>
    <t>Pilots, Ship</t>
  </si>
  <si>
    <t>53-5022</t>
  </si>
  <si>
    <t>Motorboat Operators</t>
  </si>
  <si>
    <t>53-5022.00</t>
  </si>
  <si>
    <t>Ship Engineers</t>
  </si>
  <si>
    <t>53-5031</t>
  </si>
  <si>
    <t>53-5031.00</t>
  </si>
  <si>
    <t>Bridge &amp; Lock Tenders</t>
  </si>
  <si>
    <t>53-6011</t>
  </si>
  <si>
    <t>53-6011.00</t>
  </si>
  <si>
    <t>Parking Lot Attendants</t>
  </si>
  <si>
    <t>53-6021</t>
  </si>
  <si>
    <t>53-6021.00</t>
  </si>
  <si>
    <t>Service Station Attendants</t>
  </si>
  <si>
    <t>53-6031</t>
  </si>
  <si>
    <t>53-6031.00</t>
  </si>
  <si>
    <t>53-6051</t>
  </si>
  <si>
    <t>Transportation Inspectors</t>
  </si>
  <si>
    <t>53-6051.00</t>
  </si>
  <si>
    <t>Aviation Inspectors</t>
  </si>
  <si>
    <t>53-6051.01</t>
  </si>
  <si>
    <t>Public Transportation Inspectors</t>
  </si>
  <si>
    <t>53-6051.02</t>
  </si>
  <si>
    <t>Marine Cargo Inspectors</t>
  </si>
  <si>
    <t>53-6051.03</t>
  </si>
  <si>
    <t>Railroad Inspectors</t>
  </si>
  <si>
    <t>53-6051.04</t>
  </si>
  <si>
    <t>Motor Vehicle Inspectors</t>
  </si>
  <si>
    <t>53-6051.05</t>
  </si>
  <si>
    <t>Freight Inspectors</t>
  </si>
  <si>
    <t>53-6051.06</t>
  </si>
  <si>
    <t>Other Transportation Workers</t>
  </si>
  <si>
    <t>53-6098</t>
  </si>
  <si>
    <t>53-6098.00</t>
  </si>
  <si>
    <t>53-6041</t>
  </si>
  <si>
    <t>Traffic Technicians</t>
  </si>
  <si>
    <t>53-6041.00</t>
  </si>
  <si>
    <t>Traffic, Customs, &amp; Transportation Clerk/Technician (new)</t>
  </si>
  <si>
    <t>53-6099</t>
  </si>
  <si>
    <t>Transportation Workers, All Other</t>
  </si>
  <si>
    <t>53-6099.00</t>
  </si>
  <si>
    <t>Conveyor Operators &amp; Tenders</t>
  </si>
  <si>
    <t>53-7011</t>
  </si>
  <si>
    <t>53-7011.00</t>
  </si>
  <si>
    <t>Crane &amp; Tower Operators</t>
  </si>
  <si>
    <t>53-7021</t>
  </si>
  <si>
    <t>53-7021.00</t>
  </si>
  <si>
    <t>Dredge, Excavating, &amp; Loading Machine Operators</t>
  </si>
  <si>
    <t>53-7030</t>
  </si>
  <si>
    <t>53-7030.00</t>
  </si>
  <si>
    <t>53-7031</t>
  </si>
  <si>
    <t>Dredge Operators</t>
  </si>
  <si>
    <t>53-7031.00</t>
  </si>
  <si>
    <t>53-7032</t>
  </si>
  <si>
    <t>Excavating &amp; Loading Machine &amp; Dragline Operators</t>
  </si>
  <si>
    <t>53-7032.00</t>
  </si>
  <si>
    <t>53-7032.01</t>
  </si>
  <si>
    <t>Excavating &amp; Loading Machine Operators</t>
  </si>
  <si>
    <t>53-7032.02</t>
  </si>
  <si>
    <t>Dragline Operators</t>
  </si>
  <si>
    <t>53-7033</t>
  </si>
  <si>
    <t>Loading Machine Operators, Underground Mining</t>
  </si>
  <si>
    <t>53-7033.00</t>
  </si>
  <si>
    <t>Hoist &amp; Winch Operators</t>
  </si>
  <si>
    <t>53-7041</t>
  </si>
  <si>
    <t>53-7041.00</t>
  </si>
  <si>
    <t>Industrial Truck &amp; Tractor Operators</t>
  </si>
  <si>
    <t>53-7051</t>
  </si>
  <si>
    <t>53-7051.00</t>
  </si>
  <si>
    <t>Cleaners of Vehicles &amp; Equipment</t>
  </si>
  <si>
    <t>53-7061</t>
  </si>
  <si>
    <t>53-7061.00</t>
  </si>
  <si>
    <t>Laborers &amp; Freight, Stock, &amp; Material Movers, Hand</t>
  </si>
  <si>
    <t>53-7062</t>
  </si>
  <si>
    <t>53-7062.00</t>
  </si>
  <si>
    <t>Stevedores, Except Equipment Operators</t>
  </si>
  <si>
    <t>53-7062.01</t>
  </si>
  <si>
    <t>Grips &amp; Set-Up Workers, Motion Picture Sets, Studios, &amp; Stages</t>
  </si>
  <si>
    <t>53-7062.02</t>
  </si>
  <si>
    <t>Freight, Stock, &amp; Material Movers, Hand</t>
  </si>
  <si>
    <t>53-7062.03</t>
  </si>
  <si>
    <t>Machine Feeders &amp; Offbearers</t>
  </si>
  <si>
    <t>53-7063</t>
  </si>
  <si>
    <t>53-7063.00</t>
  </si>
  <si>
    <t>Packers &amp; Packagers, Hand</t>
  </si>
  <si>
    <t>53-7064</t>
  </si>
  <si>
    <t>53-7064.00</t>
  </si>
  <si>
    <t>Pumping Station Operators</t>
  </si>
  <si>
    <t>53-7070</t>
  </si>
  <si>
    <t>53-7070.00</t>
  </si>
  <si>
    <t>53-7071</t>
  </si>
  <si>
    <t>Gas Compressor &amp; Gas Pumping Station Operators</t>
  </si>
  <si>
    <t>53-7071.00</t>
  </si>
  <si>
    <t>Gas Pumping Station Operators</t>
  </si>
  <si>
    <t>53-7071.01</t>
  </si>
  <si>
    <t>Gas Compressor Operators</t>
  </si>
  <si>
    <t>53-7071.02</t>
  </si>
  <si>
    <t>53-7072</t>
  </si>
  <si>
    <t>Pump Operators, Except Wellhead Pumpers</t>
  </si>
  <si>
    <t>53-7072.00</t>
  </si>
  <si>
    <t>53-7073</t>
  </si>
  <si>
    <t>Wellhead Pumpers</t>
  </si>
  <si>
    <t>53-7073.00</t>
  </si>
  <si>
    <t>Refuse &amp; Recyclable Material Collectors</t>
  </si>
  <si>
    <t>53-7081</t>
  </si>
  <si>
    <t>53-7081.00</t>
  </si>
  <si>
    <t>Shuttle Car Operators</t>
  </si>
  <si>
    <t>53-7111</t>
  </si>
  <si>
    <t>53-7111.00</t>
  </si>
  <si>
    <t>Tank Car, Truck, &amp; Ship Loaders</t>
  </si>
  <si>
    <t>53-7121</t>
  </si>
  <si>
    <t>53-7121.00</t>
  </si>
  <si>
    <t>Material Moving Workers, All Other</t>
  </si>
  <si>
    <t>53-7199</t>
  </si>
  <si>
    <t>53-7199.00</t>
  </si>
  <si>
    <t>Optometrists</t>
  </si>
  <si>
    <t>29-1041</t>
  </si>
  <si>
    <t>29-1041.00</t>
  </si>
  <si>
    <t>Pharmacists</t>
  </si>
  <si>
    <t>29-1051</t>
  </si>
  <si>
    <t>29-1051.00</t>
  </si>
  <si>
    <t>Pharmaceutics &amp; Drug Design (MS, PhD)   (New)</t>
  </si>
  <si>
    <t>Medicinal &amp; Pharmaceutical Chemistry (MS, PhD)</t>
  </si>
  <si>
    <t>Natural Products Chemistry &amp; Pharmacognosy (MS, PhD)   (New)</t>
  </si>
  <si>
    <t>Clinical &amp; Industrial Drug Development (MS, PhD)   (New)</t>
  </si>
  <si>
    <t>Pharmacoeconomics/Pharmaceutical Economics (MS, PhD)   (New)</t>
  </si>
  <si>
    <t>Clinical, Hospital, &amp; Managed Care Pharmacy (MS, PhD)   (New)</t>
  </si>
  <si>
    <t>Industrial &amp; Physical Pharmacy &amp; Cosmetic Sciences (MS, PhD)   (New)</t>
  </si>
  <si>
    <t>29-1060</t>
  </si>
  <si>
    <t>29-1060.00</t>
  </si>
  <si>
    <t>29-1061</t>
  </si>
  <si>
    <t>Anesthesiologists</t>
  </si>
  <si>
    <t>29-1061.00</t>
  </si>
  <si>
    <t>29-1062</t>
  </si>
  <si>
    <t>Family &amp; General Practitioners</t>
  </si>
  <si>
    <t>29-1062.00</t>
  </si>
  <si>
    <t>29-1063</t>
  </si>
  <si>
    <t>Internists, General</t>
  </si>
  <si>
    <t>29-1063.00</t>
  </si>
  <si>
    <t>Endocrinology &amp; Metabolism</t>
  </si>
  <si>
    <t>29-1064</t>
  </si>
  <si>
    <t>Obstetricians &amp; Gynecologists</t>
  </si>
  <si>
    <t>29-1064.00</t>
  </si>
  <si>
    <t>Obstetrics &amp; Gynecology</t>
  </si>
  <si>
    <t>29-1065</t>
  </si>
  <si>
    <t>Pediatricians, General</t>
  </si>
  <si>
    <t>29-1065.00</t>
  </si>
  <si>
    <t>29-1066</t>
  </si>
  <si>
    <t>Psychiatrists</t>
  </si>
  <si>
    <t>29-1066.00</t>
  </si>
  <si>
    <t>Psysical Medical and Rehabilitation/Psychiatry  (New)</t>
  </si>
  <si>
    <t>Colon &amp; Rectal Surgery</t>
  </si>
  <si>
    <t>Adult Reconstructive Orthopedics (Orthopedic Surgery)  (New)</t>
  </si>
  <si>
    <t>Orthopedic Surgery of the Spine  (New)</t>
  </si>
  <si>
    <t>29-1069</t>
  </si>
  <si>
    <t>Physicians &amp; Surgeons, All Other</t>
  </si>
  <si>
    <t>29-1069.00</t>
  </si>
  <si>
    <t>Allergies &amp; Immunology - Residency Program</t>
  </si>
  <si>
    <t>Physical &amp; Rehabilitation Medicine</t>
  </si>
  <si>
    <t>Child Neurology   (New)</t>
  </si>
  <si>
    <t>Cytopathology   (New)</t>
  </si>
  <si>
    <t>Geriatric Medicine (Internal Medicine)  (New)</t>
  </si>
  <si>
    <t>Pediatric Urology  (New)</t>
  </si>
  <si>
    <t>Physical Medical &amp; Rehabilitation/Psychiatry  (New)</t>
  </si>
  <si>
    <t>Orthopedic Surgery of the Spine  (NEW)</t>
  </si>
  <si>
    <t>Physician Assistants</t>
  </si>
  <si>
    <t>29-1071</t>
  </si>
  <si>
    <t>29-1071.00</t>
  </si>
  <si>
    <t>Podiatrists</t>
  </si>
  <si>
    <t>29-1081</t>
  </si>
  <si>
    <t>29-1081.00</t>
  </si>
  <si>
    <t>Registered Nurses</t>
  </si>
  <si>
    <t>29-1111</t>
  </si>
  <si>
    <t>29-1111.00</t>
  </si>
  <si>
    <t>Critical Care Nursing</t>
  </si>
  <si>
    <t>Occupational and Environmental Health Nursing</t>
  </si>
  <si>
    <t>Audiologists</t>
  </si>
  <si>
    <t>29-1121</t>
  </si>
  <si>
    <t>29-1121.00</t>
  </si>
  <si>
    <t>Occupational Therapists</t>
  </si>
  <si>
    <t>29-1122</t>
  </si>
  <si>
    <t>29-1122.00</t>
  </si>
  <si>
    <t>Physical Therapists</t>
  </si>
  <si>
    <t>29-1123</t>
  </si>
  <si>
    <t>29-1123.00</t>
  </si>
  <si>
    <t>Kinesiotherapy/Kinesiotherapist   (New)</t>
  </si>
  <si>
    <t>Radiation Therapists</t>
  </si>
  <si>
    <t>29-1124</t>
  </si>
  <si>
    <t>29-1124.00</t>
  </si>
  <si>
    <t>Recreational Therapists</t>
  </si>
  <si>
    <t>29-1125</t>
  </si>
  <si>
    <t>29-1125.00</t>
  </si>
  <si>
    <t>Respiratory Therapists</t>
  </si>
  <si>
    <t>29-1126</t>
  </si>
  <si>
    <t>29-1126.00</t>
  </si>
  <si>
    <t>Speech-Language Pathologists</t>
  </si>
  <si>
    <t>29-1127</t>
  </si>
  <si>
    <t>29-1127.00</t>
  </si>
  <si>
    <t>Therapists, All Other</t>
  </si>
  <si>
    <t>29-1129</t>
  </si>
  <si>
    <t>29-1129.00</t>
  </si>
  <si>
    <t>Kinesiology &amp; Exercise Science</t>
  </si>
  <si>
    <t>Movement Therapy and Mind-Body Therapies and Education, Other</t>
  </si>
  <si>
    <t>Veterinary Anatomy (Cert, MS, PhD)   (New)</t>
  </si>
  <si>
    <t>Veterinary Physiology (Cert, MS, PhD)   (New)</t>
  </si>
  <si>
    <t>Veterinary Microbiology &amp; Immunobiology (Cert, MS, PhD)   (New)</t>
  </si>
  <si>
    <t>Veterinary Pathology &amp; Pathobiology (Cert, MS, PhD)   (New)</t>
  </si>
  <si>
    <t>Veterinary Toxicology &amp; Pharmacology (Cert, MS, PhD)   (New)</t>
  </si>
  <si>
    <t>Large Animal/Food Animal &amp; Equine Surgery &amp; Medicine (Cert, MS, PhD)   (New)</t>
  </si>
  <si>
    <t>Small/Companion Animal Surgery &amp; Medicine (Cert, MS, PhD)  (New)</t>
  </si>
  <si>
    <t>Comparative &amp; Laboratory Animal Medicine (Cert, MS, PhD)  (New)</t>
  </si>
  <si>
    <t>Veterinary Preventive Medicine Epidemiology, &amp; Public Health  (Cert, MS, PhD)   (New)</t>
  </si>
  <si>
    <t>Veterinary Infectious Diseases (Cert, MS, PhD)   (New)</t>
  </si>
  <si>
    <t>Veterinary Biomedical &amp; Clinical Sciences, Other (Cert, MS. PhD)  (New)</t>
  </si>
  <si>
    <t>Health Diagnosing &amp; Treating Practitioners, All Other</t>
  </si>
  <si>
    <t>29-1199</t>
  </si>
  <si>
    <t>All Other Health Diagnosing &amp; Treating Practitioners</t>
  </si>
  <si>
    <t>29-1199.00</t>
  </si>
  <si>
    <t>Phlebotomy/Phlebotomist   (New)</t>
  </si>
  <si>
    <t>Gene/Genetic Therapy   (New)</t>
  </si>
  <si>
    <t>Cytogenetics/Genetics/Clinical Genetics Technology/Technologists</t>
  </si>
  <si>
    <t>Renal/Dialysis Technologist/Technician  (New)</t>
  </si>
  <si>
    <t>Acupuncture  (New)</t>
  </si>
  <si>
    <t>Traditional Chinese?asian Medicine and Chinese Herbology</t>
  </si>
  <si>
    <t>Homeopathic Medicine/Homeopathy   (New)</t>
  </si>
  <si>
    <t>Ayurvedic Medicine/Ayurveda   (New)</t>
  </si>
  <si>
    <t>Alternative &amp; Complementary Medicine &amp; Medical Systems, Other   (NEW)</t>
  </si>
  <si>
    <t>Aromatherapy  (New)</t>
  </si>
  <si>
    <t>Herbalism/Herbalist   (New)</t>
  </si>
  <si>
    <t>Direct Entry Midwifery (LM, CPM)   (New)</t>
  </si>
  <si>
    <t>29-2010</t>
  </si>
  <si>
    <t>29-2010.00</t>
  </si>
  <si>
    <t>Histologic Technology/Histotechnologist    (New)</t>
  </si>
  <si>
    <t>29-2012</t>
  </si>
  <si>
    <t>Medical &amp; Clinical Laboratory Technicians</t>
  </si>
  <si>
    <t>29-2012.00</t>
  </si>
  <si>
    <t>Histologic Technician   (New)</t>
  </si>
  <si>
    <t>Dental Hygienists</t>
  </si>
  <si>
    <t>29-2021</t>
  </si>
  <si>
    <t>29-2021.00</t>
  </si>
  <si>
    <t>Diagnostic Related Technologists &amp; Technicians</t>
  </si>
  <si>
    <t>29-2030</t>
  </si>
  <si>
    <t>29-2030.00</t>
  </si>
  <si>
    <t>29-2031</t>
  </si>
  <si>
    <t>Cardiovascular Technologists &amp; Technicians</t>
  </si>
  <si>
    <t>29-2031.00</t>
  </si>
  <si>
    <t>Cardiopulmonary Technology/Technologist   (New)</t>
  </si>
  <si>
    <t>29-2032</t>
  </si>
  <si>
    <t>Diagnostic Medical Sonographers</t>
  </si>
  <si>
    <t>29-2032.00</t>
  </si>
  <si>
    <t>29-2033</t>
  </si>
  <si>
    <t>Nuclear Medicine Technologists</t>
  </si>
  <si>
    <t>29-2033.00</t>
  </si>
  <si>
    <t>29-2034</t>
  </si>
  <si>
    <t>Radiologic Technologists &amp; Technicians</t>
  </si>
  <si>
    <t>29-2034.00</t>
  </si>
  <si>
    <t>Radiologic Technology/Science   Radiographer   (New)</t>
  </si>
  <si>
    <t>29-2034.01</t>
  </si>
  <si>
    <t>Radiologic Technologists</t>
  </si>
  <si>
    <t>29-2034.02</t>
  </si>
  <si>
    <t>Radiologic Technicians</t>
  </si>
  <si>
    <t>Emergency Medical Technicians &amp; Paramedics</t>
  </si>
  <si>
    <t>29-2041</t>
  </si>
  <si>
    <t>29-2041.00</t>
  </si>
  <si>
    <t>Emergency Medical Technology/Technician (Ambulance)   (New)</t>
  </si>
  <si>
    <t>Health Diagnosing &amp; Treating Practitioner Support Technicians</t>
  </si>
  <si>
    <t>29-2050</t>
  </si>
  <si>
    <t>29-2050.00</t>
  </si>
  <si>
    <t>29-2051</t>
  </si>
  <si>
    <t>Dietetic Technicians</t>
  </si>
  <si>
    <t>29-2051.00</t>
  </si>
  <si>
    <t>Dietetic Technician (DTR)   (New)</t>
  </si>
  <si>
    <t>Dietetian Assistant</t>
  </si>
  <si>
    <t>29-2052</t>
  </si>
  <si>
    <t>Pharmacy Technicians</t>
  </si>
  <si>
    <t>29-2052.00</t>
  </si>
  <si>
    <t>29-2053</t>
  </si>
  <si>
    <t>Psychiatric Technicians</t>
  </si>
  <si>
    <t>29-2053.00</t>
  </si>
  <si>
    <t>29-2054</t>
  </si>
  <si>
    <t>Respiratory Therapy Technicians</t>
  </si>
  <si>
    <t>29-2054.00</t>
  </si>
  <si>
    <t>Respiratory Therapy Technician   (New)</t>
  </si>
  <si>
    <t>29-2055</t>
  </si>
  <si>
    <t>Surgical Technologists</t>
  </si>
  <si>
    <t>29-2055.00</t>
  </si>
  <si>
    <t>Pathology/Pathologist Assistant    (New)</t>
  </si>
  <si>
    <t>29-2056</t>
  </si>
  <si>
    <t>Veterinary Technologists &amp; Technicians</t>
  </si>
  <si>
    <t>29-2056.00</t>
  </si>
  <si>
    <t>Licensed Practical &amp; Licensed Vocational Nurses</t>
  </si>
  <si>
    <t>29-2061</t>
  </si>
  <si>
    <t>29-2061.00</t>
  </si>
  <si>
    <t>Licensed Practical Nurse Training (LPN, Cert, Dipl, AAS)</t>
  </si>
  <si>
    <t>Medical Records &amp; Health Information Technicians</t>
  </si>
  <si>
    <t>29-2071</t>
  </si>
  <si>
    <t>29-2071.00</t>
  </si>
  <si>
    <t>Medical Insurance Coding Specialist/Coder    (New)</t>
  </si>
  <si>
    <t>Opticians, Dispensing</t>
  </si>
  <si>
    <t>29-2081</t>
  </si>
  <si>
    <t>29-2081.00</t>
  </si>
  <si>
    <t>Miscellaneous Health Technologists &amp; Technicians</t>
  </si>
  <si>
    <t>29-2090</t>
  </si>
  <si>
    <t>29-2090.00</t>
  </si>
  <si>
    <t>29-2091</t>
  </si>
  <si>
    <t>Orthotists &amp; Prosthetists</t>
  </si>
  <si>
    <t>29-2091.00</t>
  </si>
  <si>
    <t>29-2099</t>
  </si>
  <si>
    <t>Health Technologists &amp; Technicians, All Other</t>
  </si>
  <si>
    <t>29-2099.00</t>
  </si>
  <si>
    <t>Health Professions &amp; Related Clinical Sciences, Other</t>
  </si>
  <si>
    <t>Other Healthcare Practitioners &amp; Technical Occupations</t>
  </si>
  <si>
    <t>29-9000</t>
  </si>
  <si>
    <t>29-9000.00</t>
  </si>
  <si>
    <t>29-9010</t>
  </si>
  <si>
    <t>Occupational Health &amp; Safety Specialists &amp; Technicians</t>
  </si>
  <si>
    <t>29-9011</t>
  </si>
  <si>
    <t>Occupational Health &amp; Safety Specialists</t>
  </si>
  <si>
    <t>29-9011.00</t>
  </si>
  <si>
    <t>Industrial Safety Technology/Technician  (New)</t>
  </si>
  <si>
    <t>29-9012</t>
  </si>
  <si>
    <t>Occupational Health &amp; Safety Technicians</t>
  </si>
  <si>
    <t>29-9012.00</t>
  </si>
  <si>
    <t>29-9091</t>
  </si>
  <si>
    <t>Athletic Trainers</t>
  </si>
  <si>
    <t>29-9091.00</t>
  </si>
  <si>
    <t>29-9099</t>
  </si>
  <si>
    <t>All Other Health Professionals &amp; Technicians</t>
  </si>
  <si>
    <t>Healthcare Practitioners &amp; Technical Workers, All Other</t>
  </si>
  <si>
    <t>29-9099.00</t>
  </si>
  <si>
    <t>Nursing, Psychiatric, &amp; Home Health Aides</t>
  </si>
  <si>
    <t>31-1010</t>
  </si>
  <si>
    <t>31-1010.00</t>
  </si>
  <si>
    <t>31-1011</t>
  </si>
  <si>
    <t>Home Health Aides</t>
  </si>
  <si>
    <t>31-1011.00</t>
  </si>
  <si>
    <t>31-1012</t>
  </si>
  <si>
    <t>Nursing Aides, Orderlies, &amp; Attendants</t>
  </si>
  <si>
    <t>31-1012.00</t>
  </si>
  <si>
    <t>Nurse/Nursing Assistant/Aide</t>
  </si>
  <si>
    <t>31-1013</t>
  </si>
  <si>
    <t>Psychiatric Aides</t>
  </si>
  <si>
    <t>31-1013.00</t>
  </si>
  <si>
    <t>Occupational Therapist Assistants &amp; Aides</t>
  </si>
  <si>
    <t>31-2010</t>
  </si>
  <si>
    <t>31-2010.00</t>
  </si>
  <si>
    <t>31-2011</t>
  </si>
  <si>
    <t>Occupational Therapist Assistants</t>
  </si>
  <si>
    <t>31-2011.00</t>
  </si>
  <si>
    <t>31-2012</t>
  </si>
  <si>
    <t>Occupational Therapist Aides</t>
  </si>
  <si>
    <t>31-2012.00</t>
  </si>
  <si>
    <t>Physical Therapist Assistants &amp; Aides</t>
  </si>
  <si>
    <t>31-2020</t>
  </si>
  <si>
    <t>31-2020.00</t>
  </si>
  <si>
    <t>31-2021</t>
  </si>
  <si>
    <t>Physical Therapist Assistants</t>
  </si>
  <si>
    <t>31-2021.00</t>
  </si>
  <si>
    <t>31-2022</t>
  </si>
  <si>
    <t>Physical Therapist Aides</t>
  </si>
  <si>
    <t>31-2022.00</t>
  </si>
  <si>
    <t>Massage Therapists</t>
  </si>
  <si>
    <t>31-9011</t>
  </si>
  <si>
    <t>31-9011.00</t>
  </si>
  <si>
    <t>Somatic Bodywork (New)</t>
  </si>
  <si>
    <t>Somatic Bodywork and Related Theraputic Services, Other</t>
  </si>
  <si>
    <t>Dental Assistants</t>
  </si>
  <si>
    <t>31-9091</t>
  </si>
  <si>
    <t>31-9091.00</t>
  </si>
  <si>
    <t>Medical Assistants &amp; Other Healthcare Support Occupations</t>
  </si>
  <si>
    <t>31-9098</t>
  </si>
  <si>
    <t>31-9098.00</t>
  </si>
  <si>
    <t>31-9092</t>
  </si>
  <si>
    <t>Medical Assistants</t>
  </si>
  <si>
    <t>31-9092.00</t>
  </si>
  <si>
    <t>Medical Office Assistant/Specialist    (New)</t>
  </si>
  <si>
    <t>Medical Reception/Receptionist   (New)</t>
  </si>
  <si>
    <t>Medical Administrative/Executive Assistant &amp; Medical Secretary   (New)</t>
  </si>
  <si>
    <t>Anesthesiologist Assistant   (New)</t>
  </si>
  <si>
    <t>Chiropractic Assistant/Technician    (NEW)</t>
  </si>
  <si>
    <t>51.0917</t>
  </si>
  <si>
    <t>Chiropractic Assistant/Technician   (New)</t>
  </si>
  <si>
    <t>Optometric Technician/Assistant</t>
  </si>
  <si>
    <t>Health asnd Medical Assisting Services, Other</t>
  </si>
  <si>
    <t>31-9093</t>
  </si>
  <si>
    <t>Medical Equipment Preparers</t>
  </si>
  <si>
    <t>31-9093.00</t>
  </si>
  <si>
    <t>31-9094</t>
  </si>
  <si>
    <t>Medical Transcriptionists</t>
  </si>
  <si>
    <t>31-9094.00</t>
  </si>
  <si>
    <t>31-9095</t>
  </si>
  <si>
    <t>Pharmacy Aides</t>
  </si>
  <si>
    <t>31-9095.00</t>
  </si>
  <si>
    <t>31-9096</t>
  </si>
  <si>
    <t>Veterinary Assistants &amp; Laboratory Animal Caretakers</t>
  </si>
  <si>
    <t>31-9096.00</t>
  </si>
  <si>
    <t>31-9099</t>
  </si>
  <si>
    <t>Healthcare Support Workers, All Other</t>
  </si>
  <si>
    <t>31-9099.00</t>
  </si>
  <si>
    <t>Health Aides/Attendants/Orderlies, Other  (New)</t>
  </si>
  <si>
    <t>Reiki   (New)</t>
  </si>
  <si>
    <t>Herbalism/Herbalist  (New)</t>
  </si>
  <si>
    <t>Polarity Therapy  (New)</t>
  </si>
  <si>
    <t>Energy and Biologically Based Therapies, other  (New)</t>
  </si>
  <si>
    <t>Somatic Bodywork</t>
  </si>
  <si>
    <t>Yoga Teacher Training/Yoga Therapy    (New)</t>
  </si>
  <si>
    <t>Medication Aide  (New)</t>
  </si>
  <si>
    <t>First-Line Supervisors/Managers of Correctional Officers</t>
  </si>
  <si>
    <t>33-1011</t>
  </si>
  <si>
    <t>33-1011.00</t>
  </si>
  <si>
    <t>First-Line Supervisors/Managers of Police &amp; Detectives</t>
  </si>
  <si>
    <t>33-1012</t>
  </si>
  <si>
    <t>33-1012.00</t>
  </si>
  <si>
    <t>First-Line Supervisors/Managers of Fire Fighting &amp; Prevention Workers</t>
  </si>
  <si>
    <t>33-1021</t>
  </si>
  <si>
    <t>33-1021.00</t>
  </si>
  <si>
    <t>33-1021.01</t>
  </si>
  <si>
    <t>Municipal Fire Fighting &amp; Prevention Supervisors</t>
  </si>
  <si>
    <t>33-1021.02</t>
  </si>
  <si>
    <t>Forest Fire Fighting &amp; Prevention Supervisors</t>
  </si>
  <si>
    <t>Supervisors, Protective Service Workers, All Other</t>
  </si>
  <si>
    <t>33-1099</t>
  </si>
  <si>
    <t>First-Line Supervisors/Managers of Protective Service Workers, Except Police, Fire &amp; Corrections</t>
  </si>
  <si>
    <t>First-Line Supervisors/Managers, Protective Service Workers, All Other</t>
  </si>
  <si>
    <t>33-1099.00</t>
  </si>
  <si>
    <t>Securities Services Administration/Management  (New)</t>
  </si>
  <si>
    <t>Fire Fighters</t>
  </si>
  <si>
    <t>33-2011</t>
  </si>
  <si>
    <t>33-2011.00</t>
  </si>
  <si>
    <t>33-2011.01</t>
  </si>
  <si>
    <t>Municipal Fire Fighters</t>
  </si>
  <si>
    <t>33-2011.02</t>
  </si>
  <si>
    <t>Forest Fire Fighters</t>
  </si>
  <si>
    <t>Fire Inspectors</t>
  </si>
  <si>
    <t>33-2020</t>
  </si>
  <si>
    <t>33-2020.00</t>
  </si>
  <si>
    <t>33-2021</t>
  </si>
  <si>
    <t>Fire Inspectors &amp; Investigators</t>
  </si>
  <si>
    <t>33-2021.00</t>
  </si>
  <si>
    <t>33-2021.01</t>
  </si>
  <si>
    <t>33-2021.02</t>
  </si>
  <si>
    <t>Fire Investigators</t>
  </si>
  <si>
    <t>33-2022</t>
  </si>
  <si>
    <t>Forest Fire Inspectors &amp; Prevention Specialists</t>
  </si>
  <si>
    <t>33-2022.00</t>
  </si>
  <si>
    <t>Bailiffs, Correctional Officers, &amp; Jailers</t>
  </si>
  <si>
    <t>33-3010</t>
  </si>
  <si>
    <t>33-3010.00</t>
  </si>
  <si>
    <t>33-3011</t>
  </si>
  <si>
    <t>Bailiffs</t>
  </si>
  <si>
    <t>33-3011.00</t>
  </si>
  <si>
    <t>33-3012</t>
  </si>
  <si>
    <t>Correctional Officers &amp; Jailers</t>
  </si>
  <si>
    <t>33-3012.00</t>
  </si>
  <si>
    <t>Detectives &amp; Criminal Investigators</t>
  </si>
  <si>
    <t>33-3021</t>
  </si>
  <si>
    <t>33-3021.00</t>
  </si>
  <si>
    <t>33-3021.01</t>
  </si>
  <si>
    <t>Police Detectives</t>
  </si>
  <si>
    <t>33-3021.02</t>
  </si>
  <si>
    <t>Police Identification &amp; Records Officers</t>
  </si>
  <si>
    <t>33-3021.03</t>
  </si>
  <si>
    <t>Criminal Investigators &amp; Special Agents</t>
  </si>
  <si>
    <t>33-3021.04</t>
  </si>
  <si>
    <t>Child Support, Missing Persons, &amp; Unemployment Insurance Fraud Investigators</t>
  </si>
  <si>
    <t>33-3021.05</t>
  </si>
  <si>
    <t>Immigration &amp; Customs Inspectors</t>
  </si>
  <si>
    <t>Fish &amp; Game Wardens</t>
  </si>
  <si>
    <t>33-3031</t>
  </si>
  <si>
    <t>33-3031.00</t>
  </si>
  <si>
    <t>Natural Resource Economics  (New)</t>
  </si>
  <si>
    <t>Parking Enforcement Workers</t>
  </si>
  <si>
    <t>33-3041</t>
  </si>
  <si>
    <t>33-3041.00</t>
  </si>
  <si>
    <t>Police &amp; Sheriff's Patrol Officers</t>
  </si>
  <si>
    <t>33-3051</t>
  </si>
  <si>
    <t>33-3051.00</t>
  </si>
  <si>
    <t>33-3051.01</t>
  </si>
  <si>
    <t>Police Patrol Officers</t>
  </si>
  <si>
    <t>33-3051.02</t>
  </si>
  <si>
    <t>Highway Patrol Pilots</t>
  </si>
  <si>
    <t>33-3051.03</t>
  </si>
  <si>
    <t>Sheriffs &amp; Deputy Sheriffs</t>
  </si>
  <si>
    <t>Transit &amp; Railroad Police</t>
  </si>
  <si>
    <t>33-3052</t>
  </si>
  <si>
    <t>33-3052.00</t>
  </si>
  <si>
    <t>Animal Control Workers</t>
  </si>
  <si>
    <t>33-9011</t>
  </si>
  <si>
    <t>33-9011.00</t>
  </si>
  <si>
    <t>Private Detectives &amp; Investigators</t>
  </si>
  <si>
    <t>33-9021</t>
  </si>
  <si>
    <t>33-9021.00</t>
  </si>
  <si>
    <t>Security Guards &amp; Gaming Surveillance Officers</t>
  </si>
  <si>
    <t>33-9030</t>
  </si>
  <si>
    <t>33-9030.00</t>
  </si>
  <si>
    <t>33-9031</t>
  </si>
  <si>
    <t>Gaming Surveillance Officers &amp; Gaming Investigators</t>
  </si>
  <si>
    <t>33-9031.00</t>
  </si>
  <si>
    <t>33-9032</t>
  </si>
  <si>
    <t>Security Guards</t>
  </si>
  <si>
    <t>33-9032.00</t>
  </si>
  <si>
    <t>Crossing Guards</t>
  </si>
  <si>
    <t>33-9091</t>
  </si>
  <si>
    <t>33-9091.00</t>
  </si>
  <si>
    <t>No comparable Census occupation</t>
  </si>
  <si>
    <t>33-9092</t>
  </si>
  <si>
    <t>Lifeguards, Ski Patrol, &amp; Other Recreational Protective Service Workers</t>
  </si>
  <si>
    <t>33-9092.00</t>
  </si>
  <si>
    <t>Lifeguards &amp; Other Protective Service Workers</t>
  </si>
  <si>
    <t>33-9099</t>
  </si>
  <si>
    <t>33-9099.00</t>
  </si>
  <si>
    <t>All Other Protective Service Workers</t>
  </si>
  <si>
    <t>Protective Service Workers, All Other</t>
  </si>
  <si>
    <t>Chefs &amp; Head Cooks</t>
  </si>
  <si>
    <t>35-1011</t>
  </si>
  <si>
    <t>35-1011.00</t>
  </si>
  <si>
    <t>Cooking &amp; Related Culinary Arts, General  (New)</t>
  </si>
  <si>
    <t>First-Line Supervisors/Managers of Food Preparation &amp; Serving Workers</t>
  </si>
  <si>
    <t>35-1012</t>
  </si>
  <si>
    <t>35-1012.00</t>
  </si>
  <si>
    <t>Cooks</t>
  </si>
  <si>
    <t>35-2010</t>
  </si>
  <si>
    <t>35-2010.00</t>
  </si>
  <si>
    <t>35-2011</t>
  </si>
  <si>
    <t>Cooks, Fast Food</t>
  </si>
  <si>
    <t>35-2011.00</t>
  </si>
  <si>
    <t>Institutional Food Worker (New)</t>
  </si>
  <si>
    <t>35-2012</t>
  </si>
  <si>
    <t>Cooks, Institution &amp; Cafeteria</t>
  </si>
  <si>
    <t>35-2012.00</t>
  </si>
  <si>
    <t>Culinary Arts &amp; Related Services, Other</t>
  </si>
  <si>
    <t>NA</t>
  </si>
  <si>
    <t>35-2013</t>
  </si>
  <si>
    <t>Cooks, Private Household</t>
  </si>
  <si>
    <t>35-2013.00</t>
  </si>
  <si>
    <t>35-2014</t>
  </si>
  <si>
    <t>Cooks, Restaurant</t>
  </si>
  <si>
    <t>35-2014.00</t>
  </si>
  <si>
    <t>35-2015</t>
  </si>
  <si>
    <t>Cooks, Short Order</t>
  </si>
  <si>
    <t>35-2015.00</t>
  </si>
  <si>
    <t>35-2019</t>
  </si>
  <si>
    <t>Cooks, All Other</t>
  </si>
  <si>
    <t>35-2019.00</t>
  </si>
  <si>
    <t>Food Preparation Workers</t>
  </si>
  <si>
    <t>35-2021</t>
  </si>
  <si>
    <t>35-2021.00</t>
  </si>
  <si>
    <t>Bartenders</t>
  </si>
  <si>
    <t>35-3011</t>
  </si>
  <si>
    <t>35-3011.00</t>
  </si>
  <si>
    <t>Combined Food Preparation &amp; Serving Workers, Including Fast Food</t>
  </si>
  <si>
    <t>35-3021</t>
  </si>
  <si>
    <t>35-3021.00</t>
  </si>
  <si>
    <t>Counter Attendants, Cafeteria, Food Concession, &amp; Coffee Shop</t>
  </si>
  <si>
    <t>35-3022</t>
  </si>
  <si>
    <t>35-3022.00</t>
  </si>
  <si>
    <t>Food Service, Waiter/Waitress, &amp; Dining Room Management/Manager</t>
  </si>
  <si>
    <t>Waiters &amp; Waitresses</t>
  </si>
  <si>
    <t>35-3031</t>
  </si>
  <si>
    <t>35-3031.00</t>
  </si>
  <si>
    <t>Food Servers, Nonrestaurant</t>
  </si>
  <si>
    <t>35-3041</t>
  </si>
  <si>
    <t>35-3041.00</t>
  </si>
  <si>
    <t>Dining Room &amp; Cafeteria Attendants &amp; Bartender Helpers</t>
  </si>
  <si>
    <t>35-9011</t>
  </si>
  <si>
    <t>35-9011.00</t>
  </si>
  <si>
    <t>Dishwashers</t>
  </si>
  <si>
    <t>35-9021</t>
  </si>
  <si>
    <t>35-9021.00</t>
  </si>
  <si>
    <t>Hosts &amp; Hostesses, Restaurant, Lounge, &amp; Coffee Shop</t>
  </si>
  <si>
    <t>35-9031</t>
  </si>
  <si>
    <t>35-9031.00</t>
  </si>
  <si>
    <t>Food Preparation &amp; Serving Related Workers, All Other</t>
  </si>
  <si>
    <t>35-9099</t>
  </si>
  <si>
    <t>All Other Food Preparation &amp; Serving Related Workers</t>
  </si>
  <si>
    <t>35-9099.00</t>
  </si>
  <si>
    <t>First-Line Supervisors/Managers of Housekeeping &amp; Janitorial Workers</t>
  </si>
  <si>
    <t>37-1011</t>
  </si>
  <si>
    <t>37-1011.00</t>
  </si>
  <si>
    <t>Housekeeping Supervisors</t>
  </si>
  <si>
    <t>37-1011.01</t>
  </si>
  <si>
    <t>Janitorial Supervisors</t>
  </si>
  <si>
    <t>37-1011.02</t>
  </si>
  <si>
    <t>First-Line Supervisors/Managers of Landscaping, Lawn Service, &amp; Groundskeeping Workers</t>
  </si>
  <si>
    <t>37-1012</t>
  </si>
  <si>
    <t>37-1012.00</t>
  </si>
  <si>
    <t>37-1012.01</t>
  </si>
  <si>
    <t>Lawn Service Managers</t>
  </si>
  <si>
    <t>37-1012.02</t>
  </si>
  <si>
    <t>First-Line Supervisors &amp; Manager/Supervisors - Landscaping Workers</t>
  </si>
  <si>
    <t>Janitors &amp; Building Cleaners</t>
  </si>
  <si>
    <t>37-2011</t>
  </si>
  <si>
    <t>Janitors &amp; Cleaners, Except Maids &amp; Housekeeping Cleaners</t>
  </si>
  <si>
    <t>37-2011.00</t>
  </si>
  <si>
    <t>Maids &amp; Housekeeping Cleaners</t>
  </si>
  <si>
    <t>37-2012</t>
  </si>
  <si>
    <t>37-2012.00</t>
  </si>
  <si>
    <t>Pest Control Workers</t>
  </si>
  <si>
    <t>37-2021</t>
  </si>
  <si>
    <t>37-2021.00</t>
  </si>
  <si>
    <t>Grounds Maintenance Workers</t>
  </si>
  <si>
    <t>37-3010</t>
  </si>
  <si>
    <t>37-3010.00</t>
  </si>
  <si>
    <t>37-3011</t>
  </si>
  <si>
    <t>Landscaping &amp; Groundskeeping Workers</t>
  </si>
  <si>
    <t>37-3011.00</t>
  </si>
  <si>
    <t>37-3012</t>
  </si>
  <si>
    <t>Pesticide Handlers, Sprayers, &amp; Applicators, Vegetation</t>
  </si>
  <si>
    <t>37-3012.00</t>
  </si>
  <si>
    <t>37-3013</t>
  </si>
  <si>
    <t>Tree Trimmers &amp; Pruners</t>
  </si>
  <si>
    <t>37-3013.00</t>
  </si>
  <si>
    <t>37-3019</t>
  </si>
  <si>
    <t>Grounds Maintenance Workers, All Other</t>
  </si>
  <si>
    <t>37-3019.00</t>
  </si>
  <si>
    <t>No comparable census occupation</t>
  </si>
  <si>
    <t>37-9099</t>
  </si>
  <si>
    <t>All Other Building &amp; Grounds Cleaning &amp; Maintenance Workers</t>
  </si>
  <si>
    <t>37-9099.00</t>
  </si>
  <si>
    <t>First-Line Supervisors/Managers of Gaming Workers</t>
  </si>
  <si>
    <t>39-1010</t>
  </si>
  <si>
    <t>39-1010.00</t>
  </si>
  <si>
    <t>39-1011</t>
  </si>
  <si>
    <t>Gaming Supervisors</t>
  </si>
  <si>
    <t>39-1011.00</t>
  </si>
  <si>
    <t>39-1012</t>
  </si>
  <si>
    <t>Slot Key Persons</t>
  </si>
  <si>
    <t>39-1012.00</t>
  </si>
  <si>
    <t>First-Line Supervisors/Managers of Personal Service Workers</t>
  </si>
  <si>
    <t>39-1021</t>
  </si>
  <si>
    <t>39-1021.00</t>
  </si>
  <si>
    <t>Animal Trainers</t>
  </si>
  <si>
    <t>39-2011</t>
  </si>
  <si>
    <t>39-2011.00</t>
  </si>
  <si>
    <t>Nonfarm Animal Caretakers</t>
  </si>
  <si>
    <t>39-2021</t>
  </si>
  <si>
    <t>39-2021.00</t>
  </si>
  <si>
    <t>Dog/Pet/Animal Grooming  (New)</t>
  </si>
  <si>
    <t>Gaming Services Workers</t>
  </si>
  <si>
    <t>39-3010</t>
  </si>
  <si>
    <t>39-3010.00</t>
  </si>
  <si>
    <t>39-3011</t>
  </si>
  <si>
    <t>Gaming Dealers</t>
  </si>
  <si>
    <t>39-3011.00</t>
  </si>
  <si>
    <t>39-3012</t>
  </si>
  <si>
    <t>Gaming &amp; Sports Book Writers &amp; Runners</t>
  </si>
  <si>
    <t>39-3012.00</t>
  </si>
  <si>
    <t>Motion Picture Projectionists</t>
  </si>
  <si>
    <t>39-3021</t>
  </si>
  <si>
    <t>39-3021.00</t>
  </si>
  <si>
    <t>Ushers, Lobby Attendants, &amp; Ticket Takers</t>
  </si>
  <si>
    <t>39-3031</t>
  </si>
  <si>
    <t>39-3031.00</t>
  </si>
  <si>
    <t>Miscellaneous Entertainment Attendants &amp; Related Workers</t>
  </si>
  <si>
    <t>39-3090</t>
  </si>
  <si>
    <t>39-3090.00</t>
  </si>
  <si>
    <t>39-3091</t>
  </si>
  <si>
    <t>Amusement &amp; Recreation Attendants</t>
  </si>
  <si>
    <t>39-3091.00</t>
  </si>
  <si>
    <t>39-3092</t>
  </si>
  <si>
    <t>Costume Attendants</t>
  </si>
  <si>
    <t>39-3092.00</t>
  </si>
  <si>
    <t>39-3093</t>
  </si>
  <si>
    <t>Locker Room, Coatroom, &amp; Dressing Room Attendants</t>
  </si>
  <si>
    <t>39-3093.00</t>
  </si>
  <si>
    <t>39-3099</t>
  </si>
  <si>
    <t>Entertainment Attendants &amp; Related Workers, All Other</t>
  </si>
  <si>
    <t>39-3099.00</t>
  </si>
  <si>
    <t>Funeral Service Workers</t>
  </si>
  <si>
    <t>39-4000</t>
  </si>
  <si>
    <t>39-4000.00</t>
  </si>
  <si>
    <t>39-4011</t>
  </si>
  <si>
    <t>Embalmers</t>
  </si>
  <si>
    <t>39-4011.00</t>
  </si>
  <si>
    <t>Mortuary Science &amp; Embalming/Embalmer  (New)</t>
  </si>
  <si>
    <t>39-4021</t>
  </si>
  <si>
    <t>Funeral Attendants</t>
  </si>
  <si>
    <t>39-4021.00</t>
  </si>
  <si>
    <t>Barbers</t>
  </si>
  <si>
    <t>39-5011</t>
  </si>
  <si>
    <t>39-5011.00</t>
  </si>
  <si>
    <t>Hair Styling/Stylist &amp; Hair Design  (New)</t>
  </si>
  <si>
    <t>Salon/Beauty Salon Management/Manager  (New)</t>
  </si>
  <si>
    <t>Cosmetology, Barber/Styling, &amp; Nail Instructor  (New)</t>
  </si>
  <si>
    <t>Hairdressers, Hairstylists, &amp; Cosmetologists</t>
  </si>
  <si>
    <t>39-5012</t>
  </si>
  <si>
    <t>39-5012.00</t>
  </si>
  <si>
    <t>Electrolysis/Electrology &amp; Electrolysis Technician</t>
  </si>
  <si>
    <t>Permanent Cosmetics/Makeup &amp; Tattooing  (New)</t>
  </si>
  <si>
    <t>Cosmetology &amp; Related Personal Grooming Arts, Other</t>
  </si>
  <si>
    <t>Miscellaneous Personal Appearance Workers</t>
  </si>
  <si>
    <t>39-5090</t>
  </si>
  <si>
    <t>39-5090.00</t>
  </si>
  <si>
    <t>39-5091</t>
  </si>
  <si>
    <t>Makeup Artists, Theatrical &amp; Performance</t>
  </si>
  <si>
    <t>39-5091.00</t>
  </si>
  <si>
    <t>39-5092</t>
  </si>
  <si>
    <t>Manicurists &amp; Pedicurists</t>
  </si>
  <si>
    <t>39-5092.00</t>
  </si>
  <si>
    <t>Nail Technician/Specialist &amp; Manicurist  (New)</t>
  </si>
  <si>
    <t>39-5093</t>
  </si>
  <si>
    <t>Shampooers</t>
  </si>
  <si>
    <t>39-5093.00</t>
  </si>
  <si>
    <t>39-5094</t>
  </si>
  <si>
    <t>Skin Care Specialists</t>
  </si>
  <si>
    <t>39-5094.00</t>
  </si>
  <si>
    <t>Facial Treatment Specialist/Facialist  (New)</t>
  </si>
  <si>
    <t>Baggage Porters, Bellhops, &amp; Concierges</t>
  </si>
  <si>
    <t>39-6010</t>
  </si>
  <si>
    <t>39-6010.00</t>
  </si>
  <si>
    <t>39-6011</t>
  </si>
  <si>
    <t>Baggage Porters &amp; Bellhops</t>
  </si>
  <si>
    <t>39-6011.00</t>
  </si>
  <si>
    <t>39-6012</t>
  </si>
  <si>
    <t>Concierges</t>
  </si>
  <si>
    <t>39-6012.00</t>
  </si>
  <si>
    <t>Tour &amp; Travel Guides</t>
  </si>
  <si>
    <t>39-6020</t>
  </si>
  <si>
    <t>39-6020.00</t>
  </si>
  <si>
    <t>39-6021</t>
  </si>
  <si>
    <t>Tour Guides &amp; Escorts</t>
  </si>
  <si>
    <t>39-6021.00</t>
  </si>
  <si>
    <t>39-6022</t>
  </si>
  <si>
    <t>Travel Guides</t>
  </si>
  <si>
    <t>39-6022.00</t>
  </si>
  <si>
    <t>Transportation Attendants</t>
  </si>
  <si>
    <t>39-6030</t>
  </si>
  <si>
    <t>39-6030.00</t>
  </si>
  <si>
    <t>39-6031</t>
  </si>
  <si>
    <t>Flight Attendants</t>
  </si>
  <si>
    <t>39-6031.00</t>
  </si>
  <si>
    <t>39-6032</t>
  </si>
  <si>
    <t>Transportation Attendants, Except Flight Attendants &amp; Baggage Porters</t>
  </si>
  <si>
    <t>39-6032.00</t>
  </si>
  <si>
    <t>Child Care Workers</t>
  </si>
  <si>
    <t>39-9011</t>
  </si>
  <si>
    <t>39-9011.00</t>
  </si>
  <si>
    <t>Personal &amp; Home Care Aides</t>
  </si>
  <si>
    <t>39-9021</t>
  </si>
  <si>
    <t>39-9021.00</t>
  </si>
  <si>
    <t>Recreation &amp; Fitness Workers</t>
  </si>
  <si>
    <t>39-9030</t>
  </si>
  <si>
    <t>39-9030.00</t>
  </si>
  <si>
    <t>39-9031</t>
  </si>
  <si>
    <t>Fitness Trainers &amp; Aerobics Instructors</t>
  </si>
  <si>
    <t>39-9031.00</t>
  </si>
  <si>
    <t>39-9032</t>
  </si>
  <si>
    <t>Recreation Workers</t>
  </si>
  <si>
    <t>39-9032.00</t>
  </si>
  <si>
    <t>Residential Advisors</t>
  </si>
  <si>
    <t>39-9041</t>
  </si>
  <si>
    <t>39-9041.00</t>
  </si>
  <si>
    <t>Personal Care &amp; Service Workers, All Other</t>
  </si>
  <si>
    <t>39-9099</t>
  </si>
  <si>
    <t>39-9099.00</t>
  </si>
  <si>
    <t>First-Line Supervisors/Managers of Retail Sales Workers</t>
  </si>
  <si>
    <t>41-1011</t>
  </si>
  <si>
    <t>41-1011.00</t>
  </si>
  <si>
    <t>Retailing &amp; Retail Operations</t>
  </si>
  <si>
    <t>Special Products Marketing Operations</t>
  </si>
  <si>
    <t>Specialized Merchandising, Sales, &amp; Related Marketing Operations, Other</t>
  </si>
  <si>
    <t>First-Line Supervisors/Managers of Non-Retail Sales Workers</t>
  </si>
  <si>
    <t>41-1012</t>
  </si>
  <si>
    <t>41-1012.00</t>
  </si>
  <si>
    <t>General Merchandising, Sales, &amp; Related Marketing Operations, Other</t>
  </si>
  <si>
    <t>Cashiers</t>
  </si>
  <si>
    <t>41-2011</t>
  </si>
  <si>
    <t>41-2011.00</t>
  </si>
  <si>
    <t>41-2012</t>
  </si>
  <si>
    <t>Gaming Change Persons &amp; Booth Cashiers</t>
  </si>
  <si>
    <t>41-2012.00</t>
  </si>
  <si>
    <t>Counter &amp; Rental Clerks</t>
  </si>
  <si>
    <t>41-2021</t>
  </si>
  <si>
    <t>41-2021.00</t>
  </si>
  <si>
    <t>Parts Salespersons</t>
  </si>
  <si>
    <t>41-2022</t>
  </si>
  <si>
    <t>41-2022.00</t>
  </si>
  <si>
    <t>Retail Salespersons</t>
  </si>
  <si>
    <t>41-2031</t>
  </si>
  <si>
    <t>41-2031.00</t>
  </si>
  <si>
    <t>Advertising Sales Agents</t>
  </si>
  <si>
    <t>41-3011</t>
  </si>
  <si>
    <t>41-3011.00</t>
  </si>
  <si>
    <t>Insurance Sales Agents</t>
  </si>
  <si>
    <t>41-3021</t>
  </si>
  <si>
    <t>41-3021.00</t>
  </si>
  <si>
    <t>Securities, Commodities, &amp; Financial Services Sales Agents</t>
  </si>
  <si>
    <t>41-3031</t>
  </si>
  <si>
    <t>41-3031.00</t>
  </si>
  <si>
    <t>41-3031.01</t>
  </si>
  <si>
    <t>Sales Agents, Securities &amp; Commodities</t>
  </si>
  <si>
    <t>41-3031.02</t>
  </si>
  <si>
    <t>Sales Agents, Financial Services</t>
  </si>
  <si>
    <t>Business and Personal/Financial Services Marketing Operations (New)</t>
  </si>
  <si>
    <t>Travel Agents</t>
  </si>
  <si>
    <t>41-3041</t>
  </si>
  <si>
    <t>41-3041.00</t>
  </si>
  <si>
    <t>Sales Representatives, Services, All Other</t>
  </si>
  <si>
    <t>41-3099</t>
  </si>
  <si>
    <t>41-3099.00</t>
  </si>
  <si>
    <t>Sales Representatives, Wholesale &amp; Manufacturing</t>
  </si>
  <si>
    <t>41-4010</t>
  </si>
  <si>
    <t>41-4010.00</t>
  </si>
  <si>
    <t>41-4011</t>
  </si>
  <si>
    <t>Sales Representatives, Wholesale &amp; Manufacturing, Technical &amp; Scientific Products</t>
  </si>
  <si>
    <t>41-4011.00</t>
  </si>
  <si>
    <t>41-4011.01</t>
  </si>
  <si>
    <t>Sales Representatives, Agricultural</t>
  </si>
  <si>
    <t>41-4011.02</t>
  </si>
  <si>
    <t>Sales Representatives, Chemical &amp; Pharmaceutical</t>
  </si>
  <si>
    <t>41-4011.03</t>
  </si>
  <si>
    <t>Sales Representatives, Electrical/Electronic</t>
  </si>
  <si>
    <t>41-4011.04</t>
  </si>
  <si>
    <t>Sales Representatives, Mechanical Equipment &amp; Supplies</t>
  </si>
  <si>
    <t>41-4011.05</t>
  </si>
  <si>
    <t>Sales Representatives, Medical</t>
  </si>
  <si>
    <t>41-4011.06</t>
  </si>
  <si>
    <t>Sales Representatives, Instruments</t>
  </si>
  <si>
    <t>41-4012</t>
  </si>
  <si>
    <t>Sales Representatives, Wholesale &amp; Manufacturing, Except Technical &amp; Scientific Products</t>
  </si>
  <si>
    <t>41-4012.00</t>
  </si>
  <si>
    <t>Sepecialized Merchandising, Sales, &amp; Related Marketing Operations, Other</t>
  </si>
  <si>
    <t>Models, Demonstrators, &amp; Product Promoters</t>
  </si>
  <si>
    <t>41-9010</t>
  </si>
  <si>
    <t>41-9010.00</t>
  </si>
  <si>
    <t>41-9011</t>
  </si>
  <si>
    <t>Demonstrators &amp; Product Promoters</t>
  </si>
  <si>
    <t>41-9011.00</t>
  </si>
  <si>
    <t>41-9012</t>
  </si>
  <si>
    <t>Models</t>
  </si>
  <si>
    <t>41-9012.00</t>
  </si>
  <si>
    <t>Real Estate Brokers &amp; Sales Agents</t>
  </si>
  <si>
    <t>41-9020</t>
  </si>
  <si>
    <t>41-9020.00</t>
  </si>
  <si>
    <t>41-9021</t>
  </si>
  <si>
    <t>Real Estate Brokers</t>
  </si>
  <si>
    <t>41-9021.00</t>
  </si>
  <si>
    <t>41-9022</t>
  </si>
  <si>
    <t>Real Estate Sales Agents</t>
  </si>
  <si>
    <t>41-9022.00</t>
  </si>
  <si>
    <t>Sales Engineers</t>
  </si>
  <si>
    <t>41-9031</t>
  </si>
  <si>
    <t>41-9031.00</t>
  </si>
  <si>
    <t>Telemarketers</t>
  </si>
  <si>
    <t>41-9041</t>
  </si>
  <si>
    <t>41-9041.00</t>
  </si>
  <si>
    <t>Door-To-Door Sales Workers, News &amp; Street Vendors, &amp; Related Workers</t>
  </si>
  <si>
    <t>41-9091</t>
  </si>
  <si>
    <t>41-9091.00</t>
  </si>
  <si>
    <t>Sales &amp; Related Workers, All Other</t>
  </si>
  <si>
    <t>41-9099</t>
  </si>
  <si>
    <t>41-9099.00</t>
  </si>
  <si>
    <t>First-Line Supervisors/Managers of Office &amp; Administrative Support Workers</t>
  </si>
  <si>
    <t>43-1011</t>
  </si>
  <si>
    <t>43-1011.00</t>
  </si>
  <si>
    <t>Medical Staff Services Technolgy/ Technician (New)</t>
  </si>
  <si>
    <t>Office Management &amp; Supervision</t>
  </si>
  <si>
    <t>Customer Service Management   (New)</t>
  </si>
  <si>
    <t>43-1011.01</t>
  </si>
  <si>
    <t>First-Line Supervisors, Customer Service</t>
  </si>
  <si>
    <t>43-1011.02</t>
  </si>
  <si>
    <t>First-Line Supervisors, Administrative Support</t>
  </si>
  <si>
    <t>Switchboard Operators, Including Answering Service</t>
  </si>
  <si>
    <t>43-2011</t>
  </si>
  <si>
    <t>43-2011.00</t>
  </si>
  <si>
    <t>Telephone Operators</t>
  </si>
  <si>
    <t>43-2021</t>
  </si>
  <si>
    <t>43-2021.00</t>
  </si>
  <si>
    <t>Customer Service Support/Call Center/Teleservice Operation (New)</t>
  </si>
  <si>
    <t>43-2021.01</t>
  </si>
  <si>
    <t>Directory Assistance Operators</t>
  </si>
  <si>
    <t>43-2021.02</t>
  </si>
  <si>
    <t>Central Office Operators</t>
  </si>
  <si>
    <t>Communications Equipment Operators, All Other</t>
  </si>
  <si>
    <t>43-2099</t>
  </si>
  <si>
    <t>43-2099.00</t>
  </si>
  <si>
    <t>Bill &amp; Account Collectors</t>
  </si>
  <si>
    <t>43-3011</t>
  </si>
  <si>
    <t>43-3011.00</t>
  </si>
  <si>
    <t>Billing &amp; Posting Clerks &amp; Machine Operators</t>
  </si>
  <si>
    <t>43-3021</t>
  </si>
  <si>
    <t>43-3021.00</t>
  </si>
  <si>
    <t>43-3021.01</t>
  </si>
  <si>
    <t>Statement Clerks</t>
  </si>
  <si>
    <t>43-3021.02</t>
  </si>
  <si>
    <t>Billing, Cost, &amp; Rate Clerks</t>
  </si>
  <si>
    <t>43-3021.03</t>
  </si>
  <si>
    <t>Billing, Posting, &amp; Calculating Machine Operators</t>
  </si>
  <si>
    <t>Bookkeeping, Accounting, &amp; Auditing Clerks</t>
  </si>
  <si>
    <t>43-3031</t>
  </si>
  <si>
    <t>43-3031.00</t>
  </si>
  <si>
    <t>Accounting &amp; Related Services, Other</t>
  </si>
  <si>
    <t>Gaming Cage Workers</t>
  </si>
  <si>
    <t>43-3041</t>
  </si>
  <si>
    <t>43-3041.00</t>
  </si>
  <si>
    <t>Payroll &amp; Timekeeping Clerks</t>
  </si>
  <si>
    <t>43-3051</t>
  </si>
  <si>
    <t>43-3051.00</t>
  </si>
  <si>
    <t>Procurement Clerks</t>
  </si>
  <si>
    <t>43-3061</t>
  </si>
  <si>
    <t>43-3061.00</t>
  </si>
  <si>
    <t>General Office Occupations &amp; Clerical Services</t>
  </si>
  <si>
    <t>Tellers</t>
  </si>
  <si>
    <t>43-3071</t>
  </si>
  <si>
    <t>43-3071.00</t>
  </si>
  <si>
    <t>Brokerage Clerks</t>
  </si>
  <si>
    <t>43-4011</t>
  </si>
  <si>
    <t>43-4011.00</t>
  </si>
  <si>
    <t>Correspondence Clerks</t>
  </si>
  <si>
    <t>43-4021</t>
  </si>
  <si>
    <t>43-4021.00</t>
  </si>
  <si>
    <t>Court, Municipal, &amp; License Clerks</t>
  </si>
  <si>
    <t>43-4031</t>
  </si>
  <si>
    <t>43-4031.00</t>
  </si>
  <si>
    <t>43-4031.01</t>
  </si>
  <si>
    <t>Court Clerks</t>
  </si>
  <si>
    <t>43-4031.02</t>
  </si>
  <si>
    <t>Municipal Clerks</t>
  </si>
  <si>
    <t>43-4031.03</t>
  </si>
  <si>
    <t>License Clerks</t>
  </si>
  <si>
    <t>Credit Authorizers, Checkers, &amp; Clerks</t>
  </si>
  <si>
    <t>43-4041</t>
  </si>
  <si>
    <t>43-4041.00</t>
  </si>
  <si>
    <t>43-4041.01</t>
  </si>
  <si>
    <t>Credit Authorizers</t>
  </si>
  <si>
    <t>43-4041.02</t>
  </si>
  <si>
    <t>Credit Checkers</t>
  </si>
  <si>
    <t>Customer Service Representatives</t>
  </si>
  <si>
    <t>43-4051</t>
  </si>
  <si>
    <t>43-4051.00</t>
  </si>
  <si>
    <t>43-4051.01</t>
  </si>
  <si>
    <t>Adjustment Clerks</t>
  </si>
  <si>
    <t>43-4051.02</t>
  </si>
  <si>
    <t>Customer Service Representatives, Utilities</t>
  </si>
  <si>
    <t>Eligibility Interviewers, Government Programs</t>
  </si>
  <si>
    <t>43-4061</t>
  </si>
  <si>
    <t>43-4061.00</t>
  </si>
  <si>
    <t>43-4061.01</t>
  </si>
  <si>
    <t>Claims Takers, Unemployment Benefits</t>
  </si>
  <si>
    <t>43-4061.02</t>
  </si>
  <si>
    <t>Welfare Eligibility Workers &amp; Interviewers</t>
  </si>
  <si>
    <t>File Clerks</t>
  </si>
  <si>
    <t>43-4071</t>
  </si>
  <si>
    <t>43-4071.00</t>
  </si>
  <si>
    <t>Hotel, Motel, &amp; Resort Desk Clerks</t>
  </si>
  <si>
    <t>43-4081</t>
  </si>
  <si>
    <t>43-4081.00</t>
  </si>
  <si>
    <t>Interviewers, Except Eligibility &amp; Loan</t>
  </si>
  <si>
    <t>43-4111</t>
  </si>
  <si>
    <t>43-4111.00</t>
  </si>
  <si>
    <t>Library Assistants, Clerical</t>
  </si>
  <si>
    <t>43-4121</t>
  </si>
  <si>
    <t>43-4121.00</t>
  </si>
  <si>
    <t>Loan Interviewers &amp; Clerks</t>
  </si>
  <si>
    <t>43-4131</t>
  </si>
  <si>
    <t>43-4131.00</t>
  </si>
  <si>
    <t>New Accounts Clerks</t>
  </si>
  <si>
    <t>43-4141</t>
  </si>
  <si>
    <t>43-4141.00</t>
  </si>
  <si>
    <t>Order Clerks</t>
  </si>
  <si>
    <t>43-4151</t>
  </si>
  <si>
    <t>43-4151.00</t>
  </si>
  <si>
    <t>Human Resources Assistants, Except Payroll &amp; Timekeeping</t>
  </si>
  <si>
    <t>43-4161</t>
  </si>
  <si>
    <t>43-4161.00</t>
  </si>
  <si>
    <t>Receptionists &amp; Information Clerks</t>
  </si>
  <si>
    <t>43-4171</t>
  </si>
  <si>
    <t>43-4171.00</t>
  </si>
  <si>
    <t>Reservation &amp; Transportation Ticket Agents &amp; Travel Clerks</t>
  </si>
  <si>
    <t>43-4181</t>
  </si>
  <si>
    <t>43-4181.00</t>
  </si>
  <si>
    <t>43-4181.01</t>
  </si>
  <si>
    <t>Travel Clerks</t>
  </si>
  <si>
    <t>43-4181.02</t>
  </si>
  <si>
    <t>Reservation &amp; Transportation Ticket Agents</t>
  </si>
  <si>
    <t>Hospitality/Travel Services Sales Operations</t>
  </si>
  <si>
    <t>41.9099.00</t>
  </si>
  <si>
    <t>Sales ans Related Workers, All Others</t>
  </si>
  <si>
    <t>Information &amp; Record Clerks, All Other</t>
  </si>
  <si>
    <t>43-4199</t>
  </si>
  <si>
    <t>All Other Financial, Information, &amp; Record Clerks</t>
  </si>
  <si>
    <t>43-4199.00</t>
  </si>
  <si>
    <t>Cargo &amp; Freight Agents</t>
  </si>
  <si>
    <t>43-5011</t>
  </si>
  <si>
    <t>43-5011.00</t>
  </si>
  <si>
    <t>Couriers &amp; Messengers</t>
  </si>
  <si>
    <t>43-5021</t>
  </si>
  <si>
    <t>43-5021.00</t>
  </si>
  <si>
    <t>Dispatchers</t>
  </si>
  <si>
    <t>43-5030</t>
  </si>
  <si>
    <t>43-5030.00</t>
  </si>
  <si>
    <t>43-5031</t>
  </si>
  <si>
    <t>Police, Fire, &amp; Ambulance Dispatchers</t>
  </si>
  <si>
    <t>43-5031.00</t>
  </si>
  <si>
    <t>43-5032</t>
  </si>
  <si>
    <t>Dispatchers, Except Police, Fire, &amp; Ambulance</t>
  </si>
  <si>
    <t>43-5032.00</t>
  </si>
  <si>
    <t>Meter Readers, Utilities</t>
  </si>
  <si>
    <t>43-5041</t>
  </si>
  <si>
    <t>43-5041.00</t>
  </si>
  <si>
    <t>Utilities &amp; Environment</t>
  </si>
  <si>
    <t>Postal Service Clerks</t>
  </si>
  <si>
    <t>43-5051</t>
  </si>
  <si>
    <t>43-5051.00</t>
  </si>
  <si>
    <t>Postal Service Mail Carriers</t>
  </si>
  <si>
    <t>43-5052</t>
  </si>
  <si>
    <t>43-5052.00</t>
  </si>
  <si>
    <t>Postal Service Mail Sorters, Processors, &amp; Processing Machine Operators</t>
  </si>
  <si>
    <t>43-5053</t>
  </si>
  <si>
    <t>43-5053.00</t>
  </si>
  <si>
    <t>Production, Planning, &amp; Expediting Clerks</t>
  </si>
  <si>
    <t>43-5061</t>
  </si>
  <si>
    <t>43-5061.00</t>
  </si>
  <si>
    <t>Parts, Warehousing, &amp; Inventory Management Operations</t>
  </si>
  <si>
    <t>Shipping, Receiving, &amp; Traffic Clerks</t>
  </si>
  <si>
    <t>43-5071</t>
  </si>
  <si>
    <t>43-5071.00</t>
  </si>
  <si>
    <t>Traffic, Customs, &amp; Transportation Clerk/Technician   (New)</t>
  </si>
  <si>
    <t>Stock Clerks &amp; Order Fillers</t>
  </si>
  <si>
    <t>43-5081</t>
  </si>
  <si>
    <t>43-5081.00</t>
  </si>
  <si>
    <t>43-5081.01</t>
  </si>
  <si>
    <t>Stock Clerks, Sales Floor</t>
  </si>
  <si>
    <t>43-5081.02</t>
  </si>
  <si>
    <t>Marking Clerks</t>
  </si>
  <si>
    <t>43-5081.03</t>
  </si>
  <si>
    <t>Stock Clerks- Stockroom, Warehouse, or Storage Yard</t>
  </si>
  <si>
    <t>43-5081.04</t>
  </si>
  <si>
    <t>Order Fillers, Wholesale &amp; Retail Sales</t>
  </si>
  <si>
    <t>Weighers, Measurers, Checkers, &amp; Samplers, Recordkeeping</t>
  </si>
  <si>
    <t>43-5111</t>
  </si>
  <si>
    <t>43-5111.00</t>
  </si>
  <si>
    <t>Secretaries &amp; Administrative Assistants</t>
  </si>
  <si>
    <t>43-6010</t>
  </si>
  <si>
    <t>43-6010.00</t>
  </si>
  <si>
    <t>43-6011</t>
  </si>
  <si>
    <t>Executive Secretaries &amp; Administrative Assistants</t>
  </si>
  <si>
    <t>43-6011.00</t>
  </si>
  <si>
    <t>Administrative Assistant &amp; Secretarial Science, General</t>
  </si>
  <si>
    <t>43-6012</t>
  </si>
  <si>
    <t>Legal Secretaries</t>
  </si>
  <si>
    <t>43-6012.00</t>
  </si>
  <si>
    <t>43-6013</t>
  </si>
  <si>
    <t>Medical Secretaries</t>
  </si>
  <si>
    <t>43-6013.00</t>
  </si>
  <si>
    <t>Medical Insurance Specialist/Medical Biller    (New)</t>
  </si>
  <si>
    <t>43-6014</t>
  </si>
  <si>
    <t>Secretaries, Except Legal, Medical, &amp; Executive</t>
  </si>
  <si>
    <t>43-6014.00</t>
  </si>
  <si>
    <t>Computer Operators</t>
  </si>
  <si>
    <t>43-9011</t>
  </si>
  <si>
    <t>43-9011.00</t>
  </si>
  <si>
    <t>Data Entry Keyers</t>
  </si>
  <si>
    <t>43-9021</t>
  </si>
  <si>
    <t>43-9021.00</t>
  </si>
  <si>
    <t>Graphic &amp; Printing Equipment Operator, General Production</t>
  </si>
  <si>
    <t>Data Entry/Microcomputer Applications  (New)</t>
  </si>
  <si>
    <t>Word Processors &amp; Typists</t>
  </si>
  <si>
    <t>43-9022</t>
  </si>
  <si>
    <t>43-9022.00</t>
  </si>
  <si>
    <t>Word Processing  (New)</t>
  </si>
  <si>
    <t>Desktop Publishers</t>
  </si>
  <si>
    <t>43-9031</t>
  </si>
  <si>
    <t>43-9031.00</t>
  </si>
  <si>
    <t>Prepress/Desktop Publishing &amp; Digital Imaging Design</t>
  </si>
  <si>
    <t>Insurance Claims &amp; Policy Processing Clerks</t>
  </si>
  <si>
    <t>43-9041</t>
  </si>
  <si>
    <t>43-9041.00</t>
  </si>
  <si>
    <t>43-9041.01</t>
  </si>
  <si>
    <t>43-9041.02</t>
  </si>
  <si>
    <t>Insurance Policy Processing Clerks</t>
  </si>
  <si>
    <t>Mail Clerks &amp; Mail Machine Operators, Except Postal Service</t>
  </si>
  <si>
    <t>43-9051</t>
  </si>
  <si>
    <t>43-9051.00</t>
  </si>
  <si>
    <t>43-9051.01</t>
  </si>
  <si>
    <t>Mail Machine Operators, Preparation &amp; Handling</t>
  </si>
  <si>
    <t>43-9051.02</t>
  </si>
  <si>
    <t>Mail Clerks, Except Mail Machine Operators &amp; Postal Service</t>
  </si>
  <si>
    <t>Office Clerks, General</t>
  </si>
  <si>
    <t>43-9061</t>
  </si>
  <si>
    <t>43-9061.00</t>
  </si>
  <si>
    <t>Office Machine Operators, Except Computer</t>
  </si>
  <si>
    <t>43-9071</t>
  </si>
  <si>
    <t>43-9071.00</t>
  </si>
  <si>
    <t>Proofreaders &amp; Copy Markers</t>
  </si>
  <si>
    <t>43-9081</t>
  </si>
  <si>
    <t>43-9081.00</t>
  </si>
  <si>
    <t>Statistical Assistants</t>
  </si>
  <si>
    <t>43-9111</t>
  </si>
  <si>
    <t>43-9111.00</t>
  </si>
  <si>
    <t>Office &amp; Administrative Support Workers, All Other</t>
  </si>
  <si>
    <t>43-9199</t>
  </si>
  <si>
    <t>43-9199.00</t>
  </si>
  <si>
    <t>Business Operations Support &amp; Secretarial Services, Other</t>
  </si>
  <si>
    <t>First-Line Supervisors/Managers of Farming, Fishing, &amp; Forestry Workers</t>
  </si>
  <si>
    <t>45-1010</t>
  </si>
  <si>
    <t>45-1010.00</t>
  </si>
  <si>
    <t>45-1011</t>
  </si>
  <si>
    <t>45-1011.00</t>
  </si>
  <si>
    <t>45-1011.01</t>
  </si>
  <si>
    <t>First-Line Supervisors &amp; Manager/Supervisors - Agricultural Crop Workers</t>
  </si>
  <si>
    <t>Agriculture, forestry &amp; fishing</t>
  </si>
  <si>
    <t>45-1011.02</t>
  </si>
  <si>
    <t>First-Line Supervisors &amp; Manager/Supervisors - Animal Husbandry Workers</t>
  </si>
  <si>
    <t>45-1011.03</t>
  </si>
  <si>
    <t>First-Line Supervisors &amp; Manager/Supervisors - Animal Care Workers, Except Livestock</t>
  </si>
  <si>
    <t>45-1011.04</t>
  </si>
  <si>
    <t>First-Line Supervisors &amp; Manager/Supervisors - Horticultural Workers</t>
  </si>
  <si>
    <t>45-1011.05</t>
  </si>
  <si>
    <t>First-Line Supervisors &amp; Manager/Supervisors - Logging Workers</t>
  </si>
  <si>
    <t>45-1011.06</t>
  </si>
  <si>
    <t>First-Line Supervisors &amp; Manager/Supervisors - Fishery Workers</t>
  </si>
  <si>
    <t>Agricultural Inspectors</t>
  </si>
  <si>
    <t>45-2011</t>
  </si>
  <si>
    <t>45-2011.00</t>
  </si>
  <si>
    <t>Animal Breeders</t>
  </si>
  <si>
    <t>45-2021</t>
  </si>
  <si>
    <t>45-2021.00</t>
  </si>
  <si>
    <t>45-2031</t>
  </si>
  <si>
    <t>Farm Labor Contractors</t>
  </si>
  <si>
    <t>45-2031.00</t>
  </si>
  <si>
    <t>Graders &amp; Sorters, Agricultural Products</t>
  </si>
  <si>
    <t>45-2041</t>
  </si>
  <si>
    <t>45-2041.00</t>
  </si>
  <si>
    <t>Miscellaneous Agricultural Workers</t>
  </si>
  <si>
    <t>45-2090</t>
  </si>
  <si>
    <t>45-2090.00</t>
  </si>
  <si>
    <t>45-2091</t>
  </si>
  <si>
    <t>Agricultural Equipment Operators</t>
  </si>
  <si>
    <t>45-2091.00</t>
  </si>
  <si>
    <t>45-2092</t>
  </si>
  <si>
    <t>Farmworkers &amp; Laborers, Crop, Nursery, &amp; Greenhouse</t>
  </si>
  <si>
    <t>45-2092.00</t>
  </si>
  <si>
    <t>45-2092.01</t>
  </si>
  <si>
    <t>Nursery Workers</t>
  </si>
  <si>
    <t>45-2092.02</t>
  </si>
  <si>
    <t>General Farmworkers</t>
  </si>
  <si>
    <t>45-2093</t>
  </si>
  <si>
    <t>Farmworkers, Farm &amp; Ranch Animals</t>
  </si>
  <si>
    <t>45-2093.00</t>
  </si>
  <si>
    <t>Fishers &amp; Related Fishing Workers</t>
  </si>
  <si>
    <t>45-3011</t>
  </si>
  <si>
    <t>45-3011.00</t>
  </si>
  <si>
    <t>Forest &amp; Conservation Workers</t>
  </si>
  <si>
    <t>45-4011</t>
  </si>
  <si>
    <t>45-4011.00</t>
  </si>
  <si>
    <t>Logging Workers</t>
  </si>
  <si>
    <t>45-4020</t>
  </si>
  <si>
    <t>45-4021</t>
  </si>
  <si>
    <t>Fallers</t>
  </si>
  <si>
    <t>45-4021.00</t>
  </si>
  <si>
    <t>45-4022</t>
  </si>
  <si>
    <t>Logging Equipment Operators</t>
  </si>
  <si>
    <t>45-4022.00</t>
  </si>
  <si>
    <t>45-4022.01</t>
  </si>
  <si>
    <t>Logging Tractor Operators</t>
  </si>
  <si>
    <t>45-4023</t>
  </si>
  <si>
    <t>Log Graders &amp; Scalers</t>
  </si>
  <si>
    <t>45-4023.00</t>
  </si>
  <si>
    <t>First-Line Supervisors/Managers of Construction Trades &amp; Extraction Workers</t>
  </si>
  <si>
    <t>47-1010</t>
  </si>
  <si>
    <t>47-1010.00</t>
  </si>
  <si>
    <t>47-1011</t>
  </si>
  <si>
    <t>47-1011.00</t>
  </si>
  <si>
    <t>Masonry/Mason</t>
  </si>
  <si>
    <t>Electrical &amp; Power Transmission Installation/Installer, General</t>
  </si>
  <si>
    <t>Building/Construction Site Management/Manager</t>
  </si>
  <si>
    <t>Concrete Finishing/Concrete Finisher  (New)</t>
  </si>
  <si>
    <t>Drywall Installation/Drywaller  (New)</t>
  </si>
  <si>
    <t>Glazier  (New)</t>
  </si>
  <si>
    <t>Painting/Painter &amp; Wall Coverer</t>
  </si>
  <si>
    <t>Roofer  (New)</t>
  </si>
  <si>
    <t>Building/property Maintenance and Management</t>
  </si>
  <si>
    <t>Building/Construction Finishing, Management, &amp; Inspection, Other</t>
  </si>
  <si>
    <t>Plumbing Technology/Plumber  (New)</t>
  </si>
  <si>
    <t>Well Drilling/Driller  (New)</t>
  </si>
  <si>
    <t>Blasting/Blaster  (New)</t>
  </si>
  <si>
    <t>Building/Construction Trades, Other</t>
  </si>
  <si>
    <t>47-1011.01</t>
  </si>
  <si>
    <t>First-Line Supervisors &amp; Manager/Supervisors- Construction Trades Workers</t>
  </si>
  <si>
    <t>47-2031.06</t>
  </si>
  <si>
    <t>Brattice Builders</t>
  </si>
  <si>
    <t>47-1011.02</t>
  </si>
  <si>
    <t>First-Line Supervisors &amp; Manager/Supervisors- Extractive Workers</t>
  </si>
  <si>
    <t>Mining</t>
  </si>
  <si>
    <t>Boilermakers</t>
  </si>
  <si>
    <t>47-2011</t>
  </si>
  <si>
    <t>47-2011.00</t>
  </si>
  <si>
    <t>Boilermaking/Boilermaker  (New)</t>
  </si>
  <si>
    <t>Brickmasons, Blockmasons, &amp; Stonemasons</t>
  </si>
  <si>
    <t>47-2020</t>
  </si>
  <si>
    <t>47-2020.00</t>
  </si>
  <si>
    <t>47-2021</t>
  </si>
  <si>
    <t>Brickmasons &amp; Blockmasons</t>
  </si>
  <si>
    <t>47-2021.00</t>
  </si>
  <si>
    <t>47-2022</t>
  </si>
  <si>
    <t>Stonemasons</t>
  </si>
  <si>
    <t>47-2022.00</t>
  </si>
  <si>
    <t>47-2031.00</t>
  </si>
  <si>
    <t>47-2031.01</t>
  </si>
  <si>
    <t>Construction Carpenters</t>
  </si>
  <si>
    <t>47-2031.02</t>
  </si>
  <si>
    <t>Rough Carpenters</t>
  </si>
  <si>
    <t>47-2031.03</t>
  </si>
  <si>
    <t>Carpenter Assemblers &amp; Repairers</t>
  </si>
  <si>
    <t>47-2031.04</t>
  </si>
  <si>
    <t>Ship Carpenters &amp; Joiners</t>
  </si>
  <si>
    <t>Carpet, Floor, &amp; Tile Installers &amp; Finishers</t>
  </si>
  <si>
    <t>47-2040</t>
  </si>
  <si>
    <t>47-2040.00</t>
  </si>
  <si>
    <t>47-2041</t>
  </si>
  <si>
    <t>Carpet Installers</t>
  </si>
  <si>
    <t>47-2041.00</t>
  </si>
  <si>
    <t>47-2042</t>
  </si>
  <si>
    <t>Floor Layers, Except Carpet, Wood, &amp; Hard Tiles</t>
  </si>
  <si>
    <t>47-2042.00</t>
  </si>
  <si>
    <t>47-2043</t>
  </si>
  <si>
    <t>Floor Sanders &amp; Finishers</t>
  </si>
  <si>
    <t>47-2043.00</t>
  </si>
  <si>
    <t>47-2044</t>
  </si>
  <si>
    <t>Tile &amp; Marble Setters</t>
  </si>
  <si>
    <t>47-2044.00</t>
  </si>
  <si>
    <t>Cement Masons, Concrete Finishers, &amp; Terrazzo Workers</t>
  </si>
  <si>
    <t>47-2050</t>
  </si>
  <si>
    <t>47-2050.00</t>
  </si>
  <si>
    <t>47-2051</t>
  </si>
  <si>
    <t>Cement Masons &amp; Concrete Finishers</t>
  </si>
  <si>
    <t>47-2051.00</t>
  </si>
  <si>
    <t>47-2053</t>
  </si>
  <si>
    <t>Terrazzo Workers &amp; Finishers</t>
  </si>
  <si>
    <t>47-2053.00</t>
  </si>
  <si>
    <t>Construction Laborers</t>
  </si>
  <si>
    <t>47-2061</t>
  </si>
  <si>
    <t>47-2061.00</t>
  </si>
  <si>
    <t>Paving, Surfacing, &amp; Tamping Equipment Operators</t>
  </si>
  <si>
    <t>47-2071</t>
  </si>
  <si>
    <t>47-2071.00</t>
  </si>
  <si>
    <t>Pile-Driver Operators</t>
  </si>
  <si>
    <t>47-2072</t>
  </si>
  <si>
    <t>47-2072.00</t>
  </si>
  <si>
    <t>Operating Engineers &amp; Other Construction Equipment Operators</t>
  </si>
  <si>
    <t>47-2073</t>
  </si>
  <si>
    <t>47-2073.00</t>
  </si>
  <si>
    <t>Mobil Crane Operation/Operator  (New)</t>
  </si>
  <si>
    <t>47-2073.01</t>
  </si>
  <si>
    <t>Grader, Bulldozer, &amp; Scraper Operators</t>
  </si>
  <si>
    <t>47-2073.02</t>
  </si>
  <si>
    <t>Operating Engineers</t>
  </si>
  <si>
    <t>Drywall Installers, Ceiling Tile Installers, &amp; Tapers</t>
  </si>
  <si>
    <t>47-2080</t>
  </si>
  <si>
    <t>47-2080.00</t>
  </si>
  <si>
    <t>47-2081</t>
  </si>
  <si>
    <t>Drywall &amp; Ceiling Tile Installers</t>
  </si>
  <si>
    <t>47-2081.00</t>
  </si>
  <si>
    <t>47-2081.01</t>
  </si>
  <si>
    <t>Ceiling Tile Installers</t>
  </si>
  <si>
    <t>47-2081.02</t>
  </si>
  <si>
    <t>Drywall Installers</t>
  </si>
  <si>
    <t>47-2082</t>
  </si>
  <si>
    <t>Tapers</t>
  </si>
  <si>
    <t>47-2082.00</t>
  </si>
  <si>
    <t>Electricians</t>
  </si>
  <si>
    <t>47-2111</t>
  </si>
  <si>
    <t>47-2111.00</t>
  </si>
  <si>
    <t>Glaziers</t>
  </si>
  <si>
    <t>47-2121</t>
  </si>
  <si>
    <t>47-2121.00</t>
  </si>
  <si>
    <t>Insulation Workers</t>
  </si>
  <si>
    <t>47-2130</t>
  </si>
  <si>
    <t>47-2131</t>
  </si>
  <si>
    <t>Insulation Workers, Floor, Ceiling, &amp; Wall</t>
  </si>
  <si>
    <t>47-2131.00</t>
  </si>
  <si>
    <t>47-2132</t>
  </si>
  <si>
    <t>Insulation Workers, Mechanical</t>
  </si>
  <si>
    <t>47-2132.00</t>
  </si>
  <si>
    <t>Painters, Construction &amp; Maintenance</t>
  </si>
  <si>
    <t>47-2141</t>
  </si>
  <si>
    <t>47-2141.00</t>
  </si>
  <si>
    <t>Paperhangers</t>
  </si>
  <si>
    <t>47-2142</t>
  </si>
  <si>
    <t>47-2142.00</t>
  </si>
  <si>
    <t>Pipelayers, Plumbers, Pipefitters, &amp; Steamfitters</t>
  </si>
  <si>
    <t>47-2150</t>
  </si>
  <si>
    <t>47-2150.00</t>
  </si>
  <si>
    <t>47-2151</t>
  </si>
  <si>
    <t>Pipelayers</t>
  </si>
  <si>
    <t>47-2151.00</t>
  </si>
  <si>
    <t>47-2152</t>
  </si>
  <si>
    <t>Plumbers, Pipefitters, &amp; Steamfitters</t>
  </si>
  <si>
    <t>47-2152.00</t>
  </si>
  <si>
    <t>Pipefitting/Pipefitter &amp; Sprinkler Fitter  (New)</t>
  </si>
  <si>
    <t>47-2152.01</t>
  </si>
  <si>
    <t>Pipe Fitters</t>
  </si>
  <si>
    <t>47-2152.02</t>
  </si>
  <si>
    <t>Plumbers</t>
  </si>
  <si>
    <t>Plumbing and Related Water Supply Services, Other</t>
  </si>
  <si>
    <t>47-2152.03</t>
  </si>
  <si>
    <t>Pipelaying Fitters</t>
  </si>
  <si>
    <t>Plasterers &amp; Stucco Masons</t>
  </si>
  <si>
    <t>47-2161</t>
  </si>
  <si>
    <t>47-2161.00</t>
  </si>
  <si>
    <t>Reinforcing Iron &amp; Rebar Workers</t>
  </si>
  <si>
    <t>47-2171</t>
  </si>
  <si>
    <t>47-2171.00</t>
  </si>
  <si>
    <t>Roofers</t>
  </si>
  <si>
    <t>47-2181</t>
  </si>
  <si>
    <t>47-2181.00</t>
  </si>
  <si>
    <t>Sheet Metal Workers</t>
  </si>
  <si>
    <t>47-2211</t>
  </si>
  <si>
    <t>47-2211.00</t>
  </si>
  <si>
    <t>Structural Iron &amp; Steel Workers</t>
  </si>
  <si>
    <t>47-2221</t>
  </si>
  <si>
    <t>47-2221.00</t>
  </si>
  <si>
    <t>Metal Building Assembly/Assembler  (New)</t>
  </si>
  <si>
    <t>Helpers, Construction Trades</t>
  </si>
  <si>
    <t>47-3010</t>
  </si>
  <si>
    <t>47-3010.00</t>
  </si>
  <si>
    <t>47-3011</t>
  </si>
  <si>
    <t>Helpers--Brickmasons, Blockmasons, Stonemasons, &amp; Tile &amp; Marble Setters</t>
  </si>
  <si>
    <t>47-3011.00</t>
  </si>
  <si>
    <t>47-3012</t>
  </si>
  <si>
    <t>Helpers--Carpenters</t>
  </si>
  <si>
    <t>47-3012.00</t>
  </si>
  <si>
    <t>47-3013</t>
  </si>
  <si>
    <t>Helpers--Electricians</t>
  </si>
  <si>
    <t>47-3013.00</t>
  </si>
  <si>
    <t>47-3014</t>
  </si>
  <si>
    <t>Helpers--Painters, Paperhangers, Plasterers, &amp; Stucco Masons</t>
  </si>
  <si>
    <t>47-3014.00</t>
  </si>
  <si>
    <t>47-3015</t>
  </si>
  <si>
    <t>Helpers--Pipelayers, Plumbers, Pipefitters, &amp; Steamfitters</t>
  </si>
  <si>
    <t>47-3015.00</t>
  </si>
  <si>
    <t>47-3016</t>
  </si>
  <si>
    <t>Helpers--Roofers</t>
  </si>
  <si>
    <t>47-3016.00</t>
  </si>
  <si>
    <t>47-3019</t>
  </si>
  <si>
    <t>Helpers, Construction Trades, All Other</t>
  </si>
  <si>
    <t>47-3019.00</t>
  </si>
  <si>
    <t>Construction &amp; Building Inspectors</t>
  </si>
  <si>
    <t>47-4011</t>
  </si>
  <si>
    <t>47-4011.00</t>
  </si>
  <si>
    <t>Elevator Installers &amp; Repairers</t>
  </si>
  <si>
    <t>47-4021</t>
  </si>
  <si>
    <t>47-4021.00</t>
  </si>
  <si>
    <t>Industrial Mechanics &amp; Maintenance Technology</t>
  </si>
  <si>
    <t>Fence Erectors</t>
  </si>
  <si>
    <t>47-4031</t>
  </si>
  <si>
    <t>47-4031.00</t>
  </si>
  <si>
    <t>Hazardous Materials Removal Workers</t>
  </si>
  <si>
    <t>47-4041</t>
  </si>
  <si>
    <t>47-4041.00</t>
  </si>
  <si>
    <t>Hazardous Materials Management &amp; Waste Technology/Technician  (New)</t>
  </si>
  <si>
    <t>Mechanic &amp; Repair Technology, Other</t>
  </si>
  <si>
    <t>47-4041.01</t>
  </si>
  <si>
    <t>Irradiated-Fuel Handlers</t>
  </si>
  <si>
    <t>Highway Maintenance Workers</t>
  </si>
  <si>
    <t>47-4051</t>
  </si>
  <si>
    <t>47-4051.00</t>
  </si>
  <si>
    <t>Rail-Track Laying &amp; Maintenance Equipment Operators</t>
  </si>
  <si>
    <t>47-4061</t>
  </si>
  <si>
    <t>47-4061.00</t>
  </si>
  <si>
    <t>Septic Tank Servicers &amp; Sewer Pipe Cleaners</t>
  </si>
  <si>
    <t>47-4071</t>
  </si>
  <si>
    <t>47-4071.00</t>
  </si>
  <si>
    <t>Miscellaneous Construction &amp; Related Workers</t>
  </si>
  <si>
    <t>47-4090</t>
  </si>
  <si>
    <t>47-4090.00</t>
  </si>
  <si>
    <t>47-4091</t>
  </si>
  <si>
    <t>Segmental Pavers</t>
  </si>
  <si>
    <t>47-4091.00</t>
  </si>
  <si>
    <t>47-4099</t>
  </si>
  <si>
    <t>Construction &amp; Related Workers, All Other</t>
  </si>
  <si>
    <t>47-4099.00</t>
  </si>
  <si>
    <t>Derrick, Rotary Drill, &amp; Service Unit Operators, Oil, Gas, &amp; Mining</t>
  </si>
  <si>
    <t>47-5010</t>
  </si>
  <si>
    <t>47-5010.00</t>
  </si>
  <si>
    <t>47-5011</t>
  </si>
  <si>
    <t>Derrick Operators, Oil &amp; Gas</t>
  </si>
  <si>
    <t>47-5011.00</t>
  </si>
  <si>
    <t>47-5012</t>
  </si>
  <si>
    <t>Rotary Drill Operators, Oil &amp; Gas</t>
  </si>
  <si>
    <t>47-5012.00</t>
  </si>
  <si>
    <t>47-5013</t>
  </si>
  <si>
    <t>Service Unit Operators, Oil, Gas, &amp; Mining</t>
  </si>
  <si>
    <t>47-5013.00</t>
  </si>
  <si>
    <t>Earth Drillers, Except Oil &amp; Gas</t>
  </si>
  <si>
    <t>47-5021</t>
  </si>
  <si>
    <t>47-5021.00</t>
  </si>
  <si>
    <t>47-5021.01</t>
  </si>
  <si>
    <t>Agricultural &amp; Food Scientists</t>
  </si>
  <si>
    <t>19-1010</t>
  </si>
  <si>
    <t>19-1010.00</t>
  </si>
  <si>
    <t>19-1011</t>
  </si>
  <si>
    <t>Animal Scientists</t>
  </si>
  <si>
    <t>19-1011.00</t>
  </si>
  <si>
    <t>1</t>
  </si>
  <si>
    <t>19-1012</t>
  </si>
  <si>
    <t>Food Scientists &amp; Technologists</t>
  </si>
  <si>
    <t>19-1012.00</t>
  </si>
  <si>
    <t>Food Science  (New)</t>
  </si>
  <si>
    <t>Food Technology &amp; Processing  (New)</t>
  </si>
  <si>
    <t>19-1013</t>
  </si>
  <si>
    <t>Soil &amp; Plant Scientists</t>
  </si>
  <si>
    <t>19-1013.00</t>
  </si>
  <si>
    <t>Agricultural &amp; Horticultural Plant Breeding (New)</t>
  </si>
  <si>
    <t>Soil Science &amp; Agronomy, General</t>
  </si>
  <si>
    <t>Soil Chemistry &amp; Physics  (New)</t>
  </si>
  <si>
    <t>Soil Microbiology  (New)</t>
  </si>
  <si>
    <t>19-1013.01</t>
  </si>
  <si>
    <t>Plant Scientists</t>
  </si>
  <si>
    <t>19-1013.02</t>
  </si>
  <si>
    <t>Soil Scientists</t>
  </si>
  <si>
    <t>Biological Scientists</t>
  </si>
  <si>
    <t>19-1020</t>
  </si>
  <si>
    <t>19-1020.00</t>
  </si>
  <si>
    <t>19-1021</t>
  </si>
  <si>
    <t>Biochemists &amp; Biophysicists</t>
  </si>
  <si>
    <t>19-1021.00</t>
  </si>
  <si>
    <t>Molecular Biochemistry  (New)</t>
  </si>
  <si>
    <t>Molecular Biophysics  (New)</t>
  </si>
  <si>
    <t>Biochemistry/Biophysics &amp; Molecular Biology  (New)</t>
  </si>
  <si>
    <t>19-1021.01</t>
  </si>
  <si>
    <t>Biochemists</t>
  </si>
  <si>
    <t>19-1021.02</t>
  </si>
  <si>
    <t>Biophysicists</t>
  </si>
  <si>
    <t>19-1022</t>
  </si>
  <si>
    <t>Microbiologists</t>
  </si>
  <si>
    <t>19-1022.00</t>
  </si>
  <si>
    <t>Structural Biology  (New)</t>
  </si>
  <si>
    <t>Neuroanatomy  (New)</t>
  </si>
  <si>
    <t>19-1023</t>
  </si>
  <si>
    <t>Zoologists &amp; Wildlife Biologists</t>
  </si>
  <si>
    <t>19-1023.00</t>
  </si>
  <si>
    <t>Wildlife &amp; Wildlands Science &amp; Management</t>
  </si>
  <si>
    <t>Animal Behavior &amp; Ethology  (New)</t>
  </si>
  <si>
    <t>Wildlife Biology  (New)</t>
  </si>
  <si>
    <t>19-1029</t>
  </si>
  <si>
    <t>Biological Scientists, All Other</t>
  </si>
  <si>
    <t>19-1029.00</t>
  </si>
  <si>
    <t>Photobiology   (New)</t>
  </si>
  <si>
    <t>Plant Molecular Biology (New)</t>
  </si>
  <si>
    <t>Developmental Biology &amp; Embryology (New)</t>
  </si>
  <si>
    <t>Cell/Cellular &amp; Molecular Biology (New)</t>
  </si>
  <si>
    <t>Cell Biology &amp; Anatomy (New)</t>
  </si>
  <si>
    <t>Mycology  (New)</t>
  </si>
  <si>
    <t>Aquatic Biology/Limnology  (New)</t>
  </si>
  <si>
    <t>Environmental Biology  (New)</t>
  </si>
  <si>
    <t>Population Biology  (New)</t>
  </si>
  <si>
    <t>Conservation Biology  (New)</t>
  </si>
  <si>
    <t>Systematic Biology/Biological Systematics  (New)</t>
  </si>
  <si>
    <t>Genetics, General  (New)</t>
  </si>
  <si>
    <t>Molecular Genetics  (New)</t>
  </si>
  <si>
    <t>Microbial &amp; Eukaryotic Genetics   (New)</t>
  </si>
  <si>
    <t>Genetics, Other  (New)</t>
  </si>
  <si>
    <t>Behavioral Sciences  (New)</t>
  </si>
  <si>
    <t>Conservation Scientists &amp; Foresters</t>
  </si>
  <si>
    <t>19-1030</t>
  </si>
  <si>
    <t>19-1030.00</t>
  </si>
  <si>
    <t>19-1031</t>
  </si>
  <si>
    <t>Conservation Scientists</t>
  </si>
  <si>
    <t>19-1031.00</t>
  </si>
  <si>
    <t>Natural Resources Management &amp; Policy, General</t>
  </si>
  <si>
    <t>Water, Wetlands, &amp; Marine Resources Management  (New)</t>
  </si>
  <si>
    <t>Land Use Planning &amp; Management/Development  (New)</t>
  </si>
  <si>
    <t>Natural Resources Management &amp; Policy, Other</t>
  </si>
  <si>
    <t>Forest Sciences</t>
  </si>
  <si>
    <t>Natural Resources &amp; Conservation, Other</t>
  </si>
  <si>
    <t>19-1031.01</t>
  </si>
  <si>
    <t>Soil Conservationists</t>
  </si>
  <si>
    <t>19-1031.02</t>
  </si>
  <si>
    <t>Range Managers</t>
  </si>
  <si>
    <t>19-1031.03</t>
  </si>
  <si>
    <t>Park Naturalists</t>
  </si>
  <si>
    <t>19-1032</t>
  </si>
  <si>
    <t>Foresters</t>
  </si>
  <si>
    <t>19-1032.00</t>
  </si>
  <si>
    <t>Urban Forestry  (New)</t>
  </si>
  <si>
    <t>Wood Science &amp; Wood Products/Pulp &amp; Paper Technology</t>
  </si>
  <si>
    <t>Forest Resources Production &amp; Management  (New)</t>
  </si>
  <si>
    <t>Medical Scientists</t>
  </si>
  <si>
    <t>19-1040</t>
  </si>
  <si>
    <t>19-1040.00</t>
  </si>
  <si>
    <t>19-1041</t>
  </si>
  <si>
    <t>Epidemiologists</t>
  </si>
  <si>
    <t>19-1041.00</t>
  </si>
  <si>
    <t>Medical Scientist  (MS, PhD)</t>
  </si>
  <si>
    <t>19-1042</t>
  </si>
  <si>
    <t>Medical Scientists, Except Epidemiologists</t>
  </si>
  <si>
    <t>19-1042.00</t>
  </si>
  <si>
    <t>Biomedical Sciences, General   (New)</t>
  </si>
  <si>
    <t>Physiology, General  (New)</t>
  </si>
  <si>
    <t>Molecular Physiology  (New)</t>
  </si>
  <si>
    <t>Cell Physiology  (New)</t>
  </si>
  <si>
    <t>Endocrinology  (New)</t>
  </si>
  <si>
    <t>Reproductive Biology  (New)</t>
  </si>
  <si>
    <t>Neurobiology &amp; Neurophysiology  (New)</t>
  </si>
  <si>
    <t>Cardiovascular Science  (New)</t>
  </si>
  <si>
    <t>Exercise Physiology  (New)</t>
  </si>
  <si>
    <t>Vision Science/Physiological Optics  (New)</t>
  </si>
  <si>
    <t>Oncology &amp; Cancer Biology  (New)</t>
  </si>
  <si>
    <t>Physiology, Pathology, &amp; Related Sciences, Other  (New)</t>
  </si>
  <si>
    <t>Molecular Pharmacology  (New)</t>
  </si>
  <si>
    <t>Neuropharmacology  (New)</t>
  </si>
  <si>
    <t>Molecular Toxicology  (New)</t>
  </si>
  <si>
    <t>Environmental Toxicology   (New)</t>
  </si>
  <si>
    <t>Pharmacology &amp; Toxicology  (New)</t>
  </si>
  <si>
    <t>Pharmacology &amp; Toxicology, Other  (New)</t>
  </si>
  <si>
    <t>19-1099</t>
  </si>
  <si>
    <t>All Other Life Scientists</t>
  </si>
  <si>
    <t>Life Scientists, All Other</t>
  </si>
  <si>
    <t>19-1099.00</t>
  </si>
  <si>
    <t>Astronomers &amp; Physicists</t>
  </si>
  <si>
    <t>19-2010</t>
  </si>
  <si>
    <t>19-2010.00</t>
  </si>
  <si>
    <t>19-2011</t>
  </si>
  <si>
    <t>Astronomers</t>
  </si>
  <si>
    <t>19-2011.00</t>
  </si>
  <si>
    <t>Astronomy and Astrophysics, Other</t>
  </si>
  <si>
    <t>19-2012</t>
  </si>
  <si>
    <t>Physicists</t>
  </si>
  <si>
    <t>19-2012.00</t>
  </si>
  <si>
    <t>Health/Medical Physics</t>
  </si>
  <si>
    <t>Atmospheric &amp; Space Scientists</t>
  </si>
  <si>
    <t>19-2021</t>
  </si>
  <si>
    <t>19-2021.00</t>
  </si>
  <si>
    <t>Chemists &amp; Materials Scientists</t>
  </si>
  <si>
    <t>19-2030</t>
  </si>
  <si>
    <t>19-2030.00</t>
  </si>
  <si>
    <t>19-2031</t>
  </si>
  <si>
    <t>Chemists</t>
  </si>
  <si>
    <t>19-2031.00</t>
  </si>
  <si>
    <t>19-2032</t>
  </si>
  <si>
    <t>Materials Scientists</t>
  </si>
  <si>
    <t>19-2032.00</t>
  </si>
  <si>
    <t>Environmental Scientists &amp; Geoscientists</t>
  </si>
  <si>
    <t>19-2040</t>
  </si>
  <si>
    <t>19-2040.00</t>
  </si>
  <si>
    <t>19-2041</t>
  </si>
  <si>
    <t>Environmental Scientists &amp; Specialists, Including Health</t>
  </si>
  <si>
    <t>19-2041.00</t>
  </si>
  <si>
    <t>Environmental Studies  (New)</t>
  </si>
  <si>
    <t>Environmental Science   (New)</t>
  </si>
  <si>
    <t>19-2042</t>
  </si>
  <si>
    <t>Geoscientists, Except Hydrologists &amp; Geographers</t>
  </si>
  <si>
    <t>19-2042.00</t>
  </si>
  <si>
    <t>19-2042.01</t>
  </si>
  <si>
    <t>Geologists</t>
  </si>
  <si>
    <t>19-2043</t>
  </si>
  <si>
    <t>Hydrologists</t>
  </si>
  <si>
    <t>19-2043.00</t>
  </si>
  <si>
    <t>Physical Scientists, All Other</t>
  </si>
  <si>
    <t>19-2099</t>
  </si>
  <si>
    <t>19-2099.00</t>
  </si>
  <si>
    <t>Economists</t>
  </si>
  <si>
    <t>19-3011</t>
  </si>
  <si>
    <t>19-3011.00</t>
  </si>
  <si>
    <t>Market &amp; Survey Researchers</t>
  </si>
  <si>
    <t>19-3020</t>
  </si>
  <si>
    <t>19-3020.00</t>
  </si>
  <si>
    <t>19-3021</t>
  </si>
  <si>
    <t>Market Research Analysts</t>
  </si>
  <si>
    <t>19-3021.00</t>
  </si>
  <si>
    <t>19-3022</t>
  </si>
  <si>
    <t>Survey Researchers</t>
  </si>
  <si>
    <t>19-3022.00</t>
  </si>
  <si>
    <t>Psychologists</t>
  </si>
  <si>
    <t>19-3030</t>
  </si>
  <si>
    <t>19-3030.00</t>
  </si>
  <si>
    <t>19-3031</t>
  </si>
  <si>
    <t>Clinical, Counseling, &amp; School Psychologists</t>
  </si>
  <si>
    <t>19-3031.00</t>
  </si>
  <si>
    <t>Clinical Child Psycology</t>
  </si>
  <si>
    <t>Psychoanalysis &amp; Psychotherapy</t>
  </si>
  <si>
    <t>19-3031.01</t>
  </si>
  <si>
    <t>Educational Psychologists</t>
  </si>
  <si>
    <t>19-3031.02</t>
  </si>
  <si>
    <t>Clinical Psychologists</t>
  </si>
  <si>
    <t>Clinical Child Psychology</t>
  </si>
  <si>
    <t>Youth Ministry (New)</t>
  </si>
  <si>
    <t>Pastoral Counseling &amp; Specialized Ministries, Other (New)</t>
  </si>
  <si>
    <t>19-3031.03</t>
  </si>
  <si>
    <t>Counseling Psychologists</t>
  </si>
  <si>
    <t>19-3032</t>
  </si>
  <si>
    <t>Industrial-Organizational Psychologists</t>
  </si>
  <si>
    <t>19-3032.00</t>
  </si>
  <si>
    <t>19-3039</t>
  </si>
  <si>
    <t>Psychologists, All Other</t>
  </si>
  <si>
    <t>19-3039.00</t>
  </si>
  <si>
    <t>Comparative Psychology  (New)</t>
  </si>
  <si>
    <t>Personality Psychology  (New)</t>
  </si>
  <si>
    <t>Educational Psychology  (New)</t>
  </si>
  <si>
    <t>Psychometrics &amp; Quantitative Psychology  (New)</t>
  </si>
  <si>
    <t>Enviromental Psychology (New)</t>
  </si>
  <si>
    <t>Geropsycho;ogy  (New)</t>
  </si>
  <si>
    <t>Health/Medical Psychology  (New)</t>
  </si>
  <si>
    <t>Psychopharmacology (New)</t>
  </si>
  <si>
    <t>Family Psychology</t>
  </si>
  <si>
    <t>Forensic Psychology</t>
  </si>
  <si>
    <t>Sociologists</t>
  </si>
  <si>
    <t>19-3041</t>
  </si>
  <si>
    <t>19-3041.00</t>
  </si>
  <si>
    <t>Urban &amp; Regional Planners</t>
  </si>
  <si>
    <t>19-3051</t>
  </si>
  <si>
    <t>19-3051.00</t>
  </si>
  <si>
    <t>Miscellaneous Social Scientists &amp; Related Workers</t>
  </si>
  <si>
    <t>19-3090</t>
  </si>
  <si>
    <t>19-3090.00</t>
  </si>
  <si>
    <t>19-3091</t>
  </si>
  <si>
    <t>Anthropologists &amp; Archeologists</t>
  </si>
  <si>
    <t>19-3091.00</t>
  </si>
  <si>
    <t>Physical Anthropology  (New)</t>
  </si>
  <si>
    <t>19-3091.01</t>
  </si>
  <si>
    <t>Anthropologists</t>
  </si>
  <si>
    <t>19-3091.02</t>
  </si>
  <si>
    <t>Archeologists</t>
  </si>
  <si>
    <t>19-3092</t>
  </si>
  <si>
    <t>Geographers</t>
  </si>
  <si>
    <t>19-3092.00</t>
  </si>
  <si>
    <t>19-3093</t>
  </si>
  <si>
    <t>Historians</t>
  </si>
  <si>
    <t>19-3093.00</t>
  </si>
  <si>
    <t>Historic Preservation &amp; Conservation</t>
  </si>
  <si>
    <t>Cultural Resource Management &amp; Policy Analysis  (New)</t>
  </si>
  <si>
    <t>Historic Preservation &amp; Conservation, Other</t>
  </si>
  <si>
    <t>Holocaust &amp; Related Studies  (New)</t>
  </si>
  <si>
    <t>Ancient Studies/Civilization   (New)</t>
  </si>
  <si>
    <t>Classical, Mediterranean, &amp; Near Eastern/Oriental Studies &amp; Archaeology   (New)</t>
  </si>
  <si>
    <t>American History (United States)</t>
  </si>
  <si>
    <t>History &amp; Philosophy of Science &amp; Technology</t>
  </si>
  <si>
    <t>Asian History   (New)</t>
  </si>
  <si>
    <t>Canadian History (New)</t>
  </si>
  <si>
    <t>19-3094</t>
  </si>
  <si>
    <t>Political Scientists</t>
  </si>
  <si>
    <t>19-3094.00</t>
  </si>
  <si>
    <t>International/Global Studies  (New)</t>
  </si>
  <si>
    <t>Canadian Government &amp; Politics  (New)</t>
  </si>
  <si>
    <t>19-3099</t>
  </si>
  <si>
    <t>All Other Social Scientists &amp; Related Workers</t>
  </si>
  <si>
    <t>Social Scientists &amp; Related Workers, All Other</t>
  </si>
  <si>
    <t>19-3099.00</t>
  </si>
  <si>
    <t>Agricultural &amp; Food Science Technicians</t>
  </si>
  <si>
    <t>19-4011</t>
  </si>
  <si>
    <t>19-4011.00</t>
  </si>
  <si>
    <t>19-4011.01</t>
  </si>
  <si>
    <t>Agricultural Technicians</t>
  </si>
  <si>
    <t>19-4011.02</t>
  </si>
  <si>
    <t>Food Science Technicians</t>
  </si>
  <si>
    <t>Biological Technicians</t>
  </si>
  <si>
    <t>19-4021</t>
  </si>
  <si>
    <t>19-4021.00</t>
  </si>
  <si>
    <t>Chemical Technicians</t>
  </si>
  <si>
    <t>19-4031</t>
  </si>
  <si>
    <t>19-4031.00</t>
  </si>
  <si>
    <t>Geological &amp; Petroleum Technicians</t>
  </si>
  <si>
    <t>19-4041</t>
  </si>
  <si>
    <t>19-4041.00</t>
  </si>
  <si>
    <t>19-4041.01</t>
  </si>
  <si>
    <t>Geological Data Technicians</t>
  </si>
  <si>
    <t>19-4041.02</t>
  </si>
  <si>
    <t>Geological Sample Test Technicians</t>
  </si>
  <si>
    <t>Nuclear Technicians</t>
  </si>
  <si>
    <t>19-4051</t>
  </si>
  <si>
    <t>19-4051.00</t>
  </si>
  <si>
    <t>Nuclear Engineering Technology/Technician   (New)</t>
  </si>
  <si>
    <t>Nuclear &amp; Industrial Radiologic Technologies/Technicians, Other</t>
  </si>
  <si>
    <t>Radiation Protection/Health Physics Technician   (New)</t>
  </si>
  <si>
    <t>19-4051.01</t>
  </si>
  <si>
    <t>Nuclear Equipment Operation Technicians</t>
  </si>
  <si>
    <t>19-4051.02</t>
  </si>
  <si>
    <t>Nuclear Monitoring Technicians</t>
  </si>
  <si>
    <t>Other Life, Physical, &amp; Social Science Technicians</t>
  </si>
  <si>
    <t>19-4061</t>
  </si>
  <si>
    <t>Social Science Research Assistants</t>
  </si>
  <si>
    <t>19-4061.00</t>
  </si>
  <si>
    <t>Other other Life, Physical, &amp; Social Science Technicians</t>
  </si>
  <si>
    <t>19-4061.01</t>
  </si>
  <si>
    <t>City Planning Aides</t>
  </si>
  <si>
    <t>19-4091</t>
  </si>
  <si>
    <t>Environmental Science &amp; Protection Technicians, Including Health</t>
  </si>
  <si>
    <t>19-4091.00</t>
  </si>
  <si>
    <t>19-4092</t>
  </si>
  <si>
    <t>Forensic Science Technicians</t>
  </si>
  <si>
    <t>19-4092.00</t>
  </si>
  <si>
    <t>Forensic Science &amp; Technology</t>
  </si>
  <si>
    <t>19-4093</t>
  </si>
  <si>
    <t>Forest &amp; Conservation Technicians</t>
  </si>
  <si>
    <t>19-4093.00</t>
  </si>
  <si>
    <t>Forest Technology/Technician  (New)</t>
  </si>
  <si>
    <t>19-4099</t>
  </si>
  <si>
    <t>Life, Physical, &amp; Social Science Technicians, All Other</t>
  </si>
  <si>
    <t>19-4099.00</t>
  </si>
  <si>
    <t>Counselors</t>
  </si>
  <si>
    <t>21-1010</t>
  </si>
  <si>
    <t>21-1010.00</t>
  </si>
  <si>
    <t>21-1011</t>
  </si>
  <si>
    <t>Substance Abuse &amp; Behavioral Disorder Counselors</t>
  </si>
  <si>
    <t>21-1011.00</t>
  </si>
  <si>
    <t>Mental &amp; Social Health Services &amp; Allied Professions, Other</t>
  </si>
  <si>
    <t>21-1012</t>
  </si>
  <si>
    <t>Educational, Vocational, &amp; School Counselors</t>
  </si>
  <si>
    <t>21-1012.00</t>
  </si>
  <si>
    <t>Counselor Education/School Counseling &amp; Guidance Services</t>
  </si>
  <si>
    <t>College Student Counseling &amp; Personnel Services</t>
  </si>
  <si>
    <t>21-1013</t>
  </si>
  <si>
    <t>Marriage &amp; Family Therapists</t>
  </si>
  <si>
    <t>21-1013.00</t>
  </si>
  <si>
    <t>Marriage &amp; Family Therapy/Counseling</t>
  </si>
  <si>
    <t>21-1014</t>
  </si>
  <si>
    <t>Mental Health Counselors</t>
  </si>
  <si>
    <t>21-1014.00</t>
  </si>
  <si>
    <t>Mental Health Counseling/Counselor   (New)</t>
  </si>
  <si>
    <t>21-1015</t>
  </si>
  <si>
    <t>Rehabilitation Counselors</t>
  </si>
  <si>
    <t>21-1015.00</t>
  </si>
  <si>
    <t>Rehabilitation Counseling/Counselor</t>
  </si>
  <si>
    <t>21-1019</t>
  </si>
  <si>
    <t>Counselors, All Other</t>
  </si>
  <si>
    <t>21-1019.00</t>
  </si>
  <si>
    <t>Genetic Counseling/Counselor   (New)</t>
  </si>
  <si>
    <t>Social Workers</t>
  </si>
  <si>
    <t>21-1020</t>
  </si>
  <si>
    <t>21-1020.00</t>
  </si>
  <si>
    <t>21-1021</t>
  </si>
  <si>
    <t>Child, Family, &amp; School Social Workers</t>
  </si>
  <si>
    <t>21-1021.00</t>
  </si>
  <si>
    <t>Juvenile Corrections  (New)</t>
  </si>
  <si>
    <t>Youth Services/Administration  (New)</t>
  </si>
  <si>
    <t>21-1022</t>
  </si>
  <si>
    <t>Medical &amp; Public Health Social Workers</t>
  </si>
  <si>
    <t>21-1022.00</t>
  </si>
  <si>
    <t>21-1023</t>
  </si>
  <si>
    <t>Mental Health &amp; Substance Abuse Social Workers</t>
  </si>
  <si>
    <t>21-1023.00</t>
  </si>
  <si>
    <t>Miscellaneous Community &amp; Social Service Specialists</t>
  </si>
  <si>
    <t>21-1029</t>
  </si>
  <si>
    <t>Social Workers, All Other</t>
  </si>
  <si>
    <t>21-1029.00</t>
  </si>
  <si>
    <t>21-1090</t>
  </si>
  <si>
    <t>21-1090.00</t>
  </si>
  <si>
    <t>21-1091</t>
  </si>
  <si>
    <t>Health Educators</t>
  </si>
  <si>
    <t>21-1091.00</t>
  </si>
  <si>
    <t>Health Communications  (New)</t>
  </si>
  <si>
    <t>Community Health Services/Liaison/Counseling   (New)</t>
  </si>
  <si>
    <t>Maternal &amp; Child Health   (New)</t>
  </si>
  <si>
    <t>International Public Health/International Health   (New)</t>
  </si>
  <si>
    <t>21-1092</t>
  </si>
  <si>
    <t>Probation Officers &amp; Correctional Treatment Specialists</t>
  </si>
  <si>
    <t>21-1092.00</t>
  </si>
  <si>
    <t>21-1093</t>
  </si>
  <si>
    <t>Social &amp; Human Service Assistants</t>
  </si>
  <si>
    <t>21-1093.00</t>
  </si>
  <si>
    <t>21-1099</t>
  </si>
  <si>
    <t>Community &amp; Social Service Specialists, All Other</t>
  </si>
  <si>
    <t>21-1099.00</t>
  </si>
  <si>
    <t>Rabbinical Studies (M.H.L./Rav)</t>
  </si>
  <si>
    <t>Theological &amp; ministerial Studies, Other</t>
  </si>
  <si>
    <t>Directors, Religious Activities &amp; Education</t>
  </si>
  <si>
    <t>21-2021</t>
  </si>
  <si>
    <t>21-2021.00</t>
  </si>
  <si>
    <t>Missions/Missionary Studies &amp; Missiology</t>
  </si>
  <si>
    <t>Religious Workers, All Other</t>
  </si>
  <si>
    <t>21-2099</t>
  </si>
  <si>
    <t>21-2099.00</t>
  </si>
  <si>
    <t>Lawyers</t>
  </si>
  <si>
    <t>23-1011</t>
  </si>
  <si>
    <t>23-1011.00</t>
  </si>
  <si>
    <t>Legal Studies, General (New)</t>
  </si>
  <si>
    <t>Law &amp; Public Safety</t>
  </si>
  <si>
    <t>Legal Studies, General  (New)</t>
  </si>
  <si>
    <t>Advanced Legal Research/Studies, General (LL.M., M.C.L., M.L.I., M.S.L., J.S.D./S.J.D.)   (New)</t>
  </si>
  <si>
    <t>Programs for Foreign Lawyers (LL.M., M.C.L.) (New)</t>
  </si>
  <si>
    <t>American/U.S. Law/Legal Studies/Jurisprudence (LL.M., M.C.J., J.S.D./S.J.D.) (New)</t>
  </si>
  <si>
    <t>Canadian Law/Legal Studies/Jurisprudence (LL.M., M.C.J., J.S.D./S.J.D.). (New)</t>
  </si>
  <si>
    <t>Banking, Corporate, Finance, &amp; Securities Law (LL.M., J.S.D./S.J.D.). (New)</t>
  </si>
  <si>
    <t>Comparative Law (LL.M., M.C.L., J.S.D./S.J.D.) (New)</t>
  </si>
  <si>
    <t>Energy, Environment, &amp; Natural Resources Law (LL.M., M.S., J.S.D./S.J.D.). (New)</t>
  </si>
  <si>
    <t>Health Law (LL.M., M.J., J.S.D./S.J.D.) (New)</t>
  </si>
  <si>
    <t>International Law &amp; Legal Studies (LL.M., J.S.D./S.J.D.) (New)</t>
  </si>
  <si>
    <t>International Business, Trade, &amp; Tax Law (LL.M., J.S.D./S.J.D.). (New)</t>
  </si>
  <si>
    <t>Tax Law/Taxation (LL.M, J.S.D./S.J.D.). (New)</t>
  </si>
  <si>
    <t>Legal Research &amp; Advanced Professional Studies, Other  (New)</t>
  </si>
  <si>
    <t>Law, Legal Services, &amp; Legal Studies, Other  (New)</t>
  </si>
  <si>
    <t>Judges, Magistrates, &amp; Other Judicial Workers</t>
  </si>
  <si>
    <t>23-1020</t>
  </si>
  <si>
    <t>23-1020.00</t>
  </si>
  <si>
    <t>23-1021</t>
  </si>
  <si>
    <t>Administrative Law Judges, Adjudicators, &amp; Hearing Officers</t>
  </si>
  <si>
    <t>23-1021.00</t>
  </si>
  <si>
    <t>23-1022</t>
  </si>
  <si>
    <t>Arbitrators, Mediators, &amp; Conciliators</t>
  </si>
  <si>
    <t>23-1022.00</t>
  </si>
  <si>
    <t>23-1023</t>
  </si>
  <si>
    <t>Judges, Magistrate Judges, &amp; Magistrates</t>
  </si>
  <si>
    <t>23-1023.00</t>
  </si>
  <si>
    <t>Paralegals &amp; Legal Assistants</t>
  </si>
  <si>
    <t>23-2011</t>
  </si>
  <si>
    <t>23-2011.00</t>
  </si>
  <si>
    <t>Miscellaneous Legal Support Workers</t>
  </si>
  <si>
    <t>23-2090</t>
  </si>
  <si>
    <t>23-2090.00</t>
  </si>
  <si>
    <t>23-2091</t>
  </si>
  <si>
    <t>Court Reporters</t>
  </si>
  <si>
    <t>23-2091.00</t>
  </si>
  <si>
    <t>23-2092</t>
  </si>
  <si>
    <t>Law Clerks</t>
  </si>
  <si>
    <t>23-2092.00</t>
  </si>
  <si>
    <t>23-2093</t>
  </si>
  <si>
    <t>Title Examiners, Abstractors, &amp; Searchers</t>
  </si>
  <si>
    <t>23-2093.00</t>
  </si>
  <si>
    <t>23-2099</t>
  </si>
  <si>
    <t>Legal Support Workers, All Other</t>
  </si>
  <si>
    <t>23-2099.00</t>
  </si>
  <si>
    <t>Postsecondary Teachers</t>
  </si>
  <si>
    <t>25-1000</t>
  </si>
  <si>
    <t>25-1000.00</t>
  </si>
  <si>
    <t>25-1011</t>
  </si>
  <si>
    <t>Business Teachers, Postsecondary</t>
  </si>
  <si>
    <t>25-1011.00</t>
  </si>
  <si>
    <t>25-1021</t>
  </si>
  <si>
    <t>Computer Science Teachers, Postsecondary</t>
  </si>
  <si>
    <t>25-1021.00</t>
  </si>
  <si>
    <t>25-1022</t>
  </si>
  <si>
    <t>Mathematical Science Teachers, Postsecondary</t>
  </si>
  <si>
    <t>25-1022.00</t>
  </si>
  <si>
    <t>25-1031</t>
  </si>
  <si>
    <t>Architecture Teachers, Postsecondary</t>
  </si>
  <si>
    <t>25-1031.00</t>
  </si>
  <si>
    <t>Teacher Education &amp; Professional Development, Specific Subject Areas, Other</t>
  </si>
  <si>
    <t>25-1032</t>
  </si>
  <si>
    <t>Engineering Teachers, Postsecondary</t>
  </si>
  <si>
    <t>25-1032.00</t>
  </si>
  <si>
    <t>25-1041</t>
  </si>
  <si>
    <t>Agricultural Sciences Teachers, Postsecondary</t>
  </si>
  <si>
    <t>25-1041.00</t>
  </si>
  <si>
    <t>Agricultural &amp; Food Products Processing, General</t>
  </si>
  <si>
    <t>Agriculture-Related Services, Other</t>
  </si>
  <si>
    <t>Landscaping &amp; Groundskeeping</t>
  </si>
  <si>
    <t>Turf &amp; Turfgrass Management</t>
  </si>
  <si>
    <t>Horticultural Service Operations, Other</t>
  </si>
  <si>
    <t>Agriculture, Agricultural Operations, &amp; Related Sciences, Other.</t>
  </si>
  <si>
    <t>25-1042</t>
  </si>
  <si>
    <t>Biological Science Teachers, Postsecondary</t>
  </si>
  <si>
    <t>25-1042.00</t>
  </si>
  <si>
    <t>25-1043</t>
  </si>
  <si>
    <t>Forestry &amp; Conservation Science Teachers, Postsecondary</t>
  </si>
  <si>
    <t>25-1043.00</t>
  </si>
  <si>
    <t>25-1051</t>
  </si>
  <si>
    <t>Atmospheric, Earth, Marine, &amp; Space Sciences Teachers, Postsecondary</t>
  </si>
  <si>
    <t>25-1051.00</t>
  </si>
  <si>
    <t>25-1052</t>
  </si>
  <si>
    <t>Chemistry Teachers, Postsecondary</t>
  </si>
  <si>
    <t>25-1052.00</t>
  </si>
  <si>
    <t>25-1053</t>
  </si>
  <si>
    <t>Environmental Science Teachers, Postsecondary</t>
  </si>
  <si>
    <t>25-1053.00</t>
  </si>
  <si>
    <t>25-1054</t>
  </si>
  <si>
    <t>Physics Teachers, Postsecondary</t>
  </si>
  <si>
    <t>25-1054.00</t>
  </si>
  <si>
    <t>25-1061</t>
  </si>
  <si>
    <t>Anthropology &amp; Archeology Teachers, Postsecondary</t>
  </si>
  <si>
    <t>25-1061.00</t>
  </si>
  <si>
    <t>25-1062</t>
  </si>
  <si>
    <t>Area, Ethnic, &amp; Cultural Studies Teachers, Postsecondary</t>
  </si>
  <si>
    <t>25-1062.00</t>
  </si>
  <si>
    <t>Central/Middle &amp; Eastern European Studies</t>
  </si>
  <si>
    <t>Near &amp; Middle Eastern Studies</t>
  </si>
  <si>
    <t>Balkans Studies  (New)</t>
  </si>
  <si>
    <t>Baltic Studies  (New)</t>
  </si>
  <si>
    <t>Slavic Studies  (New)</t>
  </si>
  <si>
    <t>Caribbean Studies  (New)</t>
  </si>
  <si>
    <t>Ural-Altaic &amp; Central Asian Studies  (New)</t>
  </si>
  <si>
    <t>Commonwealth Studies  (New)</t>
  </si>
  <si>
    <t>Regional Studies (U.S., Canadian, Foreign  (New)</t>
  </si>
  <si>
    <t>Chinese Studies  (New)</t>
  </si>
  <si>
    <t>French Studies  (New)</t>
  </si>
  <si>
    <t>German Studies  (New)</t>
  </si>
  <si>
    <t>Italian Studies  (New)</t>
  </si>
  <si>
    <t>Japanese Studies  (New)</t>
  </si>
  <si>
    <t>Korean Studies  (New)</t>
  </si>
  <si>
    <t>Polish Studies  (New)</t>
  </si>
  <si>
    <t>Spanish &amp; Iberian Studies  (New)</t>
  </si>
  <si>
    <t>Tibetan Studies  (New)</t>
  </si>
  <si>
    <t>Ukraine Studies  (New)</t>
  </si>
  <si>
    <t>Hispanic-American, Puerto Rican, &amp; Mexican-American/Chicano</t>
  </si>
  <si>
    <t>Gay/Lesbian Studies  (New)</t>
  </si>
  <si>
    <t>Ethnic, Cultural Minority, &amp; Gender Studies, Other</t>
  </si>
  <si>
    <t>Area, Ethnic, Cultural, &amp; Gender Studies, Other</t>
  </si>
  <si>
    <t>Intercultural/Multicultural &amp; Diversity Studies (New)</t>
  </si>
  <si>
    <t>Philosophy &amp; Religion Teachers, Postsecondary</t>
  </si>
  <si>
    <t>Religion/Religious Studies, Other  (New)</t>
  </si>
  <si>
    <t>25-1063</t>
  </si>
  <si>
    <t>Economics Teachers, Postsecondary</t>
  </si>
  <si>
    <t>25-1063.00</t>
  </si>
  <si>
    <t>25-1064</t>
  </si>
  <si>
    <t>Geography Teachers, Postsecondary</t>
  </si>
  <si>
    <t>25-1064.00</t>
  </si>
  <si>
    <t>Geography Teacher Education  (New)</t>
  </si>
  <si>
    <t>25-1065</t>
  </si>
  <si>
    <t>Political Science Teachers, Postsecondary</t>
  </si>
  <si>
    <t>25-1065.00</t>
  </si>
  <si>
    <t>25-1066</t>
  </si>
  <si>
    <t>Psychology Teachers, Postsecondary</t>
  </si>
  <si>
    <t>25-1066.00</t>
  </si>
  <si>
    <t>Psychology Teacher Education  (New)</t>
  </si>
  <si>
    <t>25-1067</t>
  </si>
  <si>
    <t>Sociology Teachers, Postsecondary</t>
  </si>
  <si>
    <t>25-1067.00</t>
  </si>
  <si>
    <t>25-1069</t>
  </si>
  <si>
    <t>Social Sciences Teachers, Postsecondary, All Other</t>
  </si>
  <si>
    <t>25-1069.00</t>
  </si>
  <si>
    <t>25-1071</t>
  </si>
  <si>
    <t>Health Specialties Teachers, Postsecondary</t>
  </si>
  <si>
    <t>25-1071.00</t>
  </si>
  <si>
    <t>Audiology/Audiologist &amp; Hearing Sciences</t>
  </si>
  <si>
    <t>Audiology/Audiologist &amp; Speech-Language Pathology/Pathologist</t>
  </si>
  <si>
    <t>Dental Services &amp; Allied Professions, Other</t>
  </si>
  <si>
    <t>Clinical/Medical Laboratory Technician/Assistant (Certificate)</t>
  </si>
  <si>
    <t>Pharmacy Technician</t>
  </si>
  <si>
    <t>Veterinary/Animal Health Technology/Technician &amp; Veterinary Assistant</t>
  </si>
  <si>
    <t>Health and Medical Assisting Services, Other</t>
  </si>
  <si>
    <t>Emergency Medical Technology/Technician (Paramedic)</t>
  </si>
  <si>
    <t>Medical Radiologic Technology/Science   Radiation Therapist</t>
  </si>
  <si>
    <t>Respiratory Therapy/Therapist</t>
  </si>
  <si>
    <t>Diagnostic Medical Sonography/Sonographer &amp; Ultrasound Technician</t>
  </si>
  <si>
    <t>Allied Health Diagnostic, Intervention, &amp; Treatment Professions, Other</t>
  </si>
  <si>
    <t>Clinical Laboratory Technologists &amp; Technicians</t>
  </si>
  <si>
    <t>29-2011</t>
  </si>
  <si>
    <t>Medical &amp; Clinical Laboratory Technologists</t>
  </si>
  <si>
    <t>29-2011.00</t>
  </si>
  <si>
    <t>Clinical/Medical Laboratory Science &amp; Allied Professions, Other</t>
  </si>
  <si>
    <t>Pre-Nursing Studies   (New)</t>
  </si>
  <si>
    <t>Pharmacy (PharmD, BS/BPharm)</t>
  </si>
  <si>
    <t>Pharmacy Administration &amp; Pharmacy Policy &amp; Regulatory Affairs (MS, PhD)</t>
  </si>
  <si>
    <t>Pharmacy, Pharmaceutical Sciences, &amp; Administration, Other</t>
  </si>
  <si>
    <t>Rehabilitation &amp; Therapeutic Professions, Other</t>
  </si>
  <si>
    <t>Asian Bodywork Therapy  (New)</t>
  </si>
  <si>
    <t>Somatic Bodywork and Related Theraputic Services, other</t>
  </si>
  <si>
    <t>25-1072</t>
  </si>
  <si>
    <t>Nursing Instructors &amp; Teachers, Postsecondary</t>
  </si>
  <si>
    <t>25-1072.00</t>
  </si>
  <si>
    <t>Maternal/Child Health Nurse/Nursing</t>
  </si>
  <si>
    <t>Perioperative/Operating and Surgical Nurse/Nur</t>
  </si>
  <si>
    <t>Nursing Clinical Specialist   (New)</t>
  </si>
  <si>
    <t>25-1081</t>
  </si>
  <si>
    <t>Education Teachers, Postsecondary</t>
  </si>
  <si>
    <t>25-1081.00</t>
  </si>
  <si>
    <t>Family &amp; Consumer Sciences/Home Economics Teacher Education</t>
  </si>
  <si>
    <t>Sales &amp; Marketing Operations/Marketing &amp; Distribution Teacher Education</t>
  </si>
  <si>
    <t>Trade &amp; Industrial Teacher Education</t>
  </si>
  <si>
    <t>25-1082</t>
  </si>
  <si>
    <t>Library Science Teachers, Postsecondary</t>
  </si>
  <si>
    <t>25-1082.00</t>
  </si>
  <si>
    <t>25-1111</t>
  </si>
  <si>
    <t>Criminal Justice &amp; Law Enforcement Teachers, Postsecondary</t>
  </si>
  <si>
    <t>25-1111.00</t>
  </si>
  <si>
    <t>Criminalistics &amp; Criminal Science   (New)</t>
  </si>
  <si>
    <t>Corrections Administration  (New)</t>
  </si>
  <si>
    <t>25-1112</t>
  </si>
  <si>
    <t>Law Teachers, Postsecondary</t>
  </si>
  <si>
    <t>25-1112.00</t>
  </si>
  <si>
    <t>25-1113</t>
  </si>
  <si>
    <t>Social Work Teachers, Postsecondary</t>
  </si>
  <si>
    <t>25-1113.00</t>
  </si>
  <si>
    <t>25-1121</t>
  </si>
  <si>
    <t>Art, Drama, &amp; Music Teachers, Postsecondary</t>
  </si>
  <si>
    <t>25-1121.00</t>
  </si>
  <si>
    <t>Visual &amp; Performing Arts, General  (New)</t>
  </si>
  <si>
    <t>Crafts/Craft Design, Folk Art &amp; Artisanry</t>
  </si>
  <si>
    <t>Design &amp; Visual Communications, General</t>
  </si>
  <si>
    <t>Graphic Design  (New)</t>
  </si>
  <si>
    <t>Drama &amp; Dramatics/Theatre Arts, General</t>
  </si>
  <si>
    <t>Technical Theatre/Theatre Design &amp; Technology</t>
  </si>
  <si>
    <t>Theatre Literature, History &amp; Criticism   (New)</t>
  </si>
  <si>
    <t>Dramatic/Theatre Arts &amp; Stagecraft, Other</t>
  </si>
  <si>
    <t>Cinematography &amp; Film/Video Production</t>
  </si>
  <si>
    <t>Music History, Literature, &amp; Theory</t>
  </si>
  <si>
    <t>Piano &amp; Organ</t>
  </si>
  <si>
    <t>Voice &amp; Opera</t>
  </si>
  <si>
    <t>Music Management &amp; Merchandising</t>
  </si>
  <si>
    <t>Jazz/Jazz Studies  (New)</t>
  </si>
  <si>
    <t>Violin, Viola, Guitar &amp; Other Stringed Instruments  (New)</t>
  </si>
  <si>
    <t>Music Pedagogy  (New)</t>
  </si>
  <si>
    <t>25-1122</t>
  </si>
  <si>
    <t>Communications Teachers, Postsecondary</t>
  </si>
  <si>
    <t>25-1122.00</t>
  </si>
  <si>
    <t>Communications Studies/Speech Communication &amp; Rhetoric</t>
  </si>
  <si>
    <t>Mass Communications/Media Studies</t>
  </si>
  <si>
    <t>Radio &amp; Television</t>
  </si>
  <si>
    <t>Digital Communications &amp; Media/Multimedia  (New)</t>
  </si>
  <si>
    <t>Political Communications  (New)</t>
  </si>
  <si>
    <t>Communications, Journalism, &amp; Related Fields, Other</t>
  </si>
  <si>
    <t>25-1123</t>
  </si>
  <si>
    <t>English Language &amp; Literature Teachers, Postsecondary</t>
  </si>
  <si>
    <t>25-1123.00</t>
  </si>
  <si>
    <t>American Literature (Canadian)  (New)</t>
  </si>
  <si>
    <t>Technical &amp; Business Writing</t>
  </si>
  <si>
    <t>25-1124</t>
  </si>
  <si>
    <t>Foreign Language &amp; Literature Teachers, Postsecondary</t>
  </si>
  <si>
    <t>25-1124.00</t>
  </si>
  <si>
    <t>Latin Teacher Education  (New)</t>
  </si>
  <si>
    <t>Foreign Languages/Modern Languages, General</t>
  </si>
  <si>
    <t>Language Interpretation &amp; Translation</t>
  </si>
  <si>
    <t>African Languages, Literatures, &amp; Linguistics (New)</t>
  </si>
  <si>
    <t>East Asian Languages, Literatures, &amp; Linguistics, General  (New)</t>
  </si>
  <si>
    <t>Korean Language &amp; Literature  (New)</t>
  </si>
  <si>
    <t>Tibetan Language &amp; Literature  (New)</t>
  </si>
  <si>
    <t>East Asian Languages, Literatures, &amp; Linguistics, Other</t>
  </si>
  <si>
    <t>Slavic Languages, Literatures, &amp; Linguistics, General  (New)</t>
  </si>
  <si>
    <t>Baltic Languages, Literatures, &amp; Linguistics (New)</t>
  </si>
  <si>
    <t>Albanian Language &amp; Literature  (New)</t>
  </si>
  <si>
    <t>Bulgarian Language &amp; Literature  (New)</t>
  </si>
  <si>
    <t>Czech Language &amp; Literature  (New)</t>
  </si>
  <si>
    <t>Polish Language &amp; Literature  (New)</t>
  </si>
  <si>
    <t>Serbian, Croatian, &amp; Serbo-Croatian Languages &amp; Literatures  (New)</t>
  </si>
  <si>
    <t>Slovak Language &amp; Literature  (New)</t>
  </si>
  <si>
    <t>Ukrainian Language &amp; Literature  (New)</t>
  </si>
  <si>
    <t>Slavic, Baltic, &amp; Albanian Languages, Literatures, &amp; Linguistics, Other</t>
  </si>
  <si>
    <t>Germanic Languages, Literatures, &amp; Linguistics, General  (New)</t>
  </si>
  <si>
    <t>Scandinavian Languages, Literatures, &amp; Linguistics</t>
  </si>
  <si>
    <t>Danish Language &amp; Literature  (New)</t>
  </si>
  <si>
    <t>Dutch/Flemish Language &amp; Literature  (New)</t>
  </si>
  <si>
    <t>Norwegian Language &amp; Literature  (New)</t>
  </si>
  <si>
    <t>Swedish Language &amp; Literature  (New)</t>
  </si>
  <si>
    <t>Germanic Languages, Literatures, &amp; Linguistics, Other</t>
  </si>
  <si>
    <t>Modern Greek Language &amp; Literature</t>
  </si>
  <si>
    <t>South Asian Languages, Literatures, &amp; Linguistics, General  (New)</t>
  </si>
  <si>
    <t>Hindi Language &amp; Literature (New)</t>
  </si>
  <si>
    <t>Sanskrit &amp; Classical Indian Languages, Literatures, &amp; Linguistics (New)</t>
  </si>
  <si>
    <t>Bengali Language &amp; Literature (New)</t>
  </si>
  <si>
    <t>Panjabi Language &amp; Literature  (New)</t>
  </si>
  <si>
    <t>Tamil Language &amp; Literature  (New)</t>
  </si>
  <si>
    <t>Urdu Language &amp; Literature  (New)</t>
  </si>
  <si>
    <t>South Asian Languages, Literatures, &amp; Linguistics, Other  (New)</t>
  </si>
  <si>
    <t>Iranian/Persian Languages, Literatures, &amp; Linguistics  (New)</t>
  </si>
  <si>
    <t>Romance Languages, Literatures, &amp; Linguistics, General  (New)</t>
  </si>
  <si>
    <t>Romanian Language &amp; Literature  (New)</t>
  </si>
  <si>
    <t>Catalan Language &amp; Literature  (New)</t>
  </si>
  <si>
    <t>Romance Languages, Literatures, &amp; Linguistics, Other</t>
  </si>
  <si>
    <t>American Indian/Native American Languages, Literatures, &amp; Linguistics  (New)</t>
  </si>
  <si>
    <t>Semitic Languages, Literatures, &amp; Linguistics, General  (New)</t>
  </si>
  <si>
    <t>Ancient Near Eastern &amp; Biblical Languages, Literatures, &amp; Linguistics  (New)</t>
  </si>
  <si>
    <t>Middle/Near Eastern &amp; Semitic Languages, Literatures, &amp; Linguistics, Other</t>
  </si>
  <si>
    <t>Classics &amp; Classical Languages, Literatures, &amp; Linguistics, General</t>
  </si>
  <si>
    <t>Ancient/Classical Greek Language &amp; Literature</t>
  </si>
  <si>
    <t>Latin Language &amp; Literature</t>
  </si>
  <si>
    <t>Classics &amp; Classical Languages, Literatures, &amp; Linguistics, Other</t>
  </si>
  <si>
    <t>Celtic Languages, Literatures, &amp; Linguistics  (New)</t>
  </si>
  <si>
    <t>Southeast Asian Languages, Literatures, &amp; Linguistics, General  (New)</t>
  </si>
  <si>
    <t>Australian/Oceanic/Pacific Languages, Literatures, &amp; Linguistics  (New)</t>
  </si>
  <si>
    <t>Bahasa Indonesian/Bahasa Malay Languages &amp; Literatures  (New)</t>
  </si>
  <si>
    <t>Burmese Language &amp; Literature  (New)</t>
  </si>
  <si>
    <t>Filipino/Tagalog Language &amp; Literature  (New)</t>
  </si>
  <si>
    <t>Khmer/Cambodian Language &amp; Literature  (New)</t>
  </si>
  <si>
    <t>Lao/Laotian Language &amp; Literature  (New)</t>
  </si>
  <si>
    <t>Thai Language &amp; Literature  (New)</t>
  </si>
  <si>
    <t>Vietnamese Language &amp; Literature  (New)</t>
  </si>
  <si>
    <t>Southeast Asian &amp; Australasian/Pacific Languages, Literatures, &amp; Linguistics, Other  (New)</t>
  </si>
  <si>
    <t>Turkish Language &amp; Literature  (New)</t>
  </si>
  <si>
    <t>Finnish &amp; Related Languages, Literatures, &amp; Linguistics  (New)</t>
  </si>
  <si>
    <t>Hungarian/Magyar Language &amp; Literature  (New)</t>
  </si>
  <si>
    <t>Mongolian Language &amp; Literature  (New)</t>
  </si>
  <si>
    <t>Turkic, Ural-Altaic, Caucasian, &amp; Central Asian Languages, Literatures, &amp; Linguistics, Other  (N</t>
  </si>
  <si>
    <t>Foreign Languages, Literatures, &amp; Linguistics, Other</t>
  </si>
  <si>
    <t>25-1125</t>
  </si>
  <si>
    <t>History Teachers, Postsecondary</t>
  </si>
  <si>
    <t>25-1125.00</t>
  </si>
  <si>
    <t>25-1126</t>
  </si>
  <si>
    <t>25-1126.00</t>
  </si>
  <si>
    <t>Ethics (New)</t>
  </si>
  <si>
    <t>Philosophy, Other (New)</t>
  </si>
  <si>
    <t>Buddhist Studies (New)</t>
  </si>
  <si>
    <t>Christian Studies (New)</t>
  </si>
  <si>
    <t>Hindu Studies  (New)</t>
  </si>
  <si>
    <t>Talmudic Studies  (New)</t>
  </si>
  <si>
    <t>25-1191</t>
  </si>
  <si>
    <t>Graduate Teaching Assistants</t>
  </si>
  <si>
    <t>25-1191.00</t>
  </si>
  <si>
    <t>25-1192</t>
  </si>
  <si>
    <t>Home Economics Teachers, Postsecondary</t>
  </si>
  <si>
    <t>25-1192.00</t>
  </si>
  <si>
    <t>Family &amp; Consumer Sciences/Human Sciences, General</t>
  </si>
  <si>
    <t>Business Family &amp; Consumer Sciences/Human Sciences</t>
  </si>
  <si>
    <t>Human Development &amp; Family Studies, General</t>
  </si>
  <si>
    <t>Child Care &amp; Support Services Management  (New)</t>
  </si>
  <si>
    <t>25-1193</t>
  </si>
  <si>
    <t>Recreation &amp; Fitness Studies Teachers, Postsecondary</t>
  </si>
  <si>
    <t>25-1193.00</t>
  </si>
  <si>
    <t>25-1194</t>
  </si>
  <si>
    <t>Vocational Education Teachers, Postsecondary</t>
  </si>
  <si>
    <t>25-1194.00</t>
  </si>
  <si>
    <t>Vocational Education Teachers Postsecondary</t>
  </si>
  <si>
    <t>25-1199</t>
  </si>
  <si>
    <t>Postsecondary Teachers, All Other</t>
  </si>
  <si>
    <t>25-1199.00</t>
  </si>
  <si>
    <t>Liberal Arts &amp; Sciences, General Studies &amp; Humanities, Other</t>
  </si>
  <si>
    <t>Preschool &amp; Kindergarten Teachers</t>
  </si>
  <si>
    <t>25-2010</t>
  </si>
  <si>
    <t>25-2010.00</t>
  </si>
  <si>
    <t>Kindergarten/Preschool Education and Teaching  (NEW)</t>
  </si>
  <si>
    <t>25-2011</t>
  </si>
  <si>
    <t>Preschool Teachers, Except Special Education</t>
  </si>
  <si>
    <t>25-2011.00</t>
  </si>
  <si>
    <t>Early Childhood Education &amp; Teaching</t>
  </si>
  <si>
    <t>25-2012</t>
  </si>
  <si>
    <t>Kindergarten Teachers, Except Special Education</t>
  </si>
  <si>
    <t>25-2012.00</t>
  </si>
  <si>
    <t>Elementary &amp; Middle School Teachers</t>
  </si>
  <si>
    <t>25-2020</t>
  </si>
  <si>
    <t>25-2020.00</t>
  </si>
  <si>
    <t>25-2021</t>
  </si>
  <si>
    <t>Elementary School Teachers, Except Special Education</t>
  </si>
  <si>
    <t>25-2021.00</t>
  </si>
  <si>
    <t>Elementary Education &amp; Teaching</t>
  </si>
  <si>
    <t>25-2022</t>
  </si>
  <si>
    <t>Middle School Teachers, Except Special &amp; Vocational Education</t>
  </si>
  <si>
    <t>25-2022.00</t>
  </si>
  <si>
    <t>Junior High/Intermediate/Middle School Education &amp; Teaching</t>
  </si>
  <si>
    <t>25-2023</t>
  </si>
  <si>
    <t>Vocational Education Teachers, Middle School</t>
  </si>
  <si>
    <t>25-2023.00</t>
  </si>
  <si>
    <t>Secondary School Teachers</t>
  </si>
  <si>
    <t>25-2030</t>
  </si>
  <si>
    <t>25-2030.00</t>
  </si>
  <si>
    <t>25-2031</t>
  </si>
  <si>
    <t>Secondary School Teachers, Except Special &amp; Vocational Education</t>
  </si>
  <si>
    <t>25-2031.00</t>
  </si>
  <si>
    <t>Secondary Education &amp; Teaching</t>
  </si>
  <si>
    <t>25-2032</t>
  </si>
  <si>
    <t>Vocational Education Teachers, Secondary School</t>
  </si>
  <si>
    <t>25-2032.00</t>
  </si>
  <si>
    <t>Special Education Teachers</t>
  </si>
  <si>
    <t>25-2040</t>
  </si>
  <si>
    <t>25-2040.00</t>
  </si>
  <si>
    <t>25-2041</t>
  </si>
  <si>
    <t>Special Education Teachers, Preschool, Kindergarten, &amp; Elementary School</t>
  </si>
  <si>
    <t>25-2041.00</t>
  </si>
  <si>
    <t>Education/Teaching of Individuals with Hearing Impairments, Including Deafness</t>
  </si>
  <si>
    <t>Education/Teaching of Individuals with Orthopedic &amp; Other Physical Health Impairments</t>
  </si>
  <si>
    <t>Education/Teaching of Individuals with Speech or Language Impairments</t>
  </si>
  <si>
    <t>Education/Teaching of Individuals with Traumastic Brain Injuries</t>
  </si>
  <si>
    <t>Special Education &amp; Teaching, Other</t>
  </si>
  <si>
    <t>25-2042</t>
  </si>
  <si>
    <t>Special Education Teachers, Middle School</t>
  </si>
  <si>
    <t>25-2042.00</t>
  </si>
  <si>
    <t>25-2043</t>
  </si>
  <si>
    <t>Special Education Teachers, Secondary School</t>
  </si>
  <si>
    <t>25-2043.00</t>
  </si>
  <si>
    <t>25-3000</t>
  </si>
  <si>
    <t>Other Teachers &amp; Instructors</t>
  </si>
  <si>
    <t>25-3000.00</t>
  </si>
  <si>
    <t>25-3011</t>
  </si>
  <si>
    <t>Adult Literacy, Remedial Education, &amp; GED Teachers &amp; Instructors</t>
  </si>
  <si>
    <t>25-3011.00</t>
  </si>
  <si>
    <t>Bilingual &amp; Multilingual Education</t>
  </si>
  <si>
    <t>Multicultural Education  (New)</t>
  </si>
  <si>
    <t>Adult &amp; Continuing Education &amp; Teaching</t>
  </si>
  <si>
    <t>Adult Literacy Tutor/Instructor  (New)</t>
  </si>
  <si>
    <t>25-3021</t>
  </si>
  <si>
    <t>Self-Enrichment Education Teachers</t>
  </si>
  <si>
    <t>25-3021.00</t>
  </si>
  <si>
    <t>25-3099</t>
  </si>
  <si>
    <t>Teachers &amp; Instructors, All Other</t>
  </si>
  <si>
    <t>25-3099.00</t>
  </si>
  <si>
    <t>Teacher Education &amp; Professional Development, Specific Levels &amp; Methods, Other</t>
  </si>
  <si>
    <t>Archivists, Curators, &amp; Museum Technicians</t>
  </si>
  <si>
    <t>25-4010</t>
  </si>
  <si>
    <t>25-4010.00</t>
  </si>
  <si>
    <t>Arts, A/V Technology &amp; Communication</t>
  </si>
  <si>
    <t>25-4011</t>
  </si>
  <si>
    <t>Archivists</t>
  </si>
  <si>
    <t>25-4011.00</t>
  </si>
  <si>
    <t>25-4012</t>
  </si>
  <si>
    <t>Curators</t>
  </si>
  <si>
    <t>25-4012.00</t>
  </si>
  <si>
    <t>25-4013</t>
  </si>
  <si>
    <t>Museum Technicians &amp; Conservators</t>
  </si>
  <si>
    <t>25-4013.00</t>
  </si>
  <si>
    <t>25-4021</t>
  </si>
  <si>
    <t>Librarians</t>
  </si>
  <si>
    <t>25-4021.00</t>
  </si>
  <si>
    <t>School Librarian/School Library Media Specialist  (New)</t>
  </si>
  <si>
    <t>Library Technicians</t>
  </si>
  <si>
    <t>25-4031</t>
  </si>
  <si>
    <t>25-4031.00</t>
  </si>
  <si>
    <t>Teacher Assistants</t>
  </si>
  <si>
    <t>25-9041</t>
  </si>
  <si>
    <t>25-9041.00</t>
  </si>
  <si>
    <t>Teacher Assistant/aide</t>
  </si>
  <si>
    <t>Teaching Assistant/Aides, Other</t>
  </si>
  <si>
    <t>Other Education, Training, &amp; Library Workers</t>
  </si>
  <si>
    <t>25.9000</t>
  </si>
  <si>
    <t>25.9000.00</t>
  </si>
  <si>
    <t>25-9011</t>
  </si>
  <si>
    <t>Audio-Visual Collections Specialists</t>
  </si>
  <si>
    <t>25-9011.00</t>
  </si>
  <si>
    <t>25-9021</t>
  </si>
  <si>
    <t>Farm &amp; Home Management Advisors</t>
  </si>
  <si>
    <t>25-9021.00</t>
  </si>
  <si>
    <t>Agricultural &amp; Extension Education Services</t>
  </si>
  <si>
    <t>Consumer Services &amp; Advocacy  (New)</t>
  </si>
  <si>
    <t>Family &amp; Consumer Economics &amp; Related Services, Other</t>
  </si>
  <si>
    <t>Housing &amp; Human Environments, General</t>
  </si>
  <si>
    <t>Housing &amp; Human Environments, Other</t>
  </si>
  <si>
    <t>Adult Development &amp; Aging  (New)</t>
  </si>
  <si>
    <t>Family &amp; Community Services  (New)</t>
  </si>
  <si>
    <t>Human Development, Family Studies, &amp; Related Services, Other</t>
  </si>
  <si>
    <t>Apparel &amp; Textiles, General</t>
  </si>
  <si>
    <t>Family &amp; Consumer Sciences/Human Sciences, Other</t>
  </si>
  <si>
    <t>25-9031</t>
  </si>
  <si>
    <t>Instructional Coordinators</t>
  </si>
  <si>
    <t>25-9031.00</t>
  </si>
  <si>
    <t>Teacher assistants</t>
  </si>
  <si>
    <t>25-9099</t>
  </si>
  <si>
    <t>All Other Library, Museum, Training, &amp; Education Workers</t>
  </si>
  <si>
    <t>Education, Training, &amp; Library Workers, All Other</t>
  </si>
  <si>
    <t>25-9099.00</t>
  </si>
  <si>
    <t>Artists &amp; Related Workers</t>
  </si>
  <si>
    <t>27-1010</t>
  </si>
  <si>
    <t>27-1010.00</t>
  </si>
  <si>
    <t>27-1011</t>
  </si>
  <si>
    <t>Art Directors</t>
  </si>
  <si>
    <t>27-1011.00</t>
  </si>
  <si>
    <t>27-1012</t>
  </si>
  <si>
    <t>Craft Artists</t>
  </si>
  <si>
    <t>27-1012.00</t>
  </si>
  <si>
    <t>27-1013</t>
  </si>
  <si>
    <t>Fine Artists, Including Painters, Sculptors, &amp; Illustrators</t>
  </si>
  <si>
    <t>27-1013.00</t>
  </si>
  <si>
    <t>27-1013.01</t>
  </si>
  <si>
    <t>Painters &amp; Illustrators</t>
  </si>
  <si>
    <t>27-1013.02</t>
  </si>
  <si>
    <t>Sketch Artists</t>
  </si>
  <si>
    <t>27-1013.03</t>
  </si>
  <si>
    <t>Cartoonists</t>
  </si>
  <si>
    <t>27-1013.04</t>
  </si>
  <si>
    <t>Sculptors</t>
  </si>
  <si>
    <t>27-1014</t>
  </si>
  <si>
    <t>Multi-Media Artists &amp; Animators</t>
  </si>
  <si>
    <t>27-1014.00</t>
  </si>
  <si>
    <t>Animation, Interactive Technology, Video Graphics &amp; Special Effects  (New)</t>
  </si>
  <si>
    <t>27-1019</t>
  </si>
  <si>
    <t>Artists &amp; Related Workers, All Other</t>
  </si>
  <si>
    <t>27-1019.00</t>
  </si>
  <si>
    <t>Commercial &amp; Advertising Art</t>
  </si>
  <si>
    <t>Illustration  (New)</t>
  </si>
  <si>
    <t>Designers</t>
  </si>
  <si>
    <t>27-1020</t>
  </si>
  <si>
    <t>This is a broad SOC occupation. For cluster assignments, see detailed O*NET occupations listed below.</t>
  </si>
  <si>
    <t>27-1021</t>
  </si>
  <si>
    <t>Commercial &amp; Industrial Designers</t>
  </si>
  <si>
    <t>27-1021.00</t>
  </si>
  <si>
    <t>27-1022</t>
  </si>
  <si>
    <t>Fashion Designers</t>
  </si>
  <si>
    <t>27-1022.00</t>
  </si>
  <si>
    <t>Apparel &amp; Textile Manufacture  (New)</t>
  </si>
  <si>
    <t>Textile Science  (New)</t>
  </si>
  <si>
    <t>27-1023</t>
  </si>
  <si>
    <t>Floral Designers</t>
  </si>
  <si>
    <t>27-1023.00</t>
  </si>
  <si>
    <t>Floriculture/Floristry Operations &amp; Management  (New)</t>
  </si>
  <si>
    <t>27-1024</t>
  </si>
  <si>
    <t>Graphic Designers</t>
  </si>
  <si>
    <t>27-1024.00</t>
  </si>
  <si>
    <t>Agricultural Communications/Journalism  (New)</t>
  </si>
  <si>
    <t>27-1025</t>
  </si>
  <si>
    <t>Interior Designers</t>
  </si>
  <si>
    <t>27-1025.00</t>
  </si>
  <si>
    <t>Facilities Planning &amp; Management</t>
  </si>
  <si>
    <t>27-1026</t>
  </si>
  <si>
    <t>Merchandise Displayers &amp; Window Trimmers</t>
  </si>
  <si>
    <t>27-1026.00</t>
  </si>
  <si>
    <t>27-1027</t>
  </si>
  <si>
    <t>Set &amp; Exhibit Designers</t>
  </si>
  <si>
    <t>27-1027.00</t>
  </si>
  <si>
    <t>27-1027.01</t>
  </si>
  <si>
    <t>Set Designers</t>
  </si>
  <si>
    <t>27-1027.02</t>
  </si>
  <si>
    <t>Exhibit Designers</t>
  </si>
  <si>
    <t>27-1029</t>
  </si>
  <si>
    <t>All Other Art &amp; Design Workers</t>
  </si>
  <si>
    <t>Designers, All Other</t>
  </si>
  <si>
    <t>27-1029.00</t>
  </si>
  <si>
    <t>Actors</t>
  </si>
  <si>
    <t>27-2011</t>
  </si>
  <si>
    <t>27-2011.00</t>
  </si>
  <si>
    <t>Acting</t>
  </si>
  <si>
    <t>Directing &amp; Theatrical Production  (New)</t>
  </si>
  <si>
    <t>Producers &amp; Directors</t>
  </si>
  <si>
    <t>27-2012</t>
  </si>
  <si>
    <t>27-2012.00</t>
  </si>
  <si>
    <t>27-2012.01</t>
  </si>
  <si>
    <t>Producers</t>
  </si>
  <si>
    <t>27-2012.02</t>
  </si>
  <si>
    <t>Directors- Stage, Motion Pictures, Television, &amp; Radio</t>
  </si>
  <si>
    <t>27-2012.03</t>
  </si>
  <si>
    <t>Program Directors</t>
  </si>
  <si>
    <t>27-2012.04</t>
  </si>
  <si>
    <t>Talent Directors</t>
  </si>
  <si>
    <t>27-2012.05</t>
  </si>
  <si>
    <t>Technical Directors/Managers</t>
  </si>
  <si>
    <t>Athletes, Coaches, Umpires, &amp; Related Workers</t>
  </si>
  <si>
    <t>27-2020</t>
  </si>
  <si>
    <t>27-2020.00</t>
  </si>
  <si>
    <t>27-2021</t>
  </si>
  <si>
    <t>Athletes &amp; Sports Competitors</t>
  </si>
  <si>
    <t>27-2021.00</t>
  </si>
  <si>
    <t>27-2022</t>
  </si>
  <si>
    <t>Coaches &amp; Scouts</t>
  </si>
  <si>
    <t>27-2022.00</t>
  </si>
  <si>
    <t>27-2023</t>
  </si>
  <si>
    <t>Umpires, Referees, &amp; Other Sports Officials</t>
  </si>
  <si>
    <t>27-2023.00</t>
  </si>
  <si>
    <t>Dancers &amp; Choreographers</t>
  </si>
  <si>
    <t>27-2030</t>
  </si>
  <si>
    <t>27-2030.00</t>
  </si>
  <si>
    <t>27-2031</t>
  </si>
  <si>
    <t>Dancers</t>
  </si>
  <si>
    <t>27-2031.00</t>
  </si>
  <si>
    <t>Ballet  (New)</t>
  </si>
  <si>
    <t>Dance, Other  (New)</t>
  </si>
  <si>
    <t>27-2032</t>
  </si>
  <si>
    <t>Choreographers</t>
  </si>
  <si>
    <t>27-2032.00</t>
  </si>
  <si>
    <t>Musicians, Singers, &amp; Related Workers</t>
  </si>
  <si>
    <t>27-2040</t>
  </si>
  <si>
    <t>27-2040.00</t>
  </si>
  <si>
    <t>27-2041</t>
  </si>
  <si>
    <t>Music Directors &amp; Composers</t>
  </si>
  <si>
    <t>27-2041.00</t>
  </si>
  <si>
    <t>27-2041.01</t>
  </si>
  <si>
    <t>Music Directors</t>
  </si>
  <si>
    <t>27-2041.02</t>
  </si>
  <si>
    <t>Music Arrangers &amp; Orchestrators</t>
  </si>
  <si>
    <t>27-2041.03</t>
  </si>
  <si>
    <t>Composers</t>
  </si>
  <si>
    <t>27-2042</t>
  </si>
  <si>
    <t>Musicians &amp; Singers</t>
  </si>
  <si>
    <t>27-2042.00</t>
  </si>
  <si>
    <t>27-2042.01</t>
  </si>
  <si>
    <t>Singers</t>
  </si>
  <si>
    <t>27-2042.02</t>
  </si>
  <si>
    <t>Musicians, Instrumental</t>
  </si>
  <si>
    <t>Entertainers &amp; Performers, Sports &amp; Related Workers, All Other</t>
  </si>
  <si>
    <t>27-2099</t>
  </si>
  <si>
    <t>27-2099.00</t>
  </si>
  <si>
    <t>Theatre/Theatre Arts Mnagement (New)</t>
  </si>
  <si>
    <t>Announcers</t>
  </si>
  <si>
    <t>27-3010</t>
  </si>
  <si>
    <t>27-3011</t>
  </si>
  <si>
    <t>Radio &amp; Television Announcers</t>
  </si>
  <si>
    <t>27-3011.00</t>
  </si>
  <si>
    <t>27-3012</t>
  </si>
  <si>
    <t>Public Address System &amp; Other Announcers</t>
  </si>
  <si>
    <t>27-3012.00</t>
  </si>
  <si>
    <t>News Analysts, Reporters &amp; Correspondents</t>
  </si>
  <si>
    <t>27-3020</t>
  </si>
  <si>
    <t>27-3020.00</t>
  </si>
  <si>
    <t>27-3021</t>
  </si>
  <si>
    <t>Broadcast News Analysts</t>
  </si>
  <si>
    <t>27-3021.00</t>
  </si>
  <si>
    <t>27-3022</t>
  </si>
  <si>
    <t>Reporters &amp; Correspondents</t>
  </si>
  <si>
    <t>27-3022.00</t>
  </si>
  <si>
    <t>Photojournalism  (New)</t>
  </si>
  <si>
    <t>Public Relations Specialists</t>
  </si>
  <si>
    <t>27-3031</t>
  </si>
  <si>
    <t>27-3031.00</t>
  </si>
  <si>
    <t>Family &amp; Consumer Sciences/Human Sciences Communications</t>
  </si>
  <si>
    <t>Editors</t>
  </si>
  <si>
    <t>27-3041</t>
  </si>
  <si>
    <t>27-3041.00</t>
  </si>
  <si>
    <t>Publishing  (New)</t>
  </si>
  <si>
    <t>Technical Writers</t>
  </si>
  <si>
    <t>27-3042</t>
  </si>
  <si>
    <t>27-3042.00</t>
  </si>
  <si>
    <t>Writers &amp; Authors</t>
  </si>
  <si>
    <t>27-3043</t>
  </si>
  <si>
    <t>27-3043.00</t>
  </si>
  <si>
    <t>27-3043.01</t>
  </si>
  <si>
    <t>Poets &amp; Lyricists</t>
  </si>
  <si>
    <t>27-3043.02</t>
  </si>
  <si>
    <t>Creative Writers</t>
  </si>
  <si>
    <t>27-3043.03</t>
  </si>
  <si>
    <t>Caption Writers</t>
  </si>
  <si>
    <t>27-3043.04</t>
  </si>
  <si>
    <t>Copy Writers</t>
  </si>
  <si>
    <t>Miscellaneous Media &amp; Communication Workers</t>
  </si>
  <si>
    <t>27-3090</t>
  </si>
  <si>
    <t>27-3090.00</t>
  </si>
  <si>
    <t>27-3091</t>
  </si>
  <si>
    <t>Interpreters &amp; Translators</t>
  </si>
  <si>
    <t>27-3091.00</t>
  </si>
  <si>
    <t>American Sign Language (ASL) (New)</t>
  </si>
  <si>
    <t>Linguists of American Sign Languaage (New)</t>
  </si>
  <si>
    <t>American Sign Language, other  (New)</t>
  </si>
  <si>
    <t>Sign Language Interpretation/Interpreter</t>
  </si>
  <si>
    <t>27-3099</t>
  </si>
  <si>
    <t>Media &amp; Communication Workers, All Other</t>
  </si>
  <si>
    <t>27-3099.00</t>
  </si>
  <si>
    <t>Communications Technology/Technician  (New)</t>
  </si>
  <si>
    <t>Audiovisual Communications Technologies/Technicians, Other  (New)</t>
  </si>
  <si>
    <t>Broadcast &amp; Sound Engineering Technicians &amp; Radio Operators</t>
  </si>
  <si>
    <t>27-4010</t>
  </si>
  <si>
    <t>27-4010.00</t>
  </si>
  <si>
    <t>27-4011</t>
  </si>
  <si>
    <t>Audio &amp; Video Equipment Technicians</t>
  </si>
  <si>
    <t>27-4011.00</t>
  </si>
  <si>
    <t>Photographic &amp; Film/Video Technology/Technician &amp; Assistant.</t>
  </si>
  <si>
    <t>Recording Arts Technology/Technician  (New)</t>
  </si>
  <si>
    <t>27-4012</t>
  </si>
  <si>
    <t>Broadcast Technicians</t>
  </si>
  <si>
    <t>27-4012.00</t>
  </si>
  <si>
    <t>27-4013</t>
  </si>
  <si>
    <t>Radio Operators</t>
  </si>
  <si>
    <t>27-4013.00</t>
  </si>
  <si>
    <t>Communications Systems Installation &amp; Repair Technology</t>
  </si>
  <si>
    <t>27-4014</t>
  </si>
  <si>
    <t>Sound Engineering Technicians</t>
  </si>
  <si>
    <t>27-4014.00</t>
  </si>
  <si>
    <t>Photographers</t>
  </si>
  <si>
    <t>27-4021</t>
  </si>
  <si>
    <t>27-4021.00</t>
  </si>
  <si>
    <t>27-4021.01</t>
  </si>
  <si>
    <t>Professional Photographers</t>
  </si>
  <si>
    <t>27-4021.02</t>
  </si>
  <si>
    <t>Photographers, Scientific</t>
  </si>
  <si>
    <t>Television, Video, &amp; Motion Picture Camera Operators &amp; Editors</t>
  </si>
  <si>
    <t>27-4030</t>
  </si>
  <si>
    <t>27-4030.00</t>
  </si>
  <si>
    <t>27-4031</t>
  </si>
  <si>
    <t>Camera Operators, Television, Video, &amp; Motion Picture</t>
  </si>
  <si>
    <t>27-4031.00</t>
  </si>
  <si>
    <t>27-4032</t>
  </si>
  <si>
    <t>Film &amp; Video Editors</t>
  </si>
  <si>
    <t>27-4032.00</t>
  </si>
  <si>
    <t>Media &amp; Communication Equipment Workers, All Other</t>
  </si>
  <si>
    <t>27-4099</t>
  </si>
  <si>
    <t>27-4099.00</t>
  </si>
  <si>
    <t>Chiropractors</t>
  </si>
  <si>
    <t>29-1011</t>
  </si>
  <si>
    <t>29-1011.00</t>
  </si>
  <si>
    <t>Dentists</t>
  </si>
  <si>
    <t>29-1020</t>
  </si>
  <si>
    <t>29-1021</t>
  </si>
  <si>
    <t>Dentists, General</t>
  </si>
  <si>
    <t>29-1021.00</t>
  </si>
  <si>
    <t>Advanced General Dentistry (Cert, MS, PhD)    (New)</t>
  </si>
  <si>
    <t>Dental Public Health &amp; Education (Cert, MS/MPH, PhD/DPH)    (New)</t>
  </si>
  <si>
    <t>Pediatric Dentistry/Pedodontics (Cert, MS, PhD)   (New)</t>
  </si>
  <si>
    <t>29-1022</t>
  </si>
  <si>
    <t>Oral &amp; Maxillofacial Surgeons</t>
  </si>
  <si>
    <t>29-1022.00</t>
  </si>
  <si>
    <t>Oral/Maxillofacial Surgery (Cert, MS, PhD)    (New)</t>
  </si>
  <si>
    <t>29-1023</t>
  </si>
  <si>
    <t>Orthodontists</t>
  </si>
  <si>
    <t>29-1023.00</t>
  </si>
  <si>
    <t>Orthodontics/Orthodontology (Cert, MS, PhD)    (New)</t>
  </si>
  <si>
    <t>29-1024</t>
  </si>
  <si>
    <t>Prosthodontists</t>
  </si>
  <si>
    <t>29-1024.00</t>
  </si>
  <si>
    <t>Prosthodontics/Prosthodontology (Cert, MS, PhD)   (New)</t>
  </si>
  <si>
    <t>29-1029</t>
  </si>
  <si>
    <t>Dentists, All Other Specialists</t>
  </si>
  <si>
    <t>Oral Biology &amp; Pathology (MS, PhD)    (New)</t>
  </si>
  <si>
    <t>Dental Materials (MS, PhD)    (New)</t>
  </si>
  <si>
    <t>Endodontics/Endodontology (Cert, MS, PhD)    (New)</t>
  </si>
  <si>
    <t>Periodontics/Periodontology (Cert, MS, PhD)   (New)</t>
  </si>
  <si>
    <t>Advanced/Graduate Dentistry &amp; Oral Sciences, Other   (New)</t>
  </si>
  <si>
    <t>Dietitians &amp; Nutritionists</t>
  </si>
  <si>
    <t>29-1031</t>
  </si>
  <si>
    <t>29-1031.00</t>
  </si>
  <si>
    <t>Foods, Nutrition, &amp; Wellness Studies, General</t>
  </si>
  <si>
    <t>Human Nutrition (New)</t>
  </si>
  <si>
    <t>Foods, Nutrition, &amp; Related Services, Other</t>
  </si>
  <si>
    <t>Dietetics/Dietician (RD)</t>
  </si>
  <si>
    <t>Clinical Nutrition/Nutritionist (NR)   (New)</t>
  </si>
  <si>
    <t>Dietetic and Clinical Nutrition Services, Other</t>
  </si>
  <si>
    <t>SPEECH CORRECTION</t>
  </si>
  <si>
    <t>0817</t>
  </si>
  <si>
    <t>REMEDIAL EDUCATION</t>
  </si>
  <si>
    <t>0826</t>
  </si>
  <si>
    <t>STUDENT PERSONNEL-COUNSELING AND GUIDANCE</t>
  </si>
  <si>
    <t>0807</t>
  </si>
  <si>
    <t>ADULT AND CONTINUING EDUCATION</t>
  </si>
  <si>
    <t>0802</t>
  </si>
  <si>
    <t>ELEMENTARY EDUCATION, GENERAL</t>
  </si>
  <si>
    <t>0804</t>
  </si>
  <si>
    <t>JUNIOR HIGH SCHOOL EDUCATION</t>
  </si>
  <si>
    <t>0803</t>
  </si>
  <si>
    <t>SECONDARY EDUCATION, GENERAL</t>
  </si>
  <si>
    <t>0823</t>
  </si>
  <si>
    <t>PRE-ELEMENTARY EDUCATION (KINDERGARTEN)</t>
  </si>
  <si>
    <t>0831</t>
  </si>
  <si>
    <t>ART EDUCATION (METHODOLOGY AND THEORY)</t>
  </si>
  <si>
    <t>0838</t>
  </si>
  <si>
    <t>BUSINESS, COMMERCE, AND DISTRIBUTIVE EDUCATION</t>
  </si>
  <si>
    <t>0836</t>
  </si>
  <si>
    <t>DRIVER AND SAFETY EDUCATION</t>
  </si>
  <si>
    <t>0837</t>
  </si>
  <si>
    <t>HEALTH EDUCATION (INCLUDES FAMILY LIFE EDUCATION)</t>
  </si>
  <si>
    <t>0833</t>
  </si>
  <si>
    <t>MATHEMATICS EDUCATION (METHODOLOGY AND THEORY)</t>
  </si>
  <si>
    <t>0832</t>
  </si>
  <si>
    <t>MUSIC EDUCATION (METHODOLOGY AND THEORY)</t>
  </si>
  <si>
    <t>0835</t>
  </si>
  <si>
    <t>PHYSICAL EDUCATION-PHYSICAL EDUCATION 7-12</t>
  </si>
  <si>
    <t>0830</t>
  </si>
  <si>
    <t>READING EDUCATION (METHODOLOGY AND THEORY)</t>
  </si>
  <si>
    <t>0834</t>
  </si>
  <si>
    <t>SCIENCE EDUCATION (METHODOLOGY AND THEORY)</t>
  </si>
  <si>
    <t>1508</t>
  </si>
  <si>
    <t>TEACHING OF ENGLISH AS A FOREIGN LANGUAGE</t>
  </si>
  <si>
    <t>5503</t>
  </si>
  <si>
    <t>EDUCATION TECHNOLOGIES (TEACHER AIDE &amp; 2YR TEACHER PROGRAMS)</t>
  </si>
  <si>
    <t>0813</t>
  </si>
  <si>
    <t>EDUCATION OF THE CULTURALLY DISADVANTAGED</t>
  </si>
  <si>
    <t>0899</t>
  </si>
  <si>
    <t>EDUCATION OTHER</t>
  </si>
  <si>
    <t>0901</t>
  </si>
  <si>
    <t>ENGINEERING, GENERAL</t>
  </si>
  <si>
    <t>5609</t>
  </si>
  <si>
    <t>ENGINEERING SCIENCE, PRE-BACCALAUREATE LIBERAL ARTS</t>
  </si>
  <si>
    <t>0902</t>
  </si>
  <si>
    <t>AEROSPACE, AERONAUTICAL, AND ASTRONAUTICAL ENGINEERING</t>
  </si>
  <si>
    <t>0903</t>
  </si>
  <si>
    <t>AGRICULTURAL ENGINEERING</t>
  </si>
  <si>
    <t>0904</t>
  </si>
  <si>
    <t>ARCHITECTURAL ENGINEERING</t>
  </si>
  <si>
    <t>0905</t>
  </si>
  <si>
    <t>BIOENGINEERING AND BIOMEDICAL ENGINEERING</t>
  </si>
  <si>
    <t>0916</t>
  </si>
  <si>
    <t>CERAMIC ENGINEERING</t>
  </si>
  <si>
    <t>0906</t>
  </si>
  <si>
    <t>CHEMICAL ENGINEERING (INCLUDING PETROLEUM REFINING)</t>
  </si>
  <si>
    <t>0908</t>
  </si>
  <si>
    <t>CIVIL, CONSTRUCTION, AND TRANSPORTATION ENGINEERING</t>
  </si>
  <si>
    <t>0909</t>
  </si>
  <si>
    <t>ELECTRICAL, ELECTRONICS, AND COMMUNICATIONS ENGINEERING</t>
  </si>
  <si>
    <t>0921</t>
  </si>
  <si>
    <t>ENGINEERING MECHANICS</t>
  </si>
  <si>
    <t>0919</t>
  </si>
  <si>
    <t>ENGINEERING PHYSICS</t>
  </si>
  <si>
    <t>0922</t>
  </si>
  <si>
    <t>ENVIRONMENTAL AND SANITARY ENGINEERING</t>
  </si>
  <si>
    <t>0915</t>
  </si>
  <si>
    <t>MATERIALS ENGINEERING</t>
  </si>
  <si>
    <t>0910</t>
  </si>
  <si>
    <t>MECHANICAL ENGINEERING</t>
  </si>
  <si>
    <t>0914</t>
  </si>
  <si>
    <t>METALLURGICAL ENGINEERING</t>
  </si>
  <si>
    <t>0918</t>
  </si>
  <si>
    <t>MINING AND MINERAL ENGINEERING</t>
  </si>
  <si>
    <t>0923</t>
  </si>
  <si>
    <t>NAVAL ARCHITECTURE AND MARINE ENGINEERING</t>
  </si>
  <si>
    <t>0920</t>
  </si>
  <si>
    <t>NUCLEAR ENGINEERING</t>
  </si>
  <si>
    <t>0924</t>
  </si>
  <si>
    <t>OCEAN ENGINEERING</t>
  </si>
  <si>
    <t>0907</t>
  </si>
  <si>
    <t>PETROLEUM ENGINEERING (EXCLUDING PETROLEUM REFINING)</t>
  </si>
  <si>
    <t>0917</t>
  </si>
  <si>
    <t>TEXTILE ENGINEERING</t>
  </si>
  <si>
    <t>0913</t>
  </si>
  <si>
    <t>INDUSTRIAL AND MANAGEMENT ENGINEERING</t>
  </si>
  <si>
    <t>0507</t>
  </si>
  <si>
    <t>OPERATIONS RESEARCH</t>
  </si>
  <si>
    <t>0911</t>
  </si>
  <si>
    <t>GEOLOGICAL ENGINEERING</t>
  </si>
  <si>
    <t>0912</t>
  </si>
  <si>
    <t>GEOPHYSICAL ENGINEERING</t>
  </si>
  <si>
    <t>0999</t>
  </si>
  <si>
    <t>ENGINEERING OTHER</t>
  </si>
  <si>
    <t>5309</t>
  </si>
  <si>
    <t>CIVIL TECHNOLOGIES (SURVEYING, PHOTOGRAMMETRY, ETC.)</t>
  </si>
  <si>
    <t>5310</t>
  </si>
  <si>
    <t>ELECTRONICS &amp; MACHINE TECH. (TV, APPLIANCE REPAIR, ETC.)</t>
  </si>
  <si>
    <t>5311</t>
  </si>
  <si>
    <t>ELECTROMECHANICAL TECHNOLOGIES</t>
  </si>
  <si>
    <t>5314</t>
  </si>
  <si>
    <t>INSTRUMENTATION TECHNOLOGIES</t>
  </si>
  <si>
    <t>5408</t>
  </si>
  <si>
    <t>SANITATION AND PUBLIC HEALTH INSPECTION TECHNOLOGIES</t>
  </si>
  <si>
    <t>5312</t>
  </si>
  <si>
    <t>INDUSTRIAL TECHNOLOGIES</t>
  </si>
  <si>
    <t>5313</t>
  </si>
  <si>
    <t>TEXTILE TECHNOLOGIES</t>
  </si>
  <si>
    <t>5301</t>
  </si>
  <si>
    <t>MECHANICAL AND ENGINEERING TECHNOLOGIES, GENERAL</t>
  </si>
  <si>
    <t>5315</t>
  </si>
  <si>
    <t>MECHANICAL TECHNOLOGIES</t>
  </si>
  <si>
    <t>5317</t>
  </si>
  <si>
    <t>CONSTRUCTION &amp; BUILDING TECH. (CARPENTRY, ELECT. WORK, ETC.)</t>
  </si>
  <si>
    <t>5304</t>
  </si>
  <si>
    <t>ARCHITECTURAL DRAFTING TECHNOLOGIES</t>
  </si>
  <si>
    <t>5303</t>
  </si>
  <si>
    <t>ENGINEERING GRAPHICS (TOOL &amp; MACHINE DRAFTING &amp; DESIGN)</t>
  </si>
  <si>
    <t>0925</t>
  </si>
  <si>
    <t>ENGINEERING TECHNOLOGIES</t>
  </si>
  <si>
    <t>5399</t>
  </si>
  <si>
    <t>MECHANICAL AND ENGINEERING TECHNOLOGIES OTHER</t>
  </si>
  <si>
    <t>1101</t>
  </si>
  <si>
    <t>FOREIGN LANGUAGES, GENERAL (INC. MULTI-LANG. CONCENTRATION)</t>
  </si>
  <si>
    <t>5611</t>
  </si>
  <si>
    <t>FOREIGN LANGUAGES, PRE-BACCALAUREATE LIBERAL ARTS</t>
  </si>
  <si>
    <t>1505</t>
  </si>
  <si>
    <t>LINGUISTICS (INCLUDING PHONETICS, SEMANTICS, AND PHILOLOGY)</t>
  </si>
  <si>
    <t>1503</t>
  </si>
  <si>
    <t>COMPARATIVE LITERATURE</t>
  </si>
  <si>
    <t>1107</t>
  </si>
  <si>
    <t>CHINESE</t>
  </si>
  <si>
    <t>1108</t>
  </si>
  <si>
    <t>JAPANESE</t>
  </si>
  <si>
    <t>1115</t>
  </si>
  <si>
    <t>SLAVIC LANGUAGES (OTHER THAN RUSSIAN)</t>
  </si>
  <si>
    <t>1106</t>
  </si>
  <si>
    <t>RUSSIAN</t>
  </si>
  <si>
    <t>1103</t>
  </si>
  <si>
    <t>GERMAN</t>
  </si>
  <si>
    <t>1114</t>
  </si>
  <si>
    <t>SCANDINAVIAN LANGUAGES</t>
  </si>
  <si>
    <t>1113</t>
  </si>
  <si>
    <t>INDIAN (ASIATIC)</t>
  </si>
  <si>
    <t>1102</t>
  </si>
  <si>
    <t>FRENCH</t>
  </si>
  <si>
    <t>1104</t>
  </si>
  <si>
    <t>ITALIAN</t>
  </si>
  <si>
    <t>1105</t>
  </si>
  <si>
    <t>SPANISH</t>
  </si>
  <si>
    <t>1112</t>
  </si>
  <si>
    <t>ARABIC</t>
  </si>
  <si>
    <t>1111</t>
  </si>
  <si>
    <t>HEBREW AND SEMITIC</t>
  </si>
  <si>
    <t>2303</t>
  </si>
  <si>
    <t>BIBLICAL LANGUAGES</t>
  </si>
  <si>
    <t>1504</t>
  </si>
  <si>
    <t>CLASSICS</t>
  </si>
  <si>
    <t>1110</t>
  </si>
  <si>
    <t>GREEK, CLASSICAL</t>
  </si>
  <si>
    <t>1109</t>
  </si>
  <si>
    <t>LATIN</t>
  </si>
  <si>
    <t>1116</t>
  </si>
  <si>
    <t>AFRICAN LANGUAGES (NON-SEMITIC)</t>
  </si>
  <si>
    <t>1199</t>
  </si>
  <si>
    <t>FOREIGN LANGUAGES OTHER</t>
  </si>
  <si>
    <t>1301</t>
  </si>
  <si>
    <t>HOME ECONOMICS, GENERAL</t>
  </si>
  <si>
    <t>5613</t>
  </si>
  <si>
    <t>HOME ECONOMICS, PRE-BACCALAUREATE LIBERAL ARTS</t>
  </si>
  <si>
    <t>1304</t>
  </si>
  <si>
    <t>CONSUMER ECONOMICS AND HOME MANAGEMENT</t>
  </si>
  <si>
    <t>1306</t>
  </si>
  <si>
    <t>FOODS AND NUTRITION (INCLUDING DIETETICS)</t>
  </si>
  <si>
    <t>1307</t>
  </si>
  <si>
    <t>INSTITUTIONAL MANAGEMENT &amp; CAFETERIA MANAGEMENT</t>
  </si>
  <si>
    <t>1302</t>
  </si>
  <si>
    <t>HOME DECORATION AND HOME EQUIPMENT</t>
  </si>
  <si>
    <t>1305</t>
  </si>
  <si>
    <t>FAMILY RELATIONS AND CHILD DEVELOPMENT</t>
  </si>
  <si>
    <t>1303</t>
  </si>
  <si>
    <t>CLOTHING AND TEXTILES</t>
  </si>
  <si>
    <t>1401</t>
  </si>
  <si>
    <t>LAW</t>
  </si>
  <si>
    <t>1499</t>
  </si>
  <si>
    <t>LAW OTHER</t>
  </si>
  <si>
    <t>1501</t>
  </si>
  <si>
    <t>ENGLISH, GENERAL</t>
  </si>
  <si>
    <t>5615</t>
  </si>
  <si>
    <t>LETTERS, PRE-BACCALAUREATE LIBERAL ARTS</t>
  </si>
  <si>
    <t>1507</t>
  </si>
  <si>
    <t>CREATIVE WRITING</t>
  </si>
  <si>
    <t>1502</t>
  </si>
  <si>
    <t>ENGLISH LITERATURE</t>
  </si>
  <si>
    <t>1506</t>
  </si>
  <si>
    <t>SPEECH, DEBATE &amp; FORENSIC SCIENCE (RHETORIC &amp;PUBLIC ADDRESS)</t>
  </si>
  <si>
    <t>1599</t>
  </si>
  <si>
    <t>LETTERS OTHER</t>
  </si>
  <si>
    <t>4901</t>
  </si>
  <si>
    <t>LIBERAL ARTS AND SCIENCES</t>
  </si>
  <si>
    <t>5649</t>
  </si>
  <si>
    <t>LIBERAL ARTS, GENERAL - PRE-BACCALAUREATE LIBERAL ARTS</t>
  </si>
  <si>
    <t>4903</t>
  </si>
  <si>
    <t>HUMANITIES AND SOCIAL SCIENCES</t>
  </si>
  <si>
    <t>5699</t>
  </si>
  <si>
    <t>LIBERAL ARTS, OTHER - PRE-BACCALAUREATE LIBERAL ARTS</t>
  </si>
  <si>
    <t>1601</t>
  </si>
  <si>
    <t>LIBRARY SCIENCE, GENERAL</t>
  </si>
  <si>
    <t>5504</t>
  </si>
  <si>
    <t>LIBRARY ASSISTANT TECHNOLOGIES</t>
  </si>
  <si>
    <t>1699</t>
  </si>
  <si>
    <t>LIBRARY SCIENCE OTHER</t>
  </si>
  <si>
    <t>0401</t>
  </si>
  <si>
    <t>BIOLOGY, GENERAL</t>
  </si>
  <si>
    <t>5604</t>
  </si>
  <si>
    <t>BIOLOGICAL SCIENCES, PRE-BACCALAUREATE LIBERAL ARTS</t>
  </si>
  <si>
    <t>0414</t>
  </si>
  <si>
    <t>BIOCHEMISTRY</t>
  </si>
  <si>
    <t>0415</t>
  </si>
  <si>
    <t>BIOPHYSICS</t>
  </si>
  <si>
    <t>0416</t>
  </si>
  <si>
    <t>MOLECULAR BIOLOGY</t>
  </si>
  <si>
    <t>0423</t>
  </si>
  <si>
    <t>RADIOBIOLOGY</t>
  </si>
  <si>
    <t>0402</t>
  </si>
  <si>
    <t>BOTANY, GENERAL</t>
  </si>
  <si>
    <t>0404</t>
  </si>
  <si>
    <t>PLANT PATHOLOGY</t>
  </si>
  <si>
    <t>0406</t>
  </si>
  <si>
    <t>PLANT PHYSIOLOGY</t>
  </si>
  <si>
    <t>0405</t>
  </si>
  <si>
    <t>PLANT PHARMACOLOGY</t>
  </si>
  <si>
    <t>0417</t>
  </si>
  <si>
    <t>CELL BIOLOGY (CYTOLOGY, CELL PHYSIOLOGY)</t>
  </si>
  <si>
    <t>0412</t>
  </si>
  <si>
    <t>ANATOMY</t>
  </si>
  <si>
    <t>0403</t>
  </si>
  <si>
    <t>BACTERIOLOGY</t>
  </si>
  <si>
    <t>0411</t>
  </si>
  <si>
    <t>MICROBIOLOGY</t>
  </si>
  <si>
    <t>0407</t>
  </si>
  <si>
    <t>ZOOLOGY, GENERAL</t>
  </si>
  <si>
    <t>0421</t>
  </si>
  <si>
    <t>ENTOMOLOGY</t>
  </si>
  <si>
    <t>0410</t>
  </si>
  <si>
    <t>PHYSIOLOGY, HUMAN AND ANIMAL</t>
  </si>
  <si>
    <t>0422</t>
  </si>
  <si>
    <t>GENETICS</t>
  </si>
  <si>
    <t>0408</t>
  </si>
  <si>
    <t>PATHOLOGY, HUMAN AND ANIMAL</t>
  </si>
  <si>
    <t>0409</t>
  </si>
  <si>
    <t>PHARMACOLOGY, HUMAN AND ANIMAL</t>
  </si>
  <si>
    <t>0426</t>
  </si>
  <si>
    <t>TOXICOLOGY</t>
  </si>
  <si>
    <t>0419</t>
  </si>
  <si>
    <t>BIOMETRICS AND BIOSTATISTICS</t>
  </si>
  <si>
    <t>0420</t>
  </si>
  <si>
    <t>ECOLOGY</t>
  </si>
  <si>
    <t>0418</t>
  </si>
  <si>
    <t>MARINE BIOLOGY</t>
  </si>
  <si>
    <t>0499</t>
  </si>
  <si>
    <t>BIOLOGICAL SCIENCES OTHER</t>
  </si>
  <si>
    <t>1701</t>
  </si>
  <si>
    <t>MATHEMATICS, GENERAL</t>
  </si>
  <si>
    <t>5617</t>
  </si>
  <si>
    <t>MATHEMATICS, PRE-BACCALAUREATE LIBERAL ARTS</t>
  </si>
  <si>
    <t>1703</t>
  </si>
  <si>
    <t>APPLIED MATHEMATICS</t>
  </si>
  <si>
    <t>1702</t>
  </si>
  <si>
    <t>STATISTICS, MATHEMATICS AND THEORETICAL</t>
  </si>
  <si>
    <t>1799</t>
  </si>
  <si>
    <t>MATHEMATICS OTHER</t>
  </si>
  <si>
    <t>4902</t>
  </si>
  <si>
    <t>BIOLOGICAL AND PHYSICAL SCIENCES</t>
  </si>
  <si>
    <t>0424</t>
  </si>
  <si>
    <t>NUTRITION, SCIENTIFIC (EXC NUTRITION IN HOME EC &amp; DIETETICS)</t>
  </si>
  <si>
    <t>0425</t>
  </si>
  <si>
    <t>NEUROSCIENCES</t>
  </si>
  <si>
    <t>4904</t>
  </si>
  <si>
    <t>ENGINEERING AND OTHER DISCIPLINES</t>
  </si>
  <si>
    <t>4999</t>
  </si>
  <si>
    <t>INTERDISCIPLINARY STUDIES OTHER</t>
  </si>
  <si>
    <t>2103</t>
  </si>
  <si>
    <t>PARKS AND RECREATION MANAGEMENT</t>
  </si>
  <si>
    <t>1509</t>
  </si>
  <si>
    <t>PHILOSOPHY</t>
  </si>
  <si>
    <t>1510</t>
  </si>
  <si>
    <t>RELIGIOUS STUDIES (EXCLUDING THEOLOGICAL PROFESSIONS)</t>
  </si>
  <si>
    <t>5623</t>
  </si>
  <si>
    <t>THEOLOGY, PRE-BACCALAUREATE LIBERAL ARTS</t>
  </si>
  <si>
    <t>0306</t>
  </si>
  <si>
    <t>ISLAMIC STUDIES</t>
  </si>
  <si>
    <t>2304</t>
  </si>
  <si>
    <t>RELIGIOUS EDUCATION</t>
  </si>
  <si>
    <t>2302</t>
  </si>
  <si>
    <t>RELIGIOUS MUSIC</t>
  </si>
  <si>
    <t>2301</t>
  </si>
  <si>
    <t>THEOLOGICAL PROFESSIONS, GENERAL</t>
  </si>
  <si>
    <t>2399</t>
  </si>
  <si>
    <t>THEOLOGY OTHER</t>
  </si>
  <si>
    <t>5502</t>
  </si>
  <si>
    <t>BIBLE STUDY OR RELIGION RELATED OCCUPATIONS</t>
  </si>
  <si>
    <t>1901</t>
  </si>
  <si>
    <t>PHYSICAL SCIENCES, GENERAL</t>
  </si>
  <si>
    <t>5619</t>
  </si>
  <si>
    <t>PHYSICAL SCIENCES, PRE-BACCALAUREATE LIBERAL ARTS</t>
  </si>
  <si>
    <t>1911</t>
  </si>
  <si>
    <t>ASTRONOMY</t>
  </si>
  <si>
    <t>1912</t>
  </si>
  <si>
    <t>ASTROPHYSICS</t>
  </si>
  <si>
    <t>1913</t>
  </si>
  <si>
    <t>ATMOSPHERIC SCIENCES AND METEOROLOGY</t>
  </si>
  <si>
    <t>1905</t>
  </si>
  <si>
    <t>CHEMISTRY, GENERAL</t>
  </si>
  <si>
    <t>1909</t>
  </si>
  <si>
    <t>ANALYTICAL CHEMISTRY</t>
  </si>
  <si>
    <t>1906</t>
  </si>
  <si>
    <t>INORGANIC CHEMISTRY</t>
  </si>
  <si>
    <t>1907</t>
  </si>
  <si>
    <t>ORGANIC CHEMISTRY</t>
  </si>
  <si>
    <t>1908</t>
  </si>
  <si>
    <t>PHYSICAL CHEMISTRY</t>
  </si>
  <si>
    <t>1914</t>
  </si>
  <si>
    <t>GEOLOGY</t>
  </si>
  <si>
    <t>1917</t>
  </si>
  <si>
    <t>EARTH SCIENCES, GENERAL</t>
  </si>
  <si>
    <t>1915</t>
  </si>
  <si>
    <t>GEOCHEMISTRY</t>
  </si>
  <si>
    <t>1916</t>
  </si>
  <si>
    <t>GEOPHYSICS AND SEISMOLOGY</t>
  </si>
  <si>
    <t>1918</t>
  </si>
  <si>
    <t>PALEONTOLOGY</t>
  </si>
  <si>
    <t>1919</t>
  </si>
  <si>
    <t>OCEANOGRAPHY</t>
  </si>
  <si>
    <t>5406</t>
  </si>
  <si>
    <t>MARINE AND OCEANOGRAPHIC TECHNOLOGIES</t>
  </si>
  <si>
    <t>1902</t>
  </si>
  <si>
    <t>PHYSICS, GENERAL (EXCLUDING BIOPHYSICS)</t>
  </si>
  <si>
    <t>1903</t>
  </si>
  <si>
    <t>MOLECULAR PHYSICS</t>
  </si>
  <si>
    <t>1904</t>
  </si>
  <si>
    <t>NUCLEAR PHYSICS</t>
  </si>
  <si>
    <t>1920</t>
  </si>
  <si>
    <t>METALLURGY</t>
  </si>
  <si>
    <t>5316</t>
  </si>
  <si>
    <t>NUCLEAR TECHNOLOGIES</t>
  </si>
  <si>
    <t>5305</t>
  </si>
  <si>
    <t>CHEMICAL TECHNOLOGIES (INCLUDING PLASTICS)</t>
  </si>
  <si>
    <t>5499</t>
  </si>
  <si>
    <t>NATURAL SCIENCE TECHNOLOGIES OTHER</t>
  </si>
  <si>
    <t>5401</t>
  </si>
  <si>
    <t>NATURAL SCIENCE TECHNOLOGIES, GENERAL</t>
  </si>
  <si>
    <t>5407</t>
  </si>
  <si>
    <t>LABORATORY TECHNOLOGIES, GENERAL</t>
  </si>
  <si>
    <t>2001</t>
  </si>
  <si>
    <t>PSYCHOLOGY, GENERAL</t>
  </si>
  <si>
    <t>5620</t>
  </si>
  <si>
    <t>PSYCHOLOGY, PRE-BACCALAUREATE LIBERAL ARTS</t>
  </si>
  <si>
    <t>2003</t>
  </si>
  <si>
    <t>CLINICAL PSYCHOLOGY</t>
  </si>
  <si>
    <t>2004</t>
  </si>
  <si>
    <t>PSYCHOLOGY FOR COUNSELING</t>
  </si>
  <si>
    <t>2009</t>
  </si>
  <si>
    <t>DEVELOPMENTAL PSYCHOLOGY</t>
  </si>
  <si>
    <t>2002</t>
  </si>
  <si>
    <t>EXPERIMENTAL PSYCHOLOGY (ANIMAL AND HUMAN)</t>
  </si>
  <si>
    <t>2008</t>
  </si>
  <si>
    <t>INDUSTRIAL PSYCHOLOGY</t>
  </si>
  <si>
    <t>2010</t>
  </si>
  <si>
    <t>PHYSIOLOGICAL PSYCHOLOGY</t>
  </si>
  <si>
    <t>2005</t>
  </si>
  <si>
    <t>SOCIAL PSYCHOLOGY</t>
  </si>
  <si>
    <t>0822</t>
  </si>
  <si>
    <t>EDUCATIONAL PSYCHOLOGY (INCLUDING LEARNING THEORY)</t>
  </si>
  <si>
    <t>2006</t>
  </si>
  <si>
    <t>PSYCHOMETRICS</t>
  </si>
  <si>
    <t>2007</t>
  </si>
  <si>
    <t>STATISTICS IN PSYCHOLOGY</t>
  </si>
  <si>
    <t>2099</t>
  </si>
  <si>
    <t>PSYCHOLOGY OTHER</t>
  </si>
  <si>
    <t>2105</t>
  </si>
  <si>
    <t>POLICE LAW ENFORCEMENT AND CORRECTIONS</t>
  </si>
  <si>
    <t>5505</t>
  </si>
  <si>
    <t>POLICE, LAW ENFORCEMENT, CORRECTIONS TECHNOLOGIES</t>
  </si>
  <si>
    <t>5507</t>
  </si>
  <si>
    <t>FIRE CONTROL TECHNOLOGY</t>
  </si>
  <si>
    <t>2101</t>
  </si>
  <si>
    <t>COMMUNITY SERVICES, GENERAL</t>
  </si>
  <si>
    <t>5506</t>
  </si>
  <si>
    <t>COMMUNITY AND HUMAN SERVICE RELATED TECHNOLOGIES</t>
  </si>
  <si>
    <t>2102</t>
  </si>
  <si>
    <t>PUBLIC ADMINISTRATION</t>
  </si>
  <si>
    <t>2104</t>
  </si>
  <si>
    <t>SOCIAL WORK AND HELPING SERVICES</t>
  </si>
  <si>
    <t>5599</t>
  </si>
  <si>
    <t>PUBLIC SERVICE RELATED TECHNOLOGIES OTHER</t>
  </si>
  <si>
    <t>2199</t>
  </si>
  <si>
    <t>PUBLIC AFFAIRS AND SERVICES OTHER</t>
  </si>
  <si>
    <t>5501</t>
  </si>
  <si>
    <t>PUBLIC SERVICE TECHNOLOGIES, GENERAL</t>
  </si>
  <si>
    <t>5508</t>
  </si>
  <si>
    <t>PUBLIC ADMINISTRATION AND MANAGEMENT TECHNOLOGIES</t>
  </si>
  <si>
    <t>2201</t>
  </si>
  <si>
    <t>SOCIAL SCIENCES, GENERAL</t>
  </si>
  <si>
    <t>5622</t>
  </si>
  <si>
    <t>SOCIAL SCIENCES, PRE-BACCALAUREATE LIBERAL ARTS</t>
  </si>
  <si>
    <t>2202</t>
  </si>
  <si>
    <t>ANTHROPOLOGY</t>
  </si>
  <si>
    <t>2203</t>
  </si>
  <si>
    <t>ARCHAEOLOGY</t>
  </si>
  <si>
    <t>2209</t>
  </si>
  <si>
    <t>CRIMINOLOGY</t>
  </si>
  <si>
    <t>2215</t>
  </si>
  <si>
    <t>DEMOGRAPHY</t>
  </si>
  <si>
    <t>2204</t>
  </si>
  <si>
    <t>ECONOMICS</t>
  </si>
  <si>
    <t>2206</t>
  </si>
  <si>
    <t>GEOGRAPHY</t>
  </si>
  <si>
    <t>2106</t>
  </si>
  <si>
    <t>INTERNATIONAL PUBLIC SERVICE (OTHER THAN DIPLOMATIC SERVICE)</t>
  </si>
  <si>
    <t>2210</t>
  </si>
  <si>
    <t>INTERNATIONAL RELATIONS</t>
  </si>
  <si>
    <t>2207</t>
  </si>
  <si>
    <t>POLITICAL SCIENCE AND GOVERNMENT</t>
  </si>
  <si>
    <t>2208</t>
  </si>
  <si>
    <t>SOCIOLOGY</t>
  </si>
  <si>
    <t>2214</t>
  </si>
  <si>
    <t>URBAN STUDIES</t>
  </si>
  <si>
    <t>2299</t>
  </si>
  <si>
    <t>SOCIAL SCIENCES OTHER</t>
  </si>
  <si>
    <t>5105</t>
  </si>
  <si>
    <t>DATA PROCESSING EQUIPMENT MAINTENANCE TECHNOLOGIES</t>
  </si>
  <si>
    <t>5306</t>
  </si>
  <si>
    <t>AUTOMOTIVE TECHNOLOGIES</t>
  </si>
  <si>
    <t>5307</t>
  </si>
  <si>
    <t>DIESEL TECHNOLOGIES</t>
  </si>
  <si>
    <t>5302</t>
  </si>
  <si>
    <t>AERONAUTICAL AND AVIATION TECHNOLOGIES</t>
  </si>
  <si>
    <t>5308</t>
  </si>
  <si>
    <t>WELDING TECHNOLOGIES</t>
  </si>
  <si>
    <t>5011</t>
  </si>
  <si>
    <t>TRANSPORTATION AND PUBLIC UTILITY TECHNOLOGIES</t>
  </si>
  <si>
    <t>0510</t>
  </si>
  <si>
    <t>TRANSPORTATION AND PUBLIC UTILITIES</t>
  </si>
  <si>
    <t>5610</t>
  </si>
  <si>
    <t>FINE ARTS, PRE-BACCALAUREATE LIBERAL ARTS</t>
  </si>
  <si>
    <t>1008</t>
  </si>
  <si>
    <t>DANCE</t>
  </si>
  <si>
    <t>1009</t>
  </si>
  <si>
    <t>APPLIED DESIGN (CRAFTS,COMMER ART,INTERIOR &amp; FASHION DESIGN)</t>
  </si>
  <si>
    <t>5012</t>
  </si>
  <si>
    <t>APPLIED AND GRAPHIC ARTS TECH. (INC. ADVERTISING DESIGN)</t>
  </si>
  <si>
    <t>1007</t>
  </si>
  <si>
    <t>DRAMATIC ARTS</t>
  </si>
  <si>
    <t>1010</t>
  </si>
  <si>
    <t>CINEMATOGRAPHY</t>
  </si>
  <si>
    <t>1011</t>
  </si>
  <si>
    <t>PHOTOGRAPHY</t>
  </si>
  <si>
    <t>1001</t>
  </si>
  <si>
    <t>FINE ARTS, GENERAL</t>
  </si>
  <si>
    <t>1003</t>
  </si>
  <si>
    <t>ART HISTORY AND APPRECIATION</t>
  </si>
  <si>
    <t>1002</t>
  </si>
  <si>
    <t>ART (PAINTING, DRAWING, SCULPTURE)</t>
  </si>
  <si>
    <t>1005</t>
  </si>
  <si>
    <t>MUSIC (LIBERAL ARTS PROGRAM)</t>
  </si>
  <si>
    <t>1006</t>
  </si>
  <si>
    <t>MUSIC HISTORY AND APPRECIATION (MUSICOLOGY)</t>
  </si>
  <si>
    <t>1004</t>
  </si>
  <si>
    <t>MUSIC PERFORMANCE</t>
  </si>
  <si>
    <t>1099</t>
  </si>
  <si>
    <t>FINE AND APPLIED ARTS OTHER</t>
  </si>
  <si>
    <t>1221</t>
  </si>
  <si>
    <t>CHIROPRACTIC</t>
  </si>
  <si>
    <t>1220</t>
  </si>
  <si>
    <t>SPEECH PATHOLOGY AND AUDIOLOGY</t>
  </si>
  <si>
    <t>1204</t>
  </si>
  <si>
    <t>DENTISTRY, D.D.S. DEGREE</t>
  </si>
  <si>
    <t>1205</t>
  </si>
  <si>
    <t>DENTAL SPECIALTIES (WORK BEYOND 1ST PROF. DEGREE, D.D.S.)</t>
  </si>
  <si>
    <t>5202</t>
  </si>
  <si>
    <t>DENTAL ASSISTANT TECHNOLOGIES</t>
  </si>
  <si>
    <t>1213</t>
  </si>
  <si>
    <t>DENTAL HYGIENE</t>
  </si>
  <si>
    <t>5203</t>
  </si>
  <si>
    <t>DENTAL HYGIENE TECHNOLOGIES</t>
  </si>
  <si>
    <t>1224</t>
  </si>
  <si>
    <t>DENTAL TECHNOLOGIES</t>
  </si>
  <si>
    <t>5204</t>
  </si>
  <si>
    <t>DENTAL LABORATORY TECHNOLOGIES</t>
  </si>
  <si>
    <t>1202</t>
  </si>
  <si>
    <t>HOSPITAL AND HEALTH CARE ADMINISTRATION</t>
  </si>
  <si>
    <t>5218</t>
  </si>
  <si>
    <t>INSTITUTIONAL MANAGEMENT TECHNOLOGIES (REST HOME, ETC.)</t>
  </si>
  <si>
    <t>1215</t>
  </si>
  <si>
    <t>MEDICAL RECORD LIBRARIANSHIP</t>
  </si>
  <si>
    <t>5213</t>
  </si>
  <si>
    <t>MEDICAL RECORD TECHNOLOGIES</t>
  </si>
  <si>
    <t>5214</t>
  </si>
  <si>
    <t>MEDICAL ASSISTANT AND MEDICAL OFFICE ASSISTANT TECHNOLOGIES</t>
  </si>
  <si>
    <t>5210</t>
  </si>
  <si>
    <t>OCCUPATIONAL THERAPY TECHNOLOGIES</t>
  </si>
  <si>
    <t>5219</t>
  </si>
  <si>
    <t>PHYSICAL THERAPY TECHNOLOGY</t>
  </si>
  <si>
    <t>5206</t>
  </si>
  <si>
    <t>ANIMAL LABORATORY ASSISTANT TECHNOLOGIES</t>
  </si>
  <si>
    <t>5217</t>
  </si>
  <si>
    <t>ELECTRO DIAGNOSTIC TECHNOLOGIES (INCL. E.K.G., E.E.G., ETC.)</t>
  </si>
  <si>
    <t>1225</t>
  </si>
  <si>
    <t>RADIOLOGIC TECHNOLOGIES</t>
  </si>
  <si>
    <t>5207</t>
  </si>
  <si>
    <t>RADIOLOGIC TECHNOLOGIES (X-RAY, ETC.)</t>
  </si>
  <si>
    <t>5215</t>
  </si>
  <si>
    <t>INHALATION THERAPY TECHNOLOGIES</t>
  </si>
  <si>
    <t>5211</t>
  </si>
  <si>
    <t>SURGICAL TECHNOLOGIES</t>
  </si>
  <si>
    <t>5205</t>
  </si>
  <si>
    <t>MEDICAL OR BIOLOGICAL LABORATORY ASSISTANT TECHNOLOGIES</t>
  </si>
  <si>
    <t>1223</t>
  </si>
  <si>
    <t>MEDICAL LABORATORY TECHNOLOGIES</t>
  </si>
  <si>
    <t>1206</t>
  </si>
  <si>
    <t>MEDICINE, M.D. DEGREE</t>
  </si>
  <si>
    <t>1207</t>
  </si>
  <si>
    <t>MEDICAL SPECIALTIES (WORK BEYOND 1ST PROF. DEGREE, M.D.)</t>
  </si>
  <si>
    <t>5216</t>
  </si>
  <si>
    <t>PSYCHIATRIC TECHNOLOGIES (INCL. MENTAL HEALTH AIDE PROGRAM)</t>
  </si>
  <si>
    <t>1203</t>
  </si>
  <si>
    <t>NURSING</t>
  </si>
  <si>
    <t>5208</t>
  </si>
  <si>
    <t>NURSING - RN (LESS THAN 4 YEAR PROGRAM)</t>
  </si>
  <si>
    <t>5209</t>
  </si>
  <si>
    <t>NURSING - PRACTICAL (L.P.N. - LESS THAN FOUR YEAR PROGRAM)</t>
  </si>
  <si>
    <t>1209</t>
  </si>
  <si>
    <t>OPTOMETRY</t>
  </si>
  <si>
    <t>5212</t>
  </si>
  <si>
    <t>OPTICAL TECHNOLOGIES</t>
  </si>
  <si>
    <t>1210</t>
  </si>
  <si>
    <t>OSTEOPATHIC MEDICINE, D.O. DEGREE</t>
  </si>
  <si>
    <t>1211</t>
  </si>
  <si>
    <t>PHARMACY</t>
  </si>
  <si>
    <t>1910</t>
  </si>
  <si>
    <t>PHARMACEUTICAL CHEMISTRY</t>
  </si>
  <si>
    <t>1216</t>
  </si>
  <si>
    <t>PODIATRY</t>
  </si>
  <si>
    <t>1214</t>
  </si>
  <si>
    <t>PUBLIC HEALTH</t>
  </si>
  <si>
    <t>1208</t>
  </si>
  <si>
    <t>OCCUPATIONAL THERAPY</t>
  </si>
  <si>
    <t>1212</t>
  </si>
  <si>
    <t>PHYSICAL THERAPY</t>
  </si>
  <si>
    <t>1218</t>
  </si>
  <si>
    <t>VETERINARY MEDICINE D.V.M. DEGREE</t>
  </si>
  <si>
    <t>1219</t>
  </si>
  <si>
    <t>VETERINARY MEDICINE SPECIALTIES (WORK BEYOND D.V.M.)</t>
  </si>
  <si>
    <t>1217</t>
  </si>
  <si>
    <t>BIOMEDICAL COMMUNICATION</t>
  </si>
  <si>
    <t>5299</t>
  </si>
  <si>
    <t>HEALTH SERVICES AND PARAMEDICAL TECHNOLOGIES OTHER</t>
  </si>
  <si>
    <t>1201</t>
  </si>
  <si>
    <t>HEALTH PROFESSIONS, GENERAL</t>
  </si>
  <si>
    <t>1299</t>
  </si>
  <si>
    <t>HEALTH PROFESSIONS OTHER</t>
  </si>
  <si>
    <t>5201</t>
  </si>
  <si>
    <t>HEALTH SERVICES ASSISTANT TECHNOLOGIES, GENERAL</t>
  </si>
  <si>
    <t>5001</t>
  </si>
  <si>
    <t>BUSINESS AND COMMERCE TECHNOLOGIES, GENERAL</t>
  </si>
  <si>
    <t>0501</t>
  </si>
  <si>
    <t>BUSINESS AND COMMERCE, GENERAL</t>
  </si>
  <si>
    <t>5004</t>
  </si>
  <si>
    <t>MARKETING, DISTRIBUTION, PURCHASING, BUS. &amp; IND. MANGMT TECH</t>
  </si>
  <si>
    <t>0506</t>
  </si>
  <si>
    <t>BUSINESS MANAGAMENT AND ADMINISTRATION</t>
  </si>
  <si>
    <t>0502</t>
  </si>
  <si>
    <t>ACCOUNTING</t>
  </si>
  <si>
    <t>5002</t>
  </si>
  <si>
    <t>ACCOUNTING TECHNOLOGIES</t>
  </si>
  <si>
    <t>5005</t>
  </si>
  <si>
    <t>SECRETARIAL TECHNOLOGIES (INCLUDING OFFICE MACHINE TRAINING)</t>
  </si>
  <si>
    <t>0514</t>
  </si>
  <si>
    <t>SECRETARIAL STUDIES</t>
  </si>
  <si>
    <t>5102</t>
  </si>
  <si>
    <t>KEYPUNCH OPERATOR AND OTHER INPUT PREPARATION TECHNOLOGIES</t>
  </si>
  <si>
    <t>0517</t>
  </si>
  <si>
    <t>BUSINESS ECONOMICS</t>
  </si>
  <si>
    <t>0504</t>
  </si>
  <si>
    <t>BANKING AND FINANCE</t>
  </si>
  <si>
    <t>5003</t>
  </si>
  <si>
    <t>BANKING AND FINANCE TECHNOLOGIES</t>
  </si>
  <si>
    <t>0505</t>
  </si>
  <si>
    <t>INVESTMENTS AND SECURITIES</t>
  </si>
  <si>
    <t>5010</t>
  </si>
  <si>
    <t>HOTEL AND RESTAURANT MANAGEMENT TECHNOLOGIES</t>
  </si>
  <si>
    <t>0508</t>
  </si>
  <si>
    <t>HOTEL AND RESTAURANT MANAGEMENT</t>
  </si>
  <si>
    <t>0515</t>
  </si>
  <si>
    <t>PERSONNEL MANAGEMENT</t>
  </si>
  <si>
    <t>0516</t>
  </si>
  <si>
    <t>LABOR AND INDUSTRIAL RELATIONS</t>
  </si>
  <si>
    <t>0513</t>
  </si>
  <si>
    <t>INTERNATIONAL BUSINESS</t>
  </si>
  <si>
    <t>0503</t>
  </si>
  <si>
    <t>BUSINESS STATISTICS</t>
  </si>
  <si>
    <t>0511</t>
  </si>
  <si>
    <t>REAL ESTATE</t>
  </si>
  <si>
    <t>0512</t>
  </si>
  <si>
    <t>INSURANCE</t>
  </si>
  <si>
    <t>0509</t>
  </si>
  <si>
    <t>MARKETING AND PURCHASING</t>
  </si>
  <si>
    <t>5099</t>
  </si>
  <si>
    <t>BUSINESS AND COMMERCE TECHNOLOGIES OTHER</t>
  </si>
  <si>
    <t>0599</t>
  </si>
  <si>
    <t>BUSINESS AND MANAGEMENT OTHER</t>
  </si>
  <si>
    <t>2205</t>
  </si>
  <si>
    <t>HISTORY</t>
  </si>
  <si>
    <t>CIP85TITLE</t>
  </si>
  <si>
    <t>1399</t>
  </si>
  <si>
    <t>HOME ECONOMICS OTHER</t>
  </si>
  <si>
    <t>0413</t>
  </si>
  <si>
    <t>HISTOLOGY</t>
  </si>
  <si>
    <t>0427</t>
  </si>
  <si>
    <t>EMBRYOLOGY</t>
  </si>
  <si>
    <t>CIP90TITLE</t>
  </si>
  <si>
    <t>5405</t>
  </si>
  <si>
    <t>HOME ECONOMICS TECHNOLOGIES</t>
  </si>
  <si>
    <t>CENSUS2K_Code</t>
  </si>
  <si>
    <t>CENSUS2K_Occupation_Title</t>
  </si>
  <si>
    <t>BLS_Code</t>
  </si>
  <si>
    <t>BLS_Occupation_Title</t>
  </si>
  <si>
    <t>OMBSOC_Code</t>
  </si>
  <si>
    <t>OMBSOC_Occupation_Title</t>
  </si>
  <si>
    <t>ONET_Code</t>
  </si>
  <si>
    <t>ONET_Occupation_Title</t>
  </si>
  <si>
    <t>CIP_Code</t>
  </si>
  <si>
    <t>CIP_Occupation_Title</t>
  </si>
  <si>
    <t>NSSBIC_Code</t>
  </si>
  <si>
    <t>NSSBIC_Occupation_Title</t>
  </si>
  <si>
    <t>DOECC_Code</t>
  </si>
  <si>
    <t>DOECC_Occupation_Title</t>
  </si>
  <si>
    <t>Chief Executives</t>
  </si>
  <si>
    <t>11-1011</t>
  </si>
  <si>
    <t>11-1011.00</t>
  </si>
  <si>
    <t>Business &amp; Administrative Services</t>
  </si>
  <si>
    <t>Business &amp; Administration</t>
  </si>
  <si>
    <t>Business Administration/Management</t>
  </si>
  <si>
    <t>Transportation/Transportation Management  (New)</t>
  </si>
  <si>
    <t>11-1011.01</t>
  </si>
  <si>
    <t>Government Service Executives</t>
  </si>
  <si>
    <t>Public Administration &amp; Legal Services</t>
  </si>
  <si>
    <t>Government &amp; Public Administration</t>
  </si>
  <si>
    <t>11-1011.02</t>
  </si>
  <si>
    <t>Private Sector Executives</t>
  </si>
  <si>
    <t>Financial Managers</t>
  </si>
  <si>
    <t>11-3031</t>
  </si>
  <si>
    <t>11-3031.00</t>
  </si>
  <si>
    <t>Finance &amp; Insurance</t>
  </si>
  <si>
    <t>Finance</t>
  </si>
  <si>
    <t>Credit Management   (New)</t>
  </si>
  <si>
    <t>General &amp; Operations Managers</t>
  </si>
  <si>
    <t>11-1021</t>
  </si>
  <si>
    <t>11-1021.00</t>
  </si>
  <si>
    <t>Legislators</t>
  </si>
  <si>
    <t>11-1031</t>
  </si>
  <si>
    <t>11-1031.00</t>
  </si>
  <si>
    <t>Advertising &amp; Promotions Managers</t>
  </si>
  <si>
    <t>11-2011</t>
  </si>
  <si>
    <t>11-2011.00</t>
  </si>
  <si>
    <t>Public Relations/Image Management</t>
  </si>
  <si>
    <t>Communications, Entertainment, &amp; Information</t>
  </si>
  <si>
    <t>Retail &amp; Wholesale Sales &amp; Service</t>
  </si>
  <si>
    <t>Advertising  (New)</t>
  </si>
  <si>
    <t>Marketing &amp; Sales Managers</t>
  </si>
  <si>
    <t>11-2021</t>
  </si>
  <si>
    <t>Marketing Managers</t>
  </si>
  <si>
    <t>11-2021.00</t>
  </si>
  <si>
    <t>Consumer Merchandising/Retailing Management  (New)</t>
  </si>
  <si>
    <t>Retail &amp; Wholesale Trade, Real Estate &amp; Personal Services</t>
  </si>
  <si>
    <t>Apparel &amp; Textile Marketing Management  (New)</t>
  </si>
  <si>
    <t>Financial Analysts</t>
  </si>
  <si>
    <t>13-2051</t>
  </si>
  <si>
    <t>13-2051.00</t>
  </si>
  <si>
    <t>Accounting &amp; Business/Management   (New)</t>
  </si>
  <si>
    <t>Clergy</t>
  </si>
  <si>
    <t>21-2011</t>
  </si>
  <si>
    <t>21-2011.00</t>
  </si>
  <si>
    <t>Not assigned</t>
  </si>
  <si>
    <t>Human Service</t>
  </si>
  <si>
    <t>Clinical Pastoral Counseling/Patient Counseling   (New)</t>
  </si>
  <si>
    <t>11-2022</t>
  </si>
  <si>
    <t>Sales Managers</t>
  </si>
  <si>
    <t>11-2022.00</t>
  </si>
  <si>
    <t>Public Relations Managers</t>
  </si>
  <si>
    <t>11-2031</t>
  </si>
  <si>
    <t>11-2031.00</t>
  </si>
  <si>
    <t>Administrative Services Managers</t>
  </si>
  <si>
    <t>11-3011</t>
  </si>
  <si>
    <t>11-3011.00</t>
  </si>
  <si>
    <t>Medical/Health Management &amp; Clinical Assistant/Specialist   (New)</t>
  </si>
  <si>
    <t>Medical Staff Services Technology/Technician  (New)</t>
  </si>
  <si>
    <t>Physicians &amp; Surgeons</t>
  </si>
  <si>
    <t>29-1067</t>
  </si>
  <si>
    <t>Surgeons</t>
  </si>
  <si>
    <t>29-1067.00</t>
  </si>
  <si>
    <t>Health &amp; Human Services</t>
  </si>
  <si>
    <t>Health Science</t>
  </si>
  <si>
    <t>Veterinarians</t>
  </si>
  <si>
    <t>29-1131</t>
  </si>
  <si>
    <t>29-1131.00</t>
  </si>
  <si>
    <t>Agriculture, Forestry, &amp; Fishing</t>
  </si>
  <si>
    <t>Purchasing, Procurement/Acquisitions &amp; Contracts Management</t>
  </si>
  <si>
    <t>Computer &amp; Information Systems Managers</t>
  </si>
  <si>
    <t>11-3021</t>
  </si>
  <si>
    <t>11-3021.00</t>
  </si>
  <si>
    <t>Scientific &amp; Technical Services</t>
  </si>
  <si>
    <t>Information Technology</t>
  </si>
  <si>
    <t>System Administration/Administrator  (New)</t>
  </si>
  <si>
    <t>Information Resources Management/CIO Training   (New)</t>
  </si>
  <si>
    <t>Knowledge Management   (New)</t>
  </si>
  <si>
    <t>Finance &amp; Financial Management Services, Other</t>
  </si>
  <si>
    <t>11-3031.01</t>
  </si>
  <si>
    <t>Treasurers, Controllers, &amp; Chief Financial Officers</t>
  </si>
  <si>
    <t>Accounting &amp; Finance   (New)</t>
  </si>
  <si>
    <t>11-3031.02</t>
  </si>
  <si>
    <t>Financial Managers, Branch or Department</t>
  </si>
  <si>
    <t>Human Resources Managers</t>
  </si>
  <si>
    <t>11-3040</t>
  </si>
  <si>
    <t>11-3040.00</t>
  </si>
  <si>
    <t>This is a broad SOC occupation. For related CIP programs, see detailed O*NET occupations listed below.</t>
  </si>
  <si>
    <t>47-2031</t>
  </si>
  <si>
    <t>47-2031.05</t>
  </si>
  <si>
    <t>Boat Builders &amp; Shipwrights</t>
  </si>
  <si>
    <t>Construction</t>
  </si>
  <si>
    <t>Architecture &amp; Construction</t>
  </si>
  <si>
    <t>11-3041</t>
  </si>
  <si>
    <t>Compensation &amp; Benefits Managers</t>
  </si>
  <si>
    <t>11-3041.00</t>
  </si>
  <si>
    <t>Labor &amp; Industrial Relations</t>
  </si>
  <si>
    <t>11-3042</t>
  </si>
  <si>
    <t>Training &amp; Development Managers</t>
  </si>
  <si>
    <t>11-3042.00</t>
  </si>
  <si>
    <t>Human Resources Development   (New)</t>
  </si>
  <si>
    <t>11-3049</t>
  </si>
  <si>
    <t>Human Resources Managers, All Other</t>
  </si>
  <si>
    <t>11-3049.00</t>
  </si>
  <si>
    <t>Labor Studies   (New)</t>
  </si>
  <si>
    <t>Industrial Production Managers</t>
  </si>
  <si>
    <t>11-3051</t>
  </si>
  <si>
    <t>11-3051.00</t>
  </si>
  <si>
    <t>Manufacturing, Installation &amp; Repair</t>
  </si>
  <si>
    <t>Manufacturing</t>
  </si>
  <si>
    <t>Purchasing Managers</t>
  </si>
  <si>
    <t>11-3061</t>
  </si>
  <si>
    <t>11-3061.00</t>
  </si>
  <si>
    <t>Transportation, Storage, &amp; Distribution Managers</t>
  </si>
  <si>
    <t>11-3071</t>
  </si>
  <si>
    <t>11-3071.00</t>
  </si>
  <si>
    <t>Transportation</t>
  </si>
  <si>
    <t>Transportation, Distribution, &amp; Logistics</t>
  </si>
  <si>
    <t>Aeronautics/Aviation/Aerospace Science &amp; Technology, General</t>
  </si>
  <si>
    <t>Aviation/Airway Management &amp; Operations</t>
  </si>
  <si>
    <t>11-3071.01</t>
  </si>
  <si>
    <t>Transportation Managers</t>
  </si>
  <si>
    <t>11-3071.02</t>
  </si>
  <si>
    <t>Storage &amp; Distribution Managers</t>
  </si>
  <si>
    <t>Farm, Ranch, &amp; Other Agricultural Managers</t>
  </si>
  <si>
    <t>11-9011</t>
  </si>
  <si>
    <t>11-9011.00</t>
  </si>
  <si>
    <t>Agriculture/Natural Resource</t>
  </si>
  <si>
    <t>Farm/Farm &amp; Ranch Management</t>
  </si>
  <si>
    <t>Animal/Livestock Husbandry &amp; Production</t>
  </si>
  <si>
    <t>Dairy Husbandry &amp; Production  (New)</t>
  </si>
  <si>
    <t>Horse Husbandry/Equine Science &amp; Management  (New)</t>
  </si>
  <si>
    <t>Plant Nursery Operations &amp; Management</t>
  </si>
  <si>
    <t>Livestock Management  (New)</t>
  </si>
  <si>
    <t>Poultry Science  (New)</t>
  </si>
  <si>
    <t>11-9011.01</t>
  </si>
  <si>
    <t>Nursery &amp; Greenhouse Managers</t>
  </si>
  <si>
    <t>11-9011.02</t>
  </si>
  <si>
    <t>Agricultural Crop Farm Managers</t>
  </si>
  <si>
    <t>11-9011.03</t>
  </si>
  <si>
    <t>Fish Hatchery Managers</t>
  </si>
  <si>
    <t>Farmers &amp; Ranchers</t>
  </si>
  <si>
    <t>11-9012</t>
  </si>
  <si>
    <t>11-9012.00</t>
  </si>
  <si>
    <t>Construction Managers</t>
  </si>
  <si>
    <t>11-9021</t>
  </si>
  <si>
    <t>11-9021.00</t>
  </si>
  <si>
    <t>Education Administrators</t>
  </si>
  <si>
    <t>11-9030</t>
  </si>
  <si>
    <t>11-9030.00</t>
  </si>
  <si>
    <t>This is a broad SOC occupation. For related CIP programs, see more detailed O*NET occupations listed below</t>
  </si>
  <si>
    <t>Education &amp; Training</t>
  </si>
  <si>
    <t>11-9031</t>
  </si>
  <si>
    <t>Education Administrators, Preschool &amp; Child Care Center/Program</t>
  </si>
  <si>
    <t>11-9031.00</t>
  </si>
  <si>
    <t>Educational Leadership &amp; Administration, General</t>
  </si>
  <si>
    <t>Educational, Instructional, &amp; Curriculum Supervision</t>
  </si>
  <si>
    <t>Elementary &amp; Middle School Administration/Principalship   (New)</t>
  </si>
  <si>
    <t>Educational Administration &amp; Supervision, Other</t>
  </si>
  <si>
    <t>11-9032</t>
  </si>
  <si>
    <t>Education Administrators, Elementary &amp; Secondary School</t>
  </si>
  <si>
    <t>11-9032.00</t>
  </si>
  <si>
    <t>Secondary School Administration/Principalship  (New)</t>
  </si>
  <si>
    <t>11-9033</t>
  </si>
  <si>
    <t>Education Administrators, Postsecondary</t>
  </si>
  <si>
    <t>11-9033.00</t>
  </si>
  <si>
    <t>11-9039</t>
  </si>
  <si>
    <t>Education Administrators, All Other</t>
  </si>
  <si>
    <t>11-9039.00</t>
  </si>
  <si>
    <t>Urban Education &amp; Leadership  (New)</t>
  </si>
  <si>
    <t>Superintendency &amp; Educational System Administration (New)</t>
  </si>
  <si>
    <t>Engineering Managers</t>
  </si>
  <si>
    <t>11-9041</t>
  </si>
  <si>
    <t>11-9041.00</t>
  </si>
  <si>
    <t>Scientific Research/Engineering</t>
  </si>
  <si>
    <t>Agricultural/Biological Engineering &amp; Bioengineering</t>
  </si>
  <si>
    <t>Computer Hardware Engineering  (New)</t>
  </si>
  <si>
    <t>Computer Software Engineering  (New)</t>
  </si>
  <si>
    <t>Computer Engineering, Other  (New)</t>
  </si>
  <si>
    <t>Construction Engineering   (New)</t>
  </si>
  <si>
    <t>Forest Engineering  (New)</t>
  </si>
  <si>
    <t>Industrial Engineering  (New)</t>
  </si>
  <si>
    <t>Manufacturing Engineering   (New)</t>
  </si>
  <si>
    <t>Surveying Engineering  (New)</t>
  </si>
  <si>
    <t>Geological/Geophysical Engineering  (New)</t>
  </si>
  <si>
    <t>Food Service Managers</t>
  </si>
  <si>
    <t>11-9051</t>
  </si>
  <si>
    <t>11-9051.00</t>
  </si>
  <si>
    <t>Restaurant, Culinary, &amp; Catering Management/Manager</t>
  </si>
  <si>
    <t>Restaurants, Hotels, &amp; Hospitality</t>
  </si>
  <si>
    <t>Hospitality &amp; Tourism</t>
  </si>
  <si>
    <t>Hotel/Motel Administration/Management   (New)</t>
  </si>
  <si>
    <t>Restaurant/Food Services Management   (New)</t>
  </si>
  <si>
    <t>Funeral Directors</t>
  </si>
  <si>
    <t>11-9061</t>
  </si>
  <si>
    <t>11-9061.00</t>
  </si>
  <si>
    <t>Funeral Service &amp; Mortuary Science, General</t>
  </si>
  <si>
    <t>Funeral Direction/Service  (New)</t>
  </si>
  <si>
    <t>Gaming Managers</t>
  </si>
  <si>
    <t>11-9071</t>
  </si>
  <si>
    <t>11-9071.00</t>
  </si>
  <si>
    <t>Personal &amp; Culinary Services, Other</t>
  </si>
  <si>
    <t>Lodging Managers</t>
  </si>
  <si>
    <t>11-9081</t>
  </si>
  <si>
    <t>11-9081.00</t>
  </si>
  <si>
    <t>Selling Skills &amp; Sales Operations</t>
  </si>
  <si>
    <t>Resort Management   (New)</t>
  </si>
  <si>
    <t>Medical &amp; Health Services Managers</t>
  </si>
  <si>
    <t>11-9111</t>
  </si>
  <si>
    <t>11-9111.00</t>
  </si>
  <si>
    <t>Hospital &amp; Health Care Facilities Administration/Management</t>
  </si>
  <si>
    <t>Community Health &amp; Preventive Medicine    (New)</t>
  </si>
  <si>
    <t>Health Services Administration   (New)</t>
  </si>
  <si>
    <t>Natural Sciences Managers</t>
  </si>
  <si>
    <t>11-9121</t>
  </si>
  <si>
    <t>11-9121.00</t>
  </si>
  <si>
    <t>Cell/Cellular Biology &amp; Histology</t>
  </si>
  <si>
    <t>Cell/Cellular Biology &amp; Anatomical Sciences, Other</t>
  </si>
  <si>
    <t>Microbiology, General  (New)</t>
  </si>
  <si>
    <t>Medical Microbiology &amp; Bacteriology</t>
  </si>
  <si>
    <t>Marine Biology &amp; Biological Oceanography</t>
  </si>
  <si>
    <t>Ecology, Evolution, &amp; Systematics, Other  (New)</t>
  </si>
  <si>
    <t>Animal Genetics</t>
  </si>
  <si>
    <t>Plant Genetics</t>
  </si>
  <si>
    <t>Pathology/Experimental Pathology  (New)</t>
  </si>
  <si>
    <t>Biological &amp; Biomedical Sciences, Other</t>
  </si>
  <si>
    <t>Algebra &amp; Number Theory  (New)</t>
  </si>
  <si>
    <t>Analysis &amp; Functional Analysis  (New)</t>
  </si>
  <si>
    <t>Geometry/Geometric Analysis  (New)</t>
  </si>
  <si>
    <t>Topology &amp; Foundations  (New)</t>
  </si>
  <si>
    <t>Computational Mathematics  (New)</t>
  </si>
  <si>
    <t>Mathematics &amp; Statistics, Other</t>
  </si>
  <si>
    <t>Natural Sciences  (New)</t>
  </si>
  <si>
    <t>Logic (New)</t>
  </si>
  <si>
    <t>Astrophysics (New)</t>
  </si>
  <si>
    <t>Planetary Astronomy &amp; Science  (New)</t>
  </si>
  <si>
    <t>Atmospheric Sciences &amp; Meteorology, General</t>
  </si>
  <si>
    <t>Atmospheric Chemistry &amp; Climatology  (New)</t>
  </si>
  <si>
    <t>Atmospheric Physics &amp; Dynamics  (New)</t>
  </si>
  <si>
    <t>Meteorology  (New)</t>
  </si>
  <si>
    <t>Atmospheric Sciences &amp; Meteorology, Other  (New)</t>
  </si>
  <si>
    <t>Chemical Physics (New)</t>
  </si>
  <si>
    <t>Hydrology &amp; Water Resources Science  (New)</t>
  </si>
  <si>
    <t>Geochemistry &amp; Petrology  (New)</t>
  </si>
  <si>
    <t>Oceanography, Chemical &amp; Physical  (New)</t>
  </si>
  <si>
    <t>Geological &amp; Earth Sciences/Geosciences, Other</t>
  </si>
  <si>
    <t>Postmasters &amp; Mail Superintendents</t>
  </si>
  <si>
    <t>11-9131</t>
  </si>
  <si>
    <t>11-9131.00</t>
  </si>
  <si>
    <t>Property, Real Estate, &amp; Community Association Managers</t>
  </si>
  <si>
    <t>11-9141</t>
  </si>
  <si>
    <t>11-9141.00</t>
  </si>
  <si>
    <t>Social &amp; Community Service Managers</t>
  </si>
  <si>
    <t>11-9151</t>
  </si>
  <si>
    <t>11-9151.00</t>
  </si>
  <si>
    <t>Human Services, General  (New)</t>
  </si>
  <si>
    <t>Community Organization &amp; Advocacy</t>
  </si>
  <si>
    <t>Business/Commerce, General   (New)</t>
  </si>
  <si>
    <t>Business, Management, Marketing, &amp; Related Support Services,</t>
  </si>
  <si>
    <t>Managers, All Other</t>
  </si>
  <si>
    <t>11-9199</t>
  </si>
  <si>
    <t>11-9199.00</t>
  </si>
  <si>
    <t>Residual occupation not assigned to a cluster</t>
  </si>
  <si>
    <t>Residual occupation not assigned to a single cluster</t>
  </si>
  <si>
    <t>Theatre/Theatre Arts Management</t>
  </si>
  <si>
    <t>Transportation?Transportation Management  (New)</t>
  </si>
  <si>
    <t>Franchising &amp; Franchise Operations</t>
  </si>
  <si>
    <t>Small Business Administration/Management   (New)</t>
  </si>
  <si>
    <t>Entrepreneurial &amp; Small Business Operations, Other</t>
  </si>
  <si>
    <t>Tourism &amp; Travel Services Management</t>
  </si>
  <si>
    <t>Agents &amp; Business Managers of Artists, Performers, &amp; Athletes</t>
  </si>
  <si>
    <t>13-1011</t>
  </si>
  <si>
    <t>13-1011.00</t>
  </si>
  <si>
    <t>Purchasing Agents &amp; Buyers, Farm Products</t>
  </si>
  <si>
    <t>13-1021</t>
  </si>
  <si>
    <t>13-1021.00</t>
  </si>
  <si>
    <t>Agricultural/Farm Supplies Retailing &amp; Wholesaling</t>
  </si>
  <si>
    <t>Wholesale &amp; Retail Buyers, Except Farm Products</t>
  </si>
  <si>
    <t>13-1022</t>
  </si>
  <si>
    <t>13-1022.00</t>
  </si>
  <si>
    <t>Sales, Distribution, &amp; Marketing Operations, General</t>
  </si>
  <si>
    <t>Sales, Distribution, and Marketing Operations, General</t>
  </si>
  <si>
    <t>Merchandising &amp; Buying Operations</t>
  </si>
  <si>
    <t>Purchasing Agents, Except Wholesale, Retail, &amp; Farm Products</t>
  </si>
  <si>
    <t>13-1023</t>
  </si>
  <si>
    <t>13-1023.00</t>
  </si>
  <si>
    <t>Claims Adjusters, Appraisers, Examiners, &amp; Investigators</t>
  </si>
  <si>
    <t>13-1030</t>
  </si>
  <si>
    <t>13-1030.00</t>
  </si>
  <si>
    <t>13-1031</t>
  </si>
  <si>
    <t>Claims Adjusters, Examiners, &amp; Investigators</t>
  </si>
  <si>
    <t>13-1031.00</t>
  </si>
  <si>
    <t>Health/Medical Claims Examiner   (New)</t>
  </si>
  <si>
    <t>13-1031.01</t>
  </si>
  <si>
    <t>Claims Examiners, Property &amp; Casualty Insurance</t>
  </si>
  <si>
    <t>13-1031.02</t>
  </si>
  <si>
    <t>Insurance Adjusters, Examiners, &amp; Investigators</t>
  </si>
  <si>
    <t>13-1032</t>
  </si>
  <si>
    <t>Insurance Appraisers, Auto Damage</t>
  </si>
  <si>
    <t>13-1032.00</t>
  </si>
  <si>
    <t>Compliance Officers, Except Agriculture, Construction, Health &amp; Safety, &amp; Transportation</t>
  </si>
  <si>
    <t>13-1041</t>
  </si>
  <si>
    <t>13-1041.00</t>
  </si>
  <si>
    <t>99.9990</t>
  </si>
  <si>
    <t>No related CIP programs</t>
  </si>
  <si>
    <t>Environmental Compliance Inspectors</t>
  </si>
  <si>
    <t>13-1041.01</t>
  </si>
  <si>
    <t>Licensing Examiners &amp; Inspectors</t>
  </si>
  <si>
    <t>13-1041.02</t>
  </si>
  <si>
    <t>Equal Opportunity Representatives &amp; Officers</t>
  </si>
  <si>
    <t>13-1041.03</t>
  </si>
  <si>
    <t>Government Property Inspectors &amp; Investigators</t>
  </si>
  <si>
    <t>13-1041.04</t>
  </si>
  <si>
    <t>Pressure Vessel Inspectors</t>
  </si>
  <si>
    <t>13-1041.05</t>
  </si>
  <si>
    <t>Coroners</t>
  </si>
  <si>
    <t>13-1041.06</t>
  </si>
  <si>
    <t>Cost Estimators</t>
  </si>
  <si>
    <t>13-1051</t>
  </si>
  <si>
    <t>13-1051.00</t>
  </si>
  <si>
    <t>Human Resources, Training, &amp; Labor Relations Specialists</t>
  </si>
  <si>
    <t>13-1070</t>
  </si>
  <si>
    <t>13-1071</t>
  </si>
  <si>
    <t>Employment, Recruitment, &amp; Placement Specialists</t>
  </si>
  <si>
    <t>13-1071.00</t>
  </si>
  <si>
    <t>13-1071.01</t>
  </si>
  <si>
    <t>Employment Interviewers, Private or Public Employment Service</t>
  </si>
  <si>
    <t>13-1071.02</t>
  </si>
  <si>
    <t>Personnel Recruiters</t>
  </si>
  <si>
    <t>13-1072</t>
  </si>
  <si>
    <t>Compensation, Benefits, &amp; Job Analysis Specialists</t>
  </si>
  <si>
    <t>13-1072.00</t>
  </si>
  <si>
    <t>13-1073</t>
  </si>
  <si>
    <t>Training &amp; Development Specialists</t>
  </si>
  <si>
    <t>13-1073.00</t>
  </si>
  <si>
    <t>13-1079</t>
  </si>
  <si>
    <t>Human Resources, Training, &amp; Labor Relations Specialists, All Other</t>
  </si>
  <si>
    <t>13-1079.00</t>
  </si>
  <si>
    <t>Human Resources Management &amp; Services, Other</t>
  </si>
  <si>
    <t>Logisticians</t>
  </si>
  <si>
    <t>13-1081</t>
  </si>
  <si>
    <t>13-1081.00</t>
  </si>
  <si>
    <t>Management Analysts</t>
  </si>
  <si>
    <t>13-1111</t>
  </si>
  <si>
    <t>13-1111.00</t>
  </si>
  <si>
    <t>Meeting &amp; Convention Planners</t>
  </si>
  <si>
    <t>13-1121</t>
  </si>
  <si>
    <t>13-1121.00</t>
  </si>
  <si>
    <t>Other Business Operations Specialists</t>
  </si>
  <si>
    <t>13-1098</t>
  </si>
  <si>
    <t>13-1098.00</t>
  </si>
  <si>
    <t>Emergency Management Specialists</t>
  </si>
  <si>
    <t>13-1061</t>
  </si>
  <si>
    <t>13-1061.00</t>
  </si>
  <si>
    <t>13-1199</t>
  </si>
  <si>
    <t>All Other Business Operations &amp; Human Resources Specialists</t>
  </si>
  <si>
    <t>Business Operations Specialists, All Other</t>
  </si>
  <si>
    <t>13-1199.00</t>
  </si>
  <si>
    <t>Accountants &amp; Auditors</t>
  </si>
  <si>
    <t>13-2011</t>
  </si>
  <si>
    <t>13-2011.00</t>
  </si>
  <si>
    <t>Accounting &amp; Computer Science  (New)</t>
  </si>
  <si>
    <t>Auditing   (New)</t>
  </si>
  <si>
    <t>13-2011.01</t>
  </si>
  <si>
    <t>Accountants</t>
  </si>
  <si>
    <t>13-2011.02</t>
  </si>
  <si>
    <t>Auditors</t>
  </si>
  <si>
    <t>Appraisers &amp; Assessors of Real Estate</t>
  </si>
  <si>
    <t>13-2021</t>
  </si>
  <si>
    <t>13-2021.00</t>
  </si>
  <si>
    <t>13-2021.01</t>
  </si>
  <si>
    <t>Assessors</t>
  </si>
  <si>
    <t>13-2021.02</t>
  </si>
  <si>
    <t>Appraisers, Real Estate</t>
  </si>
  <si>
    <t>Budget Analysts</t>
  </si>
  <si>
    <t>13-2031</t>
  </si>
  <si>
    <t>13-2031.00</t>
  </si>
  <si>
    <t>Credit Analysts</t>
  </si>
  <si>
    <t>13-2041</t>
  </si>
  <si>
    <t>13-2041.00</t>
  </si>
  <si>
    <t>Personal Financial Advisors</t>
  </si>
  <si>
    <t>13-2052</t>
  </si>
  <si>
    <t>13-2052.00</t>
  </si>
  <si>
    <t>Financial Planning &amp; Services</t>
  </si>
  <si>
    <t>Insurance Underwriters</t>
  </si>
  <si>
    <t>13-2053</t>
  </si>
  <si>
    <t>13-2053.00</t>
  </si>
  <si>
    <t>Financial Examiners</t>
  </si>
  <si>
    <t>13-2061</t>
  </si>
  <si>
    <t>13-2061.00</t>
  </si>
  <si>
    <t>Loan Counselors &amp; Officers</t>
  </si>
  <si>
    <t>13-2070</t>
  </si>
  <si>
    <t>13-2070.00</t>
  </si>
  <si>
    <t>13-2071</t>
  </si>
  <si>
    <t>Loan Counselors</t>
  </si>
  <si>
    <t>13-2071.00</t>
  </si>
  <si>
    <t>13-2072</t>
  </si>
  <si>
    <t>Loan Officers</t>
  </si>
  <si>
    <t>13-2072.00</t>
  </si>
  <si>
    <t>Tax Examiners, Collectors, &amp; Revenue Agents</t>
  </si>
  <si>
    <t>13-2081</t>
  </si>
  <si>
    <t>13-2081.00</t>
  </si>
  <si>
    <t>Tax Preparers</t>
  </si>
  <si>
    <t>13-2082</t>
  </si>
  <si>
    <t>13-2082.00</t>
  </si>
  <si>
    <t>Accounting Technology/Technician &amp; Bookkeeping</t>
  </si>
  <si>
    <t>Financial Specialists, All Other</t>
  </si>
  <si>
    <t>13-2099</t>
  </si>
  <si>
    <t>13-2099.00</t>
  </si>
  <si>
    <t>Computer Scientists &amp; Systems Analysts</t>
  </si>
  <si>
    <t>15-1000</t>
  </si>
  <si>
    <t>15-1000.00</t>
  </si>
  <si>
    <t>15-1011</t>
  </si>
  <si>
    <t>Computer &amp; Information Scientists, Research</t>
  </si>
  <si>
    <t>15-1011.00</t>
  </si>
  <si>
    <t>Artificial Intelligence &amp; Robotics  (New)</t>
  </si>
  <si>
    <t>Computer &amp; Information Sciences &amp; Support Services, Other</t>
  </si>
  <si>
    <t>Medical Informatics  (New)</t>
  </si>
  <si>
    <t>Computer Programmers</t>
  </si>
  <si>
    <t>15-1021</t>
  </si>
  <si>
    <t>15-1021.00</t>
  </si>
  <si>
    <t>Computer Programming, Specific Applications  (New)</t>
  </si>
  <si>
    <t>Computer Programming, Vendor/Product Certification  (New)</t>
  </si>
  <si>
    <t>Web Page, Digital/Multimedia &amp; Information Resources Design  (New)</t>
  </si>
  <si>
    <t>Computer Graphics  (New)</t>
  </si>
  <si>
    <t>Web/Multimedia Management &amp; Webmaster  (New)</t>
  </si>
  <si>
    <t>Bioinformatics  (New)</t>
  </si>
  <si>
    <t>Medical Office Computer Specialist/Assistant   (New)</t>
  </si>
  <si>
    <t>E-Commerce/Electronic Commerce   (New)</t>
  </si>
  <si>
    <t>Computer Software Engineers</t>
  </si>
  <si>
    <t>15-1030</t>
  </si>
  <si>
    <t>15-1030.00</t>
  </si>
  <si>
    <t>15-1031</t>
  </si>
  <si>
    <t>Computer Software Engineers, Applications</t>
  </si>
  <si>
    <t>15-1031.00</t>
  </si>
  <si>
    <t>Information Technology  (New)</t>
  </si>
  <si>
    <t>Computer Engineering Technologies/Technicians, Other  (New)</t>
  </si>
  <si>
    <t>Medical Illustration and Informatics, Other</t>
  </si>
  <si>
    <t>15-1032</t>
  </si>
  <si>
    <t>Computer Software Engineers, Systems Software</t>
  </si>
  <si>
    <t>15-1032.00</t>
  </si>
  <si>
    <t>Computer Support Specialists</t>
  </si>
  <si>
    <t>15-1041</t>
  </si>
  <si>
    <t>15-1041.00</t>
  </si>
  <si>
    <t>Agricultural Business Technology (New)</t>
  </si>
  <si>
    <t>Data Processing &amp; Data Processing Technology/Technician</t>
  </si>
  <si>
    <t>Computer Hardware Technology/Technician  (New)</t>
  </si>
  <si>
    <t>Computer Software Technology/Technician   (New)</t>
  </si>
  <si>
    <t>15-1051</t>
  </si>
  <si>
    <t>Computer Systems Analysts</t>
  </si>
  <si>
    <t>15-1051.00</t>
  </si>
  <si>
    <t>Database Administrators</t>
  </si>
  <si>
    <t>15-1061</t>
  </si>
  <si>
    <t>15-1061.00</t>
  </si>
  <si>
    <t>Data Modeling/Warehousing and Database Administration  (New)</t>
  </si>
  <si>
    <t>Computer &amp; Information Systems Security  (New)</t>
  </si>
  <si>
    <t>Network &amp; Computer Systems Administrators</t>
  </si>
  <si>
    <t>15-1071</t>
  </si>
  <si>
    <t>15-1071.00</t>
  </si>
  <si>
    <t>Computer Systems Networking &amp; Telecommunications  (New)</t>
  </si>
  <si>
    <t>System, Networking, &amp; LAN/WAN Management/Manager  (New)</t>
  </si>
  <si>
    <t>15-1071.01</t>
  </si>
  <si>
    <t>Computer Security Specialists</t>
  </si>
  <si>
    <t>Network Systems &amp; Data Communications Analysts</t>
  </si>
  <si>
    <t>15-1081</t>
  </si>
  <si>
    <t>15-1081.00</t>
  </si>
  <si>
    <t>15-1099</t>
  </si>
  <si>
    <t>Computer Specialists, All Other</t>
  </si>
  <si>
    <t>15-1099.00</t>
  </si>
  <si>
    <t>Biomathematics and Bioinformatics, Other</t>
  </si>
  <si>
    <t>Management Information Systems &amp; Services, Other</t>
  </si>
  <si>
    <t>Actuaries</t>
  </si>
  <si>
    <t>15-2011</t>
  </si>
  <si>
    <t>15-2011.00</t>
  </si>
  <si>
    <t>Mathematicians</t>
  </si>
  <si>
    <t>15-2021</t>
  </si>
  <si>
    <t>15-2021.00</t>
  </si>
  <si>
    <t>Mathematics, Other  (New)</t>
  </si>
  <si>
    <t>Mathematical Statistics &amp; Probability  (New)</t>
  </si>
  <si>
    <t>Operations Research Analysts</t>
  </si>
  <si>
    <t>15-2031</t>
  </si>
  <si>
    <t>15-2031.00</t>
  </si>
  <si>
    <t>Management Sciences &amp; Quantitative Methods, Other</t>
  </si>
  <si>
    <t>Statisticians</t>
  </si>
  <si>
    <t>15-2041</t>
  </si>
  <si>
    <t>15-2041.00</t>
  </si>
  <si>
    <t>Statistics, Other  (New)</t>
  </si>
  <si>
    <t>Miscellaneous Mathematical Science Occupations</t>
  </si>
  <si>
    <t>15-2090</t>
  </si>
  <si>
    <t>15-2090.00</t>
  </si>
  <si>
    <t>15-3011</t>
  </si>
  <si>
    <t>Mathematical Technicians</t>
  </si>
  <si>
    <t>15-2099</t>
  </si>
  <si>
    <t>Mathematical Scientist Occupations, All Other</t>
  </si>
  <si>
    <t>15-2099.00</t>
  </si>
  <si>
    <t>Mathematical Scientists, All Other</t>
  </si>
  <si>
    <t>Architects, Except Naval</t>
  </si>
  <si>
    <t>17-1010</t>
  </si>
  <si>
    <t>17-1010.00</t>
  </si>
  <si>
    <t>17-1011</t>
  </si>
  <si>
    <t>Architects, Except Landscape &amp; Naval</t>
  </si>
  <si>
    <t>17-1011.00</t>
  </si>
  <si>
    <t>Architectural History &amp; Criticism  (New)</t>
  </si>
  <si>
    <t>17-1012</t>
  </si>
  <si>
    <t>Landscape Architects</t>
  </si>
  <si>
    <t>17-1012.00</t>
  </si>
  <si>
    <t>Surveyors, Cartographers, &amp; Photogrammetrists</t>
  </si>
  <si>
    <t>17-1020</t>
  </si>
  <si>
    <t>17-1020.00</t>
  </si>
  <si>
    <t>17-1021</t>
  </si>
  <si>
    <t>Cartographers &amp; Photogrammetrists</t>
  </si>
  <si>
    <t>17-1021.00</t>
  </si>
  <si>
    <t>Surveying Technology/Surveying</t>
  </si>
  <si>
    <t>17-1022</t>
  </si>
  <si>
    <t>Surveyors</t>
  </si>
  <si>
    <t>17-1022.00</t>
  </si>
  <si>
    <t>Aerospace Engineers</t>
  </si>
  <si>
    <t>17-2011</t>
  </si>
  <si>
    <t>17-2011.00</t>
  </si>
  <si>
    <t>Agricultural Engineers</t>
  </si>
  <si>
    <t>17-2021</t>
  </si>
  <si>
    <t>17-2021.00</t>
  </si>
  <si>
    <t>Biomedical Engineers</t>
  </si>
  <si>
    <t>17-2031</t>
  </si>
  <si>
    <t>17-2031.00</t>
  </si>
  <si>
    <t>Chemical Engineers</t>
  </si>
  <si>
    <t>17-2041</t>
  </si>
  <si>
    <t>17-2041.00</t>
  </si>
  <si>
    <t>Civil Engineers</t>
  </si>
  <si>
    <t>17-2051</t>
  </si>
  <si>
    <t>17-2051.00</t>
  </si>
  <si>
    <t>Computer Hardware Engineers</t>
  </si>
  <si>
    <t>17-2061</t>
  </si>
  <si>
    <t>17-2061.00</t>
  </si>
  <si>
    <t>Electrical &amp; Electronics Engineers</t>
  </si>
  <si>
    <t>17-2070</t>
  </si>
  <si>
    <t>17-2070.00</t>
  </si>
  <si>
    <t>17-2071</t>
  </si>
  <si>
    <t>Electrical Engineers</t>
  </si>
  <si>
    <t>17-2071.00</t>
  </si>
  <si>
    <t>17-2072</t>
  </si>
  <si>
    <t>Electronics Engineers, Except Computer</t>
  </si>
  <si>
    <t>17-2072.00</t>
  </si>
  <si>
    <t>Environmental Engineers</t>
  </si>
  <si>
    <t>17-2081</t>
  </si>
  <si>
    <t>17-2081.00</t>
  </si>
  <si>
    <t>Industrial Engineers, Including Health &amp; Safety</t>
  </si>
  <si>
    <t>17-2110</t>
  </si>
  <si>
    <t>17-2110.00</t>
  </si>
  <si>
    <t>17-2111</t>
  </si>
  <si>
    <t>Health &amp; Safety Engineers, Except Mining Safety Engineers &amp; Inspectors</t>
  </si>
  <si>
    <t>17-2111.00</t>
  </si>
  <si>
    <t>17-2111.01</t>
  </si>
  <si>
    <t>Industrial Safety &amp; Health Engineers</t>
  </si>
  <si>
    <t>17-2111.02</t>
  </si>
  <si>
    <t>Fire-Prevention &amp; Protection Engineers</t>
  </si>
  <si>
    <t>17-2111.03</t>
  </si>
  <si>
    <t>Product Safety Engineers</t>
  </si>
  <si>
    <t>17-2112</t>
  </si>
  <si>
    <t>Industrial Engineers</t>
  </si>
  <si>
    <t>17-2112.00</t>
  </si>
  <si>
    <t>Marine Engineers &amp; Naval Architects</t>
  </si>
  <si>
    <t>17-2121</t>
  </si>
  <si>
    <t>17-2121.00</t>
  </si>
  <si>
    <t>17-2121.01</t>
  </si>
  <si>
    <t>Marine Engineers</t>
  </si>
  <si>
    <t>17-2121.02</t>
  </si>
  <si>
    <t>Marine Architects</t>
  </si>
  <si>
    <t>Materials Engineers</t>
  </si>
  <si>
    <t>17-2131</t>
  </si>
  <si>
    <t>17-2131.00</t>
  </si>
  <si>
    <t>Mechanical Engineers</t>
  </si>
  <si>
    <t>17-2141</t>
  </si>
  <si>
    <t>17-2141.00</t>
  </si>
  <si>
    <t>Mining &amp; Geological Engineers, Including Mining Safety Engineers</t>
  </si>
  <si>
    <t>17-2151</t>
  </si>
  <si>
    <t>17-2151.00</t>
  </si>
  <si>
    <t>Nuclear Engineers</t>
  </si>
  <si>
    <t>17-2161</t>
  </si>
  <si>
    <t>17-2161.00</t>
  </si>
  <si>
    <t>Petroleum Engineers</t>
  </si>
  <si>
    <t>17-2171</t>
  </si>
  <si>
    <t>17-2171.00</t>
  </si>
  <si>
    <t>Engineers, All Other</t>
  </si>
  <si>
    <t>17-2199</t>
  </si>
  <si>
    <t>17-2199.00</t>
  </si>
  <si>
    <t>Assistive/Augmentative Technology &amp; Rehabiliation Engineering  (New)</t>
  </si>
  <si>
    <t>Drafters</t>
  </si>
  <si>
    <t>17-3010</t>
  </si>
  <si>
    <t>17-3010.00</t>
  </si>
  <si>
    <t>17-3011</t>
  </si>
  <si>
    <t>Architectural &amp; Civil Drafters</t>
  </si>
  <si>
    <t>17-3011.00</t>
  </si>
  <si>
    <t>Architectural Technology/Technician  (New)</t>
  </si>
  <si>
    <t>Drafting &amp; Design Technology/Technician, General</t>
  </si>
  <si>
    <t>CAD/CADD Drafting &amp;/or Design Technology/Technician  (New)</t>
  </si>
  <si>
    <t>Architectural Drafting &amp; Architectural CAD/CADD</t>
  </si>
  <si>
    <t>Civil Drafting &amp; Civil Engineering CAD/CADD</t>
  </si>
  <si>
    <t>17-3011.01</t>
  </si>
  <si>
    <t>Architectural Drafters</t>
  </si>
  <si>
    <t>17-3011.02</t>
  </si>
  <si>
    <t>Civil Drafters</t>
  </si>
  <si>
    <t>17-3012</t>
  </si>
  <si>
    <t>Electrical &amp; Electronics Drafters</t>
  </si>
  <si>
    <t>17-3012.00</t>
  </si>
  <si>
    <t>Electrical/Electronics Drafting &amp; Electrical/Electronics CAD/CADD</t>
  </si>
  <si>
    <t>17-3012.01</t>
  </si>
  <si>
    <t>Electronic Drafters</t>
  </si>
  <si>
    <t>17-3012.02</t>
  </si>
  <si>
    <t>Electrical Drafters</t>
  </si>
  <si>
    <t>17-3013</t>
  </si>
  <si>
    <t>Mechanical Drafters</t>
  </si>
  <si>
    <t>17-3013.00</t>
  </si>
  <si>
    <t>Mechanical Drafting &amp; Mechanical Drafting CAD/CADD</t>
  </si>
  <si>
    <t>17-3019</t>
  </si>
  <si>
    <t>Drafters, All Other</t>
  </si>
  <si>
    <t>17-3019.00</t>
  </si>
  <si>
    <t>Drafting/Design Engineering Technologies/Technicians, Other  (New)</t>
  </si>
  <si>
    <t>Engineering Technicians, Except Drafters</t>
  </si>
  <si>
    <t>17-3020</t>
  </si>
  <si>
    <t>17-3020.00</t>
  </si>
  <si>
    <t>**Manufacturing &amp; Transportation</t>
  </si>
  <si>
    <t>17-3021</t>
  </si>
  <si>
    <t>Aerospace Engineering &amp; Operations Technicians</t>
  </si>
  <si>
    <t>17-3021.00</t>
  </si>
  <si>
    <t>17-3022</t>
  </si>
  <si>
    <t>Civil Engineering Technicians</t>
  </si>
  <si>
    <t>17-3022.00</t>
  </si>
  <si>
    <t>17-3023</t>
  </si>
  <si>
    <t>Electrical &amp; Electronic Engineering Technicians</t>
  </si>
  <si>
    <t>17-3023.00</t>
  </si>
  <si>
    <t>Electrical, Electronic &amp; Communications Engineering Technology/Technician</t>
  </si>
  <si>
    <t>Telecommunications Technology/Technician  (New)</t>
  </si>
  <si>
    <t>Electrical &amp; Electronic Engineering Technologies/Technicians, Other</t>
  </si>
  <si>
    <t>17-3023.01</t>
  </si>
  <si>
    <t>Electronics Engineering Technicians</t>
  </si>
  <si>
    <t>17-3023.02</t>
  </si>
  <si>
    <t>Calibration &amp; Instrumentation Technicians</t>
  </si>
  <si>
    <t>17-3023.03</t>
  </si>
  <si>
    <t>Electrical Engineering Technicians</t>
  </si>
  <si>
    <t>Computer Technology/Computer Systems Technology</t>
  </si>
  <si>
    <t>17-3024</t>
  </si>
  <si>
    <t>Electro-Mechanical Technicians</t>
  </si>
  <si>
    <t>17-3024.00</t>
  </si>
  <si>
    <t>Engineering Related Technologies/Technicians, Other</t>
  </si>
  <si>
    <t>17-3025</t>
  </si>
  <si>
    <t>Environmental Engineering Technicians</t>
  </si>
  <si>
    <t>17-3025.00</t>
  </si>
  <si>
    <t>Hazardous Materials Information Systems Technology/Technician  (New)</t>
  </si>
  <si>
    <t>17-3026</t>
  </si>
  <si>
    <t>Industrial Engineering Technicians</t>
  </si>
  <si>
    <t>17-3026.00</t>
  </si>
  <si>
    <t>Manufacturing Technology/Technician  (New)</t>
  </si>
  <si>
    <t>Industrial Management  (New)</t>
  </si>
  <si>
    <t>17-3027</t>
  </si>
  <si>
    <t>Mechanical Engineering Technicians</t>
  </si>
  <si>
    <t>17-3027.00</t>
  </si>
  <si>
    <t>Mechanical Engineering Related Technology/Technician, Other</t>
  </si>
  <si>
    <t>17-3029</t>
  </si>
  <si>
    <t>Engineering Technicians, Except Drafters, All Other</t>
  </si>
  <si>
    <t>17-3029.00</t>
  </si>
  <si>
    <t>Industrial Technology/Technicians</t>
  </si>
  <si>
    <t>Hydraulics &amp; Fluid Power Technology/Technician</t>
  </si>
  <si>
    <t>Surveying &amp; Mapping Technicians</t>
  </si>
  <si>
    <t>17-3031</t>
  </si>
  <si>
    <t>17-3031.00</t>
  </si>
  <si>
    <t>17-3031.01</t>
  </si>
  <si>
    <t>Surveying Technicians</t>
  </si>
  <si>
    <t>17-3031.02</t>
  </si>
  <si>
    <t>Mapping Technicians</t>
  </si>
  <si>
    <t>Mechanical Typesetter and Composer</t>
  </si>
  <si>
    <t>Graphic and Printing Equipment Operator, General</t>
  </si>
  <si>
    <t>Graphic and Printing Equipment Operator, General Production</t>
  </si>
  <si>
    <t>Computer Typography and Composition Equipment Operator</t>
  </si>
  <si>
    <t>Prepress/Desktop Publishing and Digital Imaging Design</t>
  </si>
  <si>
    <t>Precision Metal Working</t>
  </si>
  <si>
    <t>Machine Tool Technology/Machinist</t>
  </si>
  <si>
    <t>Machine Shop Technology/Assistant</t>
  </si>
  <si>
    <t>Sheet Metal Technology/Sheetworking</t>
  </si>
  <si>
    <t>Tool and Die Maker/Technologist</t>
  </si>
  <si>
    <t>Tool and Die Technology/Technician</t>
  </si>
  <si>
    <t>Welding Technology/Welder</t>
  </si>
  <si>
    <t>Ironworking/Ironworker   (NEW)</t>
  </si>
  <si>
    <t>Woodworkers, General</t>
  </si>
  <si>
    <t>Woodworking, General</t>
  </si>
  <si>
    <t>Furniture Designer and Maker</t>
  </si>
  <si>
    <t>Furniture Design and Manufacturing</t>
  </si>
  <si>
    <t>Cabinet Maker and Millworker</t>
  </si>
  <si>
    <t>Cabinetmaking and Millwork/Millwright</t>
  </si>
  <si>
    <t>Woodworking, Other</t>
  </si>
  <si>
    <t>Boilermaking/Boilermaker   (NEW)</t>
  </si>
  <si>
    <t>Precision Production, Other</t>
  </si>
  <si>
    <t>TRANSPORTATION AND MATERIALS MOVING WORKERS</t>
  </si>
  <si>
    <t>TRANSPORTATION AND MATERIALS MOVING</t>
  </si>
  <si>
    <t>Air Transportation</t>
  </si>
  <si>
    <t>Jazz/Jazz Studies   (NEW)</t>
  </si>
  <si>
    <t>Violin, Viola, Guitar and Other Stringed Instruments  (NEW)</t>
  </si>
  <si>
    <t>Music Pedagogy  (NEW)</t>
  </si>
  <si>
    <t>Visual and Performing Arts, Other</t>
  </si>
  <si>
    <t>Visual and Performing Arts, Oth­er</t>
  </si>
  <si>
    <t>Aviation and Airway Science</t>
  </si>
  <si>
    <t>Aeronautics/Aviation/Aerospace Science and Technology, General</t>
  </si>
  <si>
    <t>Aircraft Pilot and Navigator, (Professional)</t>
  </si>
  <si>
    <t>Airline/Commercial/Professional Pilot and Flight Crew</t>
  </si>
  <si>
    <t>Aviation/Airway Management and Operations</t>
  </si>
  <si>
    <t>Airline Flight Attendant</t>
  </si>
  <si>
    <t>Flight Instructor  (NEW)</t>
  </si>
  <si>
    <t>Air Transportation, Other</t>
  </si>
  <si>
    <t>Vehicle and Equipment Operators</t>
  </si>
  <si>
    <t>Ground Transportation</t>
  </si>
  <si>
    <t>Construction/Heavy Equipment/Earthmoving Equipment Operation</t>
  </si>
  <si>
    <t>Truck, Bus and Other Commercial Vehicle Operator</t>
  </si>
  <si>
    <t>Truck and Bus Driver/Commercial Vehicle Operation</t>
  </si>
  <si>
    <t>Mobil Crane Operation/Operator  (NEW)</t>
  </si>
  <si>
    <t>Vehicle and Equipment Operators, Other</t>
  </si>
  <si>
    <t>Ground Transportation, Other</t>
  </si>
  <si>
    <t>Marine Transportation</t>
  </si>
  <si>
    <t>Commercial Fishing</t>
  </si>
  <si>
    <t>Diver, Professional and Instructor</t>
  </si>
  <si>
    <t>Marine Maintenance and Ship Repairer</t>
  </si>
  <si>
    <t>Marine Maintenance/Fitter and Ship Repair Technology/Technician</t>
  </si>
  <si>
    <t>Marine Transportation, Other</t>
  </si>
  <si>
    <t>VISUAL AND PERFORMING ARTS</t>
  </si>
  <si>
    <t>Visual and Performing Arts, General</t>
  </si>
  <si>
    <t>Crafts, Folk Art and Artisanry</t>
  </si>
  <si>
    <t>Crafts/Craft Design, Folk Art and Artisan­ry</t>
  </si>
  <si>
    <t>Transportation and Materials Moving Workers, Other</t>
  </si>
  <si>
    <t>Transportation and Materials Moving, Other</t>
  </si>
  <si>
    <t>Dance, General</t>
  </si>
  <si>
    <t>Ballet  (NEW)</t>
  </si>
  <si>
    <t>Dance, Other  (NEW)</t>
  </si>
  <si>
    <t>Design and Applied Arts</t>
  </si>
  <si>
    <t>Design and Visual Communications</t>
  </si>
  <si>
    <t>Design and Visual Communications, General</t>
  </si>
  <si>
    <t>Graphic Design, Commercial Art and Illustration</t>
  </si>
  <si>
    <t>Commercial and Advertising Art</t>
  </si>
  <si>
    <t>Fashion Design and Illustration</t>
  </si>
  <si>
    <t>Fashion/Apparel Design</t>
  </si>
  <si>
    <t>Graphic Design  (NEW)</t>
  </si>
  <si>
    <t>Illustration  (NEW)</t>
  </si>
  <si>
    <t>Design and Applied Arts, Other</t>
  </si>
  <si>
    <t>Dramatic/Theater Arts and Stagecraft</t>
  </si>
  <si>
    <t>Dramatic/Theatre Arts and Stage­craft</t>
  </si>
  <si>
    <t>Drama and Dramatics/Theatre Arts, General</t>
  </si>
  <si>
    <t>Technical Theater/Theater Design and Stagecraft</t>
  </si>
  <si>
    <t>Technical Theatre/Theatre Design and Technology</t>
  </si>
  <si>
    <t>Acting and Directing</t>
  </si>
  <si>
    <t>Acting  (NEW)</t>
  </si>
  <si>
    <t>Directing and Theatrical Production  (NEW)</t>
  </si>
  <si>
    <t>Playwriting and Screenwriting</t>
  </si>
  <si>
    <t>Music  Conducting</t>
  </si>
  <si>
    <t>Conducting</t>
  </si>
  <si>
    <t>Music -- Piano and Organ Performance</t>
  </si>
  <si>
    <t>Piano and Organ</t>
  </si>
  <si>
    <t>Music -- Voice and Choral/Opera Performance</t>
  </si>
  <si>
    <t>Voice and Opera</t>
  </si>
  <si>
    <t>Music Business Management and Merchandising</t>
  </si>
  <si>
    <t>Music Management and Merchandising</t>
  </si>
  <si>
    <t>Drama/Theater Literature, History and Criticism</t>
  </si>
  <si>
    <t>Theatre Literature, History and Criticism</t>
  </si>
  <si>
    <t>Theatre/Theatre Arts Management  (NEW)</t>
  </si>
  <si>
    <t>Dramatic/Theater Arts and Stagecraft, Other</t>
  </si>
  <si>
    <t>Dramatic/Theatre Arts and Stage­craft, Other</t>
  </si>
  <si>
    <t>Film/Video and Photographic Arts</t>
  </si>
  <si>
    <t>Film-Video Making/Cinematography and Production</t>
  </si>
  <si>
    <t>Cinematography and Film/Video Production</t>
  </si>
  <si>
    <t>Film/Video and Photographic Arts, Other</t>
  </si>
  <si>
    <t>Fine Arts and Art Studies</t>
  </si>
  <si>
    <t>Fine and Studio Art</t>
  </si>
  <si>
    <t>Art/Art Studies, General</t>
  </si>
  <si>
    <t>Fine/Studio Arts, General</t>
  </si>
  <si>
    <t>Art History, Criticism and Conservation</t>
  </si>
  <si>
    <t>Intermedia/Multimedia</t>
  </si>
  <si>
    <t>Ceramics Arts and Ceramics</t>
  </si>
  <si>
    <t>Ceramic Arts and Ceramics</t>
  </si>
  <si>
    <t>Fiber, Textile and Weaving Arts</t>
  </si>
  <si>
    <t>Metal and Jewelry Arts</t>
  </si>
  <si>
    <t>Fine Arts and Art Studies, Other</t>
  </si>
  <si>
    <t>Music History and Literature</t>
  </si>
  <si>
    <t>Music History, Literature, and Theory</t>
  </si>
  <si>
    <t>Music -- General Performance</t>
  </si>
  <si>
    <t>Music Performance, General</t>
  </si>
  <si>
    <t>Music -- Theory and Composition</t>
  </si>
  <si>
    <t>Music Theory and Composition</t>
  </si>
  <si>
    <t>Musicology and Ethnomusicology</t>
  </si>
  <si>
    <t>HEALTH PROFESSIONS AND RELATED SCIENCES</t>
  </si>
  <si>
    <t>HEALTH PROFESSIONS AND RELATED CLINICAL SCIENCES</t>
  </si>
  <si>
    <t>Health Services/Allied Health/Health Sciences, General (NEW)</t>
  </si>
  <si>
    <t>Health Services/Allied Health/Health Sciences, General  (NEW)</t>
  </si>
  <si>
    <t>Chiropractic (DC)</t>
  </si>
  <si>
    <t>Communication Disorders Sciences and Services</t>
  </si>
  <si>
    <t>Audiology/Audiologist and Hearing Sciences</t>
  </si>
  <si>
    <t>Speech-Language Pathology/Pathologist</t>
  </si>
  <si>
    <t>Sign Language Interpretation and Translation</t>
  </si>
  <si>
    <t>Speech-Language Pathology and Audiology</t>
  </si>
  <si>
    <t>Audiology/Audiologist and Speech-Language Pathology/Pathologist</t>
  </si>
  <si>
    <t>Communication Disorders Sciences and Services, Other</t>
  </si>
  <si>
    <t>Community Health Services/Liaison/Counseling</t>
  </si>
  <si>
    <t>Dentistry (DDS, DMD</t>
  </si>
  <si>
    <t>Dentistry (DDS, DMD)</t>
  </si>
  <si>
    <t>Advanced/Graduate Dentistry and Oral Sciences</t>
  </si>
  <si>
    <t>Dental Clinical Sciences, General (MS, PhD)</t>
  </si>
  <si>
    <t>Advanced General Dentistry (Cert, MS, PhD)    (NEW)</t>
  </si>
  <si>
    <t>Oral Biology and Oral Pathology (MS, PhD)    (NEW)</t>
  </si>
  <si>
    <t>Dental Public Health and Education (Cert, MS/MPH, PhD/DPH) (NEW)</t>
  </si>
  <si>
    <t>Dental Materials (MS, PhD)    (NEW)</t>
  </si>
  <si>
    <t>Endodontics/Endodontology (Cert, MS, PhD)    (NEW)</t>
  </si>
  <si>
    <t>Oral/Maxillofacial Surgery (Cert, MS, PhD)    (NEW)</t>
  </si>
  <si>
    <t>Orthodontics/Orthodontology (Cert, MS, PhD)    (NEW)</t>
  </si>
  <si>
    <t>Pediatric Dentistry/Pedodontics (Cert, MS, PhD)   (NEW)</t>
  </si>
  <si>
    <t>Periodontics/Periodontology (Cert, MS, PhD)   (NEW)</t>
  </si>
  <si>
    <t>Prosthodontics/Prosthodontology (Cert, MS, PhD)   (NEW)</t>
  </si>
  <si>
    <t>Advanced/Graduate Dentistry and Oral Sciences, Other   (NEW)</t>
  </si>
  <si>
    <t>Dental Support Services and Allied Professions</t>
  </si>
  <si>
    <t>Dental Assisting/Assistant</t>
  </si>
  <si>
    <t>Dental Hygiene/Hygienist</t>
  </si>
  <si>
    <t>Dental Laboratory Technology/Technician</t>
  </si>
  <si>
    <t>Dental Services and Allied Professions, Other</t>
  </si>
  <si>
    <t>Health and Medical Administrative Services</t>
  </si>
  <si>
    <t>Health System/Health Services Administration</t>
  </si>
  <si>
    <t>Health/Health Care Administration/Management</t>
  </si>
  <si>
    <t>Hospital and Health Care Facilities Administration/Management</t>
  </si>
  <si>
    <t>Medical Office Management/Administration</t>
  </si>
  <si>
    <t>Health Information/Medical Records Administration/Administrator</t>
  </si>
  <si>
    <t>Health Information/Medical Records Technology/Technician</t>
  </si>
  <si>
    <t>Medical Transcription/Transcriptionist</t>
  </si>
  <si>
    <t>Medical Office Computer Specialist/Assistant   (NEW)</t>
  </si>
  <si>
    <t>Medical Office Assistant/Specialist    (NEW)</t>
  </si>
  <si>
    <t>Medical/Health Management and Clinical Assistant/Specialist   (NEW)</t>
  </si>
  <si>
    <t>Medical Reception/Receptionist   (NEW)</t>
  </si>
  <si>
    <t>Medical Insurance Coding Specialist/Coder    (NEW)</t>
  </si>
  <si>
    <t>Medical Insurance Specialist/Medical Biller    (NEW)</t>
  </si>
  <si>
    <t>Health/Medical Claims Examiner   (NEW)</t>
  </si>
  <si>
    <t>Medical Staff Services Technology/Technician    (NEW)</t>
  </si>
  <si>
    <t>Health and Medical Administrative Services, Other</t>
  </si>
  <si>
    <t>Health and Medical Assistants</t>
  </si>
  <si>
    <t>Allied Health and Medical Assisting Services</t>
  </si>
  <si>
    <t>Medical/Clinical Assistant</t>
  </si>
  <si>
    <t>Clinical/Medical Laboratory Assistant</t>
  </si>
  <si>
    <t>Occupational Therapist Assistant</t>
  </si>
  <si>
    <t>Ophthalmic Technician/Technologist</t>
  </si>
  <si>
    <t>Physical Therapist Assistant</t>
  </si>
  <si>
    <t>Veterinary/Animal Health Technology/Technician and Veterinary Assistant</t>
  </si>
  <si>
    <t>Anesthesiologist Assistant    (NEW)</t>
  </si>
  <si>
    <t>Emergency Care Attendant (EMT Ambulance)   (NEW)</t>
  </si>
  <si>
    <t>Pathology/Pathologist Assistant    (NEW)</t>
  </si>
  <si>
    <t>Respiratory Therapy Technician/Assistant   (NEW)</t>
  </si>
  <si>
    <t>Chiropractic Assistant/Technician   (NEW)</t>
  </si>
  <si>
    <t>Health and Medical Assistants, Other</t>
  </si>
  <si>
    <t>Health/Medical Assisting Services, Other</t>
  </si>
  <si>
    <t>Health and Medical Diagnostic and Treatment Services</t>
  </si>
  <si>
    <t>Allied Health Diagnostic, Intervention, and Treatment Professions</t>
  </si>
  <si>
    <t>Cardiovascular Technology/Technologist</t>
  </si>
  <si>
    <t>Nuclear Medical Technology/Technologist</t>
  </si>
  <si>
    <t>Electroneurodiagnostic/Electroencephalographic Technology/Technologist</t>
  </si>
  <si>
    <t>Emergency Medical Technology/Technician (EMT Paramedic)</t>
  </si>
  <si>
    <t>Perfusion Technology/Perfusionist</t>
  </si>
  <si>
    <t>Medical Radiologic Technology/Science – Radiation Therapist</t>
  </si>
  <si>
    <t>Respiratory Care Therapy/Therapist</t>
  </si>
  <si>
    <t>Surgical Technology/Technologist</t>
  </si>
  <si>
    <t>Radiologic Technology/Science – Radiographer   (NEW)</t>
  </si>
  <si>
    <t>Gene/Genetic Therapy   (NEW)</t>
  </si>
  <si>
    <t>Cardiopulmonary Technology/Technologist   (NEW)</t>
  </si>
  <si>
    <t>Radiation Protection/Health Physics Technician   (NEW)</t>
  </si>
  <si>
    <t>Diagnostic Medical Sonography</t>
  </si>
  <si>
    <t>Diagnostic Medical Sonography/Sonographer and Ultrasound  Technician</t>
  </si>
  <si>
    <t>Health and Medical Diagnostic and Treatment Services, Other</t>
  </si>
  <si>
    <t>Allied Health Diagnostic, Intervention, and Treatment Professions, Other</t>
  </si>
  <si>
    <t>Health and Medical Laboratory Technologies/Technicians</t>
  </si>
  <si>
    <t>Clinical/Medical Laboratory Science and Allied Professions</t>
  </si>
  <si>
    <t>Blood Bank Technology Specialist</t>
  </si>
  <si>
    <t>Cytotechnology/Cytotechnologist</t>
  </si>
  <si>
    <t>Clinical/Medical Laboratory Technician</t>
  </si>
  <si>
    <t>Clinical Laboratory Science/Medical Technology/Technologist</t>
  </si>
  <si>
    <t>Neurobiology and Neurophysiology</t>
  </si>
  <si>
    <t>Ophthalmic Laboratory Technology/Technician</t>
  </si>
  <si>
    <t>Histologic Technology/Histotechnologist    (NEW)</t>
  </si>
  <si>
    <t>Histologic Technician   (NEW)</t>
  </si>
  <si>
    <t>Phlebotomy/Phlebotomist    (NEW)</t>
  </si>
  <si>
    <t>Cytogenetics/Genetics/Clinical Genetics Technology/Technologist  (NEW)</t>
  </si>
  <si>
    <t>Renal/Dialysis Technologist/Technician  (NEW)</t>
  </si>
  <si>
    <t>Health and Medical Laboratory Technologies/Technicians, Other</t>
  </si>
  <si>
    <t>Clinical/Medical Laboratory Science and Allied Professions, Other</t>
  </si>
  <si>
    <t>Health and Medical Preparatory Programs</t>
  </si>
  <si>
    <t>Health/Medical Preparatory Programs</t>
  </si>
  <si>
    <t>Pre-Medicine/Pre-Medical Studies</t>
  </si>
  <si>
    <t>Pre-Nursing Studies   (NEW)</t>
  </si>
  <si>
    <t>Genetic Counseling/Counselor   (NEW)</t>
  </si>
  <si>
    <t>Nursing Administration (MSN, MS, PhD)</t>
  </si>
  <si>
    <t>Health and Medical Preparatory Programs, Other</t>
  </si>
  <si>
    <t>Health/Medical Preparatory Programs, Other</t>
  </si>
  <si>
    <t>Medicine (MD)</t>
  </si>
  <si>
    <t>Report Under 26.Series</t>
  </si>
  <si>
    <t>Medical Biomathematics and Biometrics</t>
  </si>
  <si>
    <t>Biometry/Biometrics</t>
  </si>
  <si>
    <t>Human/Medical Genetics</t>
  </si>
  <si>
    <t>Medical Microbiology and Bacteriology</t>
  </si>
  <si>
    <t>Pathology/Experimental Pathology</t>
  </si>
  <si>
    <t>Series  Physiology, Pathology and Related Sciences</t>
  </si>
  <si>
    <t>Medical Clinical Sciences/Graduate Medical Studies</t>
  </si>
  <si>
    <t>Medical Scientist (MS, PhD)</t>
  </si>
  <si>
    <t>Mental and Social Health Services and Allied Professions</t>
  </si>
  <si>
    <t>Substance Abuse/Addiction Counseling</t>
  </si>
  <si>
    <t>Clinical and Medical Social Work</t>
  </si>
  <si>
    <t>Clinical/Medical Social Work</t>
  </si>
  <si>
    <t>Clinical Pastoral Counseling/Patient Counseling   (NEW)</t>
  </si>
  <si>
    <t>Mental Health Counseling/Counselor   (NEW)</t>
  </si>
  <si>
    <t>Mental and Social Health Services and Allied Professions, Other</t>
  </si>
  <si>
    <t>Nursing (R.N. Training)</t>
  </si>
  <si>
    <t>Nursing - Registered Nurse Training (RN, ASN, BSN, MSN)</t>
  </si>
  <si>
    <t>Adult Health Nurse/Nursing</t>
  </si>
  <si>
    <t>Nurse Anesthetist</t>
  </si>
  <si>
    <t>Nursing Family Practice (Post-R.N.)</t>
  </si>
  <si>
    <t>Family Practice Nurse/Nurse Practitioner</t>
  </si>
  <si>
    <t>Maternal/Child Health and Neonatal Nurse/Nursing</t>
  </si>
  <si>
    <t>Nurse Midwife/Nursing Midwifery</t>
  </si>
  <si>
    <t>Nursing Science (M.S., Ph.D.)</t>
  </si>
  <si>
    <t>Nursing Science (MS, PhD)</t>
  </si>
  <si>
    <t>Pediatric Nurse/Nursing</t>
  </si>
  <si>
    <t>Nursing, Public Health (Post-R.N.)</t>
  </si>
  <si>
    <t>Public Health/Community Nurse/Nursing</t>
  </si>
  <si>
    <t>Psychiatric/Mental Health Nurse/Nursing</t>
  </si>
  <si>
    <t>Perioperative/Operating Room and Surgical Nurse/Nursing</t>
  </si>
  <si>
    <t>Practical Nurse (L.P.N. Training)</t>
  </si>
  <si>
    <t>Licensed Practical /Vocational Nurse Training (LPN, LVN, Cert, Dipl, AAS)</t>
  </si>
  <si>
    <t>Nurse Assistant/Aide</t>
  </si>
  <si>
    <t>Nurse/Nursing Assistant/Aide and Patient Care Assistant</t>
  </si>
  <si>
    <t>Home Health Aide/Home Attendant</t>
  </si>
  <si>
    <t>Clinical Nurse Specialist   (NEW)</t>
  </si>
  <si>
    <t>Critical Care Nursing   (NEW)</t>
  </si>
  <si>
    <t>Occupational and Environmental Health Nursing  (NEW)</t>
  </si>
  <si>
    <t>Optometry (OD)</t>
  </si>
  <si>
    <t>Ophthalmic and Optometric Support Services and Allied Professions</t>
  </si>
  <si>
    <t>Opticianry/Ophthalmic Dispensing Optician</t>
  </si>
  <si>
    <t>Optomeric Technician/Assistant</t>
  </si>
  <si>
    <t>Opthalmic Technician/Technologist</t>
  </si>
  <si>
    <t>Orthoptics/Orthoptist</t>
  </si>
  <si>
    <t>Ophthalmic and Optometric Support Services and AlliedProfessions, Other</t>
  </si>
  <si>
    <t>Osteopathic Medicine/Osteopathy (DO)</t>
  </si>
  <si>
    <t>Pharmacy, Pharmaceutical Sciences, and Administration</t>
  </si>
  <si>
    <t>Hypnotherapy/Hypnotherapist</t>
  </si>
  <si>
    <t>Movement Therapy and Movement Education</t>
  </si>
  <si>
    <t>Music Therapy/Therapist</t>
  </si>
  <si>
    <t>Occupational Therapy/Therapist</t>
  </si>
  <si>
    <t>Pharmacy (B. Pharm., Pharm.D.)</t>
  </si>
  <si>
    <t>Pharmacy (PharmD [USA] PharmD, BS/BPharm [Canada])</t>
  </si>
  <si>
    <t>Pharmacy Administration and Pharmaceutics</t>
  </si>
  <si>
    <t>Pharmacy Administration and Pharmacy Policy and Regulatory Affairs (MS, PhD)</t>
  </si>
  <si>
    <t>Medical Pharmacology and Pharmaceutical Sciences</t>
  </si>
  <si>
    <t>Pharmaceutics and Drug Design (MS, PhD)</t>
  </si>
  <si>
    <t>Natural Products Chemistry and Pharmacognosy (MS, PhD)   (NEW)</t>
  </si>
  <si>
    <t>Clinical and Industrial Drug Development (MS, PhD) (NEW)</t>
  </si>
  <si>
    <t>Pharmacoeconomics/Pharmaceutical Economics (MS, PhD)   (NEW)</t>
  </si>
  <si>
    <t>Clinical, Hospital, and Managed Care Pharmacy (MS, PhD)   (NEW)</t>
  </si>
  <si>
    <t>Industrial and Physical Pharmacy and Cosmetic Sciences   (MS, PhD) (NEW)</t>
  </si>
  <si>
    <t>Pharmacy, Pharmaceutical Sciences, and Administration, Other</t>
  </si>
  <si>
    <t>Podiatric Medicine/Podiatry (DPM)</t>
  </si>
  <si>
    <t>Public Health, General (MPH, DPH)</t>
  </si>
  <si>
    <t>Health and Medical Biostatistics</t>
  </si>
  <si>
    <t>Health/ Medical Physics</t>
  </si>
  <si>
    <t>Occupational Health and Industrial Hygiene</t>
  </si>
  <si>
    <t>Public Health Education and Promotion</t>
  </si>
  <si>
    <t>Community Health and Preventive Medicine    (NEW)</t>
  </si>
  <si>
    <t>Maternal and Child Health   (NEW)</t>
  </si>
  <si>
    <t>International Public Health/International Health   (NEW)</t>
  </si>
  <si>
    <t>Health Services Administration   (NEW)</t>
  </si>
  <si>
    <t>Art Therapy/Therapist</t>
  </si>
  <si>
    <t>Dance Therapy/Therapist</t>
  </si>
  <si>
    <t>Rehabilitation and Therapeutic Professions</t>
  </si>
  <si>
    <t>Orthotist/Prosthetist</t>
  </si>
  <si>
    <t>Physical Therapy/Therapist</t>
  </si>
  <si>
    <t>Therapeutic Recreation/Recreational Therapy</t>
  </si>
  <si>
    <t>Vocational Rehabilitation Counseling/Counselor</t>
  </si>
  <si>
    <t>Kinesiotherapy/Kinesiotherapist   (NEW)</t>
  </si>
  <si>
    <t>Assistive/Augmentative Technology and Rehabilitation Engineering  (NEW)</t>
  </si>
  <si>
    <t>Veterinary Medicine (DVM)</t>
  </si>
  <si>
    <t>Veterinary Anatomy (Cert, MS, PhD)   (NEW)</t>
  </si>
  <si>
    <t>Veterinary Physiology (Cert, MS, PhD)   (NEW)</t>
  </si>
  <si>
    <t>Rehabilitation and Therapeutic Professions, Other</t>
  </si>
  <si>
    <t>Veterinary Biomedical and Clinical Sciences (Cert, MS. PhD</t>
  </si>
  <si>
    <t>Veterinary Sciences/Veterinary Clinical Sciences, General (Cert, MS, PhD)</t>
  </si>
  <si>
    <t>Veterinary Microbiology and Immunobiology (Cert, MS, PhD) (NEW)</t>
  </si>
  <si>
    <t>Veterinary Pathology and Pathobiology (Cert, MS, PhD)   (NEW)</t>
  </si>
  <si>
    <t>Veterinary Toxicology and Pharmacology (Cert, MS, PhD)   (NEW)</t>
  </si>
  <si>
    <t>Large Animal/Food Animal and Equine Surgery and Medicine  (Cert, MS, PhD)   (NEW)</t>
  </si>
  <si>
    <t>Small/Companion Animal Surgery and Medicine (Cert, MS, PhD) (NEW)</t>
  </si>
  <si>
    <t>Comparative and Laboratory Animal Medicine (Cert, MS, PhD) (NEW)</t>
  </si>
  <si>
    <t>Veterinary Preventive Medicine Epidemiology and Public Health  (Cert, MS, PhD) (NEW)</t>
  </si>
  <si>
    <t>Veterinary Infectious Diseases (Cert, MS, PhD) (NEW)</t>
  </si>
  <si>
    <t>Veterinary Biomedical and Clinical Sciences, Other (Cert, MS. PhD) (New)</t>
  </si>
  <si>
    <t>Health Aides/Attendants/Orderlies</t>
  </si>
  <si>
    <t>Medication Aide   (NEW)</t>
  </si>
  <si>
    <t>Health Aides/Attendants/Orderlies, Other  (NEW)</t>
  </si>
  <si>
    <t>Miscellaneous Health Professions</t>
  </si>
  <si>
    <t>Medical Illustration and Informatics</t>
  </si>
  <si>
    <t>Acupuncture and Oriental Medicine</t>
  </si>
  <si>
    <t>Acupuncture (NEW)</t>
  </si>
  <si>
    <t>Traditional Chinese/Asian Medicine and Chinese Herbology (NEW)</t>
  </si>
  <si>
    <t>Medical Dietitian</t>
  </si>
  <si>
    <t>Dietetics/ Dietitian (RD)</t>
  </si>
  <si>
    <t>Medical Illustration/Medical Illustrator</t>
  </si>
  <si>
    <t>Naturopathic Medicine/Naturopathy (ND)</t>
  </si>
  <si>
    <t>Psychoanalysis and Psychotherapy</t>
  </si>
  <si>
    <t>Medical Informatics   (NEW)</t>
  </si>
  <si>
    <t>Medical Illustration and Informatics, Other  (NEW)</t>
  </si>
  <si>
    <t>Dietetics and Clinical Nutrition Services (NEW)</t>
  </si>
  <si>
    <t>Clinical Nutrition/Nutritionist  (NEW)</t>
  </si>
  <si>
    <t>Dietetic Technician (DTR)   (NEW)</t>
  </si>
  <si>
    <t>Dietetics and Clinical Nutrition Services, Other   (NEW)</t>
  </si>
  <si>
    <t>Bioethics/Medical Ethics (NEW)</t>
  </si>
  <si>
    <t>Bioethics/Medical Ethics    (NEW)</t>
  </si>
  <si>
    <t>Alternative and Complementary Medicine and Medical Systems  (NEW)</t>
  </si>
  <si>
    <t>Homeopathic Medicine/Homeopathy   (NEW)</t>
  </si>
  <si>
    <t>51.3306</t>
  </si>
  <si>
    <t>Ayurvedic Medicine/Ayurveda   (NEW)</t>
  </si>
  <si>
    <t>Alternative and Complementary Medicine and Medical Systems, Other   (NEW)</t>
  </si>
  <si>
    <t>Alternative and Complementary Medical Support Services (NEW)</t>
  </si>
  <si>
    <t>Direct Entry Midwifery (LM, CPM)   (NEW)</t>
  </si>
  <si>
    <t>Alternative and Complementary Medical Support Services, Other    (NEW)</t>
  </si>
  <si>
    <t>Somatic Bodywork and Related Theraputic Services (NEW)</t>
  </si>
  <si>
    <t>Asian Bodywork Therapy  (NEW)</t>
  </si>
  <si>
    <t>Somatic Bodywork   (NEW)</t>
  </si>
  <si>
    <t>Somatic Bodywork and Related Theraputic Services, Other   (NEW)</t>
  </si>
  <si>
    <t>Movement and Mind-Body Therapies  (NEW)</t>
  </si>
  <si>
    <t>Yoga Teacher Training/Yoga Therapy   (New</t>
  </si>
  <si>
    <t>Movement and Mind-Body Therapies and Education, Other    (NEW)</t>
  </si>
  <si>
    <t>Energy and Biologically Based Therapies  (NEW)</t>
  </si>
  <si>
    <t>Aromatherapy    (NEW)</t>
  </si>
  <si>
    <t>Herbalism/Herbalist     (NEW)</t>
  </si>
  <si>
    <t>Polarity Therapy   (NEW)</t>
  </si>
  <si>
    <t>Reiki    (NEW)</t>
  </si>
  <si>
    <t>Energy and Biologically Based Therapies, Other    (NEW)</t>
  </si>
  <si>
    <t>Health Professions and Related Sciences, Other</t>
  </si>
  <si>
    <t>Health Professions and Related Clinical Sciences, Other</t>
  </si>
  <si>
    <t>Business/Commerce, General</t>
  </si>
  <si>
    <t>Logistics and Materials Management</t>
  </si>
  <si>
    <t>Office Supervision and Management</t>
  </si>
  <si>
    <t>Office Management and Supervision</t>
  </si>
  <si>
    <t>BUSINESS MANAGEMENT AND ADMINISTRATIVE SERVICES</t>
  </si>
  <si>
    <t>BUSINESS, MANAGEMENT, MARKETING, AND RELATED SUPPORT  SERVICES</t>
  </si>
  <si>
    <t>Business Administration and Management</t>
  </si>
  <si>
    <t>Business Administration, Management and Operations</t>
  </si>
  <si>
    <t>Business Administration and Management, General</t>
  </si>
  <si>
    <t>Purchasing, Procurement and Contracts Management</t>
  </si>
  <si>
    <t>Purchasing, Procurement/Acquisitions and Contracts Management</t>
  </si>
  <si>
    <t>Operations Management and Supervision</t>
  </si>
  <si>
    <t>Non-Profit and Public Management</t>
  </si>
  <si>
    <t>Non-Profit/Public/Organizational Management</t>
  </si>
  <si>
    <t>Customer Service Management   (NEW)</t>
  </si>
  <si>
    <t>E-Commerce/Electronic Commerce   (NEW)</t>
  </si>
  <si>
    <t>Transportation/Transportation Management   (NEW)</t>
  </si>
  <si>
    <t>Accounting and Related Services</t>
  </si>
  <si>
    <t>Accounting Technology/Technician and Bookkeeping</t>
  </si>
  <si>
    <t>Business Administration and Management, Other</t>
  </si>
  <si>
    <t>Business/Managerial Operations, Other</t>
  </si>
  <si>
    <t>Auditing   (NEW)</t>
  </si>
  <si>
    <t>Accounting and Finance   (NEW)</t>
  </si>
  <si>
    <t>Accounting and Business/Management   (NEW)</t>
  </si>
  <si>
    <t>Accounting and Related Services, Other</t>
  </si>
  <si>
    <t>Administrative and Secretarial Services</t>
  </si>
  <si>
    <t>Business Operations Support and Assistant Services</t>
  </si>
  <si>
    <t>Administrative Assistant and Secretarial Science, General</t>
  </si>
  <si>
    <t>Executive Assistant/Executive Secretary</t>
  </si>
  <si>
    <t>Financial Planning and Services</t>
  </si>
  <si>
    <t>Insurance and Risk Management</t>
  </si>
  <si>
    <t>Insurance</t>
  </si>
  <si>
    <t>Medical Administrative/Executive Assistant and Medical Secretary</t>
  </si>
  <si>
    <t>Court Reporting/Court Reporter</t>
  </si>
  <si>
    <t>Business/Office Automation/Technology/Data Entry</t>
  </si>
  <si>
    <t>General Office/Clerical and Typing Services</t>
  </si>
  <si>
    <t>General Office Occupations and Clerical Services</t>
  </si>
  <si>
    <t>Parts, Warehousing, and Inventory Management Operations   (NEW)</t>
  </si>
  <si>
    <t>Traffic, Customs, and Transportation Clerk/Technician   (NEW)</t>
  </si>
  <si>
    <t>Customer Service Support/Call Center/Teleservice Operation (NEW)</t>
  </si>
  <si>
    <t>Administrative and Secretarial Services, Other</t>
  </si>
  <si>
    <t>Business Operations Support and Secretarial Services, Other</t>
  </si>
  <si>
    <t>Business/Corporate Communications</t>
  </si>
  <si>
    <t>Enterprise Management and Operation</t>
  </si>
  <si>
    <t>Entrepreneurial and Small Business Operations</t>
  </si>
  <si>
    <t>Enterprise Management and Operation, General</t>
  </si>
  <si>
    <t>Entrepreneurship/Entrepreneurial Studies</t>
  </si>
  <si>
    <t>Franchising and Franchise Operations</t>
  </si>
  <si>
    <t>Small Business Administration/Management   (NEW)</t>
  </si>
  <si>
    <t>Financial Management and Services</t>
  </si>
  <si>
    <t>Finance and Financial Management Services</t>
  </si>
  <si>
    <t>Banking and Financial Support Services</t>
  </si>
  <si>
    <t>Enterprise Management and Operation, Other</t>
  </si>
  <si>
    <t>Entrepreneurial and Small Business Operations, Other</t>
  </si>
  <si>
    <t>Investments and Securities</t>
  </si>
  <si>
    <t>Credit Management   (NEW)</t>
  </si>
  <si>
    <t>Financial Management and Services, Other</t>
  </si>
  <si>
    <t>Finance and Financial Management Services, Other</t>
  </si>
  <si>
    <t>Hospitality/Administration Management</t>
  </si>
  <si>
    <t>Hospitality Administration/Management, General</t>
  </si>
  <si>
    <t>Hotel/Motel and Restaurant Management</t>
  </si>
  <si>
    <t>Hotel/Motel Administration/Management  (NEW)</t>
  </si>
  <si>
    <t>Restaurant/Food Services Management   (NEW)</t>
  </si>
  <si>
    <t>Tourism and Travel Services Management</t>
  </si>
  <si>
    <t>Resort Management   (NEW)</t>
  </si>
  <si>
    <t>Human Resources Management and Services</t>
  </si>
  <si>
    <t>Labor/Personnel Relations and Studies</t>
  </si>
  <si>
    <t>Labor and Industrial Relations</t>
  </si>
  <si>
    <t>Hospitality Administration/Management, Other</t>
  </si>
  <si>
    <t>Human Resources Management/Personnel Administration, General</t>
  </si>
  <si>
    <t>Labor Studies   (NEW)</t>
  </si>
  <si>
    <t>Human Resources Development   (NEW)</t>
  </si>
  <si>
    <t>Human Resources Management and Services, Other</t>
  </si>
  <si>
    <t>International Business/Trade/Commerce</t>
  </si>
  <si>
    <t>General Sales, Merchandising and Related Marketing Operations (NEW)</t>
  </si>
  <si>
    <t>Specialized Sales,  Merchandising, and Related Marketing Operations  (NEW)</t>
  </si>
  <si>
    <t>Business Information and  Data Processing Services</t>
  </si>
  <si>
    <t>Management Information Systems and Services</t>
  </si>
  <si>
    <t>Management Information Systems and Business Data Processing, General</t>
  </si>
  <si>
    <t>Management Information Systems, General</t>
  </si>
  <si>
    <t>Computer Programming Special Applications  (NEW)</t>
  </si>
  <si>
    <t>Business Systems Analysis and Design</t>
  </si>
  <si>
    <t>Computer Systems Analyst/Analysis</t>
  </si>
  <si>
    <t>Business Systems Networking and Telecommunications</t>
  </si>
  <si>
    <t>Computer/Information Technology Services Administration and Management,Other   (NEW)</t>
  </si>
  <si>
    <t>Information Resources Management/CIO Training   (NEW)</t>
  </si>
  <si>
    <t>Knowledge Management   (NEW)</t>
  </si>
  <si>
    <t>Business Information and Data Processing Services, Other</t>
  </si>
  <si>
    <t>Management Information Systems and Services, Other</t>
  </si>
  <si>
    <t>Canadian Citizenship Education  (NEW)</t>
  </si>
  <si>
    <t>HEALTH-RELATED KNOWLEDGE AND SKILLS</t>
  </si>
  <si>
    <t>Business Quantitative Methods and Management Science</t>
  </si>
  <si>
    <t>Management Sciences and Quantitative Methods</t>
  </si>
  <si>
    <t>Management Science, General</t>
  </si>
  <si>
    <t>Business Quantitative Methods and Management Science, Other</t>
  </si>
  <si>
    <t>Management Sciences and Quantitative Methods, Other</t>
  </si>
  <si>
    <t>Marketing Management and Research</t>
  </si>
  <si>
    <t>Marketing</t>
  </si>
  <si>
    <t>Business Marketing and Marketing Management</t>
  </si>
  <si>
    <t>Marketing/Marketing Management, General</t>
  </si>
  <si>
    <t>International Marketing</t>
  </si>
  <si>
    <t>Marketing Management and Research, Other</t>
  </si>
  <si>
    <t>Marketing, Other</t>
  </si>
  <si>
    <t>Insurance  (NEW)</t>
  </si>
  <si>
    <t>Construction Management  (NEW)</t>
  </si>
  <si>
    <t>Construction Management   (NEW)</t>
  </si>
  <si>
    <t>Business Management and Administrative Services, Other</t>
  </si>
  <si>
    <t>Business, Management, Marketing, and Related Support Services</t>
  </si>
  <si>
    <t>Business, Management, Marketing, and Related Support Services, Other</t>
  </si>
  <si>
    <t>Consumer and Homemaking Education</t>
  </si>
  <si>
    <t>Comprehensive Consumer Sciences and Homemaking Education</t>
  </si>
  <si>
    <t>Child Development, Care and Guidance</t>
  </si>
  <si>
    <t>Clothing and Textiles</t>
  </si>
  <si>
    <t>Homemaking</t>
  </si>
  <si>
    <t>Family Living and Parenthood</t>
  </si>
  <si>
    <t>Foods and Nutrition</t>
  </si>
  <si>
    <t>Housing, Home Furnishings, and Equipment</t>
  </si>
  <si>
    <t>Consumer and Homemaking Education, Other</t>
  </si>
  <si>
    <t>CHAPTER</t>
  </si>
  <si>
    <t>III.  TECHNOLOGY EDUCATION/INDUSTRIAL ARTS</t>
  </si>
  <si>
    <t>III.  TECHNOLOGY EDUCATION/INDUSTRIAL ARTS PROGRAMS</t>
  </si>
  <si>
    <t>TECHNOLOGY EDUCATION/INDUSTRIAL ARTS</t>
  </si>
  <si>
    <t>RESERVE OFFICERS' TRAINING CORPS  (R.O.T.C.)</t>
  </si>
  <si>
    <t>RESERVE OFFICER TRAINING CORPS (JROTC, ROTC)</t>
  </si>
  <si>
    <t>Air Force R.O.T.C.</t>
  </si>
  <si>
    <t>Air Force JROTC/ROTC</t>
  </si>
  <si>
    <t>Army R.O.T.C.</t>
  </si>
  <si>
    <t>Army JROTC/ROTC</t>
  </si>
  <si>
    <t>Navy/Marine Corps R.O.T.C.</t>
  </si>
  <si>
    <t>Navy/Marine Corps JROTC/ROTC</t>
  </si>
  <si>
    <t>BASIC SKILLS</t>
  </si>
  <si>
    <t>Numeracy and Computational Skills</t>
  </si>
  <si>
    <t>Job Seeking/Changing Skills</t>
  </si>
  <si>
    <t>Reading, Literacy, and Communication Skills</t>
  </si>
  <si>
    <t>Literacy and Communication Skills</t>
  </si>
  <si>
    <t>Second Language Learning (NEW)</t>
  </si>
  <si>
    <t>CITIZENSHIP ACTIVITIES</t>
  </si>
  <si>
    <t>U.S. Citizenship Education</t>
  </si>
  <si>
    <t>Birthing and Parenting Knowledge and Skills</t>
  </si>
  <si>
    <t>Personal Health Improvement and Maintenance</t>
  </si>
  <si>
    <t>Addiction Prevention and Treatment</t>
  </si>
  <si>
    <t>INTERPERSONAL AND SOCIAL SKILLS</t>
  </si>
  <si>
    <t>Interpersonal Social Skills</t>
  </si>
  <si>
    <t>Business and Social Skills</t>
  </si>
  <si>
    <t>Health-Related Knowledge and Skills, Other</t>
  </si>
  <si>
    <t>Interpersonal and Social Skills, General</t>
  </si>
  <si>
    <t>Interpersonal and Social Skills, Other</t>
  </si>
  <si>
    <t>Interpersonal Social Skills, Oth­er</t>
  </si>
  <si>
    <t>LEISURE AND RECREATIONAL ACTIVITIES</t>
  </si>
  <si>
    <t>Leisure and Recreational Activi­ties</t>
  </si>
  <si>
    <t>Leisure and Recreational Activities, General</t>
  </si>
  <si>
    <t>Leisure and Recreational Activi­ties, General</t>
  </si>
  <si>
    <t>Handicrafts and Model-Making</t>
  </si>
  <si>
    <t>Board, Card and Role-Playing Games</t>
  </si>
  <si>
    <t>Home Maintenance and Improvement</t>
  </si>
  <si>
    <t>Pet Ownership and Care</t>
  </si>
  <si>
    <t>Sports and Exercise</t>
  </si>
  <si>
    <t>Travel and Exploration</t>
  </si>
  <si>
    <t>Cooking and Other Domestic Skills</t>
  </si>
  <si>
    <t>Computer Games and Programming Skills</t>
  </si>
  <si>
    <t>Theatre/Theater</t>
  </si>
  <si>
    <t>Leisure and Recreational Activities, Other</t>
  </si>
  <si>
    <t>PERSONAL AWARENESS AND SELF-IMPROVEMENT</t>
  </si>
  <si>
    <t>Colon and Rectal Surgery Residency</t>
  </si>
  <si>
    <t>Colon and Rectal Surgery</t>
  </si>
  <si>
    <t>Critical Care Anesthesiology</t>
  </si>
  <si>
    <t>Self-Awareness and Personal Assessment</t>
  </si>
  <si>
    <t>Stress Management and Coping Skills</t>
  </si>
  <si>
    <t>Self-Esteem and Values Clarification</t>
  </si>
  <si>
    <t>Personal Awareness and Self-Improvement, Other</t>
  </si>
  <si>
    <t>51.28</t>
  </si>
  <si>
    <t>Endodontics Speciality</t>
  </si>
  <si>
    <t>Dental Residency Program, Other</t>
  </si>
  <si>
    <t>51.29</t>
  </si>
  <si>
    <t>Aerospace Medicine</t>
  </si>
  <si>
    <t>Allergies and Immunology Residency</t>
  </si>
  <si>
    <t>Allergies and Immunology</t>
  </si>
  <si>
    <t>Anesthesiology</t>
  </si>
  <si>
    <t>Blood Banking</t>
  </si>
  <si>
    <t>Cardiology</t>
  </si>
  <si>
    <t>Chemical Pathology</t>
  </si>
  <si>
    <t>Child/Pediatric Neurology</t>
  </si>
  <si>
    <t>Child Psychiatry</t>
  </si>
  <si>
    <t>Critical Care Medicine</t>
  </si>
  <si>
    <t>Critical Care Surgery</t>
  </si>
  <si>
    <t>Dermatology</t>
  </si>
  <si>
    <t>Dermatopathology</t>
  </si>
  <si>
    <t>Diagnostic Radiology</t>
  </si>
  <si>
    <t>Emergency Medicine</t>
  </si>
  <si>
    <t>Endocrinology and Metabolism Residen­cy</t>
  </si>
  <si>
    <t>Endocrinology and Metabolism</t>
  </si>
  <si>
    <t>Family Medicine</t>
  </si>
  <si>
    <t>Forensic Pathology</t>
  </si>
  <si>
    <t>Gastroenterology</t>
  </si>
  <si>
    <t>General Surgery</t>
  </si>
  <si>
    <t>Geriatric Medicine Residency (Family Practice)</t>
  </si>
  <si>
    <t>Geriatric Medicine</t>
  </si>
  <si>
    <t>Hand Surgery</t>
  </si>
  <si>
    <t>Hematology</t>
  </si>
  <si>
    <t>Hematological Pathology</t>
  </si>
  <si>
    <t>Immunopathology</t>
  </si>
  <si>
    <t>Infectious Disease</t>
  </si>
  <si>
    <t>Internal Medicine</t>
  </si>
  <si>
    <t>Laboratory Medicine</t>
  </si>
  <si>
    <t>Musculoskeletal Oncology</t>
  </si>
  <si>
    <t>Neonatal-Perinatal Medicine Residen­cy</t>
  </si>
  <si>
    <t>Neonatal-Perinatal Medicine</t>
  </si>
  <si>
    <t>Nephrology</t>
  </si>
  <si>
    <t>Neurological Surgery/Neurosurgery Resi­dency</t>
  </si>
  <si>
    <t>Neurological Surgery/Neurosurgery</t>
  </si>
  <si>
    <t>Neurology</t>
  </si>
  <si>
    <t>Neuropathology</t>
  </si>
  <si>
    <t>Nuclear Medicine</t>
  </si>
  <si>
    <t>Nuclear Radiology</t>
  </si>
  <si>
    <t>Obstetrics and Gynecology Residency</t>
  </si>
  <si>
    <t>Obstetrics and Gynecology</t>
  </si>
  <si>
    <t>Occupational Medicine</t>
  </si>
  <si>
    <t>Oncology</t>
  </si>
  <si>
    <t>Ophthalmology</t>
  </si>
  <si>
    <t>Orthopedics/Orthopedic Surgery Residen­cy</t>
  </si>
  <si>
    <t>Orthopedics/Orthopedic Surgery</t>
  </si>
  <si>
    <t>Otolaryngology</t>
  </si>
  <si>
    <t>Pathology</t>
  </si>
  <si>
    <t>Pediatric Cardiology</t>
  </si>
  <si>
    <t>Pediatric Endocrinology</t>
  </si>
  <si>
    <t>Pediatric Hemato‑Oncology Residency</t>
  </si>
  <si>
    <t>Pediatric Hemato-Oncology</t>
  </si>
  <si>
    <t>Pediatric Nephrology</t>
  </si>
  <si>
    <t>Pediatric Orthopedics</t>
  </si>
  <si>
    <t>Pediatric Surgery</t>
  </si>
  <si>
    <t>Pediatrics</t>
  </si>
  <si>
    <t>Physical and Rehabilitation Medicine Residency</t>
  </si>
  <si>
    <t>Physical and Rehabilitation Medicine</t>
  </si>
  <si>
    <t>Plastic Surgery</t>
  </si>
  <si>
    <t>Preventive Medicine</t>
  </si>
  <si>
    <t>Psychiatry</t>
  </si>
  <si>
    <t>Public Health Medicine</t>
  </si>
  <si>
    <t>Pulmonary Disease</t>
  </si>
  <si>
    <t>Radiation Oncology</t>
  </si>
  <si>
    <t>Radioisotopic Pathology</t>
  </si>
  <si>
    <t>Rheumatology</t>
  </si>
  <si>
    <t>Sports Medicine</t>
  </si>
  <si>
    <t>Thoracic Surgery</t>
  </si>
  <si>
    <t>Urology</t>
  </si>
  <si>
    <t>Vascular Surgery</t>
  </si>
  <si>
    <t>Adult Reconstructive Orthopedics (Orthopedic Surgery)  (NEW))</t>
  </si>
  <si>
    <t>Child Neurology     (NEW)</t>
  </si>
  <si>
    <t>Cytopathology     (NEW)</t>
  </si>
  <si>
    <t>Geriatric Medicine (Internal Medicine)   (NEW)</t>
  </si>
  <si>
    <t>Pediatric Urology   (NEW)</t>
  </si>
  <si>
    <t>Physical Medical and Rehabilitation/Psychiatry    (NEW)</t>
  </si>
  <si>
    <t>Orthopedic Surgery of the Spine     (NEW)</t>
  </si>
  <si>
    <t>Medical Residency Programs, Other     (NEW)</t>
  </si>
  <si>
    <t>51.30</t>
  </si>
  <si>
    <t>Veterinary Emergency and Critical Care Medicine</t>
  </si>
  <si>
    <t>High School/Secondary Diploma Programs</t>
  </si>
  <si>
    <t>Adult High School/Secondary Diploma Program  (NEW)</t>
  </si>
  <si>
    <t>Certificate of IEP Completion Program</t>
  </si>
  <si>
    <t>Regular/General High School/ Secondary Diploma Program</t>
  </si>
  <si>
    <t>College/University Preparatory and Advanced High School/Secondary Diploma Program</t>
  </si>
  <si>
    <t>Vocational High School and Secondary Business/Vocational-  Industrial/Occupational Diploma Program</t>
  </si>
  <si>
    <t>Honors/Regents High School Diploma Program</t>
  </si>
  <si>
    <t>Honors/Regents High School/Secondary Diploma Program</t>
  </si>
  <si>
    <t>High School/Secondary School Diplomas, Other</t>
  </si>
  <si>
    <t>High School/Secondary Diploma Programs, Other</t>
  </si>
  <si>
    <t>High School/Secondary School  Certificates</t>
  </si>
  <si>
    <t>High School/Secondary School Certificates</t>
  </si>
  <si>
    <t>High School Equivalence Certificate Program  Certificate</t>
  </si>
  <si>
    <t>High School Equivalence Certificate Program</t>
  </si>
  <si>
    <t>High School Certificate of Competence Program</t>
  </si>
  <si>
    <t>High School/Secondary Certificate Programs, Other(Located in Appendix A)</t>
  </si>
  <si>
    <t>LANGUE et LITTÉRATURES FRANÇAISES/LETTRES   (NEW)</t>
  </si>
  <si>
    <t>55.01</t>
  </si>
  <si>
    <t>Langue et littérature française, général</t>
  </si>
  <si>
    <t>55.0101</t>
  </si>
  <si>
    <t>55.02</t>
  </si>
  <si>
    <t>Littérature comparative</t>
  </si>
  <si>
    <t>55.0201</t>
  </si>
  <si>
    <t>55.03</t>
  </si>
  <si>
    <t>Composition française</t>
  </si>
  <si>
    <t>55.0301</t>
  </si>
  <si>
    <t>55.04</t>
  </si>
  <si>
    <t>Écriture créative en française</t>
  </si>
  <si>
    <t>55.0401</t>
  </si>
  <si>
    <t>55.05</t>
  </si>
  <si>
    <t>Littérature Canadienne française</t>
  </si>
  <si>
    <t>55.0501</t>
  </si>
  <si>
    <t>55.06</t>
  </si>
  <si>
    <t>Littérature françaises (France et  la Communauté français)</t>
  </si>
  <si>
    <t>55.0601</t>
  </si>
  <si>
    <t>Littérature françaises (France et  la Communauté française)</t>
  </si>
  <si>
    <t>55.07</t>
  </si>
  <si>
    <t>Discours et rhétorique</t>
  </si>
  <si>
    <t>55.0701</t>
  </si>
  <si>
    <t>55.08</t>
  </si>
  <si>
    <t>Rédaction technique et commercielle en français</t>
  </si>
  <si>
    <t>55.0801</t>
  </si>
  <si>
    <t>55.99</t>
  </si>
  <si>
    <t>Langue et Littérature Française, Autres</t>
  </si>
  <si>
    <t>55.9999</t>
  </si>
  <si>
    <t>Langue et littérature française, général     (NEW)</t>
  </si>
  <si>
    <t>LANGUE et LITTÉRATURES FRANÇAISES/LETTRES</t>
  </si>
  <si>
    <t>Langue et littérature française, général    (NEW)</t>
  </si>
  <si>
    <t>Littérature comparative    (NEW)</t>
  </si>
  <si>
    <t>Littérature comparative   (NEW)</t>
  </si>
  <si>
    <t>Composition française    (NEW)</t>
  </si>
  <si>
    <t>Composition française   (NEW)</t>
  </si>
  <si>
    <t>Écriture créative en française    (NEW)</t>
  </si>
  <si>
    <t>Littérature Canadienne française    (NEW)</t>
  </si>
  <si>
    <t>Littérature françaises (France et  la Communauté français)  (NEW)</t>
  </si>
  <si>
    <t>Discours et rhétorique   (NEW)</t>
  </si>
  <si>
    <t>Discours et rhétorique    (NEW)</t>
  </si>
  <si>
    <t>Rédaction technique et commercielle en français   (NEW)</t>
  </si>
  <si>
    <t>Langue et Littérature Française, Autres    (NEW)</t>
  </si>
  <si>
    <t>HEGIS</t>
  </si>
  <si>
    <t>HEGIS_TITLE</t>
  </si>
  <si>
    <t>CIP2kTITLE</t>
  </si>
  <si>
    <t>0114</t>
  </si>
  <si>
    <t>FORESTRY</t>
  </si>
  <si>
    <t>0107</t>
  </si>
  <si>
    <t>FISH, GAME AND WILDLIFE MANAGEMENT</t>
  </si>
  <si>
    <t>5403</t>
  </si>
  <si>
    <t>FORESTRY AND WILDLIFE TECHNOLOGIES (INCLUDING FISHERIES)</t>
  </si>
  <si>
    <t>0202</t>
  </si>
  <si>
    <t>ARCHITECTURE</t>
  </si>
  <si>
    <t>5602</t>
  </si>
  <si>
    <t>ARCHITECTURAL TECHNOLOGY, PRE-BACCALAUREATE LIBERAL ARTS</t>
  </si>
  <si>
    <t>0206</t>
  </si>
  <si>
    <t>CITY, COMMUNITY, AND REGIONAL PLANNING</t>
  </si>
  <si>
    <t>0205</t>
  </si>
  <si>
    <t>URBAN ARCHITECTURE</t>
  </si>
  <si>
    <t>0201</t>
  </si>
  <si>
    <t>ENVIRONMENTAL DESIGN, GENERAL</t>
  </si>
  <si>
    <t>0203</t>
  </si>
  <si>
    <t>INTERIOR DESIGN</t>
  </si>
  <si>
    <t>0204</t>
  </si>
  <si>
    <t>LANDSCAPE ARCHITECTURE</t>
  </si>
  <si>
    <t>0299</t>
  </si>
  <si>
    <t>ARCHITECTURE AND ENVIRONMENTAL DESIGN OTHER</t>
  </si>
  <si>
    <t>0305</t>
  </si>
  <si>
    <t>AFRICAN STUDIES</t>
  </si>
  <si>
    <t>0313</t>
  </si>
  <si>
    <t>AMERICAN STUDIES</t>
  </si>
  <si>
    <t>5601</t>
  </si>
  <si>
    <t>AGRICULTURE, PRE-BACCALAUREATE LIBERAL ARTS</t>
  </si>
  <si>
    <t>0101</t>
  </si>
  <si>
    <t>AGRICULTURE, GENERAL</t>
  </si>
  <si>
    <t>0110</t>
  </si>
  <si>
    <t>AGRICULTURAL AND FARM MANAGEMENT</t>
  </si>
  <si>
    <t>0112</t>
  </si>
  <si>
    <t>AGRICULTURAL BUSINESS</t>
  </si>
  <si>
    <t>0111</t>
  </si>
  <si>
    <t>AGRICULTURAL ECONOMICS</t>
  </si>
  <si>
    <t>0109</t>
  </si>
  <si>
    <t>ORNAMENTAL HORTICULTURE (FLORICULTURE, NURSERY SCIENCE)</t>
  </si>
  <si>
    <t>0104</t>
  </si>
  <si>
    <t>ANIMAL SCIENCE (HUSBANDRY)</t>
  </si>
  <si>
    <t>0105</t>
  </si>
  <si>
    <t>DAIRY SCIENCE (HUSBANDRY)</t>
  </si>
  <si>
    <t>0106</t>
  </si>
  <si>
    <t>POULTRY SCIENCE</t>
  </si>
  <si>
    <t>0113</t>
  </si>
  <si>
    <t>FOOD SCIENCE AND TECHNOLOGY</t>
  </si>
  <si>
    <t>0102</t>
  </si>
  <si>
    <t>AGRONOMY, FIELD CROPS, AND CROP MANAGEMENT</t>
  </si>
  <si>
    <t>0108</t>
  </si>
  <si>
    <t>HORTICULTURE (FRUIT AND VEGETABLE PRODUCTION)</t>
  </si>
  <si>
    <t>0117</t>
  </si>
  <si>
    <t>RANGE MANAGEMENT</t>
  </si>
  <si>
    <t>0103</t>
  </si>
  <si>
    <t>SOILS SCIENCE (MANAGEMENT AND CONSERVATION)</t>
  </si>
  <si>
    <t>0199</t>
  </si>
  <si>
    <t>AGRICULTURE AND NATURAL RESOURCES OTHER</t>
  </si>
  <si>
    <t>5402</t>
  </si>
  <si>
    <t>AGRICULTURE TECHNOLOGIES (INCLUDING HORTICULTURE)</t>
  </si>
  <si>
    <t>0115</t>
  </si>
  <si>
    <t>NATURAL RESOURCES MANAGEMENT</t>
  </si>
  <si>
    <t>0116</t>
  </si>
  <si>
    <t>AGRICULTURE AND FORESTRY TECHNOLOGIES</t>
  </si>
  <si>
    <t>0301</t>
  </si>
  <si>
    <t>ASIAN STUDIES</t>
  </si>
  <si>
    <t>0302</t>
  </si>
  <si>
    <t>EAST ASIAN STUDIES</t>
  </si>
  <si>
    <t>0311</t>
  </si>
  <si>
    <t>EASTERN EUROPEAN STUDIES</t>
  </si>
  <si>
    <t>0310</t>
  </si>
  <si>
    <t>EUROPEAN STUDIES, GENERAL</t>
  </si>
  <si>
    <t>0308</t>
  </si>
  <si>
    <t>LATIN AMERICAN STUDIES</t>
  </si>
  <si>
    <t>0309</t>
  </si>
  <si>
    <t>MIDDLE EASTERN STUDIES</t>
  </si>
  <si>
    <t>0314</t>
  </si>
  <si>
    <t>PACIFIC AREA STUDIES</t>
  </si>
  <si>
    <t>0307</t>
  </si>
  <si>
    <t>RUSSIAN AND SLAVIC STUDIES</t>
  </si>
  <si>
    <t>0303</t>
  </si>
  <si>
    <t>SOUTH ASIAN (INDIA, ETC.) STUDIES</t>
  </si>
  <si>
    <t>0304</t>
  </si>
  <si>
    <t>SOUTHEAST ASIAN STUDIES</t>
  </si>
  <si>
    <t>0312</t>
  </si>
  <si>
    <t>WEST EUROPEAN STUDIES</t>
  </si>
  <si>
    <t>2211</t>
  </si>
  <si>
    <t>AFRO-AMERICAN (BLACK CULTURE) STUDIES</t>
  </si>
  <si>
    <t>2212</t>
  </si>
  <si>
    <t>AMERICAN INDIAN CULTURAL STUDIES</t>
  </si>
  <si>
    <t>2213</t>
  </si>
  <si>
    <t>MEXICAN-AMERICAN CULTURAL STUDIES</t>
  </si>
  <si>
    <t>0399</t>
  </si>
  <si>
    <t>AREA STUDIES OTHER</t>
  </si>
  <si>
    <t>5603</t>
  </si>
  <si>
    <t>AREA STUDIES, PRE-BACCALAUREATE LIBERAL ARTS</t>
  </si>
  <si>
    <t>0601</t>
  </si>
  <si>
    <t>COMMUNICATIONS, GENERAL</t>
  </si>
  <si>
    <t>5606</t>
  </si>
  <si>
    <t>COMMUNICATIONS, PRE-BACCALAUREATE LIBERAL ARTS</t>
  </si>
  <si>
    <t>0602</t>
  </si>
  <si>
    <t>JOURNALISM (PRINTED MEDIA)</t>
  </si>
  <si>
    <t>0603</t>
  </si>
  <si>
    <t>RADIO/TELEVISION</t>
  </si>
  <si>
    <t>0604</t>
  </si>
  <si>
    <t>ADVERTISING</t>
  </si>
  <si>
    <t>0699</t>
  </si>
  <si>
    <t>COMMUNICATIONS OTHER</t>
  </si>
  <si>
    <t>5007</t>
  </si>
  <si>
    <t>PHOTOGRAPHY TECHNOLOGIES</t>
  </si>
  <si>
    <t>5008</t>
  </si>
  <si>
    <t>COMMUNICATIONS AND BROADCASTING TECH. (RADIO/TV/NEWSPAPERS)</t>
  </si>
  <si>
    <t>0605</t>
  </si>
  <si>
    <t>COMMUNICATIONS MEDIA (VIDEOTAPE, FILM FOR RADIO/TV)</t>
  </si>
  <si>
    <t>5009</t>
  </si>
  <si>
    <t>PRINTING AND LITHOGRAPHY TECHNOLOGIES</t>
  </si>
  <si>
    <t>0701</t>
  </si>
  <si>
    <t>COMPUTER AND INFORMATION SCIENCES, GENERAL</t>
  </si>
  <si>
    <t>0704</t>
  </si>
  <si>
    <t>COMPUTER PROGRAMMING</t>
  </si>
  <si>
    <t>5103</t>
  </si>
  <si>
    <t>COMPUTER PROGRAMMER TECHNOLOGIES</t>
  </si>
  <si>
    <t>5101</t>
  </si>
  <si>
    <t>DATA PROCESSING TECHNOLOGIES, GENERAL</t>
  </si>
  <si>
    <t>0703</t>
  </si>
  <si>
    <t>DATA PROCESSING</t>
  </si>
  <si>
    <t>0702</t>
  </si>
  <si>
    <t>INFORMATION SCIENCES AND SYSTEMS</t>
  </si>
  <si>
    <t>0705</t>
  </si>
  <si>
    <t>SYSTEMS ANALYSIS</t>
  </si>
  <si>
    <t>5104</t>
  </si>
  <si>
    <t>COMPUTER OPERATOR AND PERIPHERAL EQUIPMENT OPERATION TECH.</t>
  </si>
  <si>
    <t>5199</t>
  </si>
  <si>
    <t>DATA PROCESSING TECHNOLOGIES OTHER</t>
  </si>
  <si>
    <t>0799</t>
  </si>
  <si>
    <t>COMPUTER AND INFORMATION SCIENCES OTHER</t>
  </si>
  <si>
    <t>5006</t>
  </si>
  <si>
    <t>PERSONAL SERVICE TECHNOLOGIES (STEWARDESS, COSMETOL., ETC.)</t>
  </si>
  <si>
    <t>5404</t>
  </si>
  <si>
    <t>FOOD SERVICE TECHNOLOGIES</t>
  </si>
  <si>
    <t>0801</t>
  </si>
  <si>
    <t>EDUCATION, GENERAL</t>
  </si>
  <si>
    <t>5608</t>
  </si>
  <si>
    <t>EDUCATION, PRE-BACCALAUREATE LIBERAL ARTS</t>
  </si>
  <si>
    <t>0829</t>
  </si>
  <si>
    <t>CURRICULUM AND INSTRUCTION</t>
  </si>
  <si>
    <t>0827</t>
  </si>
  <si>
    <t>EDUCATIONAL ADMINISTRATION</t>
  </si>
  <si>
    <t>0809</t>
  </si>
  <si>
    <t>ADMINISTRATION OF SPECIAL EDUCATION</t>
  </si>
  <si>
    <t>0828</t>
  </si>
  <si>
    <t>EDUCATIONAL SUPERVISION</t>
  </si>
  <si>
    <t>0805</t>
  </si>
  <si>
    <t>HIGHER EDUCATION, GENERAL</t>
  </si>
  <si>
    <t>0806</t>
  </si>
  <si>
    <t>JUNIOR AND COMMUNITY COLLEGE EDUCATION</t>
  </si>
  <si>
    <t>0824</t>
  </si>
  <si>
    <t>EDUCATIONAL STATISTICS AND RESEARCH</t>
  </si>
  <si>
    <t>0825</t>
  </si>
  <si>
    <t>EDUCATIONAL TESTING, EVALUATION AND MEASUREMENT</t>
  </si>
  <si>
    <t>0821</t>
  </si>
  <si>
    <t>SOCIAL FOUNDATIONS (HISTORY AND PHILOSOPHY OF EDUCATION)</t>
  </si>
  <si>
    <t>0808</t>
  </si>
  <si>
    <t>SPECIAL EDUCATION, GENERAL</t>
  </si>
  <si>
    <t>0812</t>
  </si>
  <si>
    <t>EDUCATION OF THE DEAF</t>
  </si>
  <si>
    <t>0811</t>
  </si>
  <si>
    <t>EDUCATION OF THE GIFTED</t>
  </si>
  <si>
    <t>0816</t>
  </si>
  <si>
    <t>EDUCATION OF THE EMOTIONALLY DISTURBED</t>
  </si>
  <si>
    <t>0810</t>
  </si>
  <si>
    <t>EDUCATION OF THE MENTALLY RETARDED</t>
  </si>
  <si>
    <t>0820</t>
  </si>
  <si>
    <t>EDUCATION OF THE MULTIPLE HANDICAPPED</t>
  </si>
  <si>
    <t>0819</t>
  </si>
  <si>
    <t>EDUCATION OF THE PHYSICALLY HANDICAPPED</t>
  </si>
  <si>
    <t>0814</t>
  </si>
  <si>
    <t>EDUCATION OF THE VISUALLY HANDICAPPED</t>
  </si>
  <si>
    <t>0818</t>
  </si>
  <si>
    <t>SPECIAL LEARNING DISABILITIES</t>
  </si>
  <si>
    <t>0815</t>
  </si>
  <si>
    <t>Manufacturing Technology/Technician (NEW)</t>
  </si>
  <si>
    <t>Plastics Engineering Technology/Technician</t>
  </si>
  <si>
    <t>Computer Technology/Computer Systems Technology  (NEW)</t>
  </si>
  <si>
    <t>Electromechanical Technology/Electromechanical Engineering Technology</t>
  </si>
  <si>
    <t>Electromechanical Instrumentation and Maintenance Technologies/Technicians, Other</t>
  </si>
  <si>
    <t>Electromechanical and Instrumentation and Maintenance Technologies/Technicians, Other</t>
  </si>
  <si>
    <t>Environmental Control Technologies/Technicians</t>
  </si>
  <si>
    <t>Heating, Air Conditioning and Refrigeration EngineeringTechnology/Technician</t>
  </si>
  <si>
    <t>Heating, Air Conditioning and Refrigeration Technology/Technician (ACH/ACR/ACHR/HRAC/HVAC/AC Technology)</t>
  </si>
  <si>
    <t>Energy Management and Systems Technology/Technician</t>
  </si>
  <si>
    <t>Water Quality and Wastewater Treatment Technology/Technician</t>
  </si>
  <si>
    <t>Water Quality and Wastewater Treatment Management and Recycling Technology/Technician</t>
  </si>
  <si>
    <t>Environmental and Pollution Control Technology/Technician</t>
  </si>
  <si>
    <t>Environmental Engineering Technology/Environmental Technology</t>
  </si>
  <si>
    <t>Industrial Production Technologies/Technicians</t>
  </si>
  <si>
    <t>Industrial Technology/Technician (NEW)</t>
  </si>
  <si>
    <t>Computer Technology/Computer Systems Technology (NEW)</t>
  </si>
  <si>
    <t>African Languages, Literatures, and Linguistics   (NEW)</t>
  </si>
  <si>
    <t>African Languages, Literatures, and Linguistics (NEW)</t>
  </si>
  <si>
    <t>East Asian Languages, Literatures, and Linguistics, General  (NEW)</t>
  </si>
  <si>
    <t>Chinese Language and Literature</t>
  </si>
  <si>
    <t>Quality Control and Safety Technologies</t>
  </si>
  <si>
    <t>Quality Control and Safety Technologies/Technicians</t>
  </si>
  <si>
    <t>Occupational Safety and Health Technology/Technician</t>
  </si>
  <si>
    <t>Industrial Safety Technology/Technician  (NEW)</t>
  </si>
  <si>
    <t>Hazardous Materials Information Systems Technology/Technician  (NEW)</t>
  </si>
  <si>
    <t>Quality Control and Safety Technologies/Technicians, Other</t>
  </si>
  <si>
    <t>Mechanical Engineering Related Technologies/Technicians</t>
  </si>
  <si>
    <t>Aeronautical and Aerospace Engineering Technology/Technician</t>
  </si>
  <si>
    <t>Aeronautical/Aerospace Engineering Technology/Technician</t>
  </si>
  <si>
    <t>Mechanical Engineering-Related Technologies/Technicians, Other</t>
  </si>
  <si>
    <t>Mechanical Engineering Related Technologies/Technicians, Other</t>
  </si>
  <si>
    <t>Mining and Petroleum Technologies</t>
  </si>
  <si>
    <t>Mining and Petroleum Technologies/Technicians</t>
  </si>
  <si>
    <t>Survey Technology/ Surveying</t>
  </si>
  <si>
    <t>Engineering-Related Technologies, Other   (NEW)</t>
  </si>
  <si>
    <t>Computer Engineering Technologies/Technicians   (NEW)</t>
  </si>
  <si>
    <t>Mining and Petroleum Technologies/Technicians, Other</t>
  </si>
  <si>
    <t>Construction Engineering Technology/Technician</t>
  </si>
  <si>
    <t>Engineering-Related Technology/Technician, General</t>
  </si>
  <si>
    <t>Engineering Technology, General</t>
  </si>
  <si>
    <t>Hydraulic Technology/Technician</t>
  </si>
  <si>
    <t>Hydraulics and Fluid Power Technology/ Technician</t>
  </si>
  <si>
    <t>Computer Hardware Technology/Technician  (NEW)</t>
  </si>
  <si>
    <t>Computer Software Technology/Technician   (NEW)</t>
  </si>
  <si>
    <t>Computer Engineering Technologies/Technicians, Other  (NEW)</t>
  </si>
  <si>
    <t>Drafting/Design Engineering Technologies/Technicians (NEW)</t>
  </si>
  <si>
    <t>CAD/CADD Drafting and/or Design Technology/Technician  (NEW)</t>
  </si>
  <si>
    <t>Nuclear Engineering Technology/Technician   (NEW)</t>
  </si>
  <si>
    <t>15.1599</t>
  </si>
  <si>
    <t>Engineering-Related Fields, Other  (NEW)</t>
  </si>
  <si>
    <t>Engineering Technologies/Technicians, Other</t>
  </si>
  <si>
    <t>FOREIGN LANGUAGES AND LITERATURES</t>
  </si>
  <si>
    <t>FOREIGN LANGUAGES, LITERATURES, AND LINGUISTICS</t>
  </si>
  <si>
    <t>Linguistic, Comparative, and Related Language Studies and Services</t>
  </si>
  <si>
    <t>Foreign Languages and Literatures, General</t>
  </si>
  <si>
    <t>Filipino/Tagalog Language and Literature   (NEW)</t>
  </si>
  <si>
    <t>Khmer/Cambodian Language and Literature   (NEW)</t>
  </si>
  <si>
    <t>Lao/Laotian Language and Literature  (NEW)</t>
  </si>
  <si>
    <t>Thai Language and Literature  (NEW)</t>
  </si>
  <si>
    <t>Linguistic, Comparative, and Related Language Studies and Services, Other   (NEW)</t>
  </si>
  <si>
    <t>Foreign Language Interpretation and Translation</t>
  </si>
  <si>
    <t>Language Interpretation and Translation</t>
  </si>
  <si>
    <t>East and Southeast Asian Languages and Literatures</t>
  </si>
  <si>
    <t>East Asian Languages, Literatures, and Linguistics</t>
  </si>
  <si>
    <t>East and Southeast Asian Languages and Literatures, Other</t>
  </si>
  <si>
    <t>East Asian Languages, Literatures, and Linguistics, Other</t>
  </si>
  <si>
    <t>East European Languages and Literatures</t>
  </si>
  <si>
    <t>Slavic, Baltic, and Albanian Languages, Literatures, and Linguistics</t>
  </si>
  <si>
    <t>Slavic Languages and Literatures (Other Than Russian)</t>
  </si>
  <si>
    <t>Slavic Languages, Literatures, and Linguistics, General  (NEW)</t>
  </si>
  <si>
    <t>Albanian Language and Literature   (NEW)</t>
  </si>
  <si>
    <t>Bulgarian Language and Literature  (NEW)</t>
  </si>
  <si>
    <t>Czech Language and Literature   (NEW)</t>
  </si>
  <si>
    <t>Polish Language and Literature   (NEW)</t>
  </si>
  <si>
    <t>Serbian, Croatian, and Serbo-Croatian Languages and Literatures  (NEW)</t>
  </si>
  <si>
    <t>Slovak Language and Literature   (NEW)</t>
  </si>
  <si>
    <t>Ukrainian Language and Literature   (NEW)</t>
  </si>
  <si>
    <t>Germanic Languages, Literatures, and Linguistics, General  (NEW)</t>
  </si>
  <si>
    <t>German Language and Literature</t>
  </si>
  <si>
    <t>East European Languages and Literatures, Other</t>
  </si>
  <si>
    <t>Slavic, Baltic, and Albanian Languages, Literatures, and Linguistics, Other</t>
  </si>
  <si>
    <t>Germanic Languages and Literatures</t>
  </si>
  <si>
    <t>Germanic Languages, Literatures, and Linguistics</t>
  </si>
  <si>
    <t>Scandinavian Languages and Literatures</t>
  </si>
  <si>
    <t>Scandinavian Languages, Literatures, and Linguistics</t>
  </si>
  <si>
    <t>Danish Language and Literature    (NEW)</t>
  </si>
  <si>
    <t>Dutch/Flemish Language and Literature    (NEW)</t>
  </si>
  <si>
    <t>Norwegian Language and Literature    (NEW)</t>
  </si>
  <si>
    <t>Swedish Language and Literature    (NEW)</t>
  </si>
  <si>
    <t>Catalan Language and Literature   (NEW)</t>
  </si>
  <si>
    <t>International Business, Trade, and Tax Law (LL.M., J.S.D./S.J.D.)   (NEW)</t>
  </si>
  <si>
    <t>Germanic Languages and Literatures, Other</t>
  </si>
  <si>
    <t>Germanic Languages, Literatures, and Linguistics, Other</t>
  </si>
  <si>
    <t>Greek Languages and Literatures (Modern)</t>
  </si>
  <si>
    <t>Modern Greek Language and Literature</t>
  </si>
  <si>
    <t>South Asian Languages and Literatures</t>
  </si>
  <si>
    <t>South Asian Languages, Literatures, and Linguistics</t>
  </si>
  <si>
    <t>Hindi Language and Literature   (NEW)</t>
  </si>
  <si>
    <t>Sanskrit and Classical Indian Languages, Literatures, and Linguistics   (NEW)</t>
  </si>
  <si>
    <t>South Asian Languages, Literatures, and Linguistics, General   (NEW)</t>
  </si>
  <si>
    <t>Bengali Language and Literature   (NEW)</t>
  </si>
  <si>
    <t>Panjabi Language and Literature  (NEW)</t>
  </si>
  <si>
    <t>Tamil Language and Literature   (NEW)</t>
  </si>
  <si>
    <t>Urdu Language and Literature   (NEW)</t>
  </si>
  <si>
    <t>South Asian Languages, Literatures, and Linguistics, Other  (NEW)</t>
  </si>
  <si>
    <t>Iranian/Persian Languages, Literatures, and Linguistics (NEW)</t>
  </si>
  <si>
    <t>Iranian/Persian Languages, Literatures, and Linguistics  (NEW)</t>
  </si>
  <si>
    <t>Australian/Oceanic/Pacific Languages, Literatures, and Linguistics   (NEW)</t>
  </si>
  <si>
    <t>Bahasa Indonesian/Bahasa Malay Languages and Literatures   (NEW)</t>
  </si>
  <si>
    <t>Burmese Language and Literature  (NEW)</t>
  </si>
  <si>
    <t>Romance Languages and Literatures</t>
  </si>
  <si>
    <t>Romance Languages, Literatures, and Linguistics</t>
  </si>
  <si>
    <t>Romance Languages, Literatures, and Linguistics, General  (NEW)</t>
  </si>
  <si>
    <t>French Language and Literature</t>
  </si>
  <si>
    <t>Italian Language and Literature</t>
  </si>
  <si>
    <t>Portuguese Language and Literature</t>
  </si>
  <si>
    <t>Spanish Language and Literature</t>
  </si>
  <si>
    <t>Romanian Language and Literature   (NEW)</t>
  </si>
  <si>
    <t>Romance Languages and Literatures, Other</t>
  </si>
  <si>
    <t>Romance Languages, Literatures, and Linguistics, Other</t>
  </si>
  <si>
    <t>American Indian/Native American Languages, Literatures, and Linguistics (NEW)</t>
  </si>
  <si>
    <t>American Indian/Native American Languages, Literatures, and Linguistics  (NEW)</t>
  </si>
  <si>
    <t>Middle Eastern Languages and Literatures</t>
  </si>
  <si>
    <t>Middle/Near Eastern and Semitic Languages, Literatures, and Linguistics</t>
  </si>
  <si>
    <t>Semitic Languages, Literatures, and Linguistics, General  (NEW)</t>
  </si>
  <si>
    <t>Arabic Language and Literature</t>
  </si>
  <si>
    <t>Hebrew Language and Literature</t>
  </si>
  <si>
    <t>Ancient Near Eastern and Biblical Languages, Literatures,  and Linguistics  (NEW)</t>
  </si>
  <si>
    <t>Middle Eastern Languages and Literatures, Other</t>
  </si>
  <si>
    <t>Middle/Near Eastern and Semitic Languages, Literatures,  and Linguistics, Other</t>
  </si>
  <si>
    <t>Classical and Ancient Near Eastern Languages and Literatures</t>
  </si>
  <si>
    <t>Classics and Classical Languages, Literatures, and Linguistics</t>
  </si>
  <si>
    <t>Celtic Languages, Literatures, and Linguistics   (NEW)</t>
  </si>
  <si>
    <t>Southeast Asian Languages, Literatures, and Linguistics, General   ( NEW)</t>
  </si>
  <si>
    <t>Classics and Classical Languages and Literatures</t>
  </si>
  <si>
    <t>Classics and Languages, Literatures and Linguistics, General</t>
  </si>
  <si>
    <t>Greek Language and Literature (Ancient and Medieval)</t>
  </si>
  <si>
    <t>Ancient/Classical Greek Language and Literature</t>
  </si>
  <si>
    <t>Latin Language and Literature (Ancient and Medieval)</t>
  </si>
  <si>
    <t>Latin Language and Literature</t>
  </si>
  <si>
    <t>Vietnamese Language and Literature  (NEW)</t>
  </si>
  <si>
    <t>Turkish Language and Literature  (NEW)</t>
  </si>
  <si>
    <t>Finnish and Related Languages, Literatures, and Linguistics  (NEW)</t>
  </si>
  <si>
    <t>Hungarian/Magyar Language and Literature  (NEW)</t>
  </si>
  <si>
    <t>Mongolian Language and Literature  (NEW)</t>
  </si>
  <si>
    <t>Classical and Ancient Near Eastern Languages and Literatures,  Other</t>
  </si>
  <si>
    <t>Classics and Classical Languages, Literatures, and Linguistics, Other</t>
  </si>
  <si>
    <t>Southeast Asian and Australasian/Pacific Languages, Literatures,  and Linguistics   (NEW)</t>
  </si>
  <si>
    <t>Southeast Asian and Australasian/Pacific Languages, Literatures, and Linguistics, Other   (NEW)</t>
  </si>
  <si>
    <t>Turkic, Ural-Altaic, Caucasian, and Central Asian Languages, Literatures, and Linguistics (NEW)</t>
  </si>
  <si>
    <t>Turkic, Ural-Altaic, Caucasian, and Central Asian Languages, Literatures, and Linguistics, Other  (NEW)</t>
  </si>
  <si>
    <t>American Sign Language  (NEW)</t>
  </si>
  <si>
    <t>American Sign Language (ASL) (NEW)</t>
  </si>
  <si>
    <t>Linguistics of ASL and Other Sign Languages  (NEW)</t>
  </si>
  <si>
    <t>1699      American Sign Language, Other   (NEW)</t>
  </si>
  <si>
    <t>Foreign Languages and Literatures, Other</t>
  </si>
  <si>
    <t>Foreign Languages, Literatures, and Linguistics, Other</t>
  </si>
  <si>
    <t>HOME ECONOMICS</t>
  </si>
  <si>
    <t>FAMILY AND CONSUMER SCIENCES/HUMAN SCIENCES</t>
  </si>
  <si>
    <t>Work and Family Studies   (NEW)</t>
  </si>
  <si>
    <t>Family and Consumer Sciences/Human Sciences, General</t>
  </si>
  <si>
    <t>Family and Consumer Science Business Services/Home Economics Business Services</t>
  </si>
  <si>
    <t>Family and Consumer Sciences/Human Sciences Business  Services</t>
  </si>
  <si>
    <t>Business Family and Consumer Science/Home Economics</t>
  </si>
  <si>
    <t>Business Family and Consumer Sciences/Human Sciences</t>
  </si>
  <si>
    <t>Family Life and Relations Studies</t>
  </si>
  <si>
    <t>Family Systems</t>
  </si>
  <si>
    <t>Adult Development and Aging   (NEW)</t>
  </si>
  <si>
    <t>Child Growth, Care and Development Studies</t>
  </si>
  <si>
    <t>Child Development</t>
  </si>
  <si>
    <t>Family and Consumer Sciences/Human Sciences Communication</t>
  </si>
  <si>
    <t>Consumer Merchandising/Retailing Management  (NEW)</t>
  </si>
  <si>
    <t>Family and Consumer Sciences/Human Sciences Business Services, Other  (NEW)</t>
  </si>
  <si>
    <t>Family and Community Studies</t>
  </si>
  <si>
    <t>Family and Community Services</t>
  </si>
  <si>
    <t>Family and Consumer Economics and Related Services</t>
  </si>
  <si>
    <t>Family Resource Management Studies, General</t>
  </si>
  <si>
    <t>Consumer Economics and Science</t>
  </si>
  <si>
    <t>Consumer Economics</t>
  </si>
  <si>
    <t>Consumer Services and Advocacy  (NEW)</t>
  </si>
  <si>
    <t>Family and Consumer Economics and Related Services, Other</t>
  </si>
  <si>
    <t>Foods and Nutrition Studies</t>
  </si>
  <si>
    <t>Foods, Nutrition, and Related Services</t>
  </si>
  <si>
    <t>Foods and Nutrition Studies, General</t>
  </si>
  <si>
    <t>Foods, Nutrition, and Wellness Studies, General</t>
  </si>
  <si>
    <t>Foods and Nutrition Science</t>
  </si>
  <si>
    <t>Dietetics/Dietitians</t>
  </si>
  <si>
    <t>Clinical Nutrition/Nutrionist</t>
  </si>
  <si>
    <t>Human Nutrition  (NEW)</t>
  </si>
  <si>
    <t>Foodservice Systems Administration/Management</t>
  </si>
  <si>
    <t>Housing and Human Environments</t>
  </si>
  <si>
    <t>Housing and Human Environments, General</t>
  </si>
  <si>
    <t>Foods and Nutrition Studies, Other</t>
  </si>
  <si>
    <t>Foods, Nutrition, and Related Services, Other</t>
  </si>
  <si>
    <t>Facilities Planning and Management  (NEW)</t>
  </si>
  <si>
    <t>Housing and Human Environments, Other</t>
  </si>
  <si>
    <t>Family and Marriage Counseling</t>
  </si>
  <si>
    <t>Marriage and Family Therapy/Counseling</t>
  </si>
  <si>
    <t>Individual and Family Development Studies</t>
  </si>
  <si>
    <t>Human Development, Family Studies, and Related Services</t>
  </si>
  <si>
    <t>Individual and Family Development Studies, General</t>
  </si>
  <si>
    <t>Human Development and Family Studies, General</t>
  </si>
  <si>
    <t>Child Care and Support Services Management  (NEW)</t>
  </si>
  <si>
    <t>Individual and Family Development Studies, Other</t>
  </si>
  <si>
    <t>Human Development, Family Studies, and Related Services, Other</t>
  </si>
  <si>
    <t>Clothing/Apparel and Textile Studies</t>
  </si>
  <si>
    <t>Apparel and Textiles</t>
  </si>
  <si>
    <t>Apparel and Textiles, General</t>
  </si>
  <si>
    <t>Textile Science  (NEW)</t>
  </si>
  <si>
    <t>Family and Consumer Sciences/Human Sciences, Other</t>
  </si>
  <si>
    <t>VOCATIONAL HOME ECONOMICS</t>
  </si>
  <si>
    <t>Report Under: 19. Series    Family and Consumer Sciences/Human Sciences</t>
  </si>
  <si>
    <t>20.99</t>
  </si>
  <si>
    <t>LAW AND LEGAL STUDIES</t>
  </si>
  <si>
    <t>LEGAL PROFESSIONS AND STUDIES</t>
  </si>
  <si>
    <t>Non-Professional General Legal Studies (Undergraduate)   (NEW)</t>
  </si>
  <si>
    <t>20.02</t>
  </si>
  <si>
    <t>Child Care and Guidance Workers and Managers</t>
  </si>
  <si>
    <t>Workers and Managers, General</t>
  </si>
  <si>
    <t>Energy, Environment, and Natural Resources Law (LL.M., M.S.,J.S.D./S.J.D.) (NEW)</t>
  </si>
  <si>
    <t>Health Law (LL.M., M.J., J.S.D./S.J.D.)  (NEW)</t>
  </si>
  <si>
    <t>International Law and Legal Studies (LL.M., J.S.D./S.J.D.)   (NEW)</t>
  </si>
  <si>
    <t>Child Care and Guidance Workers and Managers, Other</t>
  </si>
  <si>
    <t>20.03</t>
  </si>
  <si>
    <t>Clothing, Apparel and Textile Workers and Managers</t>
  </si>
  <si>
    <t>Clothing, Apparel and Textile Workers and Managers, General</t>
  </si>
  <si>
    <t>Apparel and Textile Marketing Management</t>
  </si>
  <si>
    <t>Commercial Garment and Apparel Worker</t>
  </si>
  <si>
    <t>Apparel and Textile Manufacture</t>
  </si>
  <si>
    <t>Apparel and Textiles, Other  (NEW)</t>
  </si>
  <si>
    <t>Fashion and Fabric Consultant</t>
  </si>
  <si>
    <t>Drycleaner and Launderer (Commercial)</t>
  </si>
  <si>
    <t>Clothing, Apparel and Textile Workers and Managers, Other</t>
  </si>
  <si>
    <t>Apparel and Textiles,  Other</t>
  </si>
  <si>
    <t>20.04</t>
  </si>
  <si>
    <t>Institutional Food Workers and Administrators</t>
  </si>
  <si>
    <t>Institutional Food Workers and Administrators, General</t>
  </si>
  <si>
    <t>Dietitian Assistant</t>
  </si>
  <si>
    <t>Food Caterer</t>
  </si>
  <si>
    <t>Window Treatment Maker and Installer</t>
  </si>
  <si>
    <t>Adult Development and Aging  (NEW)</t>
  </si>
  <si>
    <t>Legal Studies, General  (NEW)</t>
  </si>
  <si>
    <t>Law (LL.B., J.D.)</t>
  </si>
  <si>
    <t>Legal Assistant/Paralegal</t>
  </si>
  <si>
    <t>Law and Legal Studies, Other</t>
  </si>
  <si>
    <t>Legal  Professions and Studies, Other  (NEW)</t>
  </si>
  <si>
    <t>Institutional Food Workers and Administrators, Other</t>
  </si>
  <si>
    <t>20.05</t>
  </si>
  <si>
    <t>Home Furnishings and Equipment Installers and Consultants</t>
  </si>
  <si>
    <t>Home Furnishings and Equipment Installers and Consultants,</t>
  </si>
  <si>
    <t>Home Furnishings and Equipment Installers</t>
  </si>
  <si>
    <t>Home Furnishings and Equipment Installers and Consultants, Other</t>
  </si>
  <si>
    <t>20.06</t>
  </si>
  <si>
    <t>Custodial, Housekeeping and Home Services Workers and</t>
  </si>
  <si>
    <t>Custodial, Housekeeping and Home Services Workers and Managers, Other</t>
  </si>
  <si>
    <t>Judicial Science/Legal Specialization (LL.M., M.C.L., J.S.D./S.J.D.)</t>
  </si>
  <si>
    <t>Legal Research and Advanced Professional Studies (Post- LL.B./J.D.), Other   (NEW)</t>
  </si>
  <si>
    <t>Legal Research and Advanced Professional Studies    (Post-LL.B./J.D.)  (NEW)</t>
  </si>
  <si>
    <t>Advanced Legal Research/Studies, General (LL.M., M.C.L., M.L.I., M.S.L., J.S.D./S.J.D.)   (NEW)</t>
  </si>
  <si>
    <t>Programs for Foreign Lawyers (LL.M., M.C.L.) (NEW)</t>
  </si>
  <si>
    <t>American/U.S. Law/Legal Studies/Jurisprudence (LL.M.,M.C.J., J.S.D./S.J.D.) (NEW)</t>
  </si>
  <si>
    <t>Canadian Law/Legal Studies/Jurisprudence (LL.M., M.C.J., J.S.D./S.J.D.). (NEW)</t>
  </si>
  <si>
    <t>Banking, Corporate, Finance, and Securities Law (LL.M., J.S.D), S.L.J)  (NEW)</t>
  </si>
  <si>
    <t>Comparative Law (LL.M., M.C.L., J.S.D./S.J.D.) (NEW)</t>
  </si>
  <si>
    <t>Tax Law/Taxation (LL.M, J.S.D./S.J.D.)  (NEW)</t>
  </si>
  <si>
    <t>Legal Research and Advanced Professional Studies, Other  (NEW)</t>
  </si>
  <si>
    <t>Legal Support Services (NEW)</t>
  </si>
  <si>
    <t>Legal Support Services, Other  (NEW)</t>
  </si>
  <si>
    <t>Legal Professions and Studies, Other   (NEW)</t>
  </si>
  <si>
    <t>Legal Professions and Studies, Other    (NEW)</t>
  </si>
  <si>
    <t>ENGLISH LANGUAGE AND LITERATURE/LETTERS</t>
  </si>
  <si>
    <t>English Language and Literature, General</t>
  </si>
  <si>
    <t>American Literature, United States</t>
  </si>
  <si>
    <t>American Literature (United States and Canadian)</t>
  </si>
  <si>
    <t>American Literature (Canadian) (NEW)</t>
  </si>
  <si>
    <t>English Literature (British and Commonwealth)</t>
  </si>
  <si>
    <t>Speech and Rhetorical Studies</t>
  </si>
  <si>
    <t>English Technical and Business Writing</t>
  </si>
  <si>
    <t>Technical and Business Writ­ing</t>
  </si>
  <si>
    <t>English Language and Literature/Letters, Other</t>
  </si>
  <si>
    <t>LIBERAL ARTS AND SCIENCES, GENERAL STUDIES AND  HUMANITIES</t>
  </si>
  <si>
    <t>Liberal Arts and Sciences, General Studies and Humanities</t>
  </si>
  <si>
    <t>Liberal Arts and Sciences/Liberal Studies</t>
  </si>
  <si>
    <t>Liberal Art and Sciences, General Studies and Humanities, Other</t>
  </si>
  <si>
    <t>Liberal Arts and Sciences, General Studies and Humanities, Other</t>
  </si>
  <si>
    <t>LIBRARY SCIENCE</t>
  </si>
  <si>
    <t>Library Assistant/Technician</t>
  </si>
  <si>
    <t>BIOLOGICAL SCIENCES/LIFE SCIENCES</t>
  </si>
  <si>
    <t>BIOLOGICAL AND BIOMEDICAL SCIENCES</t>
  </si>
  <si>
    <t>Biology/Biological Sciences, General</t>
  </si>
  <si>
    <t>Biomedical Sciences, General  (NEW)</t>
  </si>
  <si>
    <t>Biochemistry and Biophysics</t>
  </si>
  <si>
    <t>Biochemistry, Biophysics and Molecular Biology</t>
  </si>
  <si>
    <t>Molecular Biochemistry  (NEW)</t>
  </si>
  <si>
    <t>Molecular Biophysics  (NEW)</t>
  </si>
  <si>
    <t>Structural Biology  (NEW)</t>
  </si>
  <si>
    <t>Photobiology   (NEW)</t>
  </si>
  <si>
    <t>Biochemistry/Biophysics and Molecular Biology  (NEW)</t>
  </si>
  <si>
    <t>Biochemistry, Biophysics and Molecular Biology, Other (NEW)</t>
  </si>
  <si>
    <t>Botany/Plant Biology</t>
  </si>
  <si>
    <t>Plant Molecular Biology (NEW)</t>
  </si>
  <si>
    <t>Botany/Plant Biology, Other</t>
  </si>
  <si>
    <t>Cell and Molecular Biology</t>
  </si>
  <si>
    <t>Cell/Cellular Biology and Anatomical Sciences</t>
  </si>
  <si>
    <t>Cell/Cellular Biology and Histology</t>
  </si>
  <si>
    <t>Developmental Biology and Embryology   (NEW)</t>
  </si>
  <si>
    <t>Neuroanatomy   (NEW)</t>
  </si>
  <si>
    <t>Cell/Cellular and Molecular Biology  (NEW)</t>
  </si>
  <si>
    <t>Cell Biology and Anatomy   (NEW)</t>
  </si>
  <si>
    <t>Cell and Molecular Biology, Other</t>
  </si>
  <si>
    <t>Cell/Cellular Biology and Anatomical Sciences, Other</t>
  </si>
  <si>
    <t>Microbiological Sciences and Immunology</t>
  </si>
  <si>
    <t>Medical Microbiology and Bacteriology (NEW)</t>
  </si>
  <si>
    <t>Microbiology, General  (NEW)</t>
  </si>
  <si>
    <t>Mycology  (NEW)</t>
  </si>
  <si>
    <t>Microbiological Sciences and Immunology, Other  (NEW)</t>
  </si>
  <si>
    <t>Marine Biology and Biological Oceanography</t>
  </si>
  <si>
    <t>Nutrition Sciences</t>
  </si>
  <si>
    <t>Radiation Biology/ Radiobiology</t>
  </si>
  <si>
    <t>Genetics, Plant and Animal</t>
  </si>
  <si>
    <t>Animal Genetics (NEW)</t>
  </si>
  <si>
    <t>Plant Genetics   (NEW)</t>
  </si>
  <si>
    <t>Biometry/ Biometrics</t>
  </si>
  <si>
    <t>Biotechnology</t>
  </si>
  <si>
    <t>Immunology</t>
  </si>
  <si>
    <t>Zoology/Animal Biology</t>
  </si>
  <si>
    <t>Pathology, Human and Animal</t>
  </si>
  <si>
    <t>Pathology/Experimental Pathology (NEW)</t>
  </si>
  <si>
    <t>Pharmacology, Human and Animal</t>
  </si>
  <si>
    <t>Pharmacology</t>
  </si>
  <si>
    <t>Physiology, Human and Animal</t>
  </si>
  <si>
    <t>Physiology, General</t>
  </si>
  <si>
    <t>Animal Behavior and Ethology  (NEW)</t>
  </si>
  <si>
    <t>Wildlife Biology  (NEW)</t>
  </si>
  <si>
    <t>Zoology/Animal Biology, Other</t>
  </si>
  <si>
    <t>Genetics (NEW)</t>
  </si>
  <si>
    <t>Genetics, General  (NEW)</t>
  </si>
  <si>
    <t>Molecular Genetics  (NEW)</t>
  </si>
  <si>
    <t>Microbial and Eukaryotic Genetics   (NEW)</t>
  </si>
  <si>
    <t>Genetics, Other  (NEW)</t>
  </si>
  <si>
    <t>Physiology, Pathology, and Related Sciences (NEW)</t>
  </si>
  <si>
    <t>Physiology, General  (NEW)</t>
  </si>
  <si>
    <t>Molecular Physiology  (NEW)</t>
  </si>
  <si>
    <t>Cell Physiology  (NEW)</t>
  </si>
  <si>
    <t>Endocrinology  (NEW)</t>
  </si>
  <si>
    <t>Reproductive Biology  (NEW)</t>
  </si>
  <si>
    <t>Neurobiology and Neurophysiology  (NEW)</t>
  </si>
  <si>
    <t>Cardiovascular Science  (NEW)</t>
  </si>
  <si>
    <t>Exercise Physiology  (NEW)</t>
  </si>
  <si>
    <t>Vision Science/Physiological Optics  (NEW)</t>
  </si>
  <si>
    <t>Oncology and Cancer Biology  (NEW)</t>
  </si>
  <si>
    <t>Physiology, Pathology, and Related Sciences, Other  (NEW)</t>
  </si>
  <si>
    <t>Pharmacology and Toxicology (NEW)</t>
  </si>
  <si>
    <t>Molecular Pharmacology  (NEW)</t>
  </si>
  <si>
    <t>Neuropharmacology  (NEW)</t>
  </si>
  <si>
    <t>Molecular Toxicology  (NEW)</t>
  </si>
  <si>
    <t>Environmental Toxicology   (NEW)</t>
  </si>
  <si>
    <t>Pharmacology and Toxicology  (NEW)</t>
  </si>
  <si>
    <t>Pharmacology and Toxicology, Other  (NEW)</t>
  </si>
  <si>
    <t>Biomathematics and Bioinformatics (NEW)</t>
  </si>
  <si>
    <t>Bioinformatics  (NEW)</t>
  </si>
  <si>
    <t>Biomathematics and Bioinformatics, Other  (NEW)</t>
  </si>
  <si>
    <t>Biotechnology  (NEW)</t>
  </si>
  <si>
    <t>Ecology, Evolution and Population Biology   (NEW)</t>
  </si>
  <si>
    <t>Aquatic Biology/Limnology  (NEW)</t>
  </si>
  <si>
    <t>Environmental Biology  (NEW)</t>
  </si>
  <si>
    <t>Population Biology  (NEW)</t>
  </si>
  <si>
    <t>Conservation Biology  (NEW)</t>
  </si>
  <si>
    <t>Systematic Biology/Biological Systematics  (NEW)</t>
  </si>
  <si>
    <t>26.1310</t>
  </si>
  <si>
    <t>Ecology and Evolutionary Biology  (NEW)</t>
  </si>
  <si>
    <t>Biological and Biomedical Sciences, Other</t>
  </si>
  <si>
    <t>MATHEMATICS</t>
  </si>
  <si>
    <t>MATHEMATICS AND STATISTICS</t>
  </si>
  <si>
    <t>Algebra and Number Theory   (NEW)</t>
  </si>
  <si>
    <t>Analysis and Functional Analysis  (NEW)</t>
  </si>
  <si>
    <t>Geometry/Geometric Analysis   (NEW)</t>
  </si>
  <si>
    <t>Topology  and Foundations   (NEW)</t>
  </si>
  <si>
    <t>Mathematics, Other   (NEW)</t>
  </si>
  <si>
    <t>Computational Mathematics  (NEW)</t>
  </si>
  <si>
    <t>Statistics, General</t>
  </si>
  <si>
    <t>Mathematical Statistics and Probability  (NEW)</t>
  </si>
  <si>
    <t>Statistics, Other  (NEW)</t>
  </si>
  <si>
    <t>Mathematics and Statistics, Other</t>
  </si>
  <si>
    <t>MILITARY TECHNOLOGIES</t>
  </si>
  <si>
    <t>MULTI/INTERDISCIPLINARY STUDIES</t>
  </si>
  <si>
    <t>Biological and Physical Sciences</t>
  </si>
  <si>
    <t>Peace and Conflict Studies</t>
  </si>
  <si>
    <t>Peace Studies and Conflict Resolution</t>
  </si>
  <si>
    <t>Systems Science and Theory</t>
  </si>
  <si>
    <t>Mathematics and Computer Science</t>
  </si>
  <si>
    <t>Cultural Resource Management and Policy Analysis  (NEW)</t>
  </si>
  <si>
    <t>Historic Preservation and Conservation, Other  (NEW)</t>
  </si>
  <si>
    <t>Medieval and Renaissance Studies</t>
  </si>
  <si>
    <t>Historic Preservation, Conservation and Architectural History</t>
  </si>
  <si>
    <t>Historic Preservation and Conservation</t>
  </si>
  <si>
    <t>Science, Technology and Society</t>
  </si>
  <si>
    <t>Accounting and Computer Science (NEW)</t>
  </si>
  <si>
    <t>Accounting and Computer Science  (NEW)</t>
  </si>
  <si>
    <t>Behavioral Sciences (NEW)</t>
  </si>
  <si>
    <t>Behavioral Sciences  (NEW)</t>
  </si>
  <si>
    <t>Natural Sciences (NEW)</t>
  </si>
  <si>
    <t>Natural Sciences  (NEW)</t>
  </si>
  <si>
    <t>Nutrition Sciences (NEW)</t>
  </si>
  <si>
    <t>International/Global Studies (NEW)</t>
  </si>
  <si>
    <t>Holocaust and Related Studies  (NEW)</t>
  </si>
  <si>
    <t>Classical and Ancient Studies (NEW)</t>
  </si>
  <si>
    <t>Ancient Studies/Civilization   (NEW)</t>
  </si>
  <si>
    <t>Classical, Ancient Mediterranean and Near Eastern Studies</t>
  </si>
  <si>
    <t>and</t>
  </si>
  <si>
    <t>Archaeology   (NEW)</t>
  </si>
  <si>
    <t>Intercultural/Multicultural and Diversity Studies (NEW)</t>
  </si>
  <si>
    <t>Neuroscience (NEW)</t>
  </si>
  <si>
    <t>Cognitive Science (NEW)</t>
  </si>
  <si>
    <t>Cognitive Science  (NEW)</t>
  </si>
  <si>
    <t>Multi-/Interdisciplinary Studies, Other</t>
  </si>
  <si>
    <t>Buddhist Studies  (NEW)</t>
  </si>
  <si>
    <t>Christian Studies   (NEW)</t>
  </si>
  <si>
    <t>Hindu Studies    (NEW)</t>
  </si>
  <si>
    <t>PARKS, RECREATION, LEISURE AND FITNESS STUDIES</t>
  </si>
  <si>
    <t>Parks, Recreation and Leisure Studies</t>
  </si>
  <si>
    <t>Parks, Recreation and Leisure Facilities Management</t>
  </si>
  <si>
    <t>Health and Physical Education/Fitness</t>
  </si>
  <si>
    <t>Athletic Training and Sports Medicine</t>
  </si>
  <si>
    <t>Athletic Training/Trainer</t>
  </si>
  <si>
    <t>PHILOSOPHY AND RELIGION</t>
  </si>
  <si>
    <t>PHILOSOPHY AND RELIGIOUS STUDIES</t>
  </si>
  <si>
    <t>Health and Physical Education, General</t>
  </si>
  <si>
    <t>Therapeutic Recreation/ Recreational Therapy</t>
  </si>
  <si>
    <t>Sport and Fitness Administration/Management</t>
  </si>
  <si>
    <t>Exercise Sciences/Physiology and Kinesiology</t>
  </si>
  <si>
    <t>Kinesiology and Exercise Science</t>
  </si>
  <si>
    <t>Health and Physical Education/Fitness, Other</t>
  </si>
  <si>
    <t>Parks, Recreation, Leisure and Fitness Studies, Other</t>
  </si>
  <si>
    <t>Logic   (NEW)</t>
  </si>
  <si>
    <t>Ethics   (NEW)</t>
  </si>
  <si>
    <t>Philosophy, Other   (NEW)</t>
  </si>
  <si>
    <t>Religion/Religious Studies, Other  (NEW)</t>
  </si>
  <si>
    <t>Philosophy and Religion, Other</t>
  </si>
  <si>
    <t>Philosophy and Religious Studies, Other</t>
  </si>
  <si>
    <t>THEOLOGICAL STUDIES AND RELIGIOUS VOCATIONS</t>
  </si>
  <si>
    <t>THEOLOGY AND RELIGIOUS VOCATIONS</t>
  </si>
  <si>
    <t>Biblical and Other Theological Languages and Literatures</t>
  </si>
  <si>
    <t>Ancient  Near Eastern and Biblical Languages, Literatures and Linguistics (NEW)</t>
  </si>
  <si>
    <t>Astronomy and Astrophysics, Other  (NEW)</t>
  </si>
  <si>
    <t>Missions/Missionary Studies and Missiology</t>
  </si>
  <si>
    <t>Theological and Ministerial Studies</t>
  </si>
  <si>
    <t>Divinity/Ministry (BD, MDiv.)</t>
  </si>
  <si>
    <t>Rabbinical and Talmudic Studies (M.H.L./Rav)</t>
  </si>
  <si>
    <t>Rabbinical Studies  (NEW)</t>
  </si>
  <si>
    <t>Talmudic Studies   (NEW)</t>
  </si>
  <si>
    <t>Pre-Theological/Pre-Ministerial Studies</t>
  </si>
  <si>
    <t>Pastoral Counseling and Specialized Ministries</t>
  </si>
  <si>
    <t>Pastoral Studies/Counseling</t>
  </si>
  <si>
    <t>Youth Ministry    (NEW)</t>
  </si>
  <si>
    <t>Pastoral Counseling and Specialized Ministries, Other (NEW)</t>
  </si>
  <si>
    <t>Theological and Ministerial Studies, Other</t>
  </si>
  <si>
    <t>Theological Studies and Religious Vocations, Other</t>
  </si>
  <si>
    <t>Theology and Religious Vocations, Other</t>
  </si>
  <si>
    <t>PHYSICAL SCIENCES</t>
  </si>
  <si>
    <t>Astronomy and Astrophysics</t>
  </si>
  <si>
    <t>Planetary Astronomy and Science   (NEW)</t>
  </si>
  <si>
    <t>Atmospheric Sciences and Meteorology</t>
  </si>
  <si>
    <t>Atmospheric Sciences and Meteorology, General</t>
  </si>
  <si>
    <t>Atmospheric Chemistry and Climatology  (NEW)</t>
  </si>
  <si>
    <t>Atmospheric Physics and Dynamics  (NEW)</t>
  </si>
  <si>
    <t>Meteorology  (NEW)</t>
  </si>
  <si>
    <t>Atmospheric Sciences and Meteorology, Other  (NEW)</t>
  </si>
  <si>
    <t>Medicinal and Pharmaceutical Chemistry</t>
  </si>
  <si>
    <t>Physical and Theoretical Chemistry</t>
  </si>
  <si>
    <t>Chemical Physics   (NEW)</t>
  </si>
  <si>
    <t>Geological and Related Sciences</t>
  </si>
  <si>
    <t>Geological and Earth Sciences/Geosciences</t>
  </si>
  <si>
    <t>Geology/Earth Science, General</t>
  </si>
  <si>
    <t>Geophysics and Seismology</t>
  </si>
  <si>
    <t>Hydrology and Water Resources Science   (NEW)</t>
  </si>
  <si>
    <t>Geochemistry and Petrology   (NEW)</t>
  </si>
  <si>
    <t>Geological and Related Sciences, Other</t>
  </si>
  <si>
    <t>Geological and Earth Sciences/Geosciences, Other</t>
  </si>
  <si>
    <t>Oceanography, Chemical and Physical</t>
  </si>
  <si>
    <t>Earth and Planetary Sciences</t>
  </si>
  <si>
    <t>Miscellaneous Physical Sciences, Other</t>
  </si>
  <si>
    <t>Chemical and Atomic/Molecular Physics</t>
  </si>
  <si>
    <t>Atomic/Molecular Physics</t>
  </si>
  <si>
    <t>Plasma and High-Temperature Physics</t>
  </si>
  <si>
    <t>Optics/Optical Sciences</t>
  </si>
  <si>
    <t>Solid State and Low-Temperature Physics</t>
  </si>
  <si>
    <t>Theoretical and Mathematical Physics</t>
  </si>
  <si>
    <t>SCIENCE TECHNOLOGIES</t>
  </si>
  <si>
    <t>SCIENCE TECHNOLOGIES/TECHNICIANS</t>
  </si>
  <si>
    <t>Biological Technology</t>
  </si>
  <si>
    <t>Biology Technician/Biotechnology Laboratory Technician</t>
  </si>
  <si>
    <t>Nuclear and Industrial Radiologic Technologies</t>
  </si>
  <si>
    <t>Nuclear and Industrial Radiologic Technologies/Technicians</t>
  </si>
  <si>
    <t>Nuclear and Industrial Radiologic Technologies/Technicians, Other</t>
  </si>
  <si>
    <t>Nuclear and Industrial Radiologic Technologies/Technicians,  Other</t>
  </si>
  <si>
    <t>Physical Science Technologies/Technicians</t>
  </si>
  <si>
    <t>PSYCHOLOGY</t>
  </si>
  <si>
    <t>Cognitive Psychology and Psycholinguistics</t>
  </si>
  <si>
    <t>Comparative Psychology  (NEW)</t>
  </si>
  <si>
    <t>Developmental and Child Psychology</t>
  </si>
  <si>
    <t>Industrial and Organizational Psychology</t>
  </si>
  <si>
    <t>Personality Psychology   (NEW)</t>
  </si>
  <si>
    <t>Personality Psychology    (NEW)</t>
  </si>
  <si>
    <t>Psychometrics and Quantitative Psychology (NEW)</t>
  </si>
  <si>
    <t>Psychometrics and Quantitative Psychology  (NEW)</t>
  </si>
  <si>
    <t>Clinical Child Psychology (NEW)</t>
  </si>
  <si>
    <t>Clinical Child Psychology  (NEW)</t>
  </si>
  <si>
    <t>Environmental Psychology (NEW)</t>
  </si>
  <si>
    <t>Environmental Psychology  (NEW)</t>
  </si>
  <si>
    <t>Geropsychology (NEW)</t>
  </si>
  <si>
    <t>Geropsychology   (NEW)</t>
  </si>
  <si>
    <t>Health Psychology (NEW)</t>
  </si>
  <si>
    <t>Health/Medical Psychology (NEW)</t>
  </si>
  <si>
    <t>Psychopharmacology (NEW)</t>
  </si>
  <si>
    <t>Family Psychology (NEW)</t>
  </si>
  <si>
    <t>Forensic Psychology (NEW)</t>
  </si>
  <si>
    <t>PROTECTIVE SERVICES</t>
  </si>
  <si>
    <t>SECURITY AND PROTECTIVE SERVICES</t>
  </si>
  <si>
    <t>Criminal Justice and Corrections</t>
  </si>
  <si>
    <t>Corrections</t>
  </si>
  <si>
    <t>Criminal Justice/Safety Studies</t>
  </si>
  <si>
    <t>Forensic Science and Technology</t>
  </si>
  <si>
    <t>Criminal Justice/Police Science</t>
  </si>
  <si>
    <t>Security and Loss Prevention Services</t>
  </si>
  <si>
    <t>Juvenile Corrections   (NEW)</t>
  </si>
  <si>
    <t>Criminalistics and Criminal Science   (NEW)</t>
  </si>
  <si>
    <t>Securities Services Administration/Management  (NEW)</t>
  </si>
  <si>
    <t>Corrections Administration  (NEW)</t>
  </si>
  <si>
    <t>Criminal Justice and Corrections, Other</t>
  </si>
  <si>
    <t>Corrections and Criminal Justice, Other</t>
  </si>
  <si>
    <t>Fire Protection and Safety Technology/Technician</t>
  </si>
  <si>
    <t>Security and Protective Services, Other</t>
  </si>
  <si>
    <t>Human Services, General (NEW)</t>
  </si>
  <si>
    <t>Human Services, General  (NEW)</t>
  </si>
  <si>
    <t>PUBLIC ADMINISTRATION AND SERVICES</t>
  </si>
  <si>
    <t>PUBLIC ADMINISTRATION AND SOCIAL SERVICE PROFESSIONS</t>
  </si>
  <si>
    <t>Community Organization, Resources and Services</t>
  </si>
  <si>
    <t>Community Organization and Advocacy</t>
  </si>
  <si>
    <t>Youth Services/Administration  (NEW)</t>
  </si>
  <si>
    <t>Social Work, Other   (NEW)</t>
  </si>
  <si>
    <t>Public Administration and Services, Other</t>
  </si>
  <si>
    <t>Public Administration and Social Service Professions, Other</t>
  </si>
  <si>
    <t>SOCIAL SCIENCES AND HISTORY</t>
  </si>
  <si>
    <t>SOCIAL SCIENCES</t>
  </si>
  <si>
    <t>Physical Anthropology  (NEW)</t>
  </si>
  <si>
    <t>Anthropology, Other  (NEW)</t>
  </si>
  <si>
    <t>Demography/Population Studies</t>
  </si>
  <si>
    <t>Demography and Population Studies</t>
  </si>
  <si>
    <t>Applied and Resource Economics</t>
  </si>
  <si>
    <t>Applied Economics</t>
  </si>
  <si>
    <t>Social Sciences and History, Other</t>
  </si>
  <si>
    <t>CONSTRUCTION TRADES</t>
  </si>
  <si>
    <t>Econometrics and Quantitative Economics</t>
  </si>
  <si>
    <t>Development Economics and International Development</t>
  </si>
  <si>
    <t>Geography and Cartography</t>
  </si>
  <si>
    <t>Geography, Other  (NEW)</t>
  </si>
  <si>
    <t>Report</t>
  </si>
  <si>
    <t>Under  54.01  Series</t>
  </si>
  <si>
    <t>History General</t>
  </si>
  <si>
    <t>American History United States</t>
  </si>
  <si>
    <t>Glazier  (NEW)</t>
  </si>
  <si>
    <t>Painter and Wall Coverer</t>
  </si>
  <si>
    <t>Painting/Painter and Wall Coverer</t>
  </si>
  <si>
    <t>Roofer  (NEW)</t>
  </si>
  <si>
    <t>History and Philosophy of Science and Technology</t>
  </si>
  <si>
    <t>History and Philosophy of Science/Technology</t>
  </si>
  <si>
    <t>Public/Applied History and Archival Administration</t>
  </si>
  <si>
    <t>Public/ Applied History and Archival Administration</t>
  </si>
  <si>
    <t>Asian History   (NEW)</t>
  </si>
  <si>
    <t>Canadian History   (NEW)</t>
  </si>
  <si>
    <t>International Relations and Affairs</t>
  </si>
  <si>
    <t>Political Science and Government</t>
  </si>
  <si>
    <t>Political Science and Government, General</t>
  </si>
  <si>
    <t>American Government and Politics</t>
  </si>
  <si>
    <t>American Government and Politics (United States)</t>
  </si>
  <si>
    <t>Canadian Government and Politics  (NEW)</t>
  </si>
  <si>
    <t>Urban Affairs/Studies</t>
  </si>
  <si>
    <t>Political Science and Government, Other</t>
  </si>
  <si>
    <t>Construction Trades, General    (NEW)</t>
  </si>
  <si>
    <t>Masons and Tile Setters</t>
  </si>
  <si>
    <t>Mason/Masonry</t>
  </si>
  <si>
    <t>Mason and Tile Setter</t>
  </si>
  <si>
    <t>Carpentry/Carpenter</t>
  </si>
  <si>
    <t>Electrical and Power Transmission Installers</t>
  </si>
  <si>
    <t>Concrete Finishing/Concrete Finisher  (NEW)</t>
  </si>
  <si>
    <t>Building/Home/Construction Inspection/Inspector</t>
  </si>
  <si>
    <t>Drywall Installation/Drywaller  (NEW)</t>
  </si>
  <si>
    <t>Electrical and Power Transmission Installer, General</t>
  </si>
  <si>
    <t>Electrical and Power Transmission Installation/Installer, General</t>
  </si>
  <si>
    <t>Electrical and Power Transmission Installer, Other</t>
  </si>
  <si>
    <t>Electrical and Power Transmission Installers, Other</t>
  </si>
  <si>
    <t>Construction and Building Finishers and Managers</t>
  </si>
  <si>
    <t>Building/Construction Finishing, Management, and Inspection</t>
  </si>
  <si>
    <t>Building/Property Maintenance and Manager</t>
  </si>
  <si>
    <t>Metal Building Assembly/Assembler  (NEW)</t>
  </si>
  <si>
    <t>Building/Construction Site Management/Manager  (NEW)</t>
  </si>
  <si>
    <t>Construction and Building Finishers and Managers, Other</t>
  </si>
  <si>
    <t>Building/Construction Finishing, Management, and Inspection, Other</t>
  </si>
  <si>
    <t>Plumbers and Pipefitters</t>
  </si>
  <si>
    <t>Plumbing and Related Water Supply Services</t>
  </si>
  <si>
    <t>Plumber and Pipefitter</t>
  </si>
  <si>
    <t>Pipefitting/Pipefitter and Sprinkler Fitter  (NEW)</t>
  </si>
  <si>
    <t>Plumbing Technology/Plumber  (NEW)</t>
  </si>
  <si>
    <t>Well Drilling/Driller  (NEW)</t>
  </si>
  <si>
    <t>Blasting/Blaster  (NEW)</t>
  </si>
  <si>
    <t>Plumbing and Related Water Supply Services, Other  (NEW)</t>
  </si>
  <si>
    <t>MECHANICS AND REPAIRERS</t>
  </si>
  <si>
    <t>MECHANIC AND REPAIR TECHNOLOGIES/TECHNICIANS</t>
  </si>
  <si>
    <t>Mechanics and Repairers, General (NEW)</t>
  </si>
  <si>
    <t>Mechanics and Repairers, General  (NEW)</t>
  </si>
  <si>
    <t>Electrical and Electronics Equipment Installers and Repairers</t>
  </si>
  <si>
    <t>Electrical/Electronics Maintenance and Repair Technology</t>
  </si>
  <si>
    <t>Leatherworkers and Upholsterers</t>
  </si>
  <si>
    <t>Leatherworking and Upholstery</t>
  </si>
  <si>
    <t>Upholsterer</t>
  </si>
  <si>
    <t>Upholstery/Upholsterer</t>
  </si>
  <si>
    <t>Shoe, Boot and Leather Repairer</t>
  </si>
  <si>
    <t>Shoe, Boot and Leather Repair</t>
  </si>
  <si>
    <t>Leatherworkers and Upholsterers, Other</t>
  </si>
  <si>
    <t>Leatherworking and Upholstery, Other</t>
  </si>
  <si>
    <t>Electrical and Electronics Equipment Installer and Repairer, General</t>
  </si>
  <si>
    <t>Electrical/Electronics Equipment Installation and Repair, General</t>
  </si>
  <si>
    <t>Communication Systems Installer and Repairer</t>
  </si>
  <si>
    <t>Communications Systems Installation and Repair Technology</t>
  </si>
  <si>
    <t>Computer Installer and Repairer</t>
  </si>
  <si>
    <t>Computer Installation and Repair Technology/Technician</t>
  </si>
  <si>
    <t>Industrial Electronics Installer and Repairer</t>
  </si>
  <si>
    <t>Industrial Electronics Technology/Technician</t>
  </si>
  <si>
    <t>Major Appliance Installer and Repairer</t>
  </si>
  <si>
    <t>Appliance Installation and Repair Technology/Technician</t>
  </si>
  <si>
    <t>Security System Installation, Repair, and Inspection Technology/Technician  (NEW)</t>
  </si>
  <si>
    <t>Electrical and Electronics Equipment Installer and Repairer, Other</t>
  </si>
  <si>
    <t>Electrical/Electronics Maintenance and Repair Technology, Other</t>
  </si>
  <si>
    <t>Instrument Calibration and Repairer</t>
  </si>
  <si>
    <t>Gunsmithing/Gunsmith</t>
  </si>
  <si>
    <t>Locksmith and Safe Repairer</t>
  </si>
  <si>
    <t>Locksmithing and Safe Repair</t>
  </si>
  <si>
    <t>Musical Instrument Fabrication and Repair</t>
  </si>
  <si>
    <t>Heating, Air Conditioning and Refrigeration Mechanics and   Repairers</t>
  </si>
  <si>
    <t>Heating, Air Conditioning, Ventilation and RefrigerationMaintenance Technology/Technician (HAC, HACR, HVAC, HVACR)</t>
  </si>
  <si>
    <t>Heating, Air Conditioning and Refrigeration Mechanic and Repairers</t>
  </si>
  <si>
    <t>Heating, Air Conditioning, Ventilation and Refrigeration Maintenance Technology/Technician (HAC, HACR, HVAC, HVACR)</t>
  </si>
  <si>
    <t>Watch, Clock and Jewelry Repairer</t>
  </si>
  <si>
    <t>Watchmaking and Jewelrymaking</t>
  </si>
  <si>
    <t>Parts and Warehousing Operations and Maintenance  Technology/Technician  (NEW)</t>
  </si>
  <si>
    <t>Stationary Energy Sources Installers and Operators</t>
  </si>
  <si>
    <t>Industrial Equipment Maintenance and Repairers</t>
  </si>
  <si>
    <t>Heavy/Industrial Equipment Maintenance Technologies</t>
  </si>
  <si>
    <t>Heavy Equipment Maintenance and Repairer</t>
  </si>
  <si>
    <t>Heavy Equipment Maintenance Technology/Technician</t>
  </si>
  <si>
    <t>Industrial Machinery Maintenance and Repairer</t>
  </si>
  <si>
    <t>Industrial Mechanics and Maintenance Technology</t>
  </si>
  <si>
    <t>Industrial Equipment Maintenance and Repairers, Other</t>
  </si>
  <si>
    <t>Heavy/Industrial Equipment Maintenance Technologies, Other</t>
  </si>
  <si>
    <t>Miscellaneous Mechanics and Repairers</t>
  </si>
  <si>
    <t>Precision Systems Maintenance and Repair Technologies</t>
  </si>
  <si>
    <t>Miscellaneous Mechanics and Repairers, Other</t>
  </si>
  <si>
    <t>Precision Systems Maintenance and Repair Technologies, Other</t>
  </si>
  <si>
    <t>Stationary Energy Sources Installer and Operator</t>
  </si>
  <si>
    <t>Mechanic and Repair Technologies/Technicians, Other</t>
  </si>
  <si>
    <t>Vehicle and Mobile Equipment Mechanics and Repairers</t>
  </si>
  <si>
    <t>Vehicle Maintenance and Repair Technologies</t>
  </si>
  <si>
    <t>Architectural Drafting and Architectural CAD/CADD</t>
  </si>
  <si>
    <t>Civil Drafting and Civil Engineering CAD/CADD</t>
  </si>
  <si>
    <t>Precision Metal Working, Other</t>
  </si>
  <si>
    <t>Woodworking</t>
  </si>
  <si>
    <t>Autobody/Collision and Repair Technology/Technician</t>
  </si>
  <si>
    <t>Automobile/Automotive Mechanics Technology/Technician</t>
  </si>
  <si>
    <t>Diesel Engine Mechanic and Repairer</t>
  </si>
  <si>
    <t>Diesel Mechanics Technology/Technician</t>
  </si>
  <si>
    <t>Small Engine Mechanic and Repairer</t>
  </si>
  <si>
    <t>Small Engine Mechanics and Repair Technology/Technician</t>
  </si>
  <si>
    <t>Lithographer and Platemaker</t>
  </si>
  <si>
    <t>Platemaker/Imager</t>
  </si>
  <si>
    <t>Graphic and Printing Equipment Operators, Other</t>
  </si>
  <si>
    <t>Graphic Communications, Other</t>
  </si>
  <si>
    <t>Aircraft Mechanic/Technician, Airframe</t>
  </si>
  <si>
    <t>Airframe Mechanics and Aircraft Maintenance Technology/Technician</t>
  </si>
  <si>
    <t>Aircraft Mechanic/Technician, Powerplant</t>
  </si>
  <si>
    <t>Aircraft Powerplant Technology/Technician</t>
  </si>
  <si>
    <t>Aviation Systems and Avionics Maintenance   Technologist/Technician</t>
  </si>
  <si>
    <t>Avionics Maintenance Technology/Technician</t>
  </si>
  <si>
    <t>Bicycle Mechanic and Repairer</t>
  </si>
  <si>
    <t>Bicycle Mechanics and Repair Technology/Technician</t>
  </si>
  <si>
    <t>Motorcycle Mechanic and Repairer</t>
  </si>
  <si>
    <t>Motorcycle Maintenance and  Repair Technology/Technician</t>
  </si>
  <si>
    <t>Vehicle Emissions Inspection and Maintenance Technology/Technician  (NEW)</t>
  </si>
  <si>
    <t>Medium/Heavy Vehicle and Truck Technology/Technician  (NEW)</t>
  </si>
  <si>
    <t>Alternative Fuel Vehicle Technology/Technician  (NEW)</t>
  </si>
  <si>
    <t>Engine Machinist  (NEW)</t>
  </si>
  <si>
    <t>Vehicle and Mobile Equipment Mechanics and Repairers, Other</t>
  </si>
  <si>
    <t>Vehicle Maintenance and Repair Technologies, Other</t>
  </si>
  <si>
    <t>Mechanics and Repairers, Other</t>
  </si>
  <si>
    <t>PRECISION PRODUCTION TRADES</t>
  </si>
  <si>
    <t>PRECISION PRODUCTION</t>
  </si>
  <si>
    <t>Precision Production Trades, General (NEW)</t>
  </si>
  <si>
    <t>Precision Production Trades, General  (NEW)</t>
  </si>
  <si>
    <t>Drafting and Design Technology/Technician, General</t>
  </si>
  <si>
    <t>Electrical/Electronics Drafting and Electrical/ Electronics CAD/CADD</t>
  </si>
  <si>
    <t>Mechanical Drafting and Mechanical Drafting CAD/CADD</t>
  </si>
  <si>
    <t>Drafting/Design Engineering Technologies/Technicians, Other</t>
  </si>
  <si>
    <t>Graphic and Printing Equipment Operators</t>
  </si>
  <si>
    <t>A program that focuses on the knowledge and skills related to creative writing and poetry composition for pleasure or profit, including methods of publication.</t>
  </si>
  <si>
    <t>36.0119</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</si>
  <si>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(Moved from 49.0107)</t>
  </si>
  <si>
    <t>Leisure and Recreational Activities, Other.</t>
  </si>
  <si>
    <t>Any instructional program in leisure and recreational activities not listed above.</t>
  </si>
  <si>
    <t>37.</t>
  </si>
  <si>
    <t>PERSONAL AWARENESS AND SELF-IMPROVEMENT.</t>
  </si>
  <si>
    <t>Programs that focus on the development of improved self-awareness, avoidance of stressful behavior, and improved decision-making skills.</t>
  </si>
  <si>
    <t>37.01</t>
  </si>
  <si>
    <t>Personal Awareness and Self-Improvement.</t>
  </si>
  <si>
    <t>Instructional content for this group of programs is defined in codes 37.0101- 37.0199.</t>
  </si>
  <si>
    <t>Self-Awareness and Personal Assessment.</t>
  </si>
  <si>
    <t>A program that focuses on the knowledge and skills useful in becoming aware of one's feelings, using methods of assessing one's personal attributes, and being aware of how one is perceived by others.</t>
  </si>
  <si>
    <t>Stress Management and Coping Skills.</t>
  </si>
  <si>
    <t>A program that focuses on the knowledge and skills useful in avoiding stressful situations and managing them when they occur, including dealing with complex and long-term stressful relationships.</t>
  </si>
  <si>
    <t>Personal Decision-Making Skills.</t>
  </si>
  <si>
    <t>A program that focuses on how to develop individuals' abilities to assess decisions affecting their lives and to make life choices consistent with needs and beliefs.</t>
  </si>
  <si>
    <t>Self-Esteem and Values Clarification.</t>
  </si>
  <si>
    <t>A program that focuses on the development of personal philosophies and ideas of positive self-concept and self-worth, and applying these knowledge and skills in everyday circumstances.</t>
  </si>
  <si>
    <t>Personal Awareness and Self-Improvement, Other.</t>
  </si>
  <si>
    <t>Any instructional program in personnel awareness and self-improvement not listed above.</t>
  </si>
  <si>
    <t>HIGH SCHOOL/SECONDARY DIPLOMAS AND CERTIFICATES.</t>
  </si>
  <si>
    <t>Instructional programs that define the prescribed requirements for high school/secondary school graduation.</t>
  </si>
  <si>
    <t>53.01</t>
  </si>
  <si>
    <t>High School/Secondary Diploma Programs.</t>
  </si>
  <si>
    <t>Instructional content for this group of programs is defined in codes 53.0101 - 53.0199.</t>
  </si>
  <si>
    <t>Regular/General High School/Secondary Diploma Program.</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</si>
  <si>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t>
  </si>
  <si>
    <t>College/University Preparatory and Advanced High School/Secondary Diploma Program.</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</si>
  <si>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t>
  </si>
  <si>
    <t>Vocational High School and Secondary Business/Vocational-Industrial/Occupational Diploma Program.</t>
  </si>
  <si>
    <t>An instructional program that defines the prescribed requirements, specified by a state or other jurisdiction, for high school/secondary school graduation in a vocational program -- together with other required subject matter, and that may prepare individuals for specific occupations or direct labor market entry.</t>
  </si>
  <si>
    <t>Honors/Regents High School/Secondary Diploma Program.</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</si>
  <si>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t>
  </si>
  <si>
    <t>53.0105</t>
  </si>
  <si>
    <t>Adult High School/Secondary Diploma Program  (NEW).</t>
  </si>
  <si>
    <t>An instructional program that defines the prescribed requirements, specified by a state, province, or other jurisdiction for the completion of, and graduation from a secondary school program of academic subject matter offered fir adult learners outside of the regular secondary school program.  This does not include adult compensatory education programs resulting in completion of a high school equivalency certificate or diploma.</t>
  </si>
  <si>
    <t>High School/Secondary Diploma Programs, Other.</t>
  </si>
  <si>
    <t>Any high school/secondary diploma program not listed above, such as diplomas awarded to special education students for completion of an individualized education plan (IEP).</t>
  </si>
  <si>
    <t>53.02</t>
  </si>
  <si>
    <t>High School/Secondary Certificate Programs.</t>
  </si>
  <si>
    <t>Instructional content for this group of programs is defined in codes 53.0201- 53.0299.</t>
  </si>
  <si>
    <t>High School Equivalence Certificate Program.</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</si>
  <si>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t>
  </si>
  <si>
    <t>High School Certificate of Competence Program.</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</si>
  <si>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t>
  </si>
  <si>
    <t>Certificate of IEP Completion Program.</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</si>
  <si>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t>
  </si>
  <si>
    <t>High School/Secondary Certificates, Other.</t>
  </si>
  <si>
    <t>Any certificate program at the high school/secondary instructional level not listed above.</t>
  </si>
  <si>
    <t>CIPTEXT</t>
  </si>
  <si>
    <t>Architecture and Related Services.</t>
  </si>
  <si>
    <t>Area, Ethnic, Cultural, and Gender Studies.</t>
  </si>
  <si>
    <t>Agriculture, Agriculture Operations, and Related Sciences.</t>
  </si>
  <si>
    <t>02D</t>
  </si>
  <si>
    <t>Agricultural Sciences.</t>
  </si>
  <si>
    <t>Natural Resources and Conservation.</t>
  </si>
  <si>
    <t>Communication, Journalism, and Related Programs.</t>
  </si>
  <si>
    <t>Communications Technologies/Technicians and Support Services.</t>
  </si>
  <si>
    <t>Personal and Culinary Services.</t>
  </si>
  <si>
    <t>Education.</t>
  </si>
  <si>
    <t>Engineering.</t>
  </si>
  <si>
    <t>Engineering Technologies/Technicians.</t>
  </si>
  <si>
    <t>Foreign languages, literatures, and Linguistics.</t>
  </si>
  <si>
    <t>Family and Consumer Sciences/Human Sciences.</t>
  </si>
  <si>
    <t>Liberal Arts and Ssciences, General Studies and Humanities.</t>
  </si>
  <si>
    <t>Biological and Biomedical Sciences.</t>
  </si>
  <si>
    <t>Mathematics and Statistics.</t>
  </si>
  <si>
    <t>Multi/Interdisciplinary Studies.</t>
  </si>
  <si>
    <t>Parks, Recreation, Leisure, and Fitness Studies.</t>
  </si>
  <si>
    <t>Science Technologies/Technicians.</t>
  </si>
  <si>
    <t>Security and Protective Services.</t>
  </si>
  <si>
    <t>Public Administration and Social Service Professions.</t>
  </si>
  <si>
    <t>Social Sciences.</t>
  </si>
  <si>
    <t>Construction Trades.</t>
  </si>
  <si>
    <t>Mechanic and Repair Technologies/Technicians.</t>
  </si>
  <si>
    <t>Precision Production.</t>
  </si>
  <si>
    <t>Transportation and Materials Moving.</t>
  </si>
  <si>
    <t>Visual and Performing Arts.</t>
  </si>
  <si>
    <t>Health Professions and Related Clinical Sciences.</t>
  </si>
  <si>
    <t>Business, Management, Marketing, and Related Support Services.</t>
  </si>
  <si>
    <t>History  (new)</t>
  </si>
  <si>
    <t xml:space="preserve">History  (new) </t>
  </si>
  <si>
    <t>Programs for Series 55 (French/Canadian Language and Literature/Letters)</t>
  </si>
  <si>
    <t>Programs for Series 55 (French/Canadian Language and Literature/letters) are located in appendix a.</t>
  </si>
  <si>
    <t>Reserve Officer Training Corps (JROTC, ROTC).</t>
  </si>
  <si>
    <t>Health-related Knowledge and Skills.</t>
  </si>
  <si>
    <t>High School/Secondary Diplomas and Certificates.</t>
  </si>
  <si>
    <t>CIPTITLE85</t>
  </si>
  <si>
    <t>CIPTITLE90</t>
  </si>
  <si>
    <t>CIPCODE90</t>
  </si>
  <si>
    <t>CIPCODE2k</t>
  </si>
  <si>
    <t>CIPTEXT90</t>
  </si>
  <si>
    <t>CIPTEXT2K</t>
  </si>
  <si>
    <t>Agriculture, Agriculture Operations, and Related Sciences</t>
  </si>
  <si>
    <t>Agriculture, General   (NEW)</t>
  </si>
  <si>
    <t>Agricultural Business and Management</t>
  </si>
  <si>
    <t>Agricultural Business and Management, General</t>
  </si>
  <si>
    <t>Agribusiness/Agricultural Business Operations</t>
  </si>
  <si>
    <t>Farm and Ranch Management</t>
  </si>
  <si>
    <t>Farm/Farm and Ranch Management</t>
  </si>
  <si>
    <t>Agricultural Business Technology     (NEW)</t>
  </si>
  <si>
    <t>Agricultural Business and Management, Other</t>
  </si>
  <si>
    <t>Agricultural Power Machinery Operation</t>
  </si>
  <si>
    <t>Agricultural Mechanics and Equipment/Machine Technology   (NEW)</t>
  </si>
  <si>
    <t>Agricultural Production Workers and Managers</t>
  </si>
  <si>
    <t>Agricultural Production Operations</t>
  </si>
  <si>
    <t>Agricultural Production Workers and Managers, General</t>
  </si>
  <si>
    <t>Agricultural Production Operations, General</t>
  </si>
  <si>
    <t>Agricultural Animal Husbandry and Production Management</t>
  </si>
  <si>
    <t>Animal/Livestock Husbandry and Production</t>
  </si>
  <si>
    <t>Aquaculture Operations and Production Management</t>
  </si>
  <si>
    <t>Aquaculture</t>
  </si>
  <si>
    <t>Crop Production Operations and Management</t>
  </si>
  <si>
    <t>Crop Production</t>
  </si>
  <si>
    <t>Dairy Husbandry and Production   (NEW)</t>
  </si>
  <si>
    <t>Horse Husbandry/Equine Science and Management   (NEW)</t>
  </si>
  <si>
    <t>Japanese Studies  (NEW)</t>
  </si>
  <si>
    <t>Korean Studies  (NEW)</t>
  </si>
  <si>
    <t>Polish Studies  (NEW)</t>
  </si>
  <si>
    <t>Agricultural Production Workers and Managers, Other</t>
  </si>
  <si>
    <t>Agricultural Production Operations, Other</t>
  </si>
  <si>
    <t>Agricultural and Food Products Processing Operations and  Management</t>
  </si>
  <si>
    <t>Agricultural and Food Products Processing Management</t>
  </si>
  <si>
    <t>Agricultural and Food Products Processing Operations and Management</t>
  </si>
  <si>
    <t>Agricultural and Food Products Processing</t>
  </si>
  <si>
    <t>Agricultural Supplies and Related Services</t>
  </si>
  <si>
    <t>Agricultural and Domestic Animal Services</t>
  </si>
  <si>
    <t>Agricultural Supplies Retailing and Wholesaling</t>
  </si>
  <si>
    <t>Agricultural/Farm Supplies Retailing and Wholesaling</t>
  </si>
  <si>
    <t>Dog/Pet/Animal Grooming    (NEW)</t>
  </si>
  <si>
    <t>Animal Training</t>
  </si>
  <si>
    <t>Equestrian/Equine Studies, Horse Management and Training</t>
  </si>
  <si>
    <t>Equestrian/Equine Studies</t>
  </si>
  <si>
    <t>Taxidermy/Taxidermist   (NEW)</t>
  </si>
  <si>
    <t>Agricultural Supplies and Related Services, Other</t>
  </si>
  <si>
    <t>Agricultural and Domestic Animals Services, Other</t>
  </si>
  <si>
    <t>Horticulture Services Operations and Management, General</t>
  </si>
  <si>
    <t>Applied Horticulture/Horticultural Business Services</t>
  </si>
  <si>
    <t>Applied Horticulture/Horticultural Operations, General</t>
  </si>
  <si>
    <t>Ornamental Horticulture Operations and Management</t>
  </si>
  <si>
    <t>Ornamental Horticulture</t>
  </si>
  <si>
    <t>Greenhouse Operations and Management</t>
  </si>
  <si>
    <t>Landscaping Operations and Management</t>
  </si>
  <si>
    <t>Landscaping and Groundskeeping</t>
  </si>
  <si>
    <t>Nursery Operations and Management</t>
  </si>
  <si>
    <t>Plant Nursery Operations and Management</t>
  </si>
  <si>
    <t>Turf and Turfgrass Management</t>
  </si>
  <si>
    <t>Floriculture/Floristry Operations and Management  (NEW)</t>
  </si>
  <si>
    <t>Spanish and Iberian Studies  (NEW)</t>
  </si>
  <si>
    <t>Tibetan Studies  (NEW)</t>
  </si>
  <si>
    <t>Ukraine Studies  (NEW)</t>
  </si>
  <si>
    <t>Horticulture Services Operations and Management, Other</t>
  </si>
  <si>
    <t>Applied Horticulture/Horticultural Business Services, Other</t>
  </si>
  <si>
    <t>International Agricultural</t>
  </si>
  <si>
    <t>Agricultural Public Services   (NEW)</t>
  </si>
  <si>
    <t>Agricultural Communication/Journalism   (NEW)</t>
  </si>
  <si>
    <t>Agricultural Public Services, Other  (NEW)</t>
  </si>
  <si>
    <t>02.</t>
  </si>
  <si>
    <t>Deleted</t>
  </si>
  <si>
    <t>AGRICULTURAL SCIENCES</t>
  </si>
  <si>
    <t>Report Under 01. and 26. Series</t>
  </si>
  <si>
    <t>02.01</t>
  </si>
  <si>
    <t>Agriculture, General</t>
  </si>
  <si>
    <t>Agricultural and Extension Education Services</t>
  </si>
  <si>
    <t>02.02</t>
  </si>
  <si>
    <t>Animal  Sciences</t>
  </si>
  <si>
    <t>Agricultural Animal Breeding and Genetics</t>
  </si>
  <si>
    <t>Agricultural Animal Breeding</t>
  </si>
  <si>
    <t>Animal Health</t>
  </si>
  <si>
    <t>Animal Nutrition</t>
  </si>
  <si>
    <t>Animal Physiology</t>
  </si>
  <si>
    <t>Livestock Management   (NEW)</t>
  </si>
  <si>
    <t>02.03</t>
  </si>
  <si>
    <t>Food Sciences and Technology</t>
  </si>
  <si>
    <t>Food Science and Technology</t>
  </si>
  <si>
    <t>Food Technology and Processing   (NEW)</t>
  </si>
  <si>
    <t>Food Science and Technology, Other  (NEW)</t>
  </si>
  <si>
    <t>02.04</t>
  </si>
  <si>
    <t>Report under 01.11</t>
  </si>
  <si>
    <t>Agronomy and Crop Science</t>
  </si>
  <si>
    <t>Horticultural Science</t>
  </si>
  <si>
    <t>Plant Breeding and Genetics</t>
  </si>
  <si>
    <t>Agricultural and Horticultural Plant Breeding   (NEW)</t>
  </si>
  <si>
    <t>Plant Pathology/Phytopathology</t>
  </si>
  <si>
    <t>Plant Protection &amp; Integrated Pest Management</t>
  </si>
  <si>
    <t>Range Science and Management</t>
  </si>
  <si>
    <t>02.05</t>
  </si>
  <si>
    <t>Soil Science and Agronomy, General</t>
  </si>
  <si>
    <t>02.99</t>
  </si>
  <si>
    <t>Agriculture, Agriculture Operations and Related Sciences, Other</t>
  </si>
  <si>
    <t>CONSERVATION AND RENEWABLE NATURAL RESOURCES</t>
  </si>
  <si>
    <t>NATURAL RESOURCES AND CONSERVATION</t>
  </si>
  <si>
    <t>Natural Resources Conservation and Research</t>
  </si>
  <si>
    <t>Natural Resources/Conservation, General</t>
  </si>
  <si>
    <t>Environmental Studies  (NEW)</t>
  </si>
  <si>
    <t>Environmental Science  (NEW)</t>
  </si>
  <si>
    <t>03.0199        Natural Resources Conservation and Research,  Other   (NEW)</t>
  </si>
  <si>
    <t>Natural Resources Management and Protective Services</t>
  </si>
  <si>
    <t>Natural Resources Management and Policy</t>
  </si>
  <si>
    <t>Ethnic and Cultural Studies</t>
  </si>
  <si>
    <t>Ethnic, Cultural Minority, and Gender Studies</t>
  </si>
  <si>
    <t>African-American (Black) Studies</t>
  </si>
  <si>
    <t>African-American/Black Studies</t>
  </si>
  <si>
    <t>08.04</t>
  </si>
  <si>
    <t>Information Sciences and Systems</t>
  </si>
  <si>
    <t>Information Science/Studies</t>
  </si>
  <si>
    <t>Natural Resources Law Enforcement and Protective Services</t>
  </si>
  <si>
    <t>Natural Resources Management/Development</t>
  </si>
  <si>
    <t>Natural Resource Economics   (NEW)</t>
  </si>
  <si>
    <t>Water, Wetlands, and Marine Resources Management   (NEW)</t>
  </si>
  <si>
    <t>Land Use Planning and Management/Development    (NEW)</t>
  </si>
  <si>
    <t>Natural Resources Management and Protective Services, Other</t>
  </si>
  <si>
    <t>Natural Resources Management and Policy, Other</t>
  </si>
  <si>
    <t>Fishing and Fisheries Sciences and Management</t>
  </si>
  <si>
    <t>Forest Production and Processing</t>
  </si>
  <si>
    <t>Forest Harvesting and Production Technology/Technician</t>
  </si>
  <si>
    <t>Forestry Technology/Technician  (NEW)</t>
  </si>
  <si>
    <t>Forestry Technology/Technician   (NEW)</t>
  </si>
  <si>
    <t>Forestry, Other</t>
  </si>
  <si>
    <t>Forest Production and Processing, Other</t>
  </si>
  <si>
    <t>Forestry and Related Sciences</t>
  </si>
  <si>
    <t>Forestry</t>
  </si>
  <si>
    <t>Forest Sciences and Biology</t>
  </si>
  <si>
    <t>Forest Management/ Forest Resources Management</t>
  </si>
  <si>
    <t>Urban Forestry  (NEW)</t>
  </si>
  <si>
    <t>Wood Science and Pulp/Paper Technology</t>
  </si>
  <si>
    <t>Wood Science and Wood Products/Pulp and Paper Technology</t>
  </si>
  <si>
    <t>Forestry and Related Sciences, Other</t>
  </si>
  <si>
    <t>Computer Systems Analysis/Analyst</t>
  </si>
  <si>
    <t>Data Entry/Microcomputer Applications    (NEW)</t>
  </si>
  <si>
    <t>Wildlife and Wildlands Management</t>
  </si>
  <si>
    <t>Wildlife and Wildlands Science and Management</t>
  </si>
  <si>
    <t>Conservation and Renewable Natural Resources, Other</t>
  </si>
  <si>
    <t>Natural Resources and Conservation, Other</t>
  </si>
  <si>
    <t>ARCHITECTURE AND RELATED PROGRAMS</t>
  </si>
  <si>
    <t>ARCHITECTURE AND RELATED SERVICES</t>
  </si>
  <si>
    <t>Architecture (BArch, BA/BS, MArch, MA/MS, PhD)</t>
  </si>
  <si>
    <t>City/Urban, Community and Regional Planning</t>
  </si>
  <si>
    <t>Environmental Design/Architecture</t>
  </si>
  <si>
    <t>Landscape Architecture (BS, BSLA, BLA, MSLA, MLA, PhD)</t>
  </si>
  <si>
    <t>Architectural Urban Design and Planning</t>
  </si>
  <si>
    <t>Architectural History and Criticism   (NEW)</t>
  </si>
  <si>
    <t>Architectural History and Criticism, General   (NEW)</t>
  </si>
  <si>
    <t>Architectural Technology/Technician   (NEW)</t>
  </si>
  <si>
    <t>Architectural Technology/Technician    (NEW)</t>
  </si>
  <si>
    <t>Data Entry/Microcomputer Applications, General   (NEW)</t>
  </si>
  <si>
    <t>Word Processing    (NEW)</t>
  </si>
  <si>
    <t>Data Entry/Microcomputer Applications, Other  (NEW)</t>
  </si>
  <si>
    <t>Architecture and Related Programs, Other</t>
  </si>
  <si>
    <t>Architecture and Related Services, Other</t>
  </si>
  <si>
    <t>AREA, ETHNIC AND CULTURAL STUDIES</t>
  </si>
  <si>
    <t>AREA, ETHNIC, CULTURAL, AND GENDER STUDIES</t>
  </si>
  <si>
    <t>American/United States Studies/Civilization</t>
  </si>
  <si>
    <t>Asian Studies/Civilization</t>
  </si>
  <si>
    <t>Central/Middle and Eastern European Studies</t>
  </si>
  <si>
    <t>European Studies/Civilization</t>
  </si>
  <si>
    <t>Near and Middle Eastern Studies</t>
  </si>
  <si>
    <t>Pacific Area/Pacific Rim Studies</t>
  </si>
  <si>
    <t>Russian and Slavic Area Studies</t>
  </si>
  <si>
    <t>Russian Studies</t>
  </si>
  <si>
    <t>Scandinavian Studies</t>
  </si>
  <si>
    <t>Balkans Studies    (NEW)</t>
  </si>
  <si>
    <t>Baltic Studies    (NEW)</t>
  </si>
  <si>
    <t>Slavic Studies     (NEW)</t>
  </si>
  <si>
    <t>Caribbean Studies  (NEW)</t>
  </si>
  <si>
    <t>Ural-Altaic and Central Asian Studies  (NEW)</t>
  </si>
  <si>
    <t>Commonwealth Studies  (NEW)</t>
  </si>
  <si>
    <t>Regional Studies (U.S., Canadian, Foreign  (NEW)</t>
  </si>
  <si>
    <t>Chinese Studies  (NEW)</t>
  </si>
  <si>
    <t>French Studies  (NEW)</t>
  </si>
  <si>
    <t>German Studies  (NEW)</t>
  </si>
  <si>
    <t>Italian Studies  (NEW)</t>
  </si>
  <si>
    <t>English/Language Arts Teacher Education</t>
  </si>
  <si>
    <t>Hispanic-American, Puerto Rican, and Mexican- American/Chicano Studies</t>
  </si>
  <si>
    <t>Jewish/ Judaic Studies</t>
  </si>
  <si>
    <t>Women’s Studies</t>
  </si>
  <si>
    <t>Gay/Lesbian Studies    (NEW)</t>
  </si>
  <si>
    <t>Ethnic and Cultural Studies, Other</t>
  </si>
  <si>
    <t>Ethnic, Cultural Minority, and Gender Studies, Other</t>
  </si>
  <si>
    <t>Area, Ethnic and Cultural Studies, Other</t>
  </si>
  <si>
    <t>Area, Ethnic, Cultural, and Gender Studies, Other</t>
  </si>
  <si>
    <t>SALES AND MARKETING OPERATIONS/MARKETING AND DISTRIBUTION</t>
  </si>
  <si>
    <t>Series         Deleted:  Report  Under 52. Series</t>
  </si>
  <si>
    <t>08.01</t>
  </si>
  <si>
    <t>Apparel and Accessories Marketing Operations</t>
  </si>
  <si>
    <t>Apparel and Accessories Marketing Operations, General</t>
  </si>
  <si>
    <t>Apparel and Accessories Marketing Operations, Other</t>
  </si>
  <si>
    <t>08.02</t>
  </si>
  <si>
    <t>Business and Personal Services Marketing Operations</t>
  </si>
  <si>
    <t>Business and Personal/Financial Services Marketing Operations  (NEW)</t>
  </si>
  <si>
    <t>Business and Personal Services Marketing Operations, Other</t>
  </si>
  <si>
    <t>08.03</t>
  </si>
  <si>
    <t>Sales, Distribution and Marketing Operations, General</t>
  </si>
  <si>
    <t>08.05</t>
  </si>
  <si>
    <t>Special Products Marketing Operations  (NEW)</t>
  </si>
  <si>
    <t>08.06</t>
  </si>
  <si>
    <t>Food Products Retailing and Wholesaling Operations</t>
  </si>
  <si>
    <t>Merchandising and Buying Operations</t>
  </si>
  <si>
    <t>Retailing and Retail Operations</t>
  </si>
  <si>
    <t>General Selling Skills and Sales Operations</t>
  </si>
  <si>
    <t>Selling Skills and Sales Operations</t>
  </si>
  <si>
    <t>General Sales and Marketing Operations, Other</t>
  </si>
  <si>
    <t>General Sales, Merchandising and Related Marketing Operations,   Other</t>
  </si>
  <si>
    <t>08.08</t>
  </si>
  <si>
    <t>Home and Office Products Marketing Operations</t>
  </si>
  <si>
    <t>Home and Office Products Marketing Operations, Other</t>
  </si>
  <si>
    <t>08.09</t>
  </si>
  <si>
    <t>Hospitality and Recreation Marketing Operations</t>
  </si>
  <si>
    <t>Hospitality and Recreation Marketing Operations, General</t>
  </si>
  <si>
    <t>Hospitality and Recreation Marketing Operations   (NEW)</t>
  </si>
  <si>
    <t> OR</t>
  </si>
  <si>
    <t>OR</t>
  </si>
  <si>
    <t>08.10</t>
  </si>
  <si>
    <t>08.11</t>
  </si>
  <si>
    <t>Tourism and Travel Services Marketing Operations</t>
  </si>
  <si>
    <t>Hospitality and Recreation Marketing Operations, Other</t>
  </si>
  <si>
    <t>Tourism and Travel Services Marketing Operations, Other</t>
  </si>
  <si>
    <t>08.12</t>
  </si>
  <si>
    <t>Vehicle and Petroleum Products Marketing Operations</t>
  </si>
  <si>
    <t>Vehicle Parts and Accessories Marketing Operations</t>
  </si>
  <si>
    <t>Vehicle and Vehicle Parts and Accessories Marketing Operations  (NEW)</t>
  </si>
  <si>
    <t>Vehicle and Vehicle Parts and Accessories Marketing Operations   (NEW)</t>
  </si>
  <si>
    <t>Vehicle and Petroleum Products Marketing Operations, Other</t>
  </si>
  <si>
    <t>08.13</t>
  </si>
  <si>
    <t>Health Products and Services Marketing Operations</t>
  </si>
  <si>
    <t>Special Products Marketing  Operations  (NEW)</t>
  </si>
  <si>
    <t>08.99</t>
  </si>
  <si>
    <t>Sales and Marketing Operations/Marketing and Distribution, Other</t>
  </si>
  <si>
    <t>Computer Programming/Programmer, General</t>
  </si>
  <si>
    <t>Computer Programming, Specific Applications   (NEW)</t>
  </si>
  <si>
    <t>Computer Programming, Vendor/Product Certification   (NEW)</t>
  </si>
  <si>
    <t>Computer Programming, Other    (NEW)</t>
  </si>
  <si>
    <t>General Merchandising, Sales and Related Marketing Operations,  Other</t>
  </si>
  <si>
    <t>COMMUNICATIONS</t>
  </si>
  <si>
    <t>COMMUNICATION, JOURNALISM AND RELATED PROGRAMS</t>
  </si>
  <si>
    <t>Communication and Media Studies</t>
  </si>
  <si>
    <t>Communication Studies/Speech Communication and Rhetoric</t>
  </si>
  <si>
    <t>Communication and Media Studies, Other   (NEW)</t>
  </si>
  <si>
    <t>Journalism and Mass Communications</t>
  </si>
  <si>
    <t>Mass Communication/ Media Studies</t>
  </si>
  <si>
    <t>Photojournalism  (NEW)</t>
  </si>
  <si>
    <t>Journalism and  Mass Communication, Other</t>
  </si>
  <si>
    <t>Journalism, Other</t>
  </si>
  <si>
    <t>Public Relations and Organizational Communications</t>
  </si>
  <si>
    <t>Public Relations/Image Management    (NEW)</t>
  </si>
  <si>
    <t>Radio and Television Broadcasting</t>
  </si>
  <si>
    <t>Radio, Television, and Digital Communication</t>
  </si>
  <si>
    <t>Radio and Television</t>
  </si>
  <si>
    <t>Digital Communication and Media/Multimedia    (NEW)</t>
  </si>
  <si>
    <t>Radio, Television, and Digital Communication, Other    (NEW)</t>
  </si>
  <si>
    <t>Public Relations, Advertising, and Applied Communication, Other   (NEW)</t>
  </si>
  <si>
    <t>Organizational Communication, General  (NEW)</t>
  </si>
  <si>
    <t>Political Communication    (NEW)</t>
  </si>
  <si>
    <t>Health Communication    (NEW)</t>
  </si>
  <si>
    <t>Publishing    (NEW)</t>
  </si>
  <si>
    <t>Communication, Journalism and Related Programs, Other</t>
  </si>
  <si>
    <t>Communications,  Other</t>
  </si>
  <si>
    <t>COMMUNICATIONS TECHNOLOGIES</t>
  </si>
  <si>
    <t>COMMUNICATIONS TECHNOLOGIES/TECHNICIANS AND SUPPORT   SERVICES</t>
  </si>
  <si>
    <t>Communications Technology/Technician</t>
  </si>
  <si>
    <t>Photographic  and Film/ Video Technology/Technician and Assistant</t>
  </si>
  <si>
    <t>Radio and Television Broadcasting Technology/Technician</t>
  </si>
  <si>
    <t>Communications Technology/Technician  (NEW)</t>
  </si>
  <si>
    <t>Communications Technologies/Technicians and Support Services, Other   (NEW)</t>
  </si>
  <si>
    <t>Audiovisual Communications Technologies/Technician (NEW)</t>
  </si>
  <si>
    <t>Recording Arts Technology/Technician    (NEW)</t>
  </si>
  <si>
    <t>Audiovisual Communications Technologies/Technicians, Other (NEW)</t>
  </si>
  <si>
    <t>Graphic Communications   (NEW)</t>
  </si>
  <si>
    <t>Graphic Communications, General    (NEW)</t>
  </si>
  <si>
    <t>Printing Management    (NEW)</t>
  </si>
  <si>
    <t>Animation, Interactive Technology, Video Graphics and  Special  Effects    (NEW)</t>
  </si>
  <si>
    <t>Graphic Communications, Other   (NEW)</t>
  </si>
  <si>
    <t>Communications Technologies/Technicians and Support Services, Other Special  Effects    (NEW)</t>
  </si>
  <si>
    <t>COMPUTER AND INFORMATION SCIENCES</t>
  </si>
  <si>
    <t>COMPUTER AND INFORMATION SCIENCES AND SUPPORT SERVICES</t>
  </si>
  <si>
    <t>Computer and Information Sciences, General</t>
  </si>
  <si>
    <t>Artificial Intelligence and Robotics   (NEW)</t>
  </si>
  <si>
    <t>Information Technology     (NEW)</t>
  </si>
  <si>
    <t>Computer Science, Other    (NEW)</t>
  </si>
  <si>
    <t>Foreign Language Teacher  Education</t>
  </si>
  <si>
    <t>Data Processing and Data Processing Technology/Technician</t>
  </si>
  <si>
    <t>Computer Software and Media Applications (NEW)</t>
  </si>
  <si>
    <t>Web Page, Digital/Multimedia and Information Resources Design  (NEW)</t>
  </si>
  <si>
    <t>Data Modeling/Warehousing and Database Administration  (NEW)</t>
  </si>
  <si>
    <t>Computer Graphics  (NEW)</t>
  </si>
  <si>
    <t>Computer Software and Media Applications, Other  (NEW)</t>
  </si>
  <si>
    <t>Computer Systems Networking and Telecommunications (NEW)</t>
  </si>
  <si>
    <t>Computer Systems Networking and Telecommunications  (NEW)</t>
  </si>
  <si>
    <t>Computer/Information Technology Administration and Management (NEW)</t>
  </si>
  <si>
    <t>System Administration/Administrator  (NEW)</t>
  </si>
  <si>
    <t>System, Networking, and LAN/WAN Management/Manager  (NEW)</t>
  </si>
  <si>
    <t>Computer and Information Systems Security  (NEW)</t>
  </si>
  <si>
    <t>Web/Multimedia Management and Webmaster  (NEW)</t>
  </si>
  <si>
    <t>Computer/Information Technology Services Administration and  Management, Other (NEW)</t>
  </si>
  <si>
    <t>Computer and Information Sciences, Other</t>
  </si>
  <si>
    <t>Computer and Information Sciences and Support Services, Other</t>
  </si>
  <si>
    <t>PERSONAL AND MISCELLANEOUS SERVICES</t>
  </si>
  <si>
    <t>PERSONAL AND CULINARY SERVICES</t>
  </si>
  <si>
    <t>Gaming and Sports Officiating Services</t>
  </si>
  <si>
    <t>02   Deleted</t>
  </si>
  <si>
    <t>Personal and Culinary Services, Other</t>
  </si>
  <si>
    <t>Umpires and Other Sports Officials</t>
  </si>
  <si>
    <t>Business Teacher Education</t>
  </si>
  <si>
    <t>Gaming and Sports Officiating Services, Other</t>
  </si>
  <si>
    <t>Funeral Services and Mortuary Science</t>
  </si>
  <si>
    <t>Funeral Service and Mortuary Science</t>
  </si>
  <si>
    <t>Funeral Service and Mortuary Science, General</t>
  </si>
  <si>
    <t>Funeral Direction/Service  (NEW)</t>
  </si>
  <si>
    <t>Mortuary Science and Embalming/Embalmer   (NEW)</t>
  </si>
  <si>
    <t>Funeral Service and Mortuary Science, Other    (NEW)</t>
  </si>
  <si>
    <t>Cosmetology and Related Personal Grooming Services</t>
  </si>
  <si>
    <t>Cosmetology/Cosmetologist, General</t>
  </si>
  <si>
    <t>Barbering/Barber</t>
  </si>
  <si>
    <t>Electrolysis/Electrology and Electrolysis Technician</t>
  </si>
  <si>
    <t>Massage Therapy/Therapeutic Massage</t>
  </si>
  <si>
    <t>Makeup Artist</t>
  </si>
  <si>
    <t>Make-Up Artist/Specialist</t>
  </si>
  <si>
    <t>Hair Styling/Stylist and Hair Design   (NEW)</t>
  </si>
  <si>
    <t>Facial Treatment Specialist/Facialist   (NEW)</t>
  </si>
  <si>
    <t>Aesthetician/Esthetician and Skin Care Specialist   (NEW)</t>
  </si>
  <si>
    <t>Nail Technician/Specialist and Manicurist    (NEW)</t>
  </si>
  <si>
    <t>Permanent Cosmetics/Makeup and Tattooing    (NEW)</t>
  </si>
  <si>
    <t>Salon/Beauty Salon Management/Manager    (NEW)</t>
  </si>
  <si>
    <t>Cosmetology, Barber/Styling, and Nail Instructor    (NEW)</t>
  </si>
  <si>
    <t>Cosmetology and Related Personal Grooming Arts, Other</t>
  </si>
  <si>
    <t>Culinary Arts and Related Services</t>
  </si>
  <si>
    <t>Cooking and Related Culinary Arts, General    (NEW)</t>
  </si>
  <si>
    <t>Baking and Pastry Arts/Baker/Pastry Chef</t>
  </si>
  <si>
    <t>Bartending/Bartender</t>
  </si>
  <si>
    <t>Food and Beverage/Restaurant Operations Manager</t>
  </si>
  <si>
    <t>Restaurant, Culinary, and Catering Management/Manager</t>
  </si>
  <si>
    <t>Kitchen Personnel/Cook and Assistant Training</t>
  </si>
  <si>
    <t>Food Preparation/Professional Cooking/Kitchen Assistant</t>
  </si>
  <si>
    <t>Meat Cutting/Meat Cutter</t>
  </si>
  <si>
    <t>Waiter/Waitress and Dining Room Manager</t>
  </si>
  <si>
    <t>Food Service, Waiter/Waitress, and Dining Room Management/Manager</t>
  </si>
  <si>
    <t>Institutional Food Workers  (NEW)</t>
  </si>
  <si>
    <t>Culinary Arts and Related Services, Other</t>
  </si>
  <si>
    <t>Personal and Miscellaneous Services, Other</t>
  </si>
  <si>
    <t>EDUCATION</t>
  </si>
  <si>
    <t>Bilingual/Bicultural Education and Teaching</t>
  </si>
  <si>
    <t>Bilingual, Multilingual, and Multicultural Education</t>
  </si>
  <si>
    <t>Bilingual and Multilingual Education</t>
  </si>
  <si>
    <t>Multicultural Education    (NEW)</t>
  </si>
  <si>
    <t>Indian/Native American Education    (NEW)</t>
  </si>
  <si>
    <t>Bilingual, Multilingual, and Multicultural Education, Other   (NEW)</t>
  </si>
  <si>
    <t>Curriculum and Instruction</t>
  </si>
  <si>
    <t>Education Administration and Supervision</t>
  </si>
  <si>
    <t>Educational Administration and Supervision</t>
  </si>
  <si>
    <t>Secondary School Administration/Principalship    (NEW)</t>
  </si>
  <si>
    <t>Community and Junior College Administration</t>
  </si>
  <si>
    <t>Community College Education</t>
  </si>
  <si>
    <t>Urban Education and Leadership   (NEW)</t>
  </si>
  <si>
    <t>Education Administration and Supervision/Leadership, General</t>
  </si>
  <si>
    <t>Educational Leadership and Administration, General</t>
  </si>
  <si>
    <t>Adult and Continuing Education Administration</t>
  </si>
  <si>
    <t>Educational, Instructional, and Curriculum Supervision</t>
  </si>
  <si>
    <t>Elementary, Middle and Secondary Education Administration</t>
  </si>
  <si>
    <t>Elementary and Middle School Administration/Principalship   (NEW)</t>
  </si>
  <si>
    <t>Higher Education/Higher Education Administration</t>
  </si>
  <si>
    <t>Superintendency and Educational System Administration  (NEW)</t>
  </si>
  <si>
    <t>Education Administration and Supervision/Leadership, Other</t>
  </si>
  <si>
    <t>Educational Administration and Supervision, Other</t>
  </si>
  <si>
    <t>Educational Evaluation, Research and Statistics</t>
  </si>
  <si>
    <t>Educational Assessment, Evaluation, and Research</t>
  </si>
  <si>
    <t>Educational Evaluation and Research</t>
  </si>
  <si>
    <t>Educational Statistics and Research Methods</t>
  </si>
  <si>
    <t>Educational Assessment, Testing and Measurement</t>
  </si>
  <si>
    <t>Educational Assessment, Testing, and Measurement</t>
  </si>
  <si>
    <t>Educational Evaluation, Research and Statistics, Other</t>
  </si>
  <si>
    <t>Educational Assessment, Evaluation, and Research, Other</t>
  </si>
  <si>
    <t>International and Comparative Education</t>
  </si>
  <si>
    <t>Special Education and Teaching, Other</t>
  </si>
  <si>
    <t>Student Counseling and Personnel Services, Other   (NEW)</t>
  </si>
  <si>
    <t>Elementary Education and Teaching</t>
  </si>
  <si>
    <t>Russian Language and Literature</t>
  </si>
  <si>
    <t>Social and Philosophical Foundations of Education</t>
  </si>
  <si>
    <t>Special Education and Teaching</t>
  </si>
  <si>
    <t>Special Education and Teaching, General</t>
  </si>
  <si>
    <t>Education of the Deaf and Hearing Impaired</t>
  </si>
  <si>
    <t>Education/Teaching of Individuals with Hearing Impairments,  Including Deafness</t>
  </si>
  <si>
    <t>Education of the Gifted and Talented</t>
  </si>
  <si>
    <t>Education/Teaching of the Gifted and Talented</t>
  </si>
  <si>
    <t>Education/Teaching of Individuals with Emotional Disturbances</t>
  </si>
  <si>
    <t>Education/Teaching of Individuals with Mental Retardation</t>
  </si>
  <si>
    <t>Education/Teaching of Individuals with Multiple Disabilities</t>
  </si>
  <si>
    <t>Education/Teaching of Individuals with Orthopedic and Other Physical Health Impairments</t>
  </si>
  <si>
    <t>Education of the Blind and Visually Handicapped</t>
  </si>
  <si>
    <t>Education/Teaching of Individuals with Vision Impairments, Including Blindness</t>
  </si>
  <si>
    <t>Education/Teaching of Individuals with Specific Learning Disabilities</t>
  </si>
  <si>
    <t>Education/Teaching of Individuals with Autism</t>
  </si>
  <si>
    <t>Education/Teaching of Individuals Who are Developmentally Delayed    (NEW)</t>
  </si>
  <si>
    <t>Education/Teaching of Individuals with Traumatic Brain Injuries     (NEW)</t>
  </si>
  <si>
    <t>Education/Teaching of Individuals with Speech or Language  Impairments</t>
  </si>
  <si>
    <t>Education/Teaching of Individuals in Early Childhood Special Education Programs     (NEW)</t>
  </si>
  <si>
    <t>Student Counseling and Personnel Services</t>
  </si>
  <si>
    <t>Counselor Education Counseling and Guidance Services</t>
  </si>
  <si>
    <t>Counselor Education/School Counseling and Guidance Services</t>
  </si>
  <si>
    <t>College/Postsecondary Student Counseling and Personnel Services</t>
  </si>
  <si>
    <t>College Student Counseling and Personnel Services</t>
  </si>
  <si>
    <t>Teacher Education and Professional Development, Specific  Levels and Methods</t>
  </si>
  <si>
    <t>Adult and Continuing Teacher Education</t>
  </si>
  <si>
    <t>Adult and Continuing Education and Teaching</t>
  </si>
  <si>
    <t>Junior High/Intermediate/Middle School Education and Teaching</t>
  </si>
  <si>
    <t>Pre-Elementary/Early Childhood/Kindergarten Teacher Education</t>
  </si>
  <si>
    <t>Kindergarten/PreSchool Education and Teaching   (NEW)</t>
  </si>
  <si>
    <t>Early Childhood Education and Teaching    (NEW)</t>
  </si>
  <si>
    <t>Secondary Education and Teaching</t>
  </si>
  <si>
    <t>Montessori Teacher Education    (NEW)</t>
  </si>
  <si>
    <t>Waldorf/Steiner Teacher Education    (NEW)</t>
  </si>
  <si>
    <t>Teacher Education and Professional Development, Specific Levels and Methods, Other</t>
  </si>
  <si>
    <t>Teacher Education, Specific Academic and Vocational Programs</t>
  </si>
  <si>
    <t>Teacher Education and Professional Development, Specific Subject Areas</t>
  </si>
  <si>
    <t>Agricultural Teacher Education</t>
  </si>
  <si>
    <t>Driver and Safety Teacher Education</t>
  </si>
  <si>
    <t>Family and Consumer Sciences/Home Economics Teacher Education</t>
  </si>
  <si>
    <t>Technology Teacher Education/Industrial Arts Teacher Education</t>
  </si>
  <si>
    <t>Marketing Operations/Marketing and Distribution Teacher Education (Vocational)</t>
  </si>
  <si>
    <t>Sales and Marketing Operations/Marketing and Distribution Teacher Education</t>
  </si>
  <si>
    <t>Physical Education Teaching and Coaching</t>
  </si>
  <si>
    <t>Science Teacher Education/General Science Teacher Education</t>
  </si>
  <si>
    <t>Technical Teacher Education</t>
  </si>
  <si>
    <t>Trade and Industrial Teacher Education  (Vocational)</t>
  </si>
  <si>
    <t>Trade and Industrial Teacher Education</t>
  </si>
  <si>
    <t>Drama and Dance Teacher Education</t>
  </si>
  <si>
    <t>Health Occupations Teacher Education  (Vocational)</t>
  </si>
  <si>
    <t>Health Occupations Teacher Education</t>
  </si>
  <si>
    <t>Geography Teacher Education    (NEW)</t>
  </si>
  <si>
    <t>Latin Teacher Education    (NEW)</t>
  </si>
  <si>
    <t>School Librarian/School Library Media Specialist    (NEW)</t>
  </si>
  <si>
    <t>Psychology Teacher  Education    (NEW)</t>
  </si>
  <si>
    <t>Teacher Education, Specific Academic and Vocational  Programs, Other</t>
  </si>
  <si>
    <t>Teacher Education and Professional Development, Specific Subject Areas, Other</t>
  </si>
  <si>
    <t>Teaching English as a Second Language/Foreign  Language</t>
  </si>
  <si>
    <t>Teaching English as a Second or Foreign Language</t>
  </si>
  <si>
    <t>Teaching English as a Second or Foreign Language/ESL Language Instructor</t>
  </si>
  <si>
    <t>Teaching French as a Second or Foreign Language    (NEW)</t>
  </si>
  <si>
    <t>Teaching English or French as a Second or Foreign Language, Other    (NEW)</t>
  </si>
  <si>
    <t>Teaching Assistants/Aides</t>
  </si>
  <si>
    <t>Adult Literacy Tutor/Instructor    (NEW)</t>
  </si>
  <si>
    <t>Teaching Assistants/Aides, Other   (NEW)</t>
  </si>
  <si>
    <t>ENGINEERING</t>
  </si>
  <si>
    <t>Aerospace, Aeronautical and Astronautical Engineering</t>
  </si>
  <si>
    <t>Agricultural/Biological Engineering and Bioengineering</t>
  </si>
  <si>
    <t>Bioengineering and Biomedical Engineering</t>
  </si>
  <si>
    <t>Biomedical/Medical Engineering</t>
  </si>
  <si>
    <t>Ceramic Sciences and Engineering</t>
  </si>
  <si>
    <t>Transportation and Highway Engineering</t>
  </si>
  <si>
    <t>Computer Engineering, General</t>
  </si>
  <si>
    <t>Computer Hardware Engineering  (NEW)</t>
  </si>
  <si>
    <t>Computer Software Engineering  (NEW)</t>
  </si>
  <si>
    <t>Computer Engineering, Other  (NEW)</t>
  </si>
  <si>
    <t>Electrical, Electronics and Communications Engineering</t>
  </si>
  <si>
    <t>Electrical, Electronics and Communi­cations Engineering</t>
  </si>
  <si>
    <t>Electrical, Electronics and Communication Engineering</t>
  </si>
  <si>
    <t>Geological/Geophysical Engineering  (NEW)</t>
  </si>
  <si>
    <t>Geological/Geophysical Engineering   (NEW)</t>
  </si>
  <si>
    <t>Industrial Engineering    (NEW)</t>
  </si>
  <si>
    <t>Manufacturing Engineering   (NEW)</t>
  </si>
  <si>
    <t>Mining and Mineral Engineering</t>
  </si>
  <si>
    <t>Naval Architecture and Marine Engineering</t>
  </si>
  <si>
    <t>Engineering Technology, General (NEW)</t>
  </si>
  <si>
    <t>Japanese Language and Literature</t>
  </si>
  <si>
    <t>Korean Language and Literature   (NEW)</t>
  </si>
  <si>
    <t>Tibetan Language and Literature    (NEW)</t>
  </si>
  <si>
    <t>Baltic Languages, Literatures, and Linguistics   (NEW)</t>
  </si>
  <si>
    <t>Textile Sciences and Engineering</t>
  </si>
  <si>
    <t>Construction Engineering (NEW)</t>
  </si>
  <si>
    <t>Construction Engineering   (NEW)</t>
  </si>
  <si>
    <t>Forest Engineering   (NEW)</t>
  </si>
  <si>
    <t>Forest Engineering  (NEW)</t>
  </si>
  <si>
    <t>Industrial Engineering  (NEW)</t>
  </si>
  <si>
    <t>Manufacturing Engineering (NEW)</t>
  </si>
  <si>
    <t>Operations Research    (NEW)</t>
  </si>
  <si>
    <t>Surveying Engineering   (NEW)</t>
  </si>
  <si>
    <t>Geological/Geophysical Engineering (NEW)</t>
  </si>
  <si>
    <t>ENGINEERING-RELATED TECHNOLOGIES</t>
  </si>
  <si>
    <t>ENGINEERING TECHNOLOGIES/TECHNICIANS</t>
  </si>
  <si>
    <t>Architectural Engineering Technology/Technicians</t>
  </si>
  <si>
    <t>Civil Engineering Technology/Technician</t>
  </si>
  <si>
    <t>Electrical and Electronic Engineering-Related Technology</t>
  </si>
  <si>
    <t>Electrical and Electronic Engineering Technologies/Technicians</t>
  </si>
  <si>
    <t>Computer Engineering Technology/ Technician</t>
  </si>
  <si>
    <t>Electrical, Electronic and Communications Engineering Technology/Technician</t>
  </si>
  <si>
    <t>Electrical, Electronic and Communications Engineering  Technology/Technician</t>
  </si>
  <si>
    <t>Laser and Optical Technology/Technician</t>
  </si>
  <si>
    <t>Telecommunications Technology/Technician  (NEW)</t>
  </si>
  <si>
    <t>Electrical and Electronic Engineering Related Technologies/Technicians, Other</t>
  </si>
  <si>
    <t>Electrical and Electronic Engineering Technologies/Technicians, Other</t>
  </si>
  <si>
    <t>Electromechanical Instrumentation and Maintenance Technology</t>
  </si>
  <si>
    <t>Electromechanical and Instrumentation and Maintenance Technologies/Technicians</t>
  </si>
  <si>
    <t>Biomedical Technology/Technician</t>
  </si>
  <si>
    <t>Solar Energy Technology/Technician</t>
  </si>
  <si>
    <t>Hazardous Materials Management and WasteTechnology/Technician  (NEW)</t>
  </si>
  <si>
    <t>A residency training program that prepares physicians in the diagnosis and management of endocrine diseases and the regulation of hormone balance in childhood and adolescence.  Requires prior completion of a program in pediatrics. (Moved from 51.2946)</t>
  </si>
  <si>
    <t>60.0247</t>
  </si>
  <si>
    <t>Pediatric Hemato-Oncology.</t>
  </si>
  <si>
    <t>A residency training program that prepares physicians in the diagnosis and management of hematologic disorders and malignant diseases, including blood and bone marrow function, in infancy, childhood and adolescence.  Requires prior completion of a program in pediatrics.(Moved from 51.2947)</t>
  </si>
  <si>
    <t>60.0248</t>
  </si>
  <si>
    <t>Pediatric Nephrology.</t>
  </si>
  <si>
    <t>A residency training program that prepares physicians in the diagnosis and management of infants, children and adolescents with renal and genito-urinary problems, hypertension and disorders of body fluid physiology.  Requires prior completion of a program in pediatrics.  (Moved from 51.2948)</t>
  </si>
  <si>
    <t>60.0249</t>
  </si>
  <si>
    <t>Pediatric Orthopedics.</t>
  </si>
  <si>
    <t>A residency training program that prepares physicians in the diagnosis, surgical and non-surgical treatment, and management of musculoskeletal diseases, abnormalities and trauma in infants, children and adolescents.  Requires prior completion of a program in orthopedic surgery.  (Moved from 51.2949)</t>
  </si>
  <si>
    <t>60.0250</t>
  </si>
  <si>
    <t>Pediatric Surgery.</t>
  </si>
  <si>
    <t>A residency training program that prepares physicians in the diagnosis, evaluation and surgical treatment of diseases, disorders and trauma in infants and children.  Requires prior completion of a program in general surgery.(Moved from 51.2950)</t>
  </si>
  <si>
    <t>60.0251</t>
  </si>
  <si>
    <t>Pediatrics.</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</si>
  <si>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(See also 60.0245, 60.0246, 60.0247, 60.0248, 60.0249 and 60.0250) (Moved from 51.2951)</t>
  </si>
  <si>
    <t>60.0252</t>
  </si>
  <si>
    <t>Physical and Rehabilitation Medicine.</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</si>
  <si>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(Moved from 51.2952)</t>
  </si>
  <si>
    <t>60.0253</t>
  </si>
  <si>
    <t>Plastic Surgery.</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</si>
  <si>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(Moved from 51.2953)</t>
  </si>
  <si>
    <t>60.0254</t>
  </si>
  <si>
    <t>Preventive Medicine.</t>
  </si>
  <si>
    <t>A residency training program that prepares individuals to manage the study and prevention of disease processes occurring in communities and defined population groups and the promotion of health-enhancing environments and behaviors.  Includes instruction in biostatistics; epidemiology; health program planning; evaluation of behavioral outcomes and medical care; recognition, assessment, and control of environmental hazards, occupational health and safety; socio-cultural behavioral factors in medicine; prevention application, and assessment of population and individual health needs.  (Moved from 51.2954)</t>
  </si>
  <si>
    <t>60.0255</t>
  </si>
  <si>
    <t>Psychiatry.</t>
  </si>
  <si>
    <t>A residency training program that prepares physicians in the diagnosis, treatment, and prevention of mental, emotional, behavioral and neurological disorders.  Includes instruction in psychotherapy, family counseling, referral, clinical diagnosis, and practice management.  Requires prior partial completion of a program in neurology and internal medicine, family medicine or pediatrics. (Moved from 51.2955)</t>
  </si>
  <si>
    <t>60.0256</t>
  </si>
  <si>
    <t>Public Health Medicine.</t>
  </si>
  <si>
    <t>A residency training program that prepares physicians in the prevention, control and treatment of communicable and chronic diseases in communities and defined population groups, with emphasis on the administrative management of health care, sanitation and applied research services.  (Moved from 51.2956)</t>
  </si>
  <si>
    <t>60.0257</t>
  </si>
  <si>
    <t>Pulmonary Disease.</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</si>
  <si>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 (Moved from 51.2957)</t>
  </si>
  <si>
    <t>60.0258</t>
  </si>
  <si>
    <t>Radiation Oncology.</t>
  </si>
  <si>
    <t>A residency training program that prepares physicians in the use of ionizing radiation to treat patients with cancer and other diseases.  Includes instruction in treatment planning, instrument design and operation, radiation physics and radiobiology. (Moved from 51.2958)</t>
  </si>
  <si>
    <t>60.0259</t>
  </si>
  <si>
    <t>Radioisotopic Pathology.</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</si>
  <si>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 (Moved from 51.2959)</t>
  </si>
  <si>
    <t>60.0260</t>
  </si>
  <si>
    <t>Rheumatology.</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</si>
  <si>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 (Moved from 51.2960)</t>
  </si>
  <si>
    <t>60.0261</t>
  </si>
  <si>
    <t>Sports Medicine.</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</si>
  <si>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orthopedic surgery. (Moved from 51.2961)</t>
  </si>
  <si>
    <t>60.0262</t>
  </si>
  <si>
    <t>Thoracic Surgery.</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</si>
  <si>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 (Moved from 51.2962)</t>
  </si>
  <si>
    <t>60.0263</t>
  </si>
  <si>
    <t>Urology.</t>
  </si>
  <si>
    <t>A residency training program that prepares physicians in the diagnosis and treatment of diseases of the genitourinary tract in men and women, including renal transplantation, renal-vascular disease, oncology, infertility and endocrinology, stone disease and aerodynamics.  Requires prior partial completion of a program in general surgery. (Moved from 51.2963)</t>
  </si>
  <si>
    <t>60.0264</t>
  </si>
  <si>
    <t>Vascular Surgery.</t>
  </si>
  <si>
    <t>A residency training program that prepares physicians in the surgical treatment of diseases and disorders of the arterial, venous and lymphatic circulatory systems and of the heart and thoracic aorta.  Requires prior completion of all or a portion of a program in general surgery.  (Moved from 51.2964)</t>
  </si>
  <si>
    <t>60.0265</t>
  </si>
  <si>
    <t>Adult Reconstructive Orthopedics (Orthopedic Surgery).</t>
  </si>
  <si>
    <t>(NEW) A residency training program that prepares individuals to undertake the study, prevention, and reconstructive treatment of musculoskeletal diseases, disorders, and sequelae of injuries by medical, physical, and surgical methods.  Includes instruction in arthritis and related disorders of the hip, knee, shoulder, elbow, ankle, and foot.</t>
  </si>
  <si>
    <t>60.0266</t>
  </si>
  <si>
    <t>Child Neurology.</t>
  </si>
  <si>
    <t>(NEW)  A residency training program that prepares individuals to study, prevent, and manage neurological disorders of children including disorders requiring surgical, medical, and psychiatric management. Includes instruction in neurophysiology; neuropathology; neuroradiology; neuro-ophthalmology; psychiatry; rehabilitation; neurological surgery; pediatric neurodevelopment; and psycho-social support and counseling.</t>
  </si>
  <si>
    <t>60.0267</t>
  </si>
  <si>
    <t>Cytopathology.</t>
  </si>
  <si>
    <t>(NEW)  A residency training program that prepares individuals to study, prevent, and manage human diseases manifested in cells. Includes instruction in laboratory procedures; laboratorymanagement; quality assurance; screening; specimen collection; cytopreparation; cytometric and image analysis; and related immunological and molecular techniques.</t>
  </si>
  <si>
    <t>60.0268</t>
  </si>
  <si>
    <t>Geriatric Medicine (Internal Medicine).</t>
  </si>
  <si>
    <t>(NEW)  A residency training program that prepares individuals to manage the health care of elderly patients with a variety of medical problems on an in-patient and out-patient basis.Includes instruction in the physiology of aging; geriatric pathophysiology; atypical presentation of illness; functional assessment; cognitive and affective assessment; and concepts of patient treatment and management in different settings.     (See also 60.0222)</t>
  </si>
  <si>
    <t>60.0269</t>
  </si>
  <si>
    <t>Pediatric Urology.</t>
  </si>
  <si>
    <t>(NEW)  A residency training program that prepares individuals in the study, prevention, and management of congenital, childhood-acquired, and overlapping adolescent anomalies; problems, diseases, tumors, and traumas of the urologic system.  Includes instruction in diagnostic and therapeutic procedures; urologic surgery; pediatric urologic disease;  urodynamic analysis; nephrologic disease; neonatal and intensive care; neuropathic bladder entities; neurological tumors and trauma; renal genital anomalies; sexual development; and patient counseling and management.</t>
  </si>
  <si>
    <t>60.0270</t>
  </si>
  <si>
    <t>Physical Medicine and Rehabilitation/Psychiatry.</t>
  </si>
  <si>
    <t>(NEW)  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t>
  </si>
  <si>
    <t>60.0271</t>
  </si>
  <si>
    <t>Orthopedic Surgery of the Spine.</t>
  </si>
  <si>
    <t>(NEW)  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t>
  </si>
  <si>
    <t>60.0299</t>
  </si>
  <si>
    <t>Medical Residency Programs, Other.</t>
  </si>
  <si>
    <t>Any medical residency program that listed above.  (Moved from 51.2999)</t>
  </si>
  <si>
    <t>60.03</t>
  </si>
  <si>
    <t>Veterinary Residency Programs.</t>
  </si>
  <si>
    <t>Instructional content for this group of programs is defined in codes 60.0301 - 60.0399.   (Moved from 51.30 Series)</t>
  </si>
  <si>
    <t>60.0301</t>
  </si>
  <si>
    <t>Veterinary Anesthesiology.</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</si>
  <si>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(Moved from 51.3001)</t>
  </si>
  <si>
    <t>60.0302</t>
  </si>
  <si>
    <t>Veterinary Dentistry.</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</si>
  <si>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principles.(Moved from 51.3002)</t>
  </si>
  <si>
    <t>60.0303</t>
  </si>
  <si>
    <t>Veterinary Dermatology.</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</si>
  <si>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techniques.(Moved from 51.3003)</t>
  </si>
  <si>
    <t>60.0304</t>
  </si>
  <si>
    <t>Veterinary Emergency and Critical Care Medicine.</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</si>
  <si>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animals.(Moved from 51.3004)</t>
  </si>
  <si>
    <t>60.0305</t>
  </si>
  <si>
    <t>Veterinary Internal Medicine.</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</si>
  <si>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(Moved from 51.3005)</t>
  </si>
  <si>
    <t>60.0306</t>
  </si>
  <si>
    <t>Laboratory Animal Medicine.</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</si>
  <si>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(Moved from 51.3006)</t>
  </si>
  <si>
    <t>60.0307</t>
  </si>
  <si>
    <t>Veterinary Microbiology.</t>
  </si>
  <si>
    <t>A residency training program that prepares veterinarians in clinical applications of research on harmful microorganisms, including viruses, and of the disease processes they induce in animals.   (Moved from 51.3007)</t>
  </si>
  <si>
    <t>60.0308</t>
  </si>
  <si>
    <t>Veterinary Nutrition.</t>
  </si>
  <si>
    <t>A residency training program that prepares veterinarians to apply research on the chemical nature of food substances; the processes by which animals ingest, digest, absorb, transport, utilize and excrete food and nutrients; and their relation to animal behavior and health.  (Moved from 51.3008)</t>
  </si>
  <si>
    <t>60.0309</t>
  </si>
  <si>
    <t>Veterinary Ophthalmology.</t>
  </si>
  <si>
    <t>A residency training program that prepares veterinarians in the diagnosis, prevention, and treatment of ophthalmic diseases and disorders in animals, and related ocular pathology procedures.  Includes instruction in animal eye surgery.(Moved from 51.3009)</t>
  </si>
  <si>
    <t>60.0310</t>
  </si>
  <si>
    <t>Veterinary Pathology.</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</si>
  <si>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(Moved from 51.3010)</t>
  </si>
  <si>
    <t>60.0311</t>
  </si>
  <si>
    <t>Veterinary Practice.</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</si>
  <si>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(Moved from 51.3011)</t>
  </si>
  <si>
    <t>60.0312</t>
  </si>
  <si>
    <t>Veterinary Preventive Medicine.</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</si>
  <si>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services.(Moved from 51.3012)</t>
  </si>
  <si>
    <t>60.0313</t>
  </si>
  <si>
    <t>Veterinary Radiology.</t>
  </si>
  <si>
    <t>A residency training program that prepares veterinarians in the use of radiologic imaging and therapies to diagnose and treat animal diseases and health problems.  Includes instruction in the use and handling of equipment for radionuclides detection and application.  (Moved from 51.3013)</t>
  </si>
  <si>
    <t>60.0314</t>
  </si>
  <si>
    <t>Veterinary Surgery.</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</si>
  <si>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(Moved from 51.3014)</t>
  </si>
  <si>
    <t>60.0315</t>
  </si>
  <si>
    <t>Theriogenology.</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</si>
  <si>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period.(Moved from 51.3015)</t>
  </si>
  <si>
    <t>60.0316</t>
  </si>
  <si>
    <t>Veterinary Toxicology.</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</si>
  <si>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(Moved from 51.3016)</t>
  </si>
  <si>
    <t>60.0317</t>
  </si>
  <si>
    <t>Zoological Medicine.</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</si>
  <si>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(Moved from 51.3017)</t>
  </si>
  <si>
    <t>60.0399</t>
  </si>
  <si>
    <t>Veterinary Residency Programs, Other.</t>
  </si>
  <si>
    <t>Any residency training program in veterinary medicine not listed above. (Moved from 51.3099)</t>
  </si>
  <si>
    <t>TECHNOLOGY EDUCATION/INDUSTRIAL ARTS.</t>
  </si>
  <si>
    <t>Instructional programs that provide individuals with knowledge, learning experiences and competencies pertaining to aspects of industry and technology.  The programs are also designed to assist individuals in making informed occupational choices and provide preparation for entry into occupational training or education programs.</t>
  </si>
  <si>
    <t>21.01</t>
  </si>
  <si>
    <t>Technology Education/Industrial Arts Programs.</t>
  </si>
  <si>
    <t>Instructional content is defined in code 21.0101.</t>
  </si>
  <si>
    <t>Technology Education/Industrial Arts.</t>
  </si>
  <si>
    <t>An instructional program that focuses on the technological concepts, processes and systems, such as: the evolution, utilization and significance of technology as related to industry; and its organization, personnel, systems, techniques, resources and products.  Includes instruction in technological literacy, basic applied science, specific technologies and their applications, and related methods of research and experimentation.</t>
  </si>
  <si>
    <t>RESERVE OFFICER TRAINING CORPS (JROTC, ROTC).</t>
  </si>
  <si>
    <t>Instructional programs that prepare secondary students as officer cadets and postsecondary students as commissioned officers in the U.S. armed forces.</t>
  </si>
  <si>
    <t>28.01</t>
  </si>
  <si>
    <t>Air Force JROTC/ROTC.</t>
  </si>
  <si>
    <t>Instructional content is defined in code 28.0101.</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</si>
  <si>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t>
  </si>
  <si>
    <t>28.03</t>
  </si>
  <si>
    <t>Army JROTC/ROTC.</t>
  </si>
  <si>
    <t>Instructional content is defined in code 28.0301.</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</si>
  <si>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t>
  </si>
  <si>
    <t>28.04</t>
  </si>
  <si>
    <t>Navy/Marine Corps JROTC/ROTC.</t>
  </si>
  <si>
    <t>Instructional content is defined in code 28.0401.</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</si>
  <si>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t>
  </si>
  <si>
    <t>32.</t>
  </si>
  <si>
    <t>BASIC SKILLS.</t>
  </si>
  <si>
    <t>Instructional programs that focus on the fundamental knowledge and skills that individuals need to function productively in society.</t>
  </si>
  <si>
    <t>32.01</t>
  </si>
  <si>
    <t>Basic Skills.</t>
  </si>
  <si>
    <t>Instructional content for this group of programs is defined in codes 32.0101- 32.0199.</t>
  </si>
  <si>
    <t>Basic Skills, General.</t>
  </si>
  <si>
    <t>A general program that focuses on the fundamental knowledge and skills that individuals need to function productively in society.</t>
  </si>
  <si>
    <t>Numeracy and Computational Skills.</t>
  </si>
  <si>
    <t>A program that focuses on the development of computing and other mathematical reasoning abilities and skills.</t>
  </si>
  <si>
    <t>Job-Seeking/Changing Skills.</t>
  </si>
  <si>
    <t>A program that focuses on the development of skills related to job searches and self-marketing.  Includes instruction in assessing one's own capabilities and skills; filling out an application; and handling an interview.</t>
  </si>
  <si>
    <t>Career Exploration/Awareness Skills.</t>
  </si>
  <si>
    <t>A program that focuses on the linkage between individual capabilities and needs and the job market.  Includes instruction in the variety and scope of available employment, how to access job information, and techniques of self-analysis.</t>
  </si>
  <si>
    <t>Literacy and Communication Skills.</t>
  </si>
  <si>
    <t>A program that focuses on the fundamental knowledge and skills in reading, writing and speaking that individuals need to function productively in society.</t>
  </si>
  <si>
    <t>32.0109</t>
  </si>
  <si>
    <t>Second Language Learning.</t>
  </si>
  <si>
    <t>(NEW)  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t>
  </si>
  <si>
    <t>Basic Skills, Other.</t>
  </si>
  <si>
    <t>Any instructional program in basic skills not listed above.</t>
  </si>
  <si>
    <t>33.</t>
  </si>
  <si>
    <t>CITIZENSHIP ACTIVITIES.</t>
  </si>
  <si>
    <t>Instructional programs that prepare individuals for citizenship, and provide instruction in how citizens may engage in civic activities.</t>
  </si>
  <si>
    <t>33.01</t>
  </si>
  <si>
    <t>Citizenship Activities.</t>
  </si>
  <si>
    <t>Instructional content for this group of programs is defined in codes 33.0101- 33.0199.</t>
  </si>
  <si>
    <t>Citizenship Activities, General.</t>
  </si>
  <si>
    <t>A program that generally prepares individuals for citizenship, and focuses on how citizens may engage in civic activities.</t>
  </si>
  <si>
    <t>American Citizenship Education.</t>
  </si>
  <si>
    <t>A program that prepares individuals to take the oath of United States citizenship and to exercise the attendant rights and responsibilities of citizenship.</t>
  </si>
  <si>
    <t>Community Awareness.</t>
  </si>
  <si>
    <t>A program that focuses on local government and history, current issues, and focuses on how individuals can keep abreast of important issues that may affect them.</t>
  </si>
  <si>
    <t>Community Involvement.</t>
  </si>
  <si>
    <t>A program that focuses on how individuals may become actively involved in the social, economic and political issues and events affecting them; and the roles and methods that are available to influence community life and public policy.</t>
  </si>
  <si>
    <t>33.0105</t>
  </si>
  <si>
    <t>Canadian Citizenship Education.</t>
  </si>
  <si>
    <t>(NEW) A program that prepares individuals to take the oath of Canadian citizenship and to exercise the attendant rights and responsibilities of citizenship.</t>
  </si>
  <si>
    <t>Citizenship Activities, Other.</t>
  </si>
  <si>
    <t>Any instructional program in citizenship activities not listed above.</t>
  </si>
  <si>
    <t>34.</t>
  </si>
  <si>
    <t>HEALTH-RELATED KNOWLEDGE AND SKILLS.</t>
  </si>
  <si>
    <t>Instructional program that focus on the promotion of personal and family health.</t>
  </si>
  <si>
    <t>34.01</t>
  </si>
  <si>
    <t>Health-Related Knowledge and Skills.</t>
  </si>
  <si>
    <t>Instructional content for this group of programs is defined in codes 34.0102 - 34.0199.</t>
  </si>
  <si>
    <t>Birthing and Parenting Knowledge and Skills.</t>
  </si>
  <si>
    <t>A program that focuses on all facets of the mother's and father's roles in family planning, prenatal preparation and care, the birthing experience, post-natal care and the raising of children.</t>
  </si>
  <si>
    <t>Personal Health Improvement and Maintenance.</t>
  </si>
  <si>
    <t>A program that focuses on the principles, techniques, and methods by which individuals can maintain or improve their overall physical and emotional well-being, as well as work on specific areas of personal health.</t>
  </si>
  <si>
    <t>Addiction Prevention and Treatment.</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</si>
  <si>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t>
  </si>
  <si>
    <t>Health-Related Knowledge and Skills, Other.</t>
  </si>
  <si>
    <t>Any instructional program in health-related knowledge and skills not listed above.</t>
  </si>
  <si>
    <t>35.</t>
  </si>
  <si>
    <t>INTERPERSONAL AND SOCIAL SKILLS.</t>
  </si>
  <si>
    <t>Programs that focus on the development of methods and skills for effective interactions with others in a variety of settings (private, social, and business settings).</t>
  </si>
  <si>
    <t>35.01</t>
  </si>
  <si>
    <t>Interpersonal and Social Skills.</t>
  </si>
  <si>
    <t>Instructional content for this group of programs is defined in codes 35.0101- 35.0199.</t>
  </si>
  <si>
    <t>Interpersonal and Social Skills, General.</t>
  </si>
  <si>
    <t>A general program that focuses on how to effectively interact with others in private, social and business settings.</t>
  </si>
  <si>
    <t>Interpersonal Relationships Skills.</t>
  </si>
  <si>
    <t>A program that focuses on how to increase one's ability to establish and maintain mutually satisfactory ties with other human beings.</t>
  </si>
  <si>
    <t>Business and Social Skills.</t>
  </si>
  <si>
    <t>A program that focuses on how to increase one's ability to function effectively in social and business settings where interpersonal communication is required.</t>
  </si>
  <si>
    <t>Interpersonal Social Skills, Other.</t>
  </si>
  <si>
    <t>Any instructional program in interpersonal social skills not listed above.</t>
  </si>
  <si>
    <t>36.</t>
  </si>
  <si>
    <t>LEISURE AND RECREATIONAL ACTIVITIES.</t>
  </si>
  <si>
    <t>Programs that focus on the development of an appreciation for and competency in recreational and leisure-related activities.</t>
  </si>
  <si>
    <t>36.01</t>
  </si>
  <si>
    <t>Leisure and Recreational Activities.</t>
  </si>
  <si>
    <t>Instructional content for this group of programs is defined in codes 36.0101- 36.0199.</t>
  </si>
  <si>
    <t>Leisure and Recreational Activities, General.</t>
  </si>
  <si>
    <t>A general program that focuses on the development of an appreciation for and competency in recreational and leisure-related activities.</t>
  </si>
  <si>
    <t>Handicrafts and Model-Making.</t>
  </si>
  <si>
    <t>A program that focuses on the fashioning of objects of decoration, utility or representation from various materials, including related matters of research, tool use and appreciation.</t>
  </si>
  <si>
    <t>Board, Card and Role-Playing Games.</t>
  </si>
  <si>
    <t>A  program that focuses on the rules and techniques of participation and skill-building in competitive activities of skill or chance, such as board games, card games or role-playing activities.</t>
  </si>
  <si>
    <t>Home Maintenance and Improvement.</t>
  </si>
  <si>
    <t>A program that focuses on the knowledge and skills associated with maintaining living space and related equipment and furnishings, as well as do-it-yourself repairs and improvement projects of varying complexity.</t>
  </si>
  <si>
    <t>Nature Appreciation.</t>
  </si>
  <si>
    <t>A program that focuses on how to increase one's understanding and knowledge of the natural environment in which we live, as well as techniques of wildlife observation and management.</t>
  </si>
  <si>
    <t>Pet Ownership and Care.</t>
  </si>
  <si>
    <t>A program that focuses on how to increase one's ability to care for domesticated animals kept for pleasure or work.</t>
  </si>
  <si>
    <t>Sports and Exercise.</t>
  </si>
  <si>
    <t>A program that focuses on the rules and techniques of participation and skill building in competitive physical activities, as well as non-competitive physical fitness programs.</t>
  </si>
  <si>
    <t>Travel and Exploration.</t>
  </si>
  <si>
    <t>A program that focuses on particular geographic areas or phenomena, and provides opportunities for organized trips or tours, including related knowledge and skills.</t>
  </si>
  <si>
    <t>Art.</t>
  </si>
  <si>
    <t>A program that focuses on the techniques and methods of creative self-expression in visual or plastic media, such as painting or sculpture.</t>
  </si>
  <si>
    <t>Collecting.</t>
  </si>
  <si>
    <t>A program that focuses on the knowledge and techniques necessary for acquiring and maintaining personal collections of objects, such as autographs, stamps, models, specimens, vehicles and antiques.</t>
  </si>
  <si>
    <t>Cooking and Other Domestic Skills.</t>
  </si>
  <si>
    <t>A program that focuses on the knowledge and skills related to food buying and preparation, home decoration, sewing and other domestic activities, either as hobbies or as routine tasks.</t>
  </si>
  <si>
    <t>Computer Games and Programming Skills.</t>
  </si>
  <si>
    <t>A program that focuses on the knowledge and skills associated with creating, acquiring, maintaining and using computer hardware and software, as well as the playing of computer-based games.</t>
  </si>
  <si>
    <t>Dancing.</t>
  </si>
  <si>
    <t>A program that focuses on the knowledge and skills related to recreational dance, such as square dancing, ballroom dancing, classical or modern dance.</t>
  </si>
  <si>
    <t>A program that focuses on the knowledge and skills associated with personal music appreciation, the playing of a musical instrument, singing or recreational composition.</t>
  </si>
  <si>
    <t>Reading.</t>
  </si>
  <si>
    <t>A program that focuses on the activity of reading for pleasures, either alone or as part of a group experience.</t>
  </si>
  <si>
    <t>Theatre/Theater.</t>
  </si>
  <si>
    <t>A program that focuses on the knowledge and skills associated with participation in amateur theatrical productions, drama appreciation, and writing amateur plays.</t>
  </si>
  <si>
    <t>Writing.</t>
  </si>
  <si>
    <t>(NEW)  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</si>
  <si>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52.1906</t>
  </si>
  <si>
    <t>Tourism Promotion Operations.</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</si>
  <si>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   (Moved from 08.1104)</t>
  </si>
  <si>
    <t>52.1907</t>
  </si>
  <si>
    <t>Vehicle and Vehicle Parts and Accessories Marketing Operations.</t>
  </si>
  <si>
    <t>(NEW).   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</si>
  <si>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52.1908</t>
  </si>
  <si>
    <t>Business and Personal/Financial Services Marketing Operations.</t>
  </si>
  <si>
    <t>(NEW)  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</si>
  <si>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52.1909</t>
  </si>
  <si>
    <t>Special Products Marketing Operations.</t>
  </si>
  <si>
    <t>(NEW)  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</si>
  <si>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52.1910</t>
  </si>
  <si>
    <t>Hospitality and Recreation Marketing Operations.</t>
  </si>
  <si>
    <t>(NEW)   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 .</t>
  </si>
  <si>
    <t>52.1999</t>
  </si>
  <si>
    <t>Specialized Merchandising, Sales, and Marketing Operations, Other.</t>
  </si>
  <si>
    <t>(NEW)  Any instructional program in sales, marketing, and distribution operations not listed above.</t>
  </si>
  <si>
    <t>(NEW) Instructional content is defined in code 52.2001.</t>
  </si>
  <si>
    <t>(NEW) 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</si>
  <si>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52.99</t>
  </si>
  <si>
    <t>Business, Management, Marketing, and Related Support Services, Other.</t>
  </si>
  <si>
    <t>Instructional content is defined in code 52.9999.</t>
  </si>
  <si>
    <t>Any instructional program in business, management, marketing and related support services not listed above.</t>
  </si>
  <si>
    <t>53.</t>
  </si>
  <si>
    <t>Programs for Series 53.</t>
  </si>
  <si>
    <t>54</t>
  </si>
  <si>
    <t>HISTORY  (NEW)   Instructional programs that focus on the study and interpretation of past events, institutions, issues, and cultures.</t>
  </si>
  <si>
    <t>54.01</t>
  </si>
  <si>
    <t>The instructional content for this group of programs is defined in codes 54.0101- 54.0199.  (Moved from 45.08 Series)</t>
  </si>
  <si>
    <t>54.0101</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</si>
  <si>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 (Moved from 45.0801)</t>
  </si>
  <si>
    <t>American  History (United States).</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</si>
  <si>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  (Moved from 45.0802)</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</si>
  <si>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 (Moved from 45.0803)</t>
  </si>
  <si>
    <t>A program that focuses on the historical evolution of scientific theories and science applications and technologies, as well as the philosophy of science and its historical socio-economic context.  Includes instruction in the concepts And methods of philosophical inquiry, historiography of science, and research methods in the history of the scientific and engineering disciplines, including mathematics.  (Moved from 45.0804)</t>
  </si>
  <si>
    <t>A program that focuses on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organizations, government agencies, foundations, and records facilities.  (Moved from 45.0805)</t>
  </si>
  <si>
    <t>(NEW)  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</si>
  <si>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(NEW)  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</si>
  <si>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54.0199</t>
  </si>
  <si>
    <t>Any instructional program in history not listed above. (Moved from 45.0899)</t>
  </si>
  <si>
    <t>55</t>
  </si>
  <si>
    <t>55.</t>
  </si>
  <si>
    <t>Programs for Series 55 (French/Canadian Language and Literature/Letters) are located in appendix A.</t>
  </si>
  <si>
    <t>20.01</t>
  </si>
  <si>
    <t>CONSUMER AND HOMEMAKING EDUCATION (Non-postsecondary level).</t>
  </si>
  <si>
    <t>All programs for this Series have been deleted.  This includes programs in series 20.01 and all associated 6-digit programs.</t>
  </si>
  <si>
    <t>60</t>
  </si>
  <si>
    <t>60.</t>
  </si>
  <si>
    <t>Residency Programs.</t>
  </si>
  <si>
    <t>This is a new series established for the reporting of residency training programs. The reporting codes for these programs have undergone substantial renumbering (summarized below). (Refer to the Crosswalk in table 3  for a specification of the renumbering system that was implemented).  * Dental residency programs (located in Series 51.28 in the CIP-1990) have been moved to (and should be reported under)  Series 60.01;  * Medical residency programs (previously located in Series  51.29) have been moved to (and should be reported under)  Series 60.02; * Veterinary residency programs (previously in Series 51.30) have been moved to (and should be reported under) Series 60.03. Residency programs are designed to prepare medical doctors (M.D.), or osteopaths (DO), dentists (DDS, D.M.D.), and veterinarians (D.V.M.) for certification as practitioners of recognized specialties in their respective professions.  These programs are approved and accredited by designated professional associations and require from one to five years to complete, depending on the program.  Medical residencies usually require completion of an internship after the M.D. degree for program entry, while requirements vary for dentistry and veterinary programs.  These programs are offered by professional schools, independent teaching hospitals and clinics, and other approved facilities.  Data on residency program enrollments and completions are only partially collected and analyzed by the U.S. Department of Education.  Residency programs that also result in an academic degree completion, such as an MS or Ph.D., should be reported under one of the Clinical Sciences codes (51.0501, 51.2501 or Series 26.) in chapter I, rather than in a residency code located in this chapter.</t>
  </si>
  <si>
    <t>60.01</t>
  </si>
  <si>
    <t>Dental Residency Programs.</t>
  </si>
  <si>
    <t>Instructional content for this group of programs is defined in codes 60.0101 - 60.0199.  (Moved from 51.28 Series)</t>
  </si>
  <si>
    <t>60.0101</t>
  </si>
  <si>
    <t>Dental/Oral Surgery Specialty.</t>
  </si>
  <si>
    <t>A residency training program that prepares dentists and medical surgeons in advanced clinical training and practice in the surgery of the oral cavity and jaws, including the removal of cancerous and other diseased tissue, removal of teeth, and reconstruction of the jaw and related facial structure.  (Moved from 51.2801)</t>
  </si>
  <si>
    <t>60.0102</t>
  </si>
  <si>
    <t>Dental Public Health Specialty.</t>
  </si>
  <si>
    <t>A residency-training program that prepares dentists in the formulation and delivery of public preventive and curative dental health services.   (Moved from 51.2802)</t>
  </si>
  <si>
    <t>60.0103</t>
  </si>
  <si>
    <t>Endodontics Specialty.</t>
  </si>
  <si>
    <t>A residency training program that prepares dentists in the etiology, diagnosis, prevention, and treatment of conditions that affect the dental and other periodontal tissues, including pulp canal therapy and root canal therapy.  (Moved from 51.2803)</t>
  </si>
  <si>
    <t>60.0104</t>
  </si>
  <si>
    <t>Oral Pathology Specialty.</t>
  </si>
  <si>
    <t>A residency training program that prepares dentists in the functional and structural changes that affect the oral cavity, including diagnosis of diseases, abnormalities and tumors.(Moved from 51.2804)</t>
  </si>
  <si>
    <t>60.0105</t>
  </si>
  <si>
    <t>Orthodontics Specialty.</t>
  </si>
  <si>
    <t>A residency training program that prepares dentists in the principles and techniques involved in the prevention and correction of dental malocclusions and oral cavity anomalies.(Moved from 51.2805)</t>
  </si>
  <si>
    <t>60.0106</t>
  </si>
  <si>
    <t>Pedodontics Specialty.</t>
  </si>
  <si>
    <t>A residency training program that prepares dentists in the principles and techniques of diagnosing and treating the dental and other oral cavity conditions of children. (Moved from 51.2806)</t>
  </si>
  <si>
    <t>60.0107</t>
  </si>
  <si>
    <t>Periodontics Specialty.</t>
  </si>
  <si>
    <t>A residency training program that prepares dentists in the nature and treatment of diseases which affect the mucous membranes, gums and other soft tissues within the oral cavity. (Moved from 51.2807)</t>
  </si>
  <si>
    <t>60.0108</t>
  </si>
  <si>
    <t>Prosthodontics Specialty.</t>
  </si>
  <si>
    <t>A residency training program that prepares dentists in the principles and techniques of constructing oral prostheses, and the restoration and maintenance of oral function by the replacement of missing teeth and other oral structures with such artificial devices.(Moved from 51.2808)</t>
  </si>
  <si>
    <t>60.0199</t>
  </si>
  <si>
    <t>Dental Residency Program, Other.</t>
  </si>
  <si>
    <t>Any dental residency specialty program not listed above.  (Moved from 51.2899)</t>
  </si>
  <si>
    <t>60.02</t>
  </si>
  <si>
    <t>Medical Residency Programs.</t>
  </si>
  <si>
    <t>Instructional content for this group of programs is defined in codes 60.0201- 60.0299.  (Moved from 51.29 Series)</t>
  </si>
  <si>
    <t>60.0201</t>
  </si>
  <si>
    <t>Aerospace Medicine.</t>
  </si>
  <si>
    <t>A residency training program that prepares physicians in the health care of operating crews and passengers of air and space vehicles, plus support personnel.  Includes instruction in special conditions of physical and psychological stress, emergency medical procedures, adaptive systems and artificial environments.(Moved from 51.2901)</t>
  </si>
  <si>
    <t>60.0202</t>
  </si>
  <si>
    <t>Allergies and Immunology.</t>
  </si>
  <si>
    <t>A residency training program that prepares physicians in the delivery of skilled medical care to patients suffering from allergic, asthmatic and immunologic diseases.  Requires completion of a prior program in internal medicine or pediatrics. (Moved from 51.2902)</t>
  </si>
  <si>
    <t>60.0203</t>
  </si>
  <si>
    <t>Anesthesiology.</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</si>
  <si>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(See also  60.0210)  (Moved from 51.2903)</t>
  </si>
  <si>
    <t>60.0204</t>
  </si>
  <si>
    <t>Blood Banking.</t>
  </si>
  <si>
    <t>A residency training program that prepares physicians in the medical, technical, research and administrative aspects of operating blood banks.  Includes instruction in transfusion and transplantation procedures, logistics and the training and supervision of blood bank technicians.  (Moved from 51.2904)</t>
  </si>
  <si>
    <t>60.0205</t>
  </si>
  <si>
    <t>Cardiology.</t>
  </si>
  <si>
    <t>A residency training program that prepares physicians in the natural history of cardiovascular disorders in adults and the diagnosis and treatment of diseases of the heart and blood vessels.  Includes instruction in coronary care, diagnostic testing and evaluation, invasive and non-invasive therapies and pacemaker follow-up.  Requires prior completion of a program in internal medicine.  (See also 60.0245) (Moved from 51.2905)</t>
  </si>
  <si>
    <t>60.0206</t>
  </si>
  <si>
    <t>Chemical Pathology.</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</si>
  <si>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  (Moved from 51.2906)</t>
  </si>
  <si>
    <t>60.0207</t>
  </si>
  <si>
    <t>Child/Pediatric Neurology.</t>
  </si>
  <si>
    <t>A residency training program that prepares physicians in the diagnosis and management of neurological disorders of the newborn infant, early childhood and adolescence.  Requires training in adult neurology and prior partial completion of a program in pediatrics.(Moved from 51.2907)</t>
  </si>
  <si>
    <t>60.0208</t>
  </si>
  <si>
    <t>Child Psychiatry.</t>
  </si>
  <si>
    <t>A residency training program that prepares physicians in the diagnosis and treatment of mental, emotional and behavioral disorders of infancy, early childhood and adolescence.  Requires completion of the initial segment of a program in psychiatry.(Moved from 51.2908)</t>
  </si>
  <si>
    <t>60.0209</t>
  </si>
  <si>
    <t>Colon and Rectal Surgery.</t>
  </si>
  <si>
    <t>A residency training program that prepares physicians in the surgical care of patients with anorectal and colonic diseases.  Also includes instruction in diagnostic and therapeutic colonoscopy.  Requires prior completion of a program in general surgery.(Moved from 51.2909)</t>
  </si>
  <si>
    <t>60.0210</t>
  </si>
  <si>
    <t>Critical Care Anesthesiology.</t>
  </si>
  <si>
    <t>A residency training program that prepares physicians in the administration of anesthesia to patients with acute, chronic or long-term illness and who have multiple organ system derangements.  Includes instruction in high-risk and trauma procedures, respiratory therapy and biomedical engineering.  Requires prior completion of a program in anesthesiology. (Moved from 51.2910)</t>
  </si>
  <si>
    <t>60.0211</t>
  </si>
  <si>
    <t>Critical Care Medicine.</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</si>
  <si>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internal medicine.(Moved from 51.2911)</t>
  </si>
  <si>
    <t>60.0212</t>
  </si>
  <si>
    <t>Critical Care Surgery.</t>
  </si>
  <si>
    <t>A residency training program that prepares physicians in surgical procedures for patients with multiple trauma, critical illness, patients on life support and elderly or very young patients with disease complications.  Requires full or partial prior completion of a program in general surgery or another surgical specialty.(Moved from 51.2912)</t>
  </si>
  <si>
    <t>60.0213</t>
  </si>
  <si>
    <t>Dermatology.</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</si>
  <si>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techniques.(Moved from 51.2913)</t>
  </si>
  <si>
    <t>60.0214</t>
  </si>
  <si>
    <t>Dermatopathology.</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</si>
  <si>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pathology.(Moved from 51.2914)</t>
  </si>
  <si>
    <t>60.0215</t>
  </si>
  <si>
    <t>Diagnostic Radiology.</t>
  </si>
  <si>
    <t>A residency training program that prepares physicians in the diagnostic use of roentgen, isotopic, ultrasound and other radiant energy imaging techniques.  Includes instruction in intervention procedures, safety and imaging science and technology.   (See also 60.0236, 60.0258, and 60.0259) (Moved from 51.2915)</t>
  </si>
  <si>
    <t>60.0216</t>
  </si>
  <si>
    <t>Emergency Medicine.</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</si>
  <si>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(Moved from 51.2916)</t>
  </si>
  <si>
    <t>60.0217</t>
  </si>
  <si>
    <t>Endocrinology and Metabolism.</t>
  </si>
  <si>
    <t>A residency training program that prepares physicians in the diagnosis and treatment of diseases and disorders of the endocrine glands and metabolic system. Includes instruction in the diagnosis and care of diabetes, hypoglycemia, hormone disorders and sexual dysfunction.  Requires prior completion of a program in internal medicine.   (See also 60.0246)(Moved from 51.2917)</t>
  </si>
  <si>
    <t>60.0218</t>
  </si>
  <si>
    <t>Family Medicine.</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</si>
  <si>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management.(Moved from 51.2918)</t>
  </si>
  <si>
    <t>60.0219</t>
  </si>
  <si>
    <t>Forensic Pathology.</t>
  </si>
  <si>
    <t>A residency training program that prepares physicians in the performance of medical autopsies, the analysis of human remains and crime scenes, and the legal follow-up and responsibilities of public pathologists.  Requires prior completion of a program in pathology.  (Moved from 51.2919)</t>
  </si>
  <si>
    <t>60.0220</t>
  </si>
  <si>
    <t>Gastroenterology.</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</si>
  <si>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 (Moved from 51.2920)</t>
  </si>
  <si>
    <t>60.0221</t>
  </si>
  <si>
    <t>General Surgery.</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</si>
  <si>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(See also 60.0212, 60.0223, 60.0233, 60.0242, 60.0250, 60.0253, 60.0262, and 60.0264)(Moved from 51.2921)</t>
  </si>
  <si>
    <t>60.0222</t>
  </si>
  <si>
    <t>Geriatric Medicine.</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</si>
  <si>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 (See also 60.0269)  (Moved from 51.2922)</t>
  </si>
  <si>
    <t>60.0223</t>
  </si>
  <si>
    <t>Hand Surgery.</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</si>
  <si>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 (Moved from 51.2923)</t>
  </si>
  <si>
    <t>60.0224</t>
  </si>
  <si>
    <t>Hematology.</t>
  </si>
  <si>
    <t>A residency training program that prepares physicians in the mechanisms and therapy of diseases of the blood, including patient management, diagnostic tests, biopsies and other procedures.  Requires prior completion of a program in internal medicine. (Moved from 51.2924)</t>
  </si>
  <si>
    <t>60.0225</t>
  </si>
  <si>
    <t>Hematological Pathology.</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</si>
  <si>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  (Moved from 51.2925)</t>
  </si>
  <si>
    <t>60.0226</t>
  </si>
  <si>
    <t>Immunopathology.</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</si>
  <si>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pathology.(Moved from 51.2926)</t>
  </si>
  <si>
    <t>60.0227</t>
  </si>
  <si>
    <t>Infectious Disease.</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</si>
  <si>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  (Moved from 51.2927)</t>
  </si>
  <si>
    <t>60.0228</t>
  </si>
  <si>
    <t>Internal Medicine.</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</si>
  <si>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(Moved from 51.2928)</t>
  </si>
  <si>
    <t>60.0229</t>
  </si>
  <si>
    <t>Laboratory Medicine.</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</si>
  <si>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  (Moved from 51.2929)</t>
  </si>
  <si>
    <t>60.0230</t>
  </si>
  <si>
    <t>Musculoskeletal Oncology.</t>
  </si>
  <si>
    <t>A residency training program that prepares physicians in the diagnosis and treatment of musculoskeletal neoplasm, and the application of cancer therapy regimes.  (Moved from 51.2930)</t>
  </si>
  <si>
    <t>60.0231</t>
  </si>
  <si>
    <t>Neonatal-Perinatal Medicine.</t>
  </si>
  <si>
    <t>A residency training program that prepares physicians in the physiology of the normal neonate, the patho-physiology of the sick infant and the diagnosis and management of problems of the newborn infant.  Requires prior completion of a program in pediatrics and obstetrics.  (Moved from 51.2931)</t>
  </si>
  <si>
    <t>60.0232</t>
  </si>
  <si>
    <t>Nephrology.</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</si>
  <si>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(See also 60.0248)(Moved from 51.2932)</t>
  </si>
  <si>
    <t>60.0233</t>
  </si>
  <si>
    <t>Neurological Surgery/Neurosurgery.</t>
  </si>
  <si>
    <t>A residency training program that prepare physicians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Includes instruction in critical care management and rehabilitation.  Requires prior partial completion of a program in general surgery and another surgical specialty. (Moved from 51.2933)</t>
  </si>
  <si>
    <t>60.0234</t>
  </si>
  <si>
    <t>Neurology.</t>
  </si>
  <si>
    <t>A residency training program that prepares physicians in the diagnosis and non-surgical treatment of diseases and abnormalities affecting the nervous system and nerve tissue in adults.  Requires prior partial completion of a program in internal medicine.   (See also 60.0207)  (Moved from 51.2934)</t>
  </si>
  <si>
    <t>60.0235</t>
  </si>
  <si>
    <t>Neuropathology.</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</si>
  <si>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  (Moved from 51.2935)</t>
  </si>
  <si>
    <t>60.0236</t>
  </si>
  <si>
    <t>Nuclear Medicine.</t>
  </si>
  <si>
    <t>A residency training program that prepares physicians in the diagnostic, therapeutic and investigational use of radionuclides.  Includes instruction in imaging and non-imaging technologies and the design and development instrumentation, procedures and pharmaceutical.  Requires prior partial completion of a program in radiology, pathology or internal medicine.(Moved from 51.2936)</t>
  </si>
  <si>
    <t>60.0237</t>
  </si>
  <si>
    <t>Nuclear Radiology.</t>
  </si>
  <si>
    <t>A residency training program that prepares physicians in the imaging by external detection of radionuclides and/or biodistribution by external detection of radionuclides for diagnosis of disease.  Requires prior partial completion of a program in diagnostic radiology.  (Moved from 51.2937)</t>
  </si>
  <si>
    <t>60.0238</t>
  </si>
  <si>
    <t>Obstetrics and Gynecology.</t>
  </si>
  <si>
    <t>A residency training program that prepares physicians in the diagnosis, prevention and treatment of diseases of women, especially those affecting the reproductive system, and the comprehensive care and treatment of women before, during and after childbirth.  (Moved from 51.2938)</t>
  </si>
  <si>
    <t>60.0239</t>
  </si>
  <si>
    <t>Occupational Medicine.</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</si>
  <si>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(Moved from 51.2939)</t>
  </si>
  <si>
    <t>60.0240</t>
  </si>
  <si>
    <t>Oncology.</t>
  </si>
  <si>
    <t>A residency training program that prepares physicians in the etiology, epidemiology, diagnosis, treatment and therapeutic management of cancers and related clinical neoplastic diseases.  Includes instruction in rehabilitation, supportive care and the administration of tumor boards.  Requires prior completion of a program in internal medicine.   (See also 60.0230, 60.0247 and 60.0258)(Moved from 51.2940)</t>
  </si>
  <si>
    <t>60.0241</t>
  </si>
  <si>
    <t>Ophthalmology.</t>
  </si>
  <si>
    <t>A residency training program that prepares physicians in the diagnosis, prevention treatment of ophthalmic diseases and disorders, and ocular pathology procedures.  Includes instruction in eye surgery.  (Moved from 51.2941)</t>
  </si>
  <si>
    <t>60.0242</t>
  </si>
  <si>
    <t>Orthopedics/Orthopedic Surgery.</t>
  </si>
  <si>
    <t>A residency training program that prepares physicians in the investigation, preservation, and restoration of the form and function of the extremities, spine and associated structures by medical, surgical and physical methods.  Requires prior partial completion of a program in general surgery, internal medicine or pediatrics.  (See also 60.0249)  (Moved from 51.2942)</t>
  </si>
  <si>
    <t>60.0243</t>
  </si>
  <si>
    <t>Otolaryngology.</t>
  </si>
  <si>
    <t>A residency training program that prepares physicians in the recognition and medical management of diseases, congenital anomalies, disorders and traumas of the head and neck, the air and food passages, and the organs of hearing and speech.  Includes instruction in regional surgery.  Requires prior partial completion of a program in general surgery.  (Moved from 51.2943)</t>
  </si>
  <si>
    <t>60.0244</t>
  </si>
  <si>
    <t>Pathology.</t>
  </si>
  <si>
    <t>A residency training program that prepares physicians in the clinical laboratory analysis and diagnosis of disease and anatomic abnormalities.  Includes instruction in performing general autopsies, forensic medicine, laboratory management and quality control.  (See also 60.0204, 60.0214, 60.0219, 60.0225, 60.0235 and 60.0259) (Moved from 51.2944)</t>
  </si>
  <si>
    <t>60.0245</t>
  </si>
  <si>
    <t>Pediatric Cardiology.</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</si>
  <si>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  (Moved from 51.2945)</t>
  </si>
  <si>
    <t>60.0246</t>
  </si>
  <si>
    <t>Pediatric Endocrinology.</t>
  </si>
  <si>
    <t>Accounting Technology/Technician and Bookkeeping.</t>
  </si>
  <si>
    <t>A program that prepares individuals to provide technical administrative support to professional accountants and other financial management personnel.  Includes instruction in posting transactions to accounts, record-keeping systems, accounting software operation, and general accounting principles and practices.</t>
  </si>
  <si>
    <t>52.0303</t>
  </si>
  <si>
    <t>Auditing.</t>
  </si>
  <si>
    <t>(NEW) 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</si>
  <si>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52.0304</t>
  </si>
  <si>
    <t>Accounting and Finance.</t>
  </si>
  <si>
    <t>(NEW) An integrated or combined program in accounting and finance that prepares individuals to function as accountants and financial managers or analysts.</t>
  </si>
  <si>
    <t>52.0305</t>
  </si>
  <si>
    <t>Accounting and Business/Management.</t>
  </si>
  <si>
    <t>(NEW) An integrated or combined program in accounting and business administration/management that prepares individuals to function as accountants and business managers.</t>
  </si>
  <si>
    <t>Accounting and Related Services, Other.</t>
  </si>
  <si>
    <t>Any instructional program in accounting not listed above.</t>
  </si>
  <si>
    <t>52.04</t>
  </si>
  <si>
    <t>Business Operations Support and Assistant Services.</t>
  </si>
  <si>
    <t>Instructional content for this group of programs is defined in codes 52.0401 - 52.0499.</t>
  </si>
  <si>
    <t>Administrative Assistant and Secretarial Science, General.</t>
  </si>
  <si>
    <t>A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</si>
  <si>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Executive Assistant/Executive Secretary.</t>
  </si>
  <si>
    <t>A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</si>
  <si>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(Moved, Report under 22.0301)</t>
  </si>
  <si>
    <t>Medical Secretary.</t>
  </si>
  <si>
    <t>(Moved, Report under 51.0716)</t>
  </si>
  <si>
    <t>(Moved, Report under 22.0303)</t>
  </si>
  <si>
    <t>Receptionist.</t>
  </si>
  <si>
    <t>A program that prepares individuals to perform frontline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</si>
  <si>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Business/Office Automation/Technology/Data Entry.</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</si>
  <si>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</si>
  <si>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General Office Occupations and Clerical Services.</t>
  </si>
  <si>
    <t>A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</si>
  <si>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52.0409</t>
  </si>
  <si>
    <t>Parts, Warehousing, and Inventory Management Operations.</t>
  </si>
  <si>
    <t>(NEW)  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</si>
  <si>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52.0410</t>
  </si>
  <si>
    <t>Traffic, Customs, and Transportation Clerk/Technician.</t>
  </si>
  <si>
    <t>(NEW)  A program that prepares individuals to perform duties associated with managing revenue-based transportation services, such as toll roads and waterways, and to assist in the dispatch and control of fleet-based traffic for businesses and public services.  Includes instruction in such subjects as record-keeping; operation of communications equipment; basic transportation operations management; revenue collection and change-making; and applicable laws, policies, and procedures.</t>
  </si>
  <si>
    <t>52.0411</t>
  </si>
  <si>
    <t>Customer Service Support/Call Center/Teleservice Operation.</t>
  </si>
  <si>
    <t>(NEW) 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</si>
  <si>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Business Operations Support and Secretarial Services, Other.</t>
  </si>
  <si>
    <t>Any instructional program in administrative and secretarial services not listed above.</t>
  </si>
  <si>
    <t>52.05</t>
  </si>
  <si>
    <t>Business/Corporate Communications.</t>
  </si>
  <si>
    <t>Instructional content is defined in code 52.0501.</t>
  </si>
  <si>
    <t>A program that prepares individuals to function in an organization as a composer, editor and proofreader of business or business-related communications.</t>
  </si>
  <si>
    <t>52.06</t>
  </si>
  <si>
    <t>Instructional content is defined in code 52.0601.</t>
  </si>
  <si>
    <t>A program that focuses on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</si>
  <si>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52.07</t>
  </si>
  <si>
    <t>Entrepreneurial and Small Business Operations.</t>
  </si>
  <si>
    <t>Instructional content for this group of programs is defined in codes 52.0701 - 52.0799.</t>
  </si>
  <si>
    <t>A program that generally prepares individuals to perform development, marketing and management functions associated with owning and operating a business.</t>
  </si>
  <si>
    <t>Franchising and Franchise Operations.</t>
  </si>
  <si>
    <t>A program that prepares individuals to manage and operate franchises.  Includes instruction in legal requirements, set-up costs and capitalization requirements, financing, and applications to specific franchise opportunities.</t>
  </si>
  <si>
    <t>Small Business Administration/Management.</t>
  </si>
  <si>
    <t>(NEW)   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</si>
  <si>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Entrepreneurial and Small Business Operations, Other.</t>
  </si>
  <si>
    <t>Any instructional program in enterprise management and entrepreneurship not listed above.</t>
  </si>
  <si>
    <t>52.08</t>
  </si>
  <si>
    <t>Finance and Financial Management Services.</t>
  </si>
  <si>
    <t>Instructional content for this group of programs is defined in codes 52.0801- 52.0899.</t>
  </si>
  <si>
    <t>Finance, General.</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</si>
  <si>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</si>
  <si>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(Moved, Report under 52.1304)</t>
  </si>
  <si>
    <t>Banking and Financial Support Services.</t>
  </si>
  <si>
    <t>A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</si>
  <si>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A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</si>
  <si>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Insurance and Risk Management.</t>
  </si>
  <si>
    <t>(Moved, Report under 52.1701).</t>
  </si>
  <si>
    <t>A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</si>
  <si>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Investments and Securities.</t>
  </si>
  <si>
    <t>A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</si>
  <si>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Public Finance.</t>
  </si>
  <si>
    <t>A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</si>
  <si>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52.0809</t>
  </si>
  <si>
    <t>Credit Management.</t>
  </si>
  <si>
    <t>(NEW)  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</si>
  <si>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Finance and Financial Management Services, Other.</t>
  </si>
  <si>
    <t>Any instructional program in financial management and services not listed above.</t>
  </si>
  <si>
    <t>52.09</t>
  </si>
  <si>
    <t>Instructional content for this group of programs is defined in codes 52.0901 - 52.0999.</t>
  </si>
  <si>
    <t>Hospitality Administration/Management, General.</t>
  </si>
  <si>
    <t>A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</si>
  <si>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Hotel, Motel, and Restaurant Management.</t>
  </si>
  <si>
    <t>(Deleted, Report under 52.0904 or 52.0905)</t>
  </si>
  <si>
    <t>Tourism and Travel Services Management.</t>
  </si>
  <si>
    <t>A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</si>
  <si>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52.0904</t>
  </si>
  <si>
    <t>Hotel/Motel Administration/Management.</t>
  </si>
  <si>
    <t>(NEW) 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</si>
  <si>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52.0905</t>
  </si>
  <si>
    <t>(NEW)  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</si>
  <si>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52.0906</t>
  </si>
  <si>
    <t>Resort Management.</t>
  </si>
  <si>
    <t>(NEW)  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</si>
  <si>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Hospitality Administration/Management, Other.</t>
  </si>
  <si>
    <t>Any instructional program in hospitality service management not listed above.</t>
  </si>
  <si>
    <t>52.10</t>
  </si>
  <si>
    <t>Human Resources Management and Services.</t>
  </si>
  <si>
    <t>Instructional content for this group of programs is defined in codes 52.1001 - 52.1099.</t>
  </si>
  <si>
    <t>Human Resources Management/Personnel Administration, General.</t>
  </si>
  <si>
    <t>A program that generally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</si>
  <si>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Labor and Industrial Relations.</t>
  </si>
  <si>
    <t>A program that focuses on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</si>
  <si>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A program that focuses on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</si>
  <si>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52.1004</t>
  </si>
  <si>
    <t>Labor Studies.</t>
  </si>
  <si>
    <t>(NEW) 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</si>
  <si>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52.1005</t>
  </si>
  <si>
    <t>Human Resources Development.</t>
  </si>
  <si>
    <t>(NEW)  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</si>
  <si>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Human Resources Management and Services, Other.</t>
  </si>
  <si>
    <t>Any instructional program in human resources management not listed above.</t>
  </si>
  <si>
    <t>52.11</t>
  </si>
  <si>
    <t>International Business.</t>
  </si>
  <si>
    <t>Instructional content is defined in code 52.1101.</t>
  </si>
  <si>
    <t>A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</si>
  <si>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Management Information Systems and Services.</t>
  </si>
  <si>
    <t>Instructional content for this group of programs is defined in codes 52.1201- 52.1299.</t>
  </si>
  <si>
    <t>Computer and Information Sciences and Support Services.</t>
  </si>
  <si>
    <t>Management Information Systems, General.</t>
  </si>
  <si>
    <t>A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</si>
  <si>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Business Computer Programming/Programmer.</t>
  </si>
  <si>
    <t>(Deleted, Report under 11.0202)</t>
  </si>
  <si>
    <t>Business Systems Analysis and Design.</t>
  </si>
  <si>
    <t>(Deleted, Report under 11.0501)</t>
  </si>
  <si>
    <t>Business Systems Networking.</t>
  </si>
  <si>
    <t>(Moved, Report under 11.0901)</t>
  </si>
  <si>
    <t>Business Computer Facilities Operator.</t>
  </si>
  <si>
    <t>(Moved, Report under 11.1099)</t>
  </si>
  <si>
    <t>(NEW)  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</si>
  <si>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52.1207</t>
  </si>
  <si>
    <t>Knowledge Management.</t>
  </si>
  <si>
    <t>(NEW)  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</si>
  <si>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Management Information Systems and Services, Other.</t>
  </si>
  <si>
    <t>Any  program in business information and data processing services not listed above.</t>
  </si>
  <si>
    <t>52.13</t>
  </si>
  <si>
    <t>Management Sciences and Quantitative Methods.</t>
  </si>
  <si>
    <t>Instructional content for this group of programs is defined in codes 52.1301- 52.1399.</t>
  </si>
  <si>
    <t>Management Science, General.</t>
  </si>
  <si>
    <t>A  general program that focuses on the application of mathematical modeling, programming, forecasting and operations research techniques to the analysis of problems of business organization and performance.  Includes instruction in optimization theory and mathematical techniques, stochastic and dynamic modeling, operations analysis, and the design and testing of prototype systems and evaluation models.</t>
  </si>
  <si>
    <t>Business Statistics.</t>
  </si>
  <si>
    <t>A program that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</si>
  <si>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  (Moved from 52.0802)</t>
  </si>
  <si>
    <t>Management Sciences and Quantitative Methods, Other.</t>
  </si>
  <si>
    <t>Any instructional program in business quantitative methods and management science not listed above.</t>
  </si>
  <si>
    <t>52.14</t>
  </si>
  <si>
    <t>Marketing.</t>
  </si>
  <si>
    <t>Instructional content for this group of programs is defined in codes 52.1401- 52.1499.</t>
  </si>
  <si>
    <t>A program that generally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</si>
  <si>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A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preferences analysis, geographic analysis, and applications to specific products and markets.</t>
  </si>
  <si>
    <t>A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</si>
  <si>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Marketing, Other.</t>
  </si>
  <si>
    <t>Any instructional program in general marketing and marketing research not listed above.</t>
  </si>
  <si>
    <t>Real Estate.</t>
  </si>
  <si>
    <t>Instructional content is defined in code 52.1501.</t>
  </si>
  <si>
    <t>A program that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</si>
  <si>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52.16</t>
  </si>
  <si>
    <t>Taxation.</t>
  </si>
  <si>
    <t>Instructional content is defined in code 52.1601.</t>
  </si>
  <si>
    <t>A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</si>
  <si>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52.17</t>
  </si>
  <si>
    <t>Insurance.</t>
  </si>
  <si>
    <t>(NEW)  Instructional content is defined in code 52.1701.</t>
  </si>
  <si>
    <t>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</si>
  <si>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  (Moved from 52.0805)</t>
  </si>
  <si>
    <t>52.18</t>
  </si>
  <si>
    <t>General Sales, Merchandising and Related Marketing Operations.</t>
  </si>
  <si>
    <t>(NEW)  Instructional content for this group of programs is defined in codes 52.1801- 52.1899.</t>
  </si>
  <si>
    <t>Sales, Distribution, and Marketing Operations, General.</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</si>
  <si>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  (Moved from 08.0708 and 08.0709)</t>
  </si>
  <si>
    <t>52.1802</t>
  </si>
  <si>
    <t>Merchandising and Buying Operations.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</si>
  <si>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    (Moved from 08.0704)</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</si>
  <si>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   (Moved from 08.0705)</t>
  </si>
  <si>
    <t>52.1804</t>
  </si>
  <si>
    <t>Selling Skills and Sales Operations.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</si>
  <si>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  (Moved from 08.0706)</t>
  </si>
  <si>
    <t>52.1899</t>
  </si>
  <si>
    <t>General Merchandising, Sales, and Related Marketing Operations, Other.</t>
  </si>
  <si>
    <t>Any instructional program in merchandising, sales, and related marketing operations not listed above.</t>
  </si>
  <si>
    <t>52.19</t>
  </si>
  <si>
    <t>Specialized Sales, Merchandising and  Marketing Operations.</t>
  </si>
  <si>
    <t>(NEW)  Instructional content for this group of programs is defined in codes 52.1901 - 52.1999.</t>
  </si>
  <si>
    <t>52.1901</t>
  </si>
  <si>
    <t>Auctioneering.</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</si>
  <si>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 (Moved from 08.0701)</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</si>
  <si>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  (Moved from 08.0102)</t>
  </si>
  <si>
    <t>52.1903</t>
  </si>
  <si>
    <t>Fashion Modeling.</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</si>
  <si>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 (Moved from 08.0103)</t>
  </si>
  <si>
    <t>52.1904</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</si>
  <si>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 (Moved from 08.0101)</t>
  </si>
  <si>
    <t>52.1905</t>
  </si>
  <si>
    <t>Tourism and Travel Services Marketing Operations.</t>
  </si>
  <si>
    <t>, MS, PhD).  (NEW)  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</si>
  <si>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51.2511</t>
  </si>
  <si>
    <t>Veterinary Infectious Diseases (Cert.</t>
  </si>
  <si>
    <t>, MS, PhD).  (NEW)  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</si>
  <si>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51.2599</t>
  </si>
  <si>
    <t>Veterinary Biomedical and Clinical Sciences, Other (Cert.</t>
  </si>
  <si>
    <t>, MS. PhD). (NEW)  Any instructional program in veterinary biomedical and clinical sciences not listed above.</t>
  </si>
  <si>
    <t>51.26</t>
  </si>
  <si>
    <t>Instructional content for this group is defined in codes 51.2601- 51.2699.</t>
  </si>
  <si>
    <t>Health Aide.</t>
  </si>
  <si>
    <t>A program that prepares individuals to provide routine care and assistance to patients under the direct supervision of other health care professionals, and/or to perform routine maintenance and general assistance in health care facilities and laboratories.</t>
  </si>
  <si>
    <t>51.2602</t>
  </si>
  <si>
    <t>Home Health Aide/Home Attendant.</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</si>
  <si>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 (Moved from 51.1615)</t>
  </si>
  <si>
    <t>51.2603</t>
  </si>
  <si>
    <t>Medication Aide.</t>
  </si>
  <si>
    <t>(NEW)  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</si>
  <si>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51.2699</t>
  </si>
  <si>
    <t>Health Aides/Attendants/Orderlies, Other.</t>
  </si>
  <si>
    <t>(NEW)  Any other instructional program that prepares individuals to provide routine patient care and assistance.</t>
  </si>
  <si>
    <t>51.27</t>
  </si>
  <si>
    <t>Medical Illustration and Informatics.</t>
  </si>
  <si>
    <t>Instructional content is defined in codes 51.2703-51.2799.</t>
  </si>
  <si>
    <t>Acupuncture and Oriental Medicine.</t>
  </si>
  <si>
    <t>(Deleted, Report under 51.3301 or 51.3302)</t>
  </si>
  <si>
    <t>Medical Dietitian.</t>
  </si>
  <si>
    <t>(Moved, Report under 51.3101)</t>
  </si>
  <si>
    <t>Medical Illustration/Medical Illustrator.</t>
  </si>
  <si>
    <t>A program that prepares individuals to apply the principles and techniques of art and computer-assisted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modeling, prosthetics, data display design, exhibit design and production, medical photography, multimedia, computer graphics and animation, digital imaging, business management, production technology, and instructional design.</t>
  </si>
  <si>
    <t>Naturopathic Medicine.</t>
  </si>
  <si>
    <t>(Moved, Report under 51.3303)</t>
  </si>
  <si>
    <t>Psychoanalysis.</t>
  </si>
  <si>
    <t>(Moved, Report under 51.1507)</t>
  </si>
  <si>
    <t>(NEW)  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</si>
  <si>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51.2799</t>
  </si>
  <si>
    <t>Medical Illustration and Informatics, Other.</t>
  </si>
  <si>
    <t>(NEW)  Any instructional program in medical illustration and informatics not listed above.</t>
  </si>
  <si>
    <t>Dietetics and Clinical Nutrition Services.</t>
  </si>
  <si>
    <t>(NEW)  Instructional content for this group of programs is defined in codes 51.3101- 51.3199.</t>
  </si>
  <si>
    <t>51.3101</t>
  </si>
  <si>
    <t>Dietetics/Dietitian (RD).</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</si>
  <si>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   (Moved from 51.2702)</t>
  </si>
  <si>
    <t>51.3102</t>
  </si>
  <si>
    <t>Clinical Nutrition/Nutritionist.</t>
  </si>
  <si>
    <t>(NEW)  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</si>
  <si>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51.3103</t>
  </si>
  <si>
    <t>Dietetic Technician (DTR).</t>
  </si>
  <si>
    <t>(NEW)  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</si>
  <si>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51.3104</t>
  </si>
  <si>
    <t>Dietitian Assistant.</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</si>
  <si>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 (Moved from 20.0404)</t>
  </si>
  <si>
    <t>51.3199</t>
  </si>
  <si>
    <t>Dietetics and Clinical Nutrition Services, Other.</t>
  </si>
  <si>
    <t>(NEW)  Any instructional program in dietetics and clinical nutrition services not listed above.</t>
  </si>
  <si>
    <t>51.32</t>
  </si>
  <si>
    <t>Bioethics/Medical Ethics.</t>
  </si>
  <si>
    <t>(NEW)  Instructional content is defined in code 51.3201.</t>
  </si>
  <si>
    <t>Legal Professions and Studies.</t>
  </si>
  <si>
    <t>Philosophy and Religious Studies.</t>
  </si>
  <si>
    <t>Theology and Religious Vocations.</t>
  </si>
  <si>
    <t>51.3201</t>
  </si>
  <si>
    <t>(NEW)  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</si>
  <si>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51.33</t>
  </si>
  <si>
    <t>Alternative and Complementary Medicine and Medical Systems.</t>
  </si>
  <si>
    <t>(NEW)  Instructional content for this group of programs is defined in codes 51.3301- 51.3399.</t>
  </si>
  <si>
    <t>51.3301</t>
  </si>
  <si>
    <t>Acupuncture.</t>
  </si>
  <si>
    <t>(NEW)   A program that prepares individuals for the independent professional practice of acupuncture, a Chinese system of healing based on the use of pulse diagnosis, acupuncture point selection, and needle insertion to treat imbalances in the state of bodily health or Qi.  Includes instruction in basic Western medical sciences, Chinese medical anatomy and physiology, diagnostic techniques, patient observation and communication, acupuncture points and point selection, auricular and scalp acupuncture, moxibustion, acupuncture technique, acupuncture of extremities, pain management, practice management, and professional standards and ethics.</t>
  </si>
  <si>
    <t>51.3302</t>
  </si>
  <si>
    <t>Traditional Chinese/Asian Medicine and Chinese Herbology.</t>
  </si>
  <si>
    <t>(NEW)    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</si>
  <si>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51.3303</t>
  </si>
  <si>
    <t>Naturopathic Medicine/Naturopathy (ND).</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</si>
  <si>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  (Moved from 51.2704)</t>
  </si>
  <si>
    <t>51.3304</t>
  </si>
  <si>
    <t>Homeopathic Medicine/Homeopathy.</t>
  </si>
  <si>
    <t>(NEW)  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</si>
  <si>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51.3305</t>
  </si>
  <si>
    <t>Ayurvedic Medicine/Ayurveda.</t>
  </si>
  <si>
    <t>(NEW) 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</si>
  <si>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51.3399</t>
  </si>
  <si>
    <t>Alternative and Complementary Medicine and Medical Systems, Other.</t>
  </si>
  <si>
    <t>(NEW) Any instructional program in alternative and complementary medicine and medical systems not listed above.</t>
  </si>
  <si>
    <t>51.34</t>
  </si>
  <si>
    <t>Alternative and Complementary Medical Support Services.</t>
  </si>
  <si>
    <t>(NEW)  Instructional content for this group of programs is defined in codes 51.3401- 51.3499.</t>
  </si>
  <si>
    <t>51.3401</t>
  </si>
  <si>
    <t>Direct Entry Midwifery (LM, CPM).</t>
  </si>
  <si>
    <t>(NEW)  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</si>
  <si>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51.3499</t>
  </si>
  <si>
    <t>Alternative and Complementary Medical Support Services, Other.</t>
  </si>
  <si>
    <t>(NEW)  Any instructional program in alternative and complementary medical support services not listed above.</t>
  </si>
  <si>
    <t>(NEW) Instructional content for this group of programs is defined in codes 51.3501 - 51.3599.</t>
  </si>
  <si>
    <t>51.3501</t>
  </si>
  <si>
    <t>Massage Therapy/Therapeutic Massage.</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</si>
  <si>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   (Moved from 12.0405)</t>
  </si>
  <si>
    <t>51.3502</t>
  </si>
  <si>
    <t>Asian Bodywork Therapy.</t>
  </si>
  <si>
    <t>(NEW) 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</si>
  <si>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51.3503</t>
  </si>
  <si>
    <t>Somatic Bodywork.</t>
  </si>
  <si>
    <t>(NEW)  A program that prepares individuals topromote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</si>
  <si>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51.3599</t>
  </si>
  <si>
    <t>Somatic Bodywork and Related Therapeutic Services, Other.</t>
  </si>
  <si>
    <t>(NEW)  Any instructional program in somatic bodywork and related therapeutic services not listed above.</t>
  </si>
  <si>
    <t>(NEW) Instructional content for this group of programs is defined in codes 51.3601 - 51.3699.</t>
  </si>
  <si>
    <t>51.3601</t>
  </si>
  <si>
    <t>Movement Therapy and Movement Education.</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</si>
  <si>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 (Alexander Technique, Aston Patterning, Body-Mind Centering, Feldenkrais Method(r), Laban Movement Analysis, Trager Approach, and others).    (Moved from 51.2304)</t>
  </si>
  <si>
    <t>51.3602</t>
  </si>
  <si>
    <t>Yoga Teacher Training/Yoga Therapy.</t>
  </si>
  <si>
    <t>(NEW) 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</si>
  <si>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51.3603</t>
  </si>
  <si>
    <t>Hypnotherapy/Hypnotherapist.</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</si>
  <si>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  (Moved from 51.2303)</t>
  </si>
  <si>
    <t>51.3699</t>
  </si>
  <si>
    <t>Movement and Mind-Body Therapies and Education, Other.</t>
  </si>
  <si>
    <t>(NEW)  Any instructional program in movement and mind-body therapies not listed above.</t>
  </si>
  <si>
    <t>(NEW)  Instructional content for this group of programs is defined in codes 51.3701 - 51.3799.</t>
  </si>
  <si>
    <t>51.3701</t>
  </si>
  <si>
    <t>Aromatherapy.</t>
  </si>
  <si>
    <t>(NEW)  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</si>
  <si>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51.3702</t>
  </si>
  <si>
    <t>Herbalism/Herbalist.</t>
  </si>
  <si>
    <t>(NEW)  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</si>
  <si>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51.3703</t>
  </si>
  <si>
    <t>Polarity Therapy.</t>
  </si>
  <si>
    <t>(NEW)  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</si>
  <si>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51.3704</t>
  </si>
  <si>
    <t>Reiki.</t>
  </si>
  <si>
    <t>(NEW)  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</si>
  <si>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51.3799</t>
  </si>
  <si>
    <t>Energy and Biologically Based Therapies, Other.</t>
  </si>
  <si>
    <t>(NEW)  Any instructional program in alternative, complementary, and somatic health and therapeutic services not listed above (bioenergetics, cranio-sacral therapy, Therapeutic Touch, Qi Gong, and others).</t>
  </si>
  <si>
    <t>51.99</t>
  </si>
  <si>
    <t>Health Professions and Related Clinical Sciences, Other.</t>
  </si>
  <si>
    <t>Instructional content is defined in code 51.9999.</t>
  </si>
  <si>
    <t>Any instructional program in the health professions and related clinical sciences not listed above.</t>
  </si>
  <si>
    <t>BUSINESS, MANAGEMENT, MARKETING, AND RELATED SUPPORT SERVICES.</t>
  </si>
  <si>
    <t>Instructional programs that prepare individuals to perform managerial, technical support, and applied research functions related to the operation of commercial and non-profit enterprises and the buying and selling of goods and services.</t>
  </si>
  <si>
    <t>52.01</t>
  </si>
  <si>
    <t>Business/Commerce, General.</t>
  </si>
  <si>
    <t>Instructional content is defined in code 52.0101.</t>
  </si>
  <si>
    <t>A program that focuses on the general study of business, including the processes of interchanging goods and services (buying, selling and producing), business organization, and accounting as used in profit-making and nonprofit public and private institutions and agencies.  The programs may prepare individuals to apply business principles and techniques in various occupational settings.</t>
  </si>
  <si>
    <t>52.02</t>
  </si>
  <si>
    <t>Business Administration, Management and Operations.</t>
  </si>
  <si>
    <t>Instructional content is defined in codes 52.0201 - 52.0299.</t>
  </si>
  <si>
    <t>A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decision-making.</t>
  </si>
  <si>
    <t>Purchasing, Procurement/Acquisitions and Contracts Management.</t>
  </si>
  <si>
    <t>A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</si>
  <si>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Logistics and Materials Management.</t>
  </si>
  <si>
    <t>A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</si>
  <si>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Office Management and Supervision.</t>
  </si>
  <si>
    <t>A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</si>
  <si>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A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</si>
  <si>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Non-Profit/Public/Organizational Management.</t>
  </si>
  <si>
    <t>A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</si>
  <si>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(NEW)  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</si>
  <si>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52.0208</t>
  </si>
  <si>
    <t>E-Commerce/Electronic Commerce.</t>
  </si>
  <si>
    <t>(NEW)  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</si>
  <si>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52.0209</t>
  </si>
  <si>
    <t>Transportation/Transportation Management.</t>
  </si>
  <si>
    <t>(NEW)  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</si>
  <si>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Business Administration, Management and Operations, Other.</t>
  </si>
  <si>
    <t>Any instructional program in business and administration not listed above.</t>
  </si>
  <si>
    <t>52.03</t>
  </si>
  <si>
    <t>Accounting and Related Services.</t>
  </si>
  <si>
    <t>Instructional content for this group of programs is defined in codes 52.0301 - 52.0399.</t>
  </si>
  <si>
    <t>Accounting.</t>
  </si>
  <si>
    <t>A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</si>
  <si>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A program that prepares individuals to assist optometrists in providing patient care, administering examinations and treatments, and performing office administrative functions.  Includes instruction in applied anatomy and physiology of the eye, visual testing, patient communication, patient preparation, medications and administration, dispensing and fitting of eyeglasses and contact lenses, record-keeping, and office management skills.</t>
  </si>
  <si>
    <t>Ophthalmic Technician/Technologist.</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</si>
  <si>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</si>
  <si>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Orthoptics/Orthoptist.</t>
  </si>
  <si>
    <t>A program that prepares individuals, under the supervision of ophthalmologists, to analyze, evaluate, and treat specific disorders of vision, eye movement, and eye alignment in children and adults.  Includes instruction in eye anatomy, neuroanatomy, physiology, pharmacology, ophthalmic optics, diagnostic testing and measurement, orthoptic treatment therapy, systemic ocular diseases and disorders, principles of surgery, examination techniques, patient education, child psychology and development, learning disabilities, medical writing, and record-keeping.</t>
  </si>
  <si>
    <t>Ophthalmic and Optometric Support Services and Allied Professions, Other.</t>
  </si>
  <si>
    <t>Any instructional program in ophthalmic and optometric support services and allied professions not listed above.</t>
  </si>
  <si>
    <t>51.19</t>
  </si>
  <si>
    <t>Osteopathic Medicine/Osteopathy (DO).</t>
  </si>
  <si>
    <t>Instructional content is defined in code 51.1901.</t>
  </si>
  <si>
    <t>A program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medicine,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</si>
  <si>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51.20</t>
  </si>
  <si>
    <t>Pharmacy, Pharmaceutical Sciences, and Administration.</t>
  </si>
  <si>
    <t>Instructional content for this group of programs is defined in codes 51.2001 - 51.2099.</t>
  </si>
  <si>
    <t>Pharmacy (PharmD [USA], PharmD or BS/BPharm [Canada]).</t>
  </si>
  <si>
    <t>A program that prepares individuals for the independent or employed practice of preparing and dispensing drugs and medications in consultation with prescribing physicians ad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</si>
  <si>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Pharmacy Administration and Pharmacy Policy and Regulatory Affairs (MS, PhD).</t>
  </si>
  <si>
    <t>A program that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behavior, pharmacoeconomics, management of pharmacy services, outcomes research, product planning and reimbursement, cost-benefit analysis, drug marketing, pharmacy and pharmaceutics law and regulation, risk assessment, and organization of the health care system.</t>
  </si>
  <si>
    <t>Pharmaceutics and Drug Design (MS, PhD).</t>
  </si>
  <si>
    <t>A program that focuses on the scientific study of the formulation of medicinal substances into product vehicles capable of being stored, transported, and then introduced into the patient and behaving in ways optimal to therapeutic interaction.  Includes instruction in statistics, biopharmaceutics, drug metabolism, pharmacokinetics, pharmacodynamics, physical pharmacy, pharmacological analysis, drug design and development, pharmacological biotechnology, chemical separations, spectroscopy, drug-host interactions, immunology, quantitative drug measurement, enzymatic transformations, and metabolic excretion.</t>
  </si>
  <si>
    <t>51.2004</t>
  </si>
  <si>
    <t>Medicinal and Pharmaceutical Chemistry (MS, PhD).</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</si>
  <si>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   (Moved from 40.0505)</t>
  </si>
  <si>
    <t>51.2005</t>
  </si>
  <si>
    <t>Natural Products Chemistry and Pharmacognosy (MS, PhD).</t>
  </si>
  <si>
    <t>(NEW) 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</si>
  <si>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51.2006</t>
  </si>
  <si>
    <t>Clinical and Industrial Drug Development (MS, PhD).</t>
  </si>
  <si>
    <t>(NEW)  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</si>
  <si>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51.2007</t>
  </si>
  <si>
    <t>Pharmacoeconomics/Pharmaceutical Economics (MS, PhD).</t>
  </si>
  <si>
    <t>(NEW)  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pharmacoeconimics, health care systems, health care organization and management, statistics and biostatistics, outcomes research, health care policy, pharmacy services, and pharmaceutical industry operations.</t>
  </si>
  <si>
    <t>51.2008</t>
  </si>
  <si>
    <t>Clinical, Hospital, and Managed Care Pharmacy (MS, PhD).</t>
  </si>
  <si>
    <t>(NEW) 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</si>
  <si>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51.2009</t>
  </si>
  <si>
    <t>Industrial and Physical Pharmacy and Cosmetic Sciences (MS, PhD).</t>
  </si>
  <si>
    <t>(NEW)  A program that focuses on the application of pharmaceutical sciences and pharmacy to the study of pharmaceuticals production and distribution, and prepares individuals to manage pharmaceutical industry operations.  Includes instruction in pharmaceconomics, industrial management, operations management, preformulation evaluation, product formulation/reformulation, drug product development, stability testing, dosage design, pilot scale-up, drug marketing, quality control, drug information, and legal and regulatory affairs.</t>
  </si>
  <si>
    <t>Pharmacy, Pharmaceutical Sciences, and Administration, Other.</t>
  </si>
  <si>
    <t>Any instructional program in pharmacy, pharmaceutical sciences, and administration not listed above.</t>
  </si>
  <si>
    <t>51.21</t>
  </si>
  <si>
    <t>Podiatric Medicine/Podiatry (DPM).</t>
  </si>
  <si>
    <t>Instructional content is defined in code 51.2101.</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</si>
  <si>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</si>
  <si>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51.22</t>
  </si>
  <si>
    <t>Public Health.</t>
  </si>
  <si>
    <t>Instructional content for this group of programs is defined in codes 51.2201 - 51.2299.</t>
  </si>
  <si>
    <t>Public Health, General (MPH, DPH).</t>
  </si>
  <si>
    <t>A program that generally prepares individuals to plan, manage, and evaluate public health care services and to function as public health officers.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</si>
  <si>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A program that focuses on the application of environmental sciences, public health, the biomedical sciences, and environmental toxicology to the study of environmental factors affecting human health and related ecological issues, and prepares individuals to function as professional environmental health specialists.  Includes instruction in epidemiology, biostatistics, toxicology, public policy analysis, public management, risk assessment, communications, environmental law and applications such as air quality, food protection, radiation protection, solid and hazardous waste management, water quality, noise abatement, housing quality, and environmental control of reacreational areas.</t>
  </si>
  <si>
    <t>(Moved, Report under 26.1309)</t>
  </si>
  <si>
    <t>Health and Medical Biostatistics.</t>
  </si>
  <si>
    <t>(Deleted, Report under 26.1102)</t>
  </si>
  <si>
    <t>Health/Medical  Physics.</t>
  </si>
  <si>
    <t>A program that focuses on the application of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</si>
  <si>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Occupational Health and Industrial Hygiene.</t>
  </si>
  <si>
    <t>A program that prepares public health specialists to monitor and evaluate health and related safety standards in industrial, commercial, and government workplaces and facilities.  Includes instruction in occupational health and safety standards and regulations; health-related aspects of various occupations and work environments; health hazard testing and evaluation; test equipment operation and maintenance; industrial toxicology; worker health and safety education; and the analysis and testing of job-related equipment, behavior practices, and protective devices and procedures.</t>
  </si>
  <si>
    <t>Public Health Education and Promotion.</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</si>
  <si>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</si>
  <si>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51.2208</t>
  </si>
  <si>
    <t>Community Health and Preventive Medicine.</t>
  </si>
  <si>
    <t>(NEW)  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biostatistcs, family and community health, and applicable law and regulations.</t>
  </si>
  <si>
    <t>51.2209</t>
  </si>
  <si>
    <t>Maternal and Child Health.</t>
  </si>
  <si>
    <t>(NEW)  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</si>
  <si>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51.2210</t>
  </si>
  <si>
    <t>International Public Health/International Health.</t>
  </si>
  <si>
    <t>(NEW)  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</si>
  <si>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51.2211</t>
  </si>
  <si>
    <t>Health Services Administration.</t>
  </si>
  <si>
    <t>(NEW)  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</si>
  <si>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Public Health, Other.</t>
  </si>
  <si>
    <t>Any instructional program in public health not listed above.</t>
  </si>
  <si>
    <t>51.23</t>
  </si>
  <si>
    <t>Rehabilitation and Therapeutic Professions.</t>
  </si>
  <si>
    <t>Instructional content for this group of programs is defined in codes 51.2301 - 51.2399.</t>
  </si>
  <si>
    <t>51.35</t>
  </si>
  <si>
    <t>Somatic Bodywork and Related Therapeutic Services.</t>
  </si>
  <si>
    <t>51.36</t>
  </si>
  <si>
    <t>Movement and Mind-Body Therapies and Education.</t>
  </si>
  <si>
    <t>51.37</t>
  </si>
  <si>
    <t>Energy and Biologically Based Therapies.</t>
  </si>
  <si>
    <t>A program that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</si>
  <si>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A program that prepares individuals, in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behavior, psychology, dance, creative expression modalities, improvisation, group psychology and leadership, client evaluation and supervision, dance therapy practice, and professional standards and ethics.</t>
  </si>
  <si>
    <t>Hypnotherapy.</t>
  </si>
  <si>
    <t>(Moved, Report under 51.3603)</t>
  </si>
  <si>
    <t>Movement Therapy.</t>
  </si>
  <si>
    <t>(Moved, Report under 51.3601)</t>
  </si>
  <si>
    <t>A program that prepares individuals, in association with a rehabilitation team or in private practice, to use music in therapeutic relationships to address patients' physical, psychological, cognitive, emotional, and social needs.  Includes instruction in music theory and performance, human growth and development, biomedical sciences, abnormal psychology, disabling conditions, patient assessment and diagnosis, treatment plan development and implementation, clinical evaluation, record-keeping, and professional standards and ethics.</t>
  </si>
  <si>
    <t>Occupational Therapy/Therapist.</t>
  </si>
  <si>
    <t>A program that prepares individuals to assist patients limited by physical, cognitive, psychosocial, mental, developmental, and learning disabilities, as well as adverse environmental conditions, to maximize their independence and maintain optimum health through a planned mix of acquired skills, performance motivation, environmental adaptations, assistive technologies, and physical agents.  Includes instruction in the basic medical sciences, psychology, sociology, patient assessment and evaluation, standardized and non-standardized tests and measurements, assistive and rehabilitative technologies, ergonomics, environmental health, special education, vocational counseling, health education and promotion, and professional standards and ethics.</t>
  </si>
  <si>
    <t>Orthotist/Prosthetist.</t>
  </si>
  <si>
    <t>A program that prepares individuals, in consultation with physicians and other therapists, to design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counseling and follow-up.</t>
  </si>
  <si>
    <t>Physical Therapy/Therapist.</t>
  </si>
  <si>
    <t>A program that prepares individuals to alleviate physical and functional impairments and limitations caused by injury or disease through the design and implementation of therapeutic interventions to promote fitness and health.  Includes instruction in functional anatomy and physiology, kinesiology, neuroscience, pathological physiology, analysis of dysfunction, movement dynamics, physical growth process, management of musculoskeletal disorders, clinical evaluation and measurement, client assessment and supervision, care plan development and documentation, physical therapy modalities, rehabilitation psychology, physical therapy administration, and professional standards and ethics.</t>
  </si>
  <si>
    <t>Therapeutic Recreation/Recreational Therapy.</t>
  </si>
  <si>
    <t>A program that prepares individuals to plan, organize, and direct recreational activities designed to promote health and well-being for patients who are physically, mentally, or emotionally disabled.  Includes instruction in the foundations of therapeutic recreation, leisure education and counseling, program planning, therapeutic recreational modalities, basic anatomy and physiology, psychology, medical terminology, human growth and development, patient observation and evaluation, special needs populations, and professional standards and ethics.</t>
  </si>
  <si>
    <t>Vocational Rehabilitation Counseling/Counselor.</t>
  </si>
  <si>
    <t>A program that prepares individuals to counsel disabled individuals and recovering patients in psychological, personal, social, and vocational adjustment in order to have fulfilling and productive lives.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</si>
  <si>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51.2311</t>
  </si>
  <si>
    <t>Kinesiotherapy/Kinesiotherapist.</t>
  </si>
  <si>
    <t>(NEW)  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resucitation, psychology, rehabilitation procedures, patient assessment and management, and professional standards and ethics.</t>
  </si>
  <si>
    <t>51.2312</t>
  </si>
  <si>
    <t>Assistive/Augmentative Technology and Rehabiliation Engineering.</t>
  </si>
  <si>
    <t>(NEW)  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</si>
  <si>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Rehabilitation and Therapeutic Professions, Other.</t>
  </si>
  <si>
    <t>Any instructional program in rehabilitation and therapeutic professions not listed above.</t>
  </si>
  <si>
    <t>Instructional content is defined in code 51.2401.</t>
  </si>
  <si>
    <t>A program that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anesthesiology, surgery, toxicology, animal health and preventive medicine, clinical nutrition, practice management, and professional standards and ethics.</t>
  </si>
  <si>
    <t>Veterinary Biomedical and Clinical Sciences (Cert.</t>
  </si>
  <si>
    <t>, MS, PhD).  Instructional content for this group of programs is defined in codes 51.2501- 51.2599.  Note ( Only graduate programs awarding academic credit and degrees or certificates should be reported in this series.  Veterinary residencies should be reported under Series 60.03 in chapter II</t>
  </si>
  <si>
    <t>Veterinary Sciences/Veterinary Clinical Sciences, General (Cert.</t>
  </si>
  <si>
    <t>, MS, PhD).  An integrated program of study in one or more of the veterinary medical or clinical sciences or a program undifferentiated as to title.</t>
  </si>
  <si>
    <t>51.2502</t>
  </si>
  <si>
    <t>Veterinary Anatomy (Cert.</t>
  </si>
  <si>
    <t>, MS, PhD).  (NEW)  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</si>
  <si>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51.2503</t>
  </si>
  <si>
    <t>Veterinary Physiology (Cert.</t>
  </si>
  <si>
    <t>, MS, PhD).  (NEW)  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</si>
  <si>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51.2504</t>
  </si>
  <si>
    <t>Veterinary Microbiology and Immunobiology (Cert.</t>
  </si>
  <si>
    <t>, MS, PhD). (NEW)  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</si>
  <si>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51.2505</t>
  </si>
  <si>
    <t>Veterinary Pathology and Pathobiology (Cert.</t>
  </si>
  <si>
    <t>, MS, PhD).  (NEW)  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</si>
  <si>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Veterinary Toxicology and Pharmacology (Cert.</t>
  </si>
  <si>
    <t>, MS, PhD).   (NEW)  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</si>
  <si>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51.2507</t>
  </si>
  <si>
    <t>Large Animal/Food Animal and Equine Surgery and Medicine (Cert.</t>
  </si>
  <si>
    <t>, MS, PhD).  (NEW)  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</si>
  <si>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51.2508</t>
  </si>
  <si>
    <t>Small/Companion Animal Surgery and Medicine (Cert.</t>
  </si>
  <si>
    <t>, MS, PhD). (NEW)  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othopedics.</t>
  </si>
  <si>
    <t>51.2509</t>
  </si>
  <si>
    <t>Comparative and Laboratory Animal Medicine (Cert.</t>
  </si>
  <si>
    <t>, MS, PhD). (NEW)  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</si>
  <si>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51.2510</t>
  </si>
  <si>
    <t>Veterinary Preventive Medicine Epidemiology, and Public Health (Cert.</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</si>
  <si>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</si>
  <si>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Diagnostic Medical Sonography/Sonographer and Ultrasound Technician.</t>
  </si>
  <si>
    <t>A program that prepares individuals, under the supervision of physicians, to utilize medical ultrasound techniques to gather sonographic data used to diagnose a variety of conditions and diseases.  Includes instruction in obtaining, reviewing, and integrating patient histories and data; patient instruction and care; anatomic, physiologic and pathologic data recording; sonographic data processing; sonography equipment operation; and professional standards and ethics.</t>
  </si>
  <si>
    <t>51.0911</t>
  </si>
  <si>
    <t>Radiologic Technology/Science - Radiographer.</t>
  </si>
  <si>
    <t>(NEW)  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</si>
  <si>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51.0912</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</si>
  <si>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behavioral medicine; the delivery of health care services to homebound patients, rural populations, underserved populations; and community health services.  (Moved from 51.0807)</t>
  </si>
  <si>
    <t>51.0913</t>
  </si>
  <si>
    <t>Athletic Training/Trainer.</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</si>
  <si>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 (Moved from 31.0503)</t>
  </si>
  <si>
    <t>(NEW)  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</si>
  <si>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51.0915</t>
  </si>
  <si>
    <t>Cardiopulmonary Technology/Technologist.</t>
  </si>
  <si>
    <t>(NEW)  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</si>
  <si>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51.0916</t>
  </si>
  <si>
    <t>Radiation Protection/Health Physics Technician.</t>
  </si>
  <si>
    <t>(NEW)  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</si>
  <si>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Allied Health Diagnostic, Intervention, and Treatment Professions, Other.</t>
  </si>
  <si>
    <t>Any instructional program in allied health diagnostic, intervention, and treatment professions not listed above.</t>
  </si>
  <si>
    <t>Clinical/Medical Laboratory Science and Allied Professions.</t>
  </si>
  <si>
    <t>Instructional content for this group of programs is defined in codes 51.1001- 51.1099.</t>
  </si>
  <si>
    <t>Blood Bank Technology Specialist.</t>
  </si>
  <si>
    <t>A program that prepares individuals to perform routine and specialized blood testing procedures, collect and process blood donations, and support physicians and other clinicians administering transfusion therapy.  Includes instruction in basic cellular biology, immunohematology, blood bank procedures, blood typing, antigen and antibody identification tests, hemolytic and transfusion responses and diseases, donor selection, blood drawing and storage, blood separation, viral marker testing, laboratory and personnel supervision, safety and sterilization, and applicable laws and regulations.</t>
  </si>
  <si>
    <t>Cytotechnology/Cytotechnologist.</t>
  </si>
  <si>
    <t>A program that prepares individuals to work with pathologists to detect changes in body cells that may indicate, and permit diagnosis of, the early development of cancers and other diseases.  Includes instruction in biochemistry, microbiology, applied mathematics, microscopy, slide preparation, identification of cellular structures and abnormalities, and laboratory procedures and safety.</t>
  </si>
  <si>
    <t>Hematology Technology/Technician.</t>
  </si>
  <si>
    <t>A program that prepares individuals, under the supervision of clinical laboratory scientists and health care professionals, to perform tests and analyses of blood samples.  Includes instruction in clinical laboratory procedures; blood anatomy and physiology; cellular and molecular biology; blood pathology and disease indicators; quantitative, qualitative, and coagulation testing methodologies; equipment operation and maintenance; and record-keeping.</t>
  </si>
  <si>
    <t>Clinical/Medical Laboratory Technician.</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</si>
  <si>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</si>
  <si>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Clinical Laboratory Science/Medical Technology/Technologist.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</si>
  <si>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and personnel supervision; data development and reporting; medical informatics; and professional standards and regulations.</t>
  </si>
  <si>
    <t>Ophthalmic Laboratory Technology/Technician.</t>
  </si>
  <si>
    <t>A program that prepares individuals, under the supervision of ophthalmologists and optometrists, to cut, grind, edge, and finish corrective lenses and to fabricate eyewear.  Includes instruction in optical theory, applied mathematics, lense surfacing and finishing, tinting and coating, impact resistance treatment and testing, frame construction and repair, prescription interpretation, equipment operation and maintenance, follow-up adjustment, record-keeping, and laboratory safety procedures.</t>
  </si>
  <si>
    <t>51.1007</t>
  </si>
  <si>
    <t>Histologic Technology/Histotechnologist.</t>
  </si>
  <si>
    <t>(NEW)  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</si>
  <si>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51.1008</t>
  </si>
  <si>
    <t>Histologic Technician.</t>
  </si>
  <si>
    <t>(NEW)  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</si>
  <si>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51.1009</t>
  </si>
  <si>
    <t>Phlebotomy/Phlebotomist.</t>
  </si>
  <si>
    <t>(NEW)  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</si>
  <si>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51.1010</t>
  </si>
  <si>
    <t>Cytogenetics/Genetics/Clinical Genetics Technology/Technologist.</t>
  </si>
  <si>
    <t>(NEW)  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</si>
  <si>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51.1011</t>
  </si>
  <si>
    <t>Renal/Dialysis Technologist/Technician.</t>
  </si>
  <si>
    <t>(NEW)  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</si>
  <si>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Clinical/Medical Laboratory Science and Allied Professions, Other.</t>
  </si>
  <si>
    <t>Any instructional program in clinical/medical laboratory science and allied professions not listed above.</t>
  </si>
  <si>
    <t>51.11</t>
  </si>
  <si>
    <t>Health/Medical Preparatory Programs.</t>
  </si>
  <si>
    <t>Instructional content for this group of programs is defined in codes 51.1101 - 51.1199.</t>
  </si>
  <si>
    <t>Pre-Dentistry Studies.</t>
  </si>
  <si>
    <t>A program that prepares individuals for admission to a first-professional program in dentistry.</t>
  </si>
  <si>
    <t>Pre-Medicine/Pre-Medical Studies.</t>
  </si>
  <si>
    <t>A program that prepares individuals for admission to a first-professional program in medicine, osteopathic medicine, or podiatric medicine.</t>
  </si>
  <si>
    <t>Pre-Pharmacy Studies.</t>
  </si>
  <si>
    <t>A program that prepares individuals for admission to a first-professional program in pharmacy.</t>
  </si>
  <si>
    <t>Pre-Veterinary Studies.</t>
  </si>
  <si>
    <t>A program that prepares individuals for admission to a first-professional program in veterinary medicine.</t>
  </si>
  <si>
    <t>51.1105</t>
  </si>
  <si>
    <t>Pre-Nursing Studies.</t>
  </si>
  <si>
    <t>(NEW)  A program that prepares individuals for admission to a professional program in Nursing.</t>
  </si>
  <si>
    <t>Health/Medical Preparatory Programs, Other.</t>
  </si>
  <si>
    <t>Any instructional program in health and medical first-professional preparation not listed above.</t>
  </si>
  <si>
    <t>51.12</t>
  </si>
  <si>
    <t>Medicine (MD).</t>
  </si>
  <si>
    <t>Instructional content is defined in code 51.1201.</t>
  </si>
  <si>
    <t>A program that prepares individuals for the independent professional practice of medicine, involving the prevention, diagnosis, and treatment of illnesses, injuries, and other disorders of the human body.  Includes instruction in the basic medical sciences, clinical medicine, examination and diagnosis, patient communications, medical ethics and law, professional standards, and rotations in specialties such as internal medicine, surgery, pediatrics, obstetrics and gynecology, orthopedics, neurology, ophthalmology, radiology, clinical pathology, anesthesiology, family medicine, and psychiatry.</t>
  </si>
  <si>
    <t>51.13</t>
  </si>
  <si>
    <t>Medical Basic Sciences.</t>
  </si>
  <si>
    <t>(Deleted, Report under 26. Series).  All of the instructional  programs in this series have been integrated into programs in Series 26.)</t>
  </si>
  <si>
    <t>Medical Anatomy.</t>
  </si>
  <si>
    <t>(Report under 26.0403)</t>
  </si>
  <si>
    <t>Medical Biochemistry.</t>
  </si>
  <si>
    <t>(Report under 26.0202)</t>
  </si>
  <si>
    <t>Medical Biomathematics and Biometrics.</t>
  </si>
  <si>
    <t>Medical Biophysics.</t>
  </si>
  <si>
    <t>Medical Cell Biology.</t>
  </si>
  <si>
    <t>(Report under 26.0401)</t>
  </si>
  <si>
    <t>Medical Genetics.</t>
  </si>
  <si>
    <t>Medical Immunology.</t>
  </si>
  <si>
    <t>(Report under 26.0507)</t>
  </si>
  <si>
    <t>Medical Microbiology.</t>
  </si>
  <si>
    <t>(Report under 26.0503)</t>
  </si>
  <si>
    <t>Medical Molecular Biology.</t>
  </si>
  <si>
    <t>(Report under 26.0204)</t>
  </si>
  <si>
    <t>Medical Neurobiology.</t>
  </si>
  <si>
    <t>(Report under 26.0906)</t>
  </si>
  <si>
    <t>Medical Nutrition.</t>
  </si>
  <si>
    <t>Medical Pathology.</t>
  </si>
  <si>
    <t>(Report under 26.0910)</t>
  </si>
  <si>
    <t>Medical Physiology.</t>
  </si>
  <si>
    <t>Medical Toxicology.</t>
  </si>
  <si>
    <t>(Report under 26.1004)</t>
  </si>
  <si>
    <t>Medical Basic Sciences, Other.</t>
  </si>
  <si>
    <t>(Report under 26.9999)</t>
  </si>
  <si>
    <t>51.14</t>
  </si>
  <si>
    <t>Medical Clinical Sciences/Graduate Medical Studies.</t>
  </si>
  <si>
    <t>Instructional content is defined in code 51.1401.  Note ( Program completions in specific biomedical science fields should be reported under Series 26.  Medical education residencies should be reported under Series 60.02 in chapter II.</t>
  </si>
  <si>
    <t>Medical Scientist (MS, PhD).</t>
  </si>
  <si>
    <t>An undifferentiated clinical science program that prepares graduated physicians (MD or DO) as research scientists in various areas.</t>
  </si>
  <si>
    <t>Mental and Social Health Services and Allied Professions.</t>
  </si>
  <si>
    <t>Instructional content for this group of programs is defined in codes 51.1501 - 51.1599.</t>
  </si>
  <si>
    <t>Substance Abuse/Addiction Counseling.</t>
  </si>
  <si>
    <t>A program that prepares individuals to help prevent substance abuse, counsel individuals and families with drug and alcohol problems, and perform intervention and therapeutic services for persons suffering from addiction.  Includes instruction in individual and group counseling skills, psychology of addiction, sociology, crisis intervention, substance abuse identification methodologies, substance abuse treatment modalities, substance abuse prevention and treatment resources, pharmacology and behavioral aspects of abused substances, treatment evaluation, patient observation and education, group dynamics, professional standards and ethics, and applicable law and regulations.</t>
  </si>
  <si>
    <t>Psychiatric/Mental Health Services Technician.</t>
  </si>
  <si>
    <t>A program that prepares individuals, under the supervision of psychiatrists, psychologists, nurses, and other mental health care professionals, to provide direct patient care services, assist in developing and implementing treatment plans, administer medications, and perform related administrative functions.  Includes instruction in mental health theory, applied psychopathology, patient communication and management, crisis intervention, psychotropic medication, mental health treatment procedures, substance abuse, record-keeping, clinical administrative skills, and applicable standards and regulations.</t>
  </si>
  <si>
    <t>A program that prepares individuals for the specialized professional practice of social work, in collaboration with other health care professionals, in hospitals and other health care facilities and organizations.  Includes instruction in social work, psychiatric case work, clinical interviewing techniques, therapeutic intervention strategies, patient testing and evaluation, patient and family counseling, social rehabilitation, patient care planning, record-keeping, and support services liaison.</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</si>
  <si>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  (Moved from 51.0301)</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</si>
  <si>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  (Moved from 19.0703)</t>
  </si>
  <si>
    <t>(NEW) A program that prepares ordained clergy and other counseling professionals to respond to the emotional and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</si>
  <si>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51.1507</t>
  </si>
  <si>
    <t>Psychoanalysis and Psychotherapy.</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</si>
  <si>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 (Moved from 51.2705)</t>
  </si>
  <si>
    <t>51.1508</t>
  </si>
  <si>
    <t>Mental Health Counseling/Counselor.</t>
  </si>
  <si>
    <t>(NEW)  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</si>
  <si>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(NEW)  A program that prepares individuals to counsel patients and families concerning inherited genetic disorders and diseases, children with birth defects;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</si>
  <si>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Mental and Social Health Services and Allied Professions, Other.</t>
  </si>
  <si>
    <t>Any instructional program in mental and social health services and allied professions not listed above.</t>
  </si>
  <si>
    <t>Instructional content for this group of programs is defined in codes 51.1601-51.1699.</t>
  </si>
  <si>
    <t>Nursing/Registered Nurse (RN, ASN, BSN, MSN).</t>
  </si>
  <si>
    <t>A program that generally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</si>
  <si>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Nursing Administration (MSN, MS, PhD).</t>
  </si>
  <si>
    <t>A program that prepares registered nurses (RNs)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</si>
  <si>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Adult Health Nurse/Nursing.</t>
  </si>
  <si>
    <t>A program that prepares registered nurses (RNs) to provide general care for adult patients.  Includes instruction in adult primary care, adult pathophysiology, clinical management of medication and treatments, patient assessment and education, patient referral, and planning adult health maintenance programs.</t>
  </si>
  <si>
    <t>Nurse Anesthetist.</t>
  </si>
  <si>
    <t>A program that prepares registered nurses (RNs) to administer anesthetics and provide care for patients before, during andafter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</si>
  <si>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Family Practice Nurse/Nurse Practitioner.</t>
  </si>
  <si>
    <t>A program that prepares registered nurses (RNs)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</si>
  <si>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Maternal/Child Health and Neonatal Nurse/Nursing.</t>
  </si>
  <si>
    <t>A program that prepares registered nurses (RNs)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</si>
  <si>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Nurse Midwife/Nursing Midwifery.</t>
  </si>
  <si>
    <t>A program that prepares registered nurses (RNs) to independently deliver babies and treat mothers in the prenatal, delivery, and post-delivery periods.  Includes instruction in pre-delivery screening, physician referral, and the care of infants during the delivery and immediate post-delivery phases.</t>
  </si>
  <si>
    <t>Nursing Science (MS, PhD).</t>
  </si>
  <si>
    <t>A research program that focuses on the study of advanced clinical practices, research methodologies, the administration of complex nursing services, and that prepares nurses to further the progress of nursing research through experimentation and clinical applications.</t>
  </si>
  <si>
    <t>Pediatric Nurse/Nursing.</t>
  </si>
  <si>
    <t>A program that prepares registered nurses (RNs) to provide care for children from infancy through adolescence.  Includes instruction in the administration of medication and treatments, assisting physicians, patient examination and referral, and planning and delivering health maintenance and health education programs.</t>
  </si>
  <si>
    <t>Psychiatric/Mental Health Nurse/Nursing.</t>
  </si>
  <si>
    <t>A program that prepares registered nurses (RNs)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</si>
  <si>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Public Health/Community Nurse/Nursing.</t>
  </si>
  <si>
    <t>A program that prepares registered nurses (RNs)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</si>
  <si>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Perioperative/Operating Room and Surgical Nurse/Nursing.</t>
  </si>
  <si>
    <t>A program that prepares registered nurses (RNs)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</si>
  <si>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Licensed Practical/Vocational Nurse Training (LPN, LVN, Cert.</t>
  </si>
  <si>
    <t>, Dipl, AAS).  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</si>
  <si>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Nurse/Nursing Assistant/Aide and Patient Care Assistant.</t>
  </si>
  <si>
    <t>A program that prepares individuals to perform routine nursing-related services to patients in hospitals or long-term care facilities, under the training and supervision of a registered nurse or licensed practical nurse.</t>
  </si>
  <si>
    <t>Home Health Aide.</t>
  </si>
  <si>
    <t>(Moved, Report under 51.2602)</t>
  </si>
  <si>
    <t>51.1616</t>
  </si>
  <si>
    <t>Clinical Nurse Specialist.</t>
  </si>
  <si>
    <t>(NEW)  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</si>
  <si>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51.1617</t>
  </si>
  <si>
    <t>Critical Care Nursing.</t>
  </si>
  <si>
    <t>(NEW)  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</si>
  <si>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51.1618</t>
  </si>
  <si>
    <t>Occupational and Environmental Health Nursing.</t>
  </si>
  <si>
    <t>(NEW) 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</si>
  <si>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Nursing, Other.</t>
  </si>
  <si>
    <t>Any instructional program in nursing not listed above.</t>
  </si>
  <si>
    <t>51.17</t>
  </si>
  <si>
    <t>Optometry (OD).</t>
  </si>
  <si>
    <t>Instructional content is defined in code 51.1701.</t>
  </si>
  <si>
    <t>A program that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</si>
  <si>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51.18</t>
  </si>
  <si>
    <t>Ophthalmic and Optometric Support Services and Allied Professions.</t>
  </si>
  <si>
    <t>Instructional content for this group of programs is defined in codes 51.1801- 51.1899.</t>
  </si>
  <si>
    <t>Opticianry/Ophthalmic Dispensing Optician.</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</si>
  <si>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</si>
  <si>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Optometric Technician/Assistant.</t>
  </si>
  <si>
    <t>(NEW)  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</si>
  <si>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51.0504</t>
  </si>
  <si>
    <t>Dental Public Health and Education (Cert.</t>
  </si>
  <si>
    <t>, MS/MPH, PhD/DPH). (NEW)  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</si>
  <si>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51.0505</t>
  </si>
  <si>
    <t>Dental Materials (MS, PhD).</t>
  </si>
  <si>
    <t>(NEW)  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</si>
  <si>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51.0506</t>
  </si>
  <si>
    <t>Endodontics/Endodontology (Cert.</t>
  </si>
  <si>
    <t>, MS, PhD).  (NEW)  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</si>
  <si>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51.0507</t>
  </si>
  <si>
    <t>Oral/Maxillofacial Surgery (Cert.</t>
  </si>
  <si>
    <t>, MS, PhD).  (NEW)  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</si>
  <si>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51.0508</t>
  </si>
  <si>
    <t>Orthodontics/Orthodontology (Cert.</t>
  </si>
  <si>
    <t>, MS, PhD).  (NEW)  A program that focuses on the advanced study of the guidance of growing dental structures and the correction of misalignments,  disproportionate growth, and traumas caused by genetics, disease, injuries, and dysfunctional behaviors.  Includes instruction in malocclusion, design and fabrication of orthodontic appliances, craniofacial alignment, physiological function and analysis, cephalometrics, model analysis, space analysis, surgical orthodontics, cleft lip and palate, and treatment planning and management.</t>
  </si>
  <si>
    <t>51.0509</t>
  </si>
  <si>
    <t>Pediatric Dentistry/Pedodontics (Cert.</t>
  </si>
  <si>
    <t>, MS, PhD).  (NEW)  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</si>
  <si>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51.0510</t>
  </si>
  <si>
    <t>Periodontics/Periodontology (Cert.</t>
  </si>
  <si>
    <t>, MS, PhD).  (NEW)  A program that focuses on the advanced study of the etiology and treatment of diseases of the gingivae (gum tissue) and supporting bone, nerve, andvascular structures.  Includes instruction in periodontium pathology, diagnostic procedures and equipment, occulsion, nutritional aspects of periodontology, surgical treatments, and patient care and management.</t>
  </si>
  <si>
    <t>51.0511</t>
  </si>
  <si>
    <t>Prosthodontics/Prosthodontology (Cert.</t>
  </si>
  <si>
    <t>, MS, PhD).  (NEW)A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</si>
  <si>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51.0599</t>
  </si>
  <si>
    <t>Advanced/Graduate Dentistry and Oral Sciences, Other.</t>
  </si>
  <si>
    <t>(NEW) Any instructional program in advanced/graduate dentistry and oral sciences not listed above.</t>
  </si>
  <si>
    <t>Dental Support Services and Allied Professions.</t>
  </si>
  <si>
    <t>Instructional content for this group of programs is defined in codes 51.0601- 51.0699.</t>
  </si>
  <si>
    <t>Dental Assisting/Assistant.</t>
  </si>
  <si>
    <t>A program that prepares individuals to provide patient care, take dental radiographs (x-ray photographs),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sterilization, basic radiography, pre- and post-operative patient care and instruction, chairside assisting, taking tooth and mouth impressions, and supervised practice.</t>
  </si>
  <si>
    <t>Dental Hygiene/Hygienist.</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</si>
  <si>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</si>
  <si>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Dental Laboratory Technology/Technician.</t>
  </si>
  <si>
    <t>A program that prepares individuals, under the supervision of dentists, to design and construct dental prostheses such as caps, crowns, bridges, dentures, splints, and orthodontic appliances.  Includes instruction in dental anatomy, dental materials, ceramics technology, impressions, complete dentures, partial dentures, orthodontics, crowns and bridges, sculpture, bonding and assembly techniques, and equipment operation.</t>
  </si>
  <si>
    <t>Dental Services and Allied Professions, Other.</t>
  </si>
  <si>
    <t>Any instructional program in dental services and allied professions not listed above.</t>
  </si>
  <si>
    <t>Instructional content for this group of programs is defined in codes 51.0701- 51.0799.</t>
  </si>
  <si>
    <t>Health/Health Care Administration/Management.</t>
  </si>
  <si>
    <t>A program that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</si>
  <si>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Hospital and Health Care Facilities Administration/Management.</t>
  </si>
  <si>
    <t>A program that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labor relations, health care facilities operations, principles of health care delivery, and applicable law and regulations.</t>
  </si>
  <si>
    <t>Health Unit Coordinator/Ward Clerk.</t>
  </si>
  <si>
    <t>A program that prepares individuals, under the supervision of nurses or ward supervisors, to perform routine administrative and reception duties in a patient care unit within a hospital or other health care facility.  Includes instruction in receiving and directing visitors, transcribing medical and nursing orders, preparing requisition forms, scheduling patient appointments and procedures, monitoring patients and personnel, and interpersonal skills.</t>
  </si>
  <si>
    <t>Health Unit Manager/Ward Supervisor.</t>
  </si>
  <si>
    <t>A program that prepares individuals, under the supervision of nursing or medical service administrators, to supervise and coordinate the operations of one or more patient care units in hospitals or other health care facilities.  Includes instruction in planning and initiating administrative procedures, personnel supervision, interpersonal skills, general and/or specialized health care operations and procedures, and consultation with other medical, nursing, and administrative team members.</t>
  </si>
  <si>
    <t>Medical Office Management/Administration.</t>
  </si>
  <si>
    <t>A program that prepares individuals to manage the specialized business functions of a medical or clinical office.  Includes instruction in business office operations, business and financial record-keeping, personnel supervision, medical and health care policy administration, conference planning, scheduling and coordination, public relations, and applicable law and regulations.</t>
  </si>
  <si>
    <t>Health Information/Medical Records Administration/Administrator.</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</si>
  <si>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</si>
  <si>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Health Information/Medical Records Technology/Technician.</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</si>
  <si>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</si>
  <si>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Medical Transcription/Transcriptionist.</t>
  </si>
  <si>
    <t>A program that prepares individuals to execute verbatim medical conference minutes, medical reports, and medical orders.  Includes instruction in dictation and simultaneous recording, analysis of notes and visual evidence, medical terminology, data processing applications and skills, formal medical report and correspondence formats, professional standards, and applicable law and regulations.</t>
  </si>
  <si>
    <t>(NEW)  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</si>
  <si>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51.0710</t>
  </si>
  <si>
    <t>Medical Office Assistant/Specialist.</t>
  </si>
  <si>
    <t>(NEW)  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</si>
  <si>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51.0711</t>
  </si>
  <si>
    <t>Medical/Health Management and Clinical Assistant/Specialist.</t>
  </si>
  <si>
    <t>(NEW)  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</si>
  <si>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51.0712</t>
  </si>
  <si>
    <t>Medical Reception/Receptionist.</t>
  </si>
  <si>
    <t>(NEW)  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</si>
  <si>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(NEW)  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</si>
  <si>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51.0714</t>
  </si>
  <si>
    <t>Medical Insurance Specialist/Medical Biller.</t>
  </si>
  <si>
    <t>(NEW)  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</si>
  <si>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51.0715</t>
  </si>
  <si>
    <t>Health/Medical Claims Examiner.</t>
  </si>
  <si>
    <t>(NEW)  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</si>
  <si>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51.0716</t>
  </si>
  <si>
    <t>Medical Administrative/Executive Assistant and Medical Secretary.</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</si>
  <si>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  (Moved from 52.0404)</t>
  </si>
  <si>
    <t>51.0717</t>
  </si>
  <si>
    <t>Medical Staff Services Technology/Technician.</t>
  </si>
  <si>
    <t>(NEW)  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</si>
  <si>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Health and Medical Administrative Services, Other.</t>
  </si>
  <si>
    <t>Any instructional program in health and medical administrative services not listed above.</t>
  </si>
  <si>
    <t>Instructional content for this group of programs is defined in codes 51.0801- 51.0899.</t>
  </si>
  <si>
    <t>Medical/Clinical Assistant.</t>
  </si>
  <si>
    <t>A program that prepares individuals, under the supervision of physicians, to provide medical office administrative services and perform clinical duties including patient intake and care, routine diagnostic and recording procedures, pre-examination and examination assistance, and the administration of medications and first aid.  Includes instruction in basic anatomy and physiology; medical terminology; medical law and ethics; patient psychology and communications; medical office procedures; and clinical diagnostic, examination, testing, and treatment procedures.</t>
  </si>
  <si>
    <t>Clinical/Medical Laboratory Assistant.</t>
  </si>
  <si>
    <t>A program that prepares individuals, under the supervision of physicians or laboratory scientists or technologists, to perform waived testing procedures (Clinical Laboratory Improvement Amendments of 1988), phlebotomy, and other duties in support of laboratory teams.  Includes instruction in clinical procedures, various laboratory tests, laboratory mathematics, computer technology, equipment operation and maintenance, sterilization and safety, communications skills, and interpersonal skills.</t>
  </si>
  <si>
    <t>Occupational Therapist Assistant.</t>
  </si>
  <si>
    <t>A program that prepares individuals, under the supervision of occupational therapists, to direct patient participation in skill-enhancing, learning, and motivational tasks; correct or diminish pathologies; and to provide direct health education and promotion services.  Includes instruction in human life span development, occupational therapy principles and practice skills, treatment planning and implementation, record-keeping and documentation, patient education and intervention, activity and program direction, and assistive services management.</t>
  </si>
  <si>
    <t>Ophthalmic Medical Assistant.</t>
  </si>
  <si>
    <t>(Deleted, Report under 51.1803).</t>
  </si>
  <si>
    <t>Pharmacy Technician/Assistant.</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</si>
  <si>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</si>
  <si>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Physical Therapist Assistant.</t>
  </si>
  <si>
    <t>A program that prepares individuals, under the supervision of a physical therapist, to implement physical therapy treatment care plans, train patients, conduct treatment interventions, use equipment, and observe and record patient progress.  Includes instruction in applied anatomy and physiology, applied kinesiology, principles and procedures of physical therapy, basic neurology and orthopedics, physical therapy modalities, documentation skills, psychosocial aspects of health care, wound and injury care, electrotherapy, working with orthotics and prostheses, and personal and professional ethics.</t>
  </si>
  <si>
    <t>Physician Assistant.</t>
  </si>
  <si>
    <t>(Moved, Report under 51.0912)</t>
  </si>
  <si>
    <t>Veterinary/Animal Health Technology/Technician and Veterinary Assistant.</t>
  </si>
  <si>
    <t>A program that prepares individuals, under the supervision of veterinarians, laboratory animal specialists, and zoological professionals, to provide patient management, care, and clinical procedures assistance as well as owner communication.  Includes instruction in animal nursing care, animal health and nutrition, animal handling, clinical pathology, radiology, anesthesiology, dental prophylaxis, surgical assisting, clinical laboratory procedures, office administration skills, patient and owner management, and applicable standards and regulations.</t>
  </si>
  <si>
    <t>51.0809</t>
  </si>
  <si>
    <t>Anesthesiologist Assistant.</t>
  </si>
  <si>
    <t>(NEW)  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</si>
  <si>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51.0810</t>
  </si>
  <si>
    <t>Emergency Care Attendant (EMT Ambulance).</t>
  </si>
  <si>
    <t>(NEW)  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</si>
  <si>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51.0811</t>
  </si>
  <si>
    <t>Pathology/Pathologist Assistant.</t>
  </si>
  <si>
    <t>(NEW)  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</si>
  <si>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51.0812</t>
  </si>
  <si>
    <t>Respiratory Therapy Technician/Assistant.</t>
  </si>
  <si>
    <t>(NEW)  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</si>
  <si>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51.0813</t>
  </si>
  <si>
    <t>Chiropractic Assistant/Technician.</t>
  </si>
  <si>
    <t>(NEW)  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</si>
  <si>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Allied Health and Medical Assisting Services, Other.</t>
  </si>
  <si>
    <t>Any instructional program in allied health and medical assisting services not listed above.</t>
  </si>
  <si>
    <t>Allied Health Diagnostic, Intervention, and Treatment Professions.</t>
  </si>
  <si>
    <t>Instructional content for this group of programs is defined in codes 51.0901 - 51.0999.</t>
  </si>
  <si>
    <t>Cardiovascular Technology/Technologist.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</si>
  <si>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</si>
  <si>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Electrocardiograph Technology/Technician.</t>
  </si>
  <si>
    <t>A program that prepares individuals, under the supervision of physicians and nurses, to administer EKG and ECG diagnostic examinations and report results to the treatment team.  Includes instruction in basic anatomy and physiology, the cardiovascular system, medical terminology, cardiovascular medications and effects, patient care, EKG and ECG administration, equipment operation and maintenance, interpretation of cardiac rhythm, patient record management, and professional standards and ethics.</t>
  </si>
  <si>
    <t>Electroneurodiagnostic/Electroencephalographic Technology/Technologist.</t>
  </si>
  <si>
    <t>A program that prepares individuals, under the supervision of a physician, to study and record electrical activity in the brain and nervous system for purposes of patient monitoring and supporting diagnoses.  Includes instruction in patient communication and care; taking and abstracting patient histories; application of recording electrodes; EEG, EP, and PSG equipment operation and procedural techniques; and data recording and documentation.</t>
  </si>
  <si>
    <t>Emergency Medical Technology/Technician (EMT Paramedic).</t>
  </si>
  <si>
    <t>A program  that prepares individuals, under the remote supervision of physicians, to recognize, assess, and manage medical emergencies in prehospital settings and to supervise Ambulance personnel.  Includes instruction in basic, intermediate, and advanced EMT procedures; emergency surgical procedures; medical triage; rescue operations; crisis scene management and personnel supervision; equipment operation and maintenance; patient stabilization, monitoring, and care; drug administration; identification and preliminary diagnosis of diseases and injuries; communication and computer operations; basic anatomy, physiology, pathology, and toxicology; and professional standards and regulations.</t>
  </si>
  <si>
    <t>Nuclear Medical Technology/Technologist.</t>
  </si>
  <si>
    <t>A program that prepares individuals, under the supervision of physicians, to employ radioactive and stable nuclides in diagnostic evaluations and therapeutic applications while monitoring for patient health and safety.  Includes instruction in nuclear physics, health physics, instrumentation and statistics, biochemistry, immunology, radiopharmacology, radiation biology, clinical nuclear medicine, radionuclide therapy, computer applications, safety regulations, equipment operation, quality control, laboratory procedures, taking patient histories, patient evaluation and monitoring, emergency first aid, administration and record-keeping, and personnel supervision.</t>
  </si>
  <si>
    <t>Perfusion Technology/Perfusionist.</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</si>
  <si>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</si>
  <si>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Medical Radiologic Technology/Science - Radiation Therapist.</t>
  </si>
  <si>
    <t>A program that prepares individuals to administer prescribed courses of radiation treatment, manage patients undergoing radiation therapy, and maintain pertinent records.  Includes instruction in applied anatomy and physiology, oncologic pathology, radiation biology, radiation oncology procedures and techniques, radiation dosimetry, tumor localization, treatment planning, patient communication and management, data collection, record-keeping, and applicable standards and regulations.</t>
  </si>
  <si>
    <t>Respiratory Care Therapy/Therapist.</t>
  </si>
  <si>
    <t>A program that prepares individuals, under the supervision of physicians, to assist in developing respiratory care plans, administer respiratory care procedures, supervise personnel and equipment operation, maintain records, and consult with other health care team members.  Includes instruction in the applied basic biomedical sciences; anatomy, physiology, and pathology of the respiratory system; clinical medicine; therapeutic procedures; clinical expressions; data collection and record-keeping; patient communication; equipment operation and maintenance; personnel supervision; and procedures for special population groups.</t>
  </si>
  <si>
    <t>Surgical Technology/Technologist.</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</si>
  <si>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</si>
  <si>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Marine Transportation, Other.</t>
  </si>
  <si>
    <t>Any instructional program in water transportation not listed above.</t>
  </si>
  <si>
    <t>49.99</t>
  </si>
  <si>
    <t>Transportation and Materials Moving, Other.</t>
  </si>
  <si>
    <t>Instructional content is defined in code 49.9999.</t>
  </si>
  <si>
    <t>Any instructional program in transportation and materials moving not listed above.</t>
  </si>
  <si>
    <t>50.</t>
  </si>
  <si>
    <t>Instructional programs that focus on the creation and interpretation of works and performances that use auditory, kinesthetic, and visual phenomena to express ideas and emotions in various forms, subject to aesthetic criteria.</t>
  </si>
  <si>
    <t>50.01</t>
  </si>
  <si>
    <t>Visual and Performing Arts, General.</t>
  </si>
  <si>
    <t>Instructional content is defined in code 50.0101.</t>
  </si>
  <si>
    <t>A general, undifferentiated program that focuses on the visual and performing arts and that may prepare individuals in any of the visual artistic media or performing disciplines.</t>
  </si>
  <si>
    <t>50.02</t>
  </si>
  <si>
    <t>Crafts/Craft Design, Folk Art and Artisanry.</t>
  </si>
  <si>
    <t>Instructional content is defined in code 50.0201.</t>
  </si>
  <si>
    <t>50.07</t>
  </si>
  <si>
    <t>A program that focuses on the aesthetics, techniques, and creative processes for designing and fashioning objects in one or more of the handcraft or folk art traditions, and that prepares individuals to create in any of these media.</t>
  </si>
  <si>
    <t>Metal and Jewelry Arts.</t>
  </si>
  <si>
    <t>50.03</t>
  </si>
  <si>
    <t>Instructional content for this group of programs is defined in codes 50.0301 - 50.0399.</t>
  </si>
  <si>
    <t>Dance, General.</t>
  </si>
  <si>
    <t>A general program that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</si>
  <si>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50.05</t>
  </si>
  <si>
    <t>Drama/Theatre Arts and Stagecraft.</t>
  </si>
  <si>
    <t>Dance Therapy/Therapist.</t>
  </si>
  <si>
    <t>50.0302</t>
  </si>
  <si>
    <t>Ballet.</t>
  </si>
  <si>
    <t>(NEW)  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</si>
  <si>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50.0399</t>
  </si>
  <si>
    <t>Dance, Other.</t>
  </si>
  <si>
    <t>(NEW)  Any instructional program in dance not listed above.</t>
  </si>
  <si>
    <t>Instructional content for this group of programs is defined in codes 50.0401 - 50.0499.</t>
  </si>
  <si>
    <t>Design and Visual Communications, General.</t>
  </si>
  <si>
    <t>A program in the applied visual arts that focuses on the general principles and techniques for effectively communicating ideas and information, and packaging products, in digital and other formats to business and consumer audiences, and that may prepare individuals in any of the applied art media.</t>
  </si>
  <si>
    <t>A program in the applied visual arts that prepares individuals to use artistic techniques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</si>
  <si>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Industrial Design.</t>
  </si>
  <si>
    <t>A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plastic and digital media, prototype construction, design development and refinement, principles of cost saving, and product structure and performance criteria relevant to aesthetic design parameters.</t>
  </si>
  <si>
    <t>A program in the applied visual arts that prepares individuals to use artistic techniques to effectively communicate ideas and information to business and consumer audiences, and recording events and people, via digital, film, still and video photography.  Includes instruction in specialized camera and equipment operation and maintenance, applications to commercial and industrial needs, and photography business operations.</t>
  </si>
  <si>
    <t>A program that prepares individuals to apply artistic principles and techniques to the professional design of commercial fashions, apparel, and accessories, and the management of fashion development projects.  Includes instruction in apparel design; accessory design; the design of men's', women's', and children's' wear; flat pattern design; computer-assisted design and manufacturing; concept planning; designing in specific materials; labor and cost analysis; history of fashion; fabric art and printing; and the principles of management and operations in the fashion industry.</t>
  </si>
  <si>
    <t>A program in the applied visual arts that prepares individuals to apply artistic principles and techniques to the professional planning, designing, equipping, and furnishing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</si>
  <si>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(NEW)  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communication skills and commercial art business operations.</t>
  </si>
  <si>
    <t>50.0410</t>
  </si>
  <si>
    <t>Illustration.</t>
  </si>
  <si>
    <t>(NEW)  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</si>
  <si>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Design and Applied Arts, Other.</t>
  </si>
  <si>
    <t>Any instructional program in design and applied arts not listed above.</t>
  </si>
  <si>
    <t>Instructional content for this group of programs is defined in codes 50.0501 - 50.0599.</t>
  </si>
  <si>
    <t>English Language and Literature/Letters.</t>
  </si>
  <si>
    <t>Drama and Dramatics/Theatre Arts, General.</t>
  </si>
  <si>
    <t>A program that focuses on the general study of dramatic works and their performance.  Includes instruction in major works of dramatic literature, dramatic styles and types, and the principles of organizing and producing full live or filmed productions.</t>
  </si>
  <si>
    <t>Technical Theatre/Theatre Design and Technology.</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</si>
  <si>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 above.</t>
  </si>
  <si>
    <t>Acting and Directing.</t>
  </si>
  <si>
    <t>(Deleted, Report under 50.0506 and 50.0507)</t>
  </si>
  <si>
    <t>Playwriting and Screenwriting.</t>
  </si>
  <si>
    <t>A program that focuses on the principles and techniques for communicating dramatic information, ideas, moods, and feelings through the composition of creative written works for the theatre and/or film.  Includes instruction in creative writing craft, scene writing, script development, stage and/or camera instructions, line and moment analysis, script reading, script editing, and the creation of full productions</t>
  </si>
  <si>
    <t>Theatre Literature, History and Criticism.</t>
  </si>
  <si>
    <t>A program that focuses on the study of the history, literature, theory, and analysis of written plays, theatrical productions, and theatre methods and organization.  Includes instruction in historical method; critical theory; literary analysis; the study of themes and archetypes in dramatic literature; the history of acting, directing, and technical theatre; and the study of specific historical and cultural styles and traditions.</t>
  </si>
  <si>
    <t>50.0506</t>
  </si>
  <si>
    <t>Acting.</t>
  </si>
  <si>
    <t>(NEW)  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</si>
  <si>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50.0507</t>
  </si>
  <si>
    <t>Directing and Theatrical Production.</t>
  </si>
  <si>
    <t>(NEW)  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</si>
  <si>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50.0508</t>
  </si>
  <si>
    <t>Theatre/Theatre Arts Management.</t>
  </si>
  <si>
    <t>(NEW)  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</si>
  <si>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Dramatic/Theatre Arts and Stagecraft, Other.</t>
  </si>
  <si>
    <t>Any instructional program in dramatic/theatre arts and stagecraft not listed above.</t>
  </si>
  <si>
    <t>Instructional content for this group of programs is defined in codes 50.0601 - 50.0699.</t>
  </si>
  <si>
    <t>Film/Cinema Studies.</t>
  </si>
  <si>
    <t>A program in the visual arts that focuses on the study of the history, development, theory, and criticism of the film/video arts, as well as the basic principles of film making and film production.</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</si>
  <si>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the , use of computer applications to record or enhance images, audio or effect and the planning and management of film/video operations.</t>
  </si>
  <si>
    <t>A program that focuses on the principles and techniques of communicating information, ideas, moods, and feelings through the creation of images on photographic film, plates,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</si>
  <si>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Film/Video and Photographic Arts, Other.</t>
  </si>
  <si>
    <t>Any instructional program in film/video and photographic arts not listed above.</t>
  </si>
  <si>
    <t>Fine and Studio Art.</t>
  </si>
  <si>
    <t>Instructional content for this group of programs is defined in codes 50.0701 - 50.0799.</t>
  </si>
  <si>
    <t>A general program that focuses on the introductory study and appreciation of the visual arts.  Includes instruction in art, photography, and other visual communications media.</t>
  </si>
  <si>
    <t>Art Therapy/Therapist.</t>
  </si>
  <si>
    <t>Fine/Studio Arts, General.</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</si>
  <si>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</si>
  <si>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A program that focuses on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</si>
  <si>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Arts Management.</t>
  </si>
  <si>
    <t>A program that prepares individuals to organize and manage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</si>
  <si>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Drawing.</t>
  </si>
  <si>
    <t>A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</si>
  <si>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Intermedia/Multimedia.</t>
  </si>
  <si>
    <t>A program that prepares individuals creatively and technically to express emotions, ideas, or inner visions in either two or three dimensions, through simultaneous use of a variety of materials and media.</t>
  </si>
  <si>
    <t>Painting.</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</si>
  <si>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</si>
  <si>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Sculpture.</t>
  </si>
  <si>
    <t>A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modeling; and personal style development.</t>
  </si>
  <si>
    <t>A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</si>
  <si>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Ceramic Arts and Ceramics.</t>
  </si>
  <si>
    <t>A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</si>
  <si>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Fiber, Textile and Weaving Arts.</t>
  </si>
  <si>
    <t>A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</si>
  <si>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</si>
  <si>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Fine Arts and Art Studies, Other.</t>
  </si>
  <si>
    <t>Any instructional program in fine arts and art studies not listed above.</t>
  </si>
  <si>
    <t>Instructional content for this group of programs is defined in codes 50.0901 - 50.0999.</t>
  </si>
  <si>
    <t>Music, General.</t>
  </si>
  <si>
    <t>A general program that focuses on the introductory study and appreciation of music and the performing arts.  Includes instruction in music, dance, and other performing arts media.</t>
  </si>
  <si>
    <t>Music Therapy/Therapist.</t>
  </si>
  <si>
    <t>Music History, Literature, and Theory.</t>
  </si>
  <si>
    <t>A program that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</si>
  <si>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Music Performance, General.</t>
  </si>
  <si>
    <t>A program that generally prepares individuals to master musical instruments and performing art as solo and/or ensemble performers.  Includes instruction on one or more specific instruments from various instrumental groupings.</t>
  </si>
  <si>
    <t>Music Theory and Composition.</t>
  </si>
  <si>
    <t>A program that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</si>
  <si>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Musicology and Ethnomusicology.</t>
  </si>
  <si>
    <t>A program that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</si>
  <si>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Conducting.</t>
  </si>
  <si>
    <t>A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</si>
  <si>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Piano and Organ.</t>
  </si>
  <si>
    <t>A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</si>
  <si>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Voice and Opera.</t>
  </si>
  <si>
    <t>A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</si>
  <si>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Music Management and Merchandising.</t>
  </si>
  <si>
    <t>A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</si>
  <si>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50.0910</t>
  </si>
  <si>
    <t>Jazz/Jazz Studies.</t>
  </si>
  <si>
    <t>(NEW)  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</si>
  <si>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50.0911</t>
  </si>
  <si>
    <t>Violin, Viola, Guitar and Other Stringed Instruments.</t>
  </si>
  <si>
    <t>(NEW)  A program that prepares individual to master a stringed instrument and performing arts as solo, ensemble and/or accompanist performers.  Includes instruction in playing and personal style development.</t>
  </si>
  <si>
    <t>50.0912</t>
  </si>
  <si>
    <t>Music Pedagogy.</t>
  </si>
  <si>
    <t>(NEW)   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</si>
  <si>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Other.</t>
  </si>
  <si>
    <t>Any instructional program in music not listed above.</t>
  </si>
  <si>
    <t>50.99</t>
  </si>
  <si>
    <t>Visual and Performing Arts, Other.</t>
  </si>
  <si>
    <t>Instructional content is defined in code 50.9999.</t>
  </si>
  <si>
    <t>Any instructional program in visual and performing arts not listed above.</t>
  </si>
  <si>
    <t>Instructional programs that prepare individuals to practice as licensed professionals and assistants in the health care professions and focus on the study of related clinical sciences.</t>
  </si>
  <si>
    <t>51.00</t>
  </si>
  <si>
    <t>Health Services/Allied Health/Health Sciences, General.</t>
  </si>
  <si>
    <t>(NEW)  Instructional content is defined in code 51.0000.</t>
  </si>
  <si>
    <t>(NEW)  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</si>
  <si>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51.01</t>
  </si>
  <si>
    <t>Chiropractic (DC).</t>
  </si>
  <si>
    <t>Instructional content defined in code 51.0101</t>
  </si>
  <si>
    <t>A program that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counseling, professional standards and ethics, and practice management.</t>
  </si>
  <si>
    <t>51.02</t>
  </si>
  <si>
    <t>Communication Disorders Sciences and Services.</t>
  </si>
  <si>
    <t>Instructional content for this group of programs is defined in codes 51.0201- 51.0299.</t>
  </si>
  <si>
    <t>Communication Disorders, General.</t>
  </si>
  <si>
    <t>A program that focuses on the general study of the application of biomedical, psychological, and physical principles to the study of the genesis,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</si>
  <si>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Audiology/Audiologist and Hearing Sciences.</t>
  </si>
  <si>
    <t>A program that focuses on the scientific study of hearing processes and hearing loss, and that prepares individuals to diagnose hearing loss and impairments and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</si>
  <si>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</si>
  <si>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Audiology/Audiologist and Speech-Language Pathology/Pathologist.</t>
  </si>
  <si>
    <t>An integrated or coordinated program that prepares individuals as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</si>
  <si>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(Moved, Report under 16.1603)</t>
  </si>
  <si>
    <t>Communication Disorders Sciences and Services, Other.</t>
  </si>
  <si>
    <t>Any  instructional program in communications disorders sciences and services not listed above.</t>
  </si>
  <si>
    <t>51.03</t>
  </si>
  <si>
    <t>Community Health Services.</t>
  </si>
  <si>
    <t>[Deleted]</t>
  </si>
  <si>
    <t>Community Health Liaison.</t>
  </si>
  <si>
    <t>(Moved, Report under 51.1504)</t>
  </si>
  <si>
    <t>51.04</t>
  </si>
  <si>
    <t>Dentistry (DDS, DMD).</t>
  </si>
  <si>
    <t>Instructional content is defined in code 51.0401.</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</si>
  <si>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</si>
  <si>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51.05</t>
  </si>
  <si>
    <t>Advanced/Graduate Dentistry and Oral Sciences (Cert.</t>
  </si>
  <si>
    <t>, MS, PhD).  Instructional content for this group of programs is defined in codes 51.0501- 51.0599. Note (  Only graduate programs awarding academic credit and degrees or certificates should be reported in this series.  Dental residencies should be reported under Series 60.01 in chapter II.</t>
  </si>
  <si>
    <t>Dental Clinical Sciences, General (MS, PhD).</t>
  </si>
  <si>
    <t>An integrated or undifferentiated program that generally prepares dentists in one or more of the oral sciences and advanced/graduate dentistry specialties.</t>
  </si>
  <si>
    <t>51.0502</t>
  </si>
  <si>
    <t>Advanced General Dentistry (Cert.</t>
  </si>
  <si>
    <t>, MS, PhD).  (NEW)  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</si>
  <si>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51.0503</t>
  </si>
  <si>
    <t>Oral Biology and Oral Pathology (MS, PhD).</t>
  </si>
  <si>
    <t>(NEW)   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</si>
  <si>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t>
  </si>
  <si>
    <t>Building/Construction Finishing, Management, and Inspection, Other.</t>
  </si>
  <si>
    <t>Any instructional program in building/construction finishing, management, and inspection not listed above.</t>
  </si>
  <si>
    <t>46.05</t>
  </si>
  <si>
    <t>Plumbing and Related Water Supply Services.</t>
  </si>
  <si>
    <t>Instructional content for this group of programs is defined in codes 46.0502 - 46.0599.</t>
  </si>
  <si>
    <t>Plumber and Pipefitter.</t>
  </si>
  <si>
    <t>(Deleted, Report under code 46.0502 or 46.0503)</t>
  </si>
  <si>
    <t>46.0502</t>
  </si>
  <si>
    <t>Pipefitting/Pipefitter and Sprinkler Fitter.</t>
  </si>
  <si>
    <t>(NEW)  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</si>
  <si>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46.0503</t>
  </si>
  <si>
    <t>Plumbing Technology/Plumber.</t>
  </si>
  <si>
    <t>(NEW)  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</si>
  <si>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46.0504</t>
  </si>
  <si>
    <t>Well Drilling/Driller.</t>
  </si>
  <si>
    <t>(NEW)  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</si>
  <si>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46.0505</t>
  </si>
  <si>
    <t>Blasting/Blaster.</t>
  </si>
  <si>
    <t>(NEW)  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 foundations and demolition of explosives.</t>
  </si>
  <si>
    <t>46.0599</t>
  </si>
  <si>
    <t>Plumbing and Related Water Supply Services, Other.</t>
  </si>
  <si>
    <t>(NEW)  Any instructional program in plumbing and related water supply services not listed above.</t>
  </si>
  <si>
    <t>46.99</t>
  </si>
  <si>
    <t>Construction Trades, Other.</t>
  </si>
  <si>
    <t>Instructional content is defined in code 46.9999.</t>
  </si>
  <si>
    <t>Any instructional program in construction trades not listed above.</t>
  </si>
  <si>
    <t>MECHANIC AND REPAIR TECHNOLOGIES/TECHNICIANS.</t>
  </si>
  <si>
    <t>Instructional programs that prepare individuals to apply technical knowledge and skills in the adjustment, maintenance, part replacement, and repair of tools, equipment, and machines.</t>
  </si>
  <si>
    <t>47.00</t>
  </si>
  <si>
    <t>Mechanics and Repairers, General.</t>
  </si>
  <si>
    <t>(NEW)  Instructional content is defined in code 47.0000.</t>
  </si>
  <si>
    <t>(NEW) A program that generally prepares individuals to apply technical knowledge and skills in the adjustment, maintenance, part replacement, and repair of tools, equipment, and machines.</t>
  </si>
  <si>
    <t>47.01</t>
  </si>
  <si>
    <t>Electrical/Electronics Maintenance and Repair Technology.</t>
  </si>
  <si>
    <t>Instructional content for this group of programs is defined in codes 47.0101 - 47.0199.</t>
  </si>
  <si>
    <t>Electrical/Electronics Equipment Installation and Repair, General.</t>
  </si>
  <si>
    <t>A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</si>
  <si>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Business Machine Repair.</t>
  </si>
  <si>
    <t>A program that prepares individuals to apply technical knowledge and skills to maintain and repair a variety of office machines, such as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</si>
  <si>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Communications Systems Installation and Repair Technology.</t>
  </si>
  <si>
    <t>A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</si>
  <si>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A program that prepares individuals to apply technical knowledge and skills to assemble, install, operate, maintain, and repair computers and related instruments.  Includes instruction in power supplies, number systems, memory structure, buffers and registers, microprocessor design, peripheral equipment, programming, and networking.</t>
  </si>
  <si>
    <t>Industrial Electronics Technology/Technician.</t>
  </si>
  <si>
    <t>A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</si>
  <si>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Appliance Installation and Repair Technology/Technician.</t>
  </si>
  <si>
    <t>A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</si>
  <si>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47.0110</t>
  </si>
  <si>
    <t>Security System Installation, Repair, and Inspection Technology/Technician.</t>
  </si>
  <si>
    <t>(NEW)   A program that prepares individuals to apply technical knowledge and skills to install and repair household, business, and industrial security alarms, sensors, video and sound recording devices, identification systems, protective barriers, and related technologies.</t>
  </si>
  <si>
    <t>Electrical/Electronics Maintenance and Repair Technology, Other.</t>
  </si>
  <si>
    <t>Any instructional program in electrical and electronics equipment installation and repair not listed above.</t>
  </si>
  <si>
    <t>47.02</t>
  </si>
  <si>
    <t>Heating, Air Conditioning, Ventilation and Refrigeration Maintenance Technology/Technician (HAC, HACR, HVAC, HVACR).</t>
  </si>
  <si>
    <t>Instructional content is defined in code 47.0201.</t>
  </si>
  <si>
    <t>A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</si>
  <si>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47.03</t>
  </si>
  <si>
    <t>Heavy/Industrial Equipment Maintenance Technologies.</t>
  </si>
  <si>
    <t>Instructional content for this group of programs is defined in codes 47.0302 - 47.0399.</t>
  </si>
  <si>
    <t>Heavy Equipment Maintenance Technology/Technician.</t>
  </si>
  <si>
    <t>A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</si>
  <si>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Industrial Mechanics and Maintenance Technology.</t>
  </si>
  <si>
    <t>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t>
  </si>
  <si>
    <t>Heavy/Industrial Equipment Maintenance Technologies, Other.</t>
  </si>
  <si>
    <t>Any instructional program in industrial equipment maintenance and repair not listed above.</t>
  </si>
  <si>
    <t>47.04</t>
  </si>
  <si>
    <t>Precision Systems Maintenance and Repair Technologies.</t>
  </si>
  <si>
    <t>Instructional content for this group of programs is defined in codes 47.0402 - 47.0499.</t>
  </si>
  <si>
    <t>Instrumentation Calibration and Repair.</t>
  </si>
  <si>
    <t>(Deleted, Report under 15.0404)</t>
  </si>
  <si>
    <t>Gunsmithing/Gunsmith.</t>
  </si>
  <si>
    <t>A program that prepares individuals to apply technical knowledge and skills to make, repair, maintain, and modify firearms according to blueprints or customer specifications, using specialized hand tools and machines.</t>
  </si>
  <si>
    <t>Locksmithing and Safe Repair.</t>
  </si>
  <si>
    <t>A program that prepares individuals to apply technical knowledge and skills to make, repair, maintain, modify, and open locks; to make keys; to enter and change lock and safe combinations; and install and repair safes.</t>
  </si>
  <si>
    <t>Musical Instrument Fabrication and Repair.</t>
  </si>
  <si>
    <t>A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</si>
  <si>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Watchmaking and Jewelrymaking.</t>
  </si>
  <si>
    <t>A program that prepares individuals to apply technical knowledge and skills to make repairs,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</si>
  <si>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47.0409</t>
  </si>
  <si>
    <t>Parts and Warehousing Operations and Maintenance Technology/Technician.</t>
  </si>
  <si>
    <t>(NEW) A program that prepares individuals to apply technical knowledge and skills to maintain inventory control, care for inventory, and make minor repairs to warehouse equipment.</t>
  </si>
  <si>
    <t>Precision Systems Maintenance and Repair Technologies, Other.</t>
  </si>
  <si>
    <t>Any instructional program in miscellaneous mechanics and repairers not listed above.</t>
  </si>
  <si>
    <t>47.05</t>
  </si>
  <si>
    <t>Stationary Energy Sources Installers and Operators.</t>
  </si>
  <si>
    <t>Stationary Energy Sources Installer and Operator.</t>
  </si>
  <si>
    <t>(Deleted, Report under 47.9999)</t>
  </si>
  <si>
    <t>Instructional content for this group of programs is defined in codes 47.0603 - 47.0699.</t>
  </si>
  <si>
    <t>Autobody/Collision and Repair Technology/Technician.</t>
  </si>
  <si>
    <t>A program that prepares individuals to apply technical knowledge and skills to repair, reconstruct and finish automobile bodies, fenders, and external features.  Includes instruction in structure analysis, damage repair, non-structural analysis, mechanical and electrical components, plastics and adhesives, painting and refinishing techniques, and damage analysis and estimating.</t>
  </si>
  <si>
    <t>A program that prepares individuals to apply technical knowledge and skills to repair, service, and maintain all types of automobiles.  Includes instruction in brake systems, electrical systems, engine performance, engine repair, suspension and steering, automatic and manual transmissions and drive trains, and heating and air condition systems.</t>
  </si>
  <si>
    <t>Diesel Mechanics Technology/Technician.</t>
  </si>
  <si>
    <t>A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</si>
  <si>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Small Engine Mechanics and Repair Technology/Technician.</t>
  </si>
  <si>
    <t>A program that prepares individuals to apply technical knowledge and skills to repair, service, and maintain small internal-combustion engines used on portable power equipment such as lawnmowers, chain saws, rotary tillers, and snowmobiles.</t>
  </si>
  <si>
    <t>Airframe Mechanics and Aircraft Maintenance Technology/Technician.</t>
  </si>
  <si>
    <t>A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</si>
  <si>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Aircraft Powerplant Technology/Technician.</t>
  </si>
  <si>
    <t>A program that prepares individuals to apply technical knowledge and skills to repair, service, and maintain all types of aircraft powerplant and related systems.  Instruction includes engine inspection and maintenance, lubrication and cooling, electrical and ignition systems, carburetion, fuels and fuel systems, propeller and fan assemblies.</t>
  </si>
  <si>
    <t>A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</si>
  <si>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Bicycle Mechanics and Repair Technology/Technician.</t>
  </si>
  <si>
    <t>A program that prepares individuals to apply technical knowledge and skills to repair, service, and maintain bicycles and other human-powered vehicles.  Includes instruction in lubrication, adjustments of moving parts, and wheel building.</t>
  </si>
  <si>
    <t>Motorcycle Maintenance and Repair Technology/Technician.</t>
  </si>
  <si>
    <t>A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</si>
  <si>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47.0612</t>
  </si>
  <si>
    <t>Vehicle Emissions Inspection and Maintenance Technology/Technician.</t>
  </si>
  <si>
    <t>(NEW)  A program that prepares individuals to apply technical knowledge and skills to test, repair, service, and maintain vehicle emission systems in accordance with relevant laws and regulations.</t>
  </si>
  <si>
    <t>47.0613</t>
  </si>
  <si>
    <t>Medium/Heavy Vehicle and Truck Technology/Technician.</t>
  </si>
  <si>
    <t>(NEW) 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</si>
  <si>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47.0614</t>
  </si>
  <si>
    <t>Alternative Fuel Vehicle Technology/Technician.</t>
  </si>
  <si>
    <t>(NEW)   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</si>
  <si>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47.0615</t>
  </si>
  <si>
    <t>Engine Machinist.</t>
  </si>
  <si>
    <t>(NEW)   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</si>
  <si>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47.0616</t>
  </si>
  <si>
    <t>Marine Maintenance/Fitter and Ship Repair Technology/Technician.</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</si>
  <si>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  (Moved from 49.0306)</t>
  </si>
  <si>
    <t>Vehicle Maintenance and Repair Technologies, Other.</t>
  </si>
  <si>
    <t>Any instructional program in vehicle and mobile equipment mechanics and repairers not listed above.</t>
  </si>
  <si>
    <t>47.99</t>
  </si>
  <si>
    <t>Mechanic and Repair Technologies/Technicians, Other.</t>
  </si>
  <si>
    <t>Instructional content is defined in code 47.9999.</t>
  </si>
  <si>
    <t>Any instructional program in mechanics and repairs not listed above.</t>
  </si>
  <si>
    <t>Instructional programs that prepare individuals to apply technical knowledge and skills to create products using techniques of precision craftsmanship or technical illustration.</t>
  </si>
  <si>
    <t>48.00</t>
  </si>
  <si>
    <t>Precision Production Trades, General.</t>
  </si>
  <si>
    <t>(NEW)   Instructional content is defined in code 48.0000.</t>
  </si>
  <si>
    <t>(NEW) A program that generally prepares individuals to apply technical knowledge and skills in creating products using precision crafting and technical illustration.</t>
  </si>
  <si>
    <t>48.01</t>
  </si>
  <si>
    <t>Drafting.</t>
  </si>
  <si>
    <t>Drafting, General.</t>
  </si>
  <si>
    <t>(Moved, Report under 15.1301)</t>
  </si>
  <si>
    <t>(Moved, Report under 15.1303)</t>
  </si>
  <si>
    <t>Civil/Structural Drafting.</t>
  </si>
  <si>
    <t>(Moved, Report under 15.1304)</t>
  </si>
  <si>
    <t>Electrical/Electronics Drafting.</t>
  </si>
  <si>
    <t>(Moved, Report under 15.1305)</t>
  </si>
  <si>
    <t>Mechanical Drafting.</t>
  </si>
  <si>
    <t>(Moved, Report under 15.1306)</t>
  </si>
  <si>
    <t>Drafting, Other.</t>
  </si>
  <si>
    <t>(Moved, Report under 15.1399)</t>
  </si>
  <si>
    <t>48.02</t>
  </si>
  <si>
    <t>Graphic and Printing Equipment Operators.</t>
  </si>
  <si>
    <t>Graphic and Printing Equipment Operator, General.</t>
  </si>
  <si>
    <t>(Moved, Report  under 10.0305)</t>
  </si>
  <si>
    <t>Mechanical Typesetter and Composer.</t>
  </si>
  <si>
    <t>(Deleted, Report under 10.0399).</t>
  </si>
  <si>
    <t>Lithographer and Platemaker.</t>
  </si>
  <si>
    <t>(Moved, Report under 10.0306)</t>
  </si>
  <si>
    <t>(Moved, Report under 10.0307)</t>
  </si>
  <si>
    <t>(Moved, Report under 10.0308)</t>
  </si>
  <si>
    <t>Desktop Publishing Equipment Operator.</t>
  </si>
  <si>
    <t>(Moved, Report under 10.0303)</t>
  </si>
  <si>
    <t>Graphic and Printing Equipment Operators, Other.</t>
  </si>
  <si>
    <t>(Deleted, Report under 10.0399)</t>
  </si>
  <si>
    <t>48.03</t>
  </si>
  <si>
    <t>Leatherworking and Upholstery.</t>
  </si>
  <si>
    <t>Instructional content for this group of programs is defined in codes 48.0303 - 48.0399.</t>
  </si>
  <si>
    <t>Upholstery/Upholsterer.</t>
  </si>
  <si>
    <t>A program that prepares individuals to apply technical knowledge and skills to install springs, filling, padding, covering and finishing on items such as furniture, automobile seats, caskets, mattresses, and bedsprings.</t>
  </si>
  <si>
    <t>Shoe, Boot and Leather Repair.</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</si>
  <si>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</si>
  <si>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Leatherworking and Upholstery, Other.</t>
  </si>
  <si>
    <t>Any instructional program in leatherworking and upholstering not listed above.</t>
  </si>
  <si>
    <t>48.05</t>
  </si>
  <si>
    <t>Precision Metal Working.</t>
  </si>
  <si>
    <t>Instructional content for this group of programs is defined in codes 48.0501 - 48.0599.</t>
  </si>
  <si>
    <t>Machine Tool Technology/Machinist.</t>
  </si>
  <si>
    <t>A program that prepares individuals to apply technical knowledge and skills to plan, manufacture, assemble, test, and repair parts, mechanisms, machines, and structures in which materials are cast, formed, shaped, molded, heat treated, cut, twisted, pressed, fused, stamped or worked.</t>
  </si>
  <si>
    <t>Machine Shop Technology/Assistant.</t>
  </si>
  <si>
    <t>A program that prepares individuals to apply technical knowledge and skills to fabricate and modify metal parts in support of other manufacturing, repair or design activities, or as an independent business.</t>
  </si>
  <si>
    <t>Sheet Metal Technology/Sheetworking.</t>
  </si>
  <si>
    <t>A program that prepares individuals to apply technical knowledge and skills to form, shape, bend and fold extruded metals, including the creation of new products, using hand tools and machines such as cornice brakes, forming rolls, and squaring shears.</t>
  </si>
  <si>
    <t>Tool and Die Technology/Technician.</t>
  </si>
  <si>
    <t>A program that prepares individuals to apply technical knowledge and skills to operate machine tools used in the forming of metal components, as well as the fabrication of special tools, dies, jigs and fixtures used in cutting, working and finishing metal components.</t>
  </si>
  <si>
    <t>Welding Technology/Welder.</t>
  </si>
  <si>
    <t>A program that prepares individuals to apply technical knowledge and skills to join or cut metal surfaces.  Includes instruction in arc welding, resistance welding, brazing and soldering, cutting, high-energy beam welding and cutting, solid state welding, ferrous and non-ferrous materials, oxidation-reduction reactions, welding metallurgy, welding processes and heat treating, structural design, safety, and applicable codes and standards.</t>
  </si>
  <si>
    <t>48.0509</t>
  </si>
  <si>
    <t>Ironworking/Ironworker.</t>
  </si>
  <si>
    <t>(NEW)  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</si>
  <si>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Precision Metal Working, Other.</t>
  </si>
  <si>
    <t>Any instructional program in precision metal work not listed above.</t>
  </si>
  <si>
    <t>48.07</t>
  </si>
  <si>
    <t>Woodworking.</t>
  </si>
  <si>
    <t>Instructional content for this group of programs is defined in codes 48.0701- 48.0799.</t>
  </si>
  <si>
    <t>Woodworking, General.</t>
  </si>
  <si>
    <t>A program that generally prepares individuals to apply technical knowledge and skills to lay out and shape stock; assemble wooden articles or subassemblies; mark, bind, saw, carve, and sand wooden products; repair wooden articles, and use a variety of hand and power tools.</t>
  </si>
  <si>
    <t>Furniture Design and Manufacturing.</t>
  </si>
  <si>
    <t>A program that prepares individuals to apply technical knowledge and skills to prepare and execute furniture design projects; assemble and finish furniture articles or subassemblies; repair furniture; and use a variety of hand and power tools.</t>
  </si>
  <si>
    <t>Cabinetmaking and Millwork/Millwright.</t>
  </si>
  <si>
    <t>A program that prepares individuals to apply technical knowledge and skills to set up, operate and repair industrial woodworking machinery, and to use such machinery to design and fabricate wooden components and complete articles.</t>
  </si>
  <si>
    <t>Woodworking, Other.</t>
  </si>
  <si>
    <t>Any instructional program in woodworking not listed above.</t>
  </si>
  <si>
    <t>48.08</t>
  </si>
  <si>
    <t>Boilermaking/Boilermaker.</t>
  </si>
  <si>
    <t>(NEW)   Instructional content is defined in code 48.0801.</t>
  </si>
  <si>
    <t>48.0801</t>
  </si>
  <si>
    <t>(NEW)  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</si>
  <si>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48.99</t>
  </si>
  <si>
    <t>Precision Production, Other.</t>
  </si>
  <si>
    <t>Instructional content is defined in code 48.9999.</t>
  </si>
  <si>
    <t>Any instructional program in precision production not listed above.</t>
  </si>
  <si>
    <t>Instructional programs that prepare individuals to apply technical knowledge and skills to perform tasks and services that facilitate the movement of people or materials.</t>
  </si>
  <si>
    <t>49.01</t>
  </si>
  <si>
    <t>Air Transportation.</t>
  </si>
  <si>
    <t>Instructional content for this group of programs is defined in codes 49.0101 - 49.0199.</t>
  </si>
  <si>
    <t>Aeronautics/Aviation/Aerospace Science and Technology, General.</t>
  </si>
  <si>
    <t>A program that focuses on the general study of aviation and the aviation industry, including in-flight and ground support operations.  Includes instruction in the technical, business, and general aspects of air transportation systems.</t>
  </si>
  <si>
    <t>Airline/Commercial/Professional Pilot and Flight Crew.</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</si>
  <si>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</si>
  <si>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Aviation/Airway Management and Operations.</t>
  </si>
  <si>
    <t>A program that prepares individuals to apply technical knowledge and skills to the management of aviation industry operations and services.  Includes instruction in airport operations, ground traffic direction, ground support and flightline operations, passenger and cargo operations, flight safety and security operations, aviation industry regulation, and related business aspects of managing aviation enterprises.</t>
  </si>
  <si>
    <t>Air Traffic Controller.</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</si>
  <si>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</si>
  <si>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Airline Flight Attendant.</t>
  </si>
  <si>
    <t>A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in-flight emergencies.</t>
  </si>
  <si>
    <t>Aircraft Pilot (Private).</t>
  </si>
  <si>
    <t>(Moved, Report under code 36.0119 in chapter V.)</t>
  </si>
  <si>
    <t>49.0108</t>
  </si>
  <si>
    <t>Flight Instructor.</t>
  </si>
  <si>
    <t>(NEW)  A program that prepares individuals to apply technical knowledge and skills to the training pilot or navigators to fly and/or navigate commercial passenger and cargo, agricultural, public service, corporate and rescue aircraft, fixed or rotary wing.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</si>
  <si>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Air Transportation, Other.</t>
  </si>
  <si>
    <t>Any instructional program in aviation and air transportation services not listed above.</t>
  </si>
  <si>
    <t>49.02</t>
  </si>
  <si>
    <t>Ground Transportation.</t>
  </si>
  <si>
    <t>Instructional content for this group of programs is defined in codes 49.0202 - 49.0299.</t>
  </si>
  <si>
    <t>Construction/Heavy Equipment/Earthmoving Equipment Operation.</t>
  </si>
  <si>
    <t>A program that prepares individuals to apply technical knowledge and skills to operate and maintain a variety of heavy equipment, such as a crawler tractors, motor graders and scrapers, shovels, rigging devices, hoists, and jacks.  Includes instruction in digging, ditching, sloping, stripping, grading, and backfiling, clearing and excavating.</t>
  </si>
  <si>
    <t>Truck and Bus Driver/Commercial Vehicle Operation.</t>
  </si>
  <si>
    <t>A program that prepares individuals to apply technical knowledge and skills to drive trucks and buses, delivery vehicles, for-hire vehicles and other commercial vehicles.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</si>
  <si>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49.0206</t>
  </si>
  <si>
    <t>Mobil Crane Operation/Operator.</t>
  </si>
  <si>
    <t>(NEW)  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</si>
  <si>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Ground Transportation, Other.</t>
  </si>
  <si>
    <t>Any instructional program in vehicle and equipment operation not listed above.</t>
  </si>
  <si>
    <t>49.03</t>
  </si>
  <si>
    <t>Marine Transportation.</t>
  </si>
  <si>
    <t>Instructional content for this group of programs is defined in codes 49.0303 - 49.0399.</t>
  </si>
  <si>
    <t>A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</si>
  <si>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Diver, Professional and Instructor.</t>
  </si>
  <si>
    <t>A program that prepares individuals to apply technical knowledge and skills to function as professional deep-water or scuba divers, diving instructors, or diving support personnel.  Includes instruction in the use of diving equipment and related specialized gear; diving safety procedures; operation and maintenance of underwater life-support systems; underwater communication systems; decompression systems; underwater salvage; exploration, rescue, and photography; and installation and fitting of underwater mechanical systems and their maintenance, repair or demolition.</t>
  </si>
  <si>
    <t>Marine Maintenance and Ship Repairer.</t>
  </si>
  <si>
    <t>(Moved, Report under 47.0616)</t>
  </si>
  <si>
    <t>Marine Science/Merchant Marine Officer.</t>
  </si>
  <si>
    <t>Instructional programs that focus on the principles and procedures for providing police, fire, and other safety services and managing penal institutions.</t>
  </si>
  <si>
    <t>43.01</t>
  </si>
  <si>
    <t>Criminal Justice and Corrections.</t>
  </si>
  <si>
    <t>Instructional content for this group of programs is defined in codes 43.0102 - 43.0199.</t>
  </si>
  <si>
    <t>45.04</t>
  </si>
  <si>
    <t>Criminology.</t>
  </si>
  <si>
    <t>Corrections.</t>
  </si>
  <si>
    <t>A program that prepares individuals to study the theories and principles, of correctional science and to function as professional corrections officers and other workers in public and/or private incarceration facilities.</t>
  </si>
  <si>
    <t>Criminal Justice/Law Enforcement Administration.</t>
  </si>
  <si>
    <t>A program that prepares individuals to apply theories and practices of criminal justice to structuring, managing, directing and controlling criminal justice agencies, including police departments, sheriff's departments, law enforcement divisions and units, and private protective services.</t>
  </si>
  <si>
    <t>Criminal Justice/Safety Studies.</t>
  </si>
  <si>
    <t>A program that focuses on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</si>
  <si>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Forensic Science and Technology.</t>
  </si>
  <si>
    <t>A program that focuses on the application of the physical, biomedical, and social sciences to the analysis and evaluation of physical evidence, human testimony and criminal suspects.  Includes instruction in forensic medicine, forensic dentistry, anthropology, psychology, pathology, forensic laboratory technology, crime scene analysis, fingerprint technology, document analysis, pattern analysis, examination procedures, applicable law and regulations, and professional standards and ethics.</t>
  </si>
  <si>
    <t>Criminal Justice/Police Science.</t>
  </si>
  <si>
    <t>A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</si>
  <si>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Security and Loss Prevention Services.</t>
  </si>
  <si>
    <t>A program that prepares individuals to perform routine inspection, patrol and crime prevention services for private clients.  Includes instruction in the provision of personal protection as well as property security.</t>
  </si>
  <si>
    <t>43.0110</t>
  </si>
  <si>
    <t>Juvenile Corrections.</t>
  </si>
  <si>
    <t>(NEW) 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</si>
  <si>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43.0111</t>
  </si>
  <si>
    <t>Criminalistics and Criminal Science.</t>
  </si>
  <si>
    <t>(NEW)  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</si>
  <si>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43.0112</t>
  </si>
  <si>
    <t>Securities Services Administration/Management.</t>
  </si>
  <si>
    <t>(NEW)  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</si>
  <si>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43.0113</t>
  </si>
  <si>
    <t>Corrections Administration.</t>
  </si>
  <si>
    <t>(NEW)  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</si>
  <si>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Corrections and Criminal Justice, Other.</t>
  </si>
  <si>
    <t>Any instructional program in corrections and criminal justice not listed above.</t>
  </si>
  <si>
    <t>43.02</t>
  </si>
  <si>
    <t>Fire Protection.</t>
  </si>
  <si>
    <t>Instructional content for this group of programs is defined in codes 43.0201 - 43.0299.</t>
  </si>
  <si>
    <t>Fire Protection and Safety Technology/Technician.</t>
  </si>
  <si>
    <t>A program that prepares individuals to apply a knowledge of fire prevention and control skills to problems of reducing fire risk, loss limitation, supervising substance removal, conducting fire investigations, and advising on matters of safety procedures and fire prevention policy.</t>
  </si>
  <si>
    <t>Fire Services Administration.</t>
  </si>
  <si>
    <t>A program that prepares individuals to structure, manage, direct and control fire departments, fire prevention services, fire inspection and investigation offices and ancillary rescue services.</t>
  </si>
  <si>
    <t>Fire Science/Fire-fighting.</t>
  </si>
  <si>
    <t>A program that prepares individuals to perform the duties of fire fighters.  Includes instruction in fire-fighting equipment operation and maintenance, principles of fire science and combustible substances, methods of controlling different types of fires, hazardous material handling and control, fire rescue procedures, public relations and applicable laws and regulations.</t>
  </si>
  <si>
    <t>Fire Protection, Other.</t>
  </si>
  <si>
    <t>Any instructional program in fire protection not listed above.</t>
  </si>
  <si>
    <t>43.99</t>
  </si>
  <si>
    <t>Security and Protective Services, Other.</t>
  </si>
  <si>
    <t>Instructional content is defined in code 43.9999.</t>
  </si>
  <si>
    <t>Any instructional program in protective services not listed above.</t>
  </si>
  <si>
    <t>44.</t>
  </si>
  <si>
    <t>PUBLIC ADMINISTRATION AND SOCIAL SERVICE PROFESSIONS.</t>
  </si>
  <si>
    <t>Instructional programs that prepare individuals to analyze, manage, and deliver public programs and services.</t>
  </si>
  <si>
    <t>44.00</t>
  </si>
  <si>
    <t>Human Services, General.</t>
  </si>
  <si>
    <t>(NEW)  Instructional content is defined in code 44.0000.</t>
  </si>
  <si>
    <t>(NEW) 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</si>
  <si>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44.02</t>
  </si>
  <si>
    <t>Instructional content is defined in code 44.0201.</t>
  </si>
  <si>
    <t>A program that focuses on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</si>
  <si>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52.15</t>
  </si>
  <si>
    <t>44.04</t>
  </si>
  <si>
    <t>Public Administration.</t>
  </si>
  <si>
    <t>Instructional content is defined in code 44.0401.</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</si>
  <si>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</si>
  <si>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44.05</t>
  </si>
  <si>
    <t>Instructional content is defined in code 44.0501.</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</si>
  <si>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</si>
  <si>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Instructional content for this group of programs is defined in codes 44.0701 - 44.0799.</t>
  </si>
  <si>
    <t>A program that prepares individuals for the professional practice of social welfare administration and counseling, and that focus on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</si>
  <si>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Youth Services/Administration.</t>
  </si>
  <si>
    <t>(NEW)  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</si>
  <si>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Social Work, Other.</t>
  </si>
  <si>
    <t>(NEW)  Any program providing instruction in social  work and related services not listed above.</t>
  </si>
  <si>
    <t>44.99</t>
  </si>
  <si>
    <t>Public Administration and Social Service Professions, Other.</t>
  </si>
  <si>
    <t>Instructional content is defined in code 44.9999.</t>
  </si>
  <si>
    <t>Any instructional program in public administration and services not listed above.</t>
  </si>
  <si>
    <t>Instructional programs that focus on the systematic study of social systems, social institutions, and social behavior. Note ( History programs have been moved from this Series and placed in a newly-established Series (Series 54.).</t>
  </si>
  <si>
    <t>45.01</t>
  </si>
  <si>
    <t>Instructional content is defined in code 45.0101.</t>
  </si>
  <si>
    <t>A program that focuses on the general study of human social behavior and social institutions using any of the methodologies common to the social sciences and/or history, or an undifferentiated program of study in the social sciences.</t>
  </si>
  <si>
    <t>45.02</t>
  </si>
  <si>
    <t>Instructional content for this group of programs is defined in codes 45.0201- 45.0299.</t>
  </si>
  <si>
    <t>A program that focuses on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</si>
  <si>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45.0202</t>
  </si>
  <si>
    <t>Physical Anthropology.</t>
  </si>
  <si>
    <t>(NEW)  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</si>
  <si>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45.0299</t>
  </si>
  <si>
    <t>Anthropology, Other.</t>
  </si>
  <si>
    <t>(NEW)  Any instructional program in Anthropology not listed above.</t>
  </si>
  <si>
    <t>45.03</t>
  </si>
  <si>
    <t>Archeology.</t>
  </si>
  <si>
    <t>Instructional content is defined in code 45.0301.</t>
  </si>
  <si>
    <t>A program that focuses on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</si>
  <si>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Instructional content is defined in code 45.0401.</t>
  </si>
  <si>
    <t>A program that focuses on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</si>
  <si>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45.05</t>
  </si>
  <si>
    <t>Demography and Population Studies.</t>
  </si>
  <si>
    <t>Instructional content is defined in code 45.0501.</t>
  </si>
  <si>
    <t>A program that focuses on the systematic study of population models and population phenomena, and related problems of social structure and behavior.  Includes instruction in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t>
  </si>
  <si>
    <t>45.06</t>
  </si>
  <si>
    <t>Instructional content for this group of programs is defined in codes 45.0601- 45.0699.</t>
  </si>
  <si>
    <t>A general program that focuses on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</si>
  <si>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Business/Managerial Economics.</t>
  </si>
  <si>
    <t>A program that focuses on the application of economic principles and analytical techniques to the study of particular industries, activities, or the exploitation of particular resources.  Includes instruction in economic theory; microeconomic analysis and modeling of specific industries, commodities; the economic consequences of resource allocation decisions; regulatory and consumer factors; and the technical aspects of specific subjects as they relate to economic analysis.</t>
  </si>
  <si>
    <t>Econometrics and Quantitative Economics.</t>
  </si>
  <si>
    <t>A program that focuses on the systematic study of mathematical and statistical analysis of economic phenomena and problems.  Includes instruction in economic statistics, optimization theory, cost/benefit analysis, price theory, economic modeling, and economic forecasting and evaluation.</t>
  </si>
  <si>
    <t>Development Economics and International Development.</t>
  </si>
  <si>
    <t>A program that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</si>
  <si>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International Economics.</t>
  </si>
  <si>
    <t>A program that focuses on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</si>
  <si>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International Finance.</t>
  </si>
  <si>
    <t>International Business/Trade/Commerce.</t>
  </si>
  <si>
    <t>Economics, Other.</t>
  </si>
  <si>
    <t>Any instructional program in economics not listed above.</t>
  </si>
  <si>
    <t>45.07</t>
  </si>
  <si>
    <t>Geography and Cartography.</t>
  </si>
  <si>
    <t>Instructional content for this group of programs is defined in codes 45.0701-45.0799.</t>
  </si>
  <si>
    <t>A program that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</si>
  <si>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Cartography.</t>
  </si>
  <si>
    <t>A program that focuses on the systematic study of map-making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</si>
  <si>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45.0799</t>
  </si>
  <si>
    <t>Geography, Other.</t>
  </si>
  <si>
    <t>(NEW)  Any instructional program in geography not listed above.</t>
  </si>
  <si>
    <t>45.08</t>
  </si>
  <si>
    <t>(Deleted, Report under  54. Series)</t>
  </si>
  <si>
    <t>History, General.</t>
  </si>
  <si>
    <t>(Moved, Report under  54.0101)</t>
  </si>
  <si>
    <t>American (United States) History.</t>
  </si>
  <si>
    <t>(Moved, Report under 54.0102)</t>
  </si>
  <si>
    <t>(Moved, Report under 54.0103)</t>
  </si>
  <si>
    <t>History and Philosophy of Science and Technology.</t>
  </si>
  <si>
    <t>(Moved, Report under 54.0104)</t>
  </si>
  <si>
    <t>(Moved,  Report under 54.0105)</t>
  </si>
  <si>
    <t>History, Other.</t>
  </si>
  <si>
    <t>(Moved, Report under 54.0199)</t>
  </si>
  <si>
    <t>45.09</t>
  </si>
  <si>
    <t>Instructional content is defined in code 45.0901.</t>
  </si>
  <si>
    <t>A program that focuses on the systematic study of international politics and institutions, and the conduct of diplomacy and foreign policy.  Includes instruction in international relations theory, foreign policy analysis, national security and strategic studies, international law and organization, the comparative study of specific countries and regions, and the theory and practice of diplomacy.</t>
  </si>
  <si>
    <t>45.10</t>
  </si>
  <si>
    <t>Political Science and Government.</t>
  </si>
  <si>
    <t>Instructional content for this group of programs is defined in codes 45.1001- 45.1099.</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</si>
  <si>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0f specific political institutions and processes.</t>
  </si>
  <si>
    <t>A program that focuses on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</si>
  <si>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(NEW)  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</si>
  <si>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45.1099</t>
  </si>
  <si>
    <t>Political Science and Government, Other.</t>
  </si>
  <si>
    <t>Any instructional program in political science and government not listed above.</t>
  </si>
  <si>
    <t>45.11</t>
  </si>
  <si>
    <t>Instructional content is defined in code 45.1101.</t>
  </si>
  <si>
    <t>A program that focuses on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</si>
  <si>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45.12</t>
  </si>
  <si>
    <t>Instructional content is defined in code 45.1201.</t>
  </si>
  <si>
    <t>A program that focuses on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</si>
  <si>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45.99</t>
  </si>
  <si>
    <t>Social Sciences, Other.</t>
  </si>
  <si>
    <t>Instructional content is defined in code 45.9999.</t>
  </si>
  <si>
    <t>Any instructional program in social sciences not listed above.</t>
  </si>
  <si>
    <t>Instructional programs that prepare individuals to apply technical knowledge and skills in the building, inspecting, and maintaining of structures and related properties.</t>
  </si>
  <si>
    <t>46.00</t>
  </si>
  <si>
    <t>Construction Trades, General.</t>
  </si>
  <si>
    <t>(NEW)  Instructional content is defined in code 46.0000.</t>
  </si>
  <si>
    <t>(NEW)  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</si>
  <si>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46.01</t>
  </si>
  <si>
    <t>Mason/Masonry.</t>
  </si>
  <si>
    <t>Instructional content is defined in code 46.0101.</t>
  </si>
  <si>
    <t>A program that prepares individuals to apply technical knowledge and skills in the laying and/or setting of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</si>
  <si>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46.02</t>
  </si>
  <si>
    <t>Carpenters.</t>
  </si>
  <si>
    <t>Instructional content is defined in code 46.0201.</t>
  </si>
  <si>
    <t>Carpentry/Carpenter.</t>
  </si>
  <si>
    <t>A program that prepares individuals to apply technical knowledge and skills to lay out, cut, fabricate, erect, install, and repair wooden structures and fixtures, using hand and power tools.  Includes instruction in technical mathematics, framing, construction materials and selection, job estimating, blueprint reading, foundations and roughing-in, finish carpentry techniques, and applicable codes and standards.</t>
  </si>
  <si>
    <t>46.03</t>
  </si>
  <si>
    <t>Electrical and Power Transmission Installers.</t>
  </si>
  <si>
    <t>Instructional content for this group of programs is defined in codes 46.0301- 46.0399.</t>
  </si>
  <si>
    <t>Electrical and Power Transmission Installation/Installer, General.</t>
  </si>
  <si>
    <t>A program that generally prepares individuals to apply technical knowledge and skills to install indoor and outdoor residential, commercial, and industrial electrical systems, and associated power transmission lines.  Includes instruction in electricity, safety procedures, wiring, insulation and grounding, schematic blueprint interpretation, equipment operation and maintenance, and applicable codes and standards.</t>
  </si>
  <si>
    <t>Electrician.</t>
  </si>
  <si>
    <t>A program that prepares individuals to apply technical knowledge and skills to install, operate, maintain, and repair electric apparatus and systems such as residential, commercial, and industrial electric-power wiring; and DC and AC motors, controls, and electrical distribution panels.  Includes instruction in the principles of electronics and electrical systems, wiring, power transmission, safety, industrial and household appliances, job estimation, electrical testing and inspection, and applicable codes and standards.</t>
  </si>
  <si>
    <t>Lineworker.</t>
  </si>
  <si>
    <t>A program that prepares individuals to apply technical knowledge and skills to install, operate, maintain and repair local, long-distance, and rural electric power cables and communication lines; erect and construct pole and tower lines; and install underground lines and cables.  Includes instruction in cable installation and repair, fibre-optic technology, trenching, mobile equipment and crane operation, high-voltage installations, maintenance and inspection, safety, remote communications, and applicable codes and standards.</t>
  </si>
  <si>
    <t>Electrical and Power Transmission Installers, Other.</t>
  </si>
  <si>
    <t>Any instructional program in electrical and power transmission installation not listed above.</t>
  </si>
  <si>
    <t>46.04</t>
  </si>
  <si>
    <t>Building/Construction Finishing, Management, and Inspection.</t>
  </si>
  <si>
    <t>Instructional content for this group of programs is defined in codes 46.0401- 46.0499.</t>
  </si>
  <si>
    <t>52.20</t>
  </si>
  <si>
    <t>Construction Management.</t>
  </si>
  <si>
    <t>Building/Property Maintenance and Management.</t>
  </si>
  <si>
    <t>A program that prepares individuals to apply technical knowledge and skills to keep a building functioning, and to service a variety of structures including commercial and industrial buildings and mobile homes. Includes instruction in the basic maintenance and repair skills required to service  building systems, such as air conditioning, heating, plumbing, electrical, major appliances, and other mechanical systems.</t>
  </si>
  <si>
    <t>46.0402</t>
  </si>
  <si>
    <t>Concrete Finishing/Concrete Finisher.</t>
  </si>
  <si>
    <t>(NEW)  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</si>
  <si>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Building/Home/Construction Inspection/Inspector.</t>
  </si>
  <si>
    <t>A program that prepares individuals to apply industrial, labor, and governmental standards and laws to the oversight of construction projects and the maintenance of completed buildings and other structures.  Includes instruction in construction processes and techniques, materials analysis, occupational safety and health, industry standards, building codes and specifications, blueprint interpretation, testing equipment and procedures, communication skills, accident investigation, and documentation.</t>
  </si>
  <si>
    <t>46.0404</t>
  </si>
  <si>
    <t>Drywall Installation/Drywaller.</t>
  </si>
  <si>
    <t>(NEW)  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</si>
  <si>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46.0406</t>
  </si>
  <si>
    <t>Glazier.</t>
  </si>
  <si>
    <t>(NEW)  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</si>
  <si>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Painting/Painter and Wall Coverer.</t>
  </si>
  <si>
    <t>A program that prepares individuals to apply technical knowledge and skills to finish exterior and interior structural surfaces by applying protective or decorative coating materials, such as paint, lacquer, and wallpaper.  Includes instruction in surface preparation; selecting, preparing, and applying paints and other coatings; hanging wallpaper; equipment operation and maintenance; finish selection; safety and clean-up; environmental effects on finishes; adhesion properties; and applicable codes and standards..</t>
  </si>
  <si>
    <t>46.0410</t>
  </si>
  <si>
    <t>Roofer.</t>
  </si>
  <si>
    <t>(NEW)  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</si>
  <si>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46.0411</t>
  </si>
  <si>
    <t>Metal Building Assembly/Assembler.</t>
  </si>
  <si>
    <t>(NEW)  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</si>
  <si>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46.0412</t>
  </si>
  <si>
    <t>Building/Construction Site Management/Manager.</t>
  </si>
  <si>
    <t>A general program that focuses on the planetary, galactic, and stellar phenomena occurring in outer space.  Includes instruction in celestial mechanics, cosmology, stellar physics, galactic evolution, quasars, stellar distribution and motion, interstellar medium, atomic and molecular constituents of astronomical phenomena, planetary science, solar system evolution, and specific methodologies such as optical astronomy, radioastronomy, and theoretical astronomy.</t>
  </si>
  <si>
    <t>40.0202</t>
  </si>
  <si>
    <t>Astrophysics.</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</si>
  <si>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  (Moved from 40.0301)</t>
  </si>
  <si>
    <t>40.0203</t>
  </si>
  <si>
    <t>Planetary Astronomy and Science.</t>
  </si>
  <si>
    <t>(NEW)  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</si>
  <si>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40.0299</t>
  </si>
  <si>
    <t>Astronomy and Astrophysics, Other.</t>
  </si>
  <si>
    <t>(NEW) Any instructional program in astronomy and astrophysics not listed above.</t>
  </si>
  <si>
    <t>40.03</t>
  </si>
  <si>
    <t>(Moved, Report under 40.0202)</t>
  </si>
  <si>
    <t>40.04</t>
  </si>
  <si>
    <t>Atmospheric Sciences and Meteorology.</t>
  </si>
  <si>
    <t>Instructional content for this group of programs is defined in codes 40.0401- 40.0499.</t>
  </si>
  <si>
    <t>Atmospheric Sciences and Meteorology, General.</t>
  </si>
  <si>
    <t>A general program that focuses on the scientific study of the composition and behavior of the atmospheric envelopes surrounding the earth, the effect of earth's atmosphere on terrestrial weather, and related problems of environment and climate.  Includes instruction in atmospheric chemistry and physics, atmospheric dynamics, climatology and climate change, weather simulation, weather forecasting, climate modeling and mathematical theory; and studies of specific phenomena such as clouds, weather systems, storms, and precipitation patterns.</t>
  </si>
  <si>
    <t>40.0402</t>
  </si>
  <si>
    <t>Atmospheric Chemistry and Climatology.</t>
  </si>
  <si>
    <t>(NEW) 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</si>
  <si>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40.0403</t>
  </si>
  <si>
    <t>Atmospheric Physics and Dynamics.</t>
  </si>
  <si>
    <t>(NEW)  A program that focuses on the scientific study of the processes governing the interactions, movement, and behavioral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</si>
  <si>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40.0404</t>
  </si>
  <si>
    <t>Meteorology.</t>
  </si>
  <si>
    <t>(NEW) 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</si>
  <si>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40.0499</t>
  </si>
  <si>
    <t>Atmospheric Sciences and Meteorology, Other.</t>
  </si>
  <si>
    <t>(NEW) Any instructional program in atmospheric sciences and meteorology not listed above.</t>
  </si>
  <si>
    <t>Instructional content for this group of programs is defined in codes 40.0501- 40.0599.</t>
  </si>
  <si>
    <t>A general program that focuses on the scientific study of the composition and behavior of matter, including its micro- and macro-structure, the processes of chemical change, and the theoretical description and laboratory simulation of these phenomena.</t>
  </si>
  <si>
    <t>Analytical Chemistry.</t>
  </si>
  <si>
    <t>A program that focuses on the scientific study of techniques for analyzing and describing matter, including its precise composition and the interrelationships of constituent elements and compounds.  Includes instruction in spectroscopy, chromatography, atomic absorption, photometry, chemical modeling, mathematical analysis, laboratory analysis procedures and equipment maintenance, and applications to specific research, industrial and health problems.</t>
  </si>
  <si>
    <t>Inorganic Chemistry.</t>
  </si>
  <si>
    <t>A program that focuses on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</si>
  <si>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Organic Chemistry.</t>
  </si>
  <si>
    <t>A program that focuses on the scientific study of the properties and behavior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</si>
  <si>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Medicinal/Pharmaceutical Chemistry.</t>
  </si>
  <si>
    <t>(Moved, Report under 51.2004)</t>
  </si>
  <si>
    <t>Physical and Theoretical Chemistry.</t>
  </si>
  <si>
    <t>A program that focuses on the scientific study of the theoretical properties of matter, and the relation of physical forces and phenomena to the chemical structure and behavior of molecules and other compounds.  Includes instruction in reaction theory, calculation of potential molecular properties and behavior, computer simulation of structures and actions, transition theory, statistical mechanics, phase studies, quantum chemistry, and the study of surface properties.</t>
  </si>
  <si>
    <t>A program that focuses on the scientific study of synthesized macromolecule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</si>
  <si>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40.0508</t>
  </si>
  <si>
    <t>Chemical Physics.</t>
  </si>
  <si>
    <t>(NEW) 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liquid crystals and membranes, molecular synthesis and design, and laser physics.</t>
  </si>
  <si>
    <t>Chemistry, Other.</t>
  </si>
  <si>
    <t>Any instructional program in chemistry not listed above.</t>
  </si>
  <si>
    <t>40.06</t>
  </si>
  <si>
    <t>Geological and Earth Sciences/Geosciences.</t>
  </si>
  <si>
    <t>Instructional content for this group of programs is defined in codes 40.0601 - 40.0699.</t>
  </si>
  <si>
    <t>Geology/Earth Science, General.</t>
  </si>
  <si>
    <t>A program that focuses on the scientific study of the earth; the forces acting upon it; and the behavior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</si>
  <si>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Geochemistry.</t>
  </si>
  <si>
    <t>A program that focuses on the scientific study of the chemical properties and behavior of the silicates and other substances forming, and formed by geomorphological processes of the earth and other planets.  Includes instruction in chemical thermodynamics, equilibrium in silicate systems, atomic bonding, isotopic fractionation, geochemical modeling, specimen analysis, and studies of specific organic and inorganic substances.</t>
  </si>
  <si>
    <t>A program that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</si>
  <si>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Paleontology.</t>
  </si>
  <si>
    <t>A program that focuses on the scientific study of extinct life forms and associated fossil remains, and the reconstruction and analysis of ancient life forms, ecosystems, and geologic processes. Includes instruction in sedimentation and fossilization processes, fossil chemistry, evolutionary biology, paleoecology, paleoclimatology, trace fossils, micropaleontology, invertebrate paleontology, vertebrate paleontology, paleobotany, field research methods, and laboratory research and conservation methods.</t>
  </si>
  <si>
    <t>(NEW)  A program that focuses on the scientific of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</si>
  <si>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40.0606</t>
  </si>
  <si>
    <t>Geochemistry and Petrology.</t>
  </si>
  <si>
    <t>(NEW)  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</si>
  <si>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Oceanography, Chemical and Physical.</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</si>
  <si>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 (Moved from 40.0702)</t>
  </si>
  <si>
    <t>Geological and Earth Sciences/Geosciences, Other.</t>
  </si>
  <si>
    <t>Any instructional program in geological and related sciences not listed above.</t>
  </si>
  <si>
    <t>40.07</t>
  </si>
  <si>
    <t>Miscellaneous Physical Sciences.</t>
  </si>
  <si>
    <t>Metallurgy.</t>
  </si>
  <si>
    <t>(Deleted, Report under 40.9999)</t>
  </si>
  <si>
    <t>(Moved, Report under 40.0607)</t>
  </si>
  <si>
    <t>Earth and Planetary Sciences.</t>
  </si>
  <si>
    <t>(Deleted, Report under 40.0601)</t>
  </si>
  <si>
    <t>Miscellaneous Physical Sciences, Other.</t>
  </si>
  <si>
    <t>Instructional content for this group of programs is defined in codes 40.0801- 40.0899.</t>
  </si>
  <si>
    <t>Physics, General.</t>
  </si>
  <si>
    <t>A general program that focuses on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</si>
  <si>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(Report under 26.0203)</t>
  </si>
  <si>
    <t>Atomic/Molecular Physics.</t>
  </si>
  <si>
    <t>A program that focuses on the scientific study of the behavior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</si>
  <si>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Elementary Particle Physics.</t>
  </si>
  <si>
    <t>A program that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</si>
  <si>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Plasma and High-Temperature Physics.</t>
  </si>
  <si>
    <t>A program that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modeling, and research equipment operation and maintenance.</t>
  </si>
  <si>
    <t>A program that focuses on the scientific study of the properties and behavior of atomic nuclei instruction in nuclear reaction theory, quantum mechanics, energy conservation, nuclear fission and fusion, strong and weak atomic forces, nuclear modeling, nuclear decay, nucleon scattering, pairing, photon and electron reactions, statistical methods, and research equipment operation and maintenance.</t>
  </si>
  <si>
    <t>Optics/Optical Sciences.</t>
  </si>
  <si>
    <t>A program that focuses on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</si>
  <si>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Solid State and Low-Temperature Physics.</t>
  </si>
  <si>
    <t>A program that focuses on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modeling, and research equipment operation and maintenance.</t>
  </si>
  <si>
    <t>Acoustics.</t>
  </si>
  <si>
    <t>A program that focuses on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</si>
  <si>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Theoretical and Mathematical Physics.</t>
  </si>
  <si>
    <t>A program that focuses on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</si>
  <si>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Physics, Other.</t>
  </si>
  <si>
    <t>Any instructional program in physics not listed above.</t>
  </si>
  <si>
    <t>40.99</t>
  </si>
  <si>
    <t>Physical Sciences, Other.</t>
  </si>
  <si>
    <t>Instructional content is defined in code 40.9999.</t>
  </si>
  <si>
    <t>Any instructional program in physical sciences not listed above.</t>
  </si>
  <si>
    <t>SCIENCE TECHNOLOGIES/TECHNICIANS.</t>
  </si>
  <si>
    <t>Instructional programs that prepare individuals to apply scientific principles and technical skills in support of scientific research and development.</t>
  </si>
  <si>
    <t>41.01</t>
  </si>
  <si>
    <t>Instructional content is defined in code 41.0101.</t>
  </si>
  <si>
    <t>A program that prepares individuals to apply scientific principles and technical skills in support of biologists and biotechnologists in research, industrial, and government settings.  Includes instruction in fermentation technology, cell culturing, protein purification, biologic synthesis, assaying and testing, quality control, industrial microbiology, bioprocessing, chromatography and bioseparation, genetic technology, laboratory and hazardous materials safety, and computer applications.</t>
  </si>
  <si>
    <t>41.02</t>
  </si>
  <si>
    <t>Nuclear and Industrial Radiologic Technologies/Technicians.</t>
  </si>
  <si>
    <t>Instructional content for this group of programs is defined in codes 41.0204 - 41.0299.</t>
  </si>
  <si>
    <t>Industrial Radiologic Technology/Technician.</t>
  </si>
  <si>
    <t>A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t>
  </si>
  <si>
    <t>A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</si>
  <si>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Nuclear and Industrial Radiologic Technologies/Technicians, Other.</t>
  </si>
  <si>
    <t>Any instructional program in nuclear and industrial radiologic technologies not listed above.</t>
  </si>
  <si>
    <t>41.03</t>
  </si>
  <si>
    <t>Physical Science Technologies/Technicians.</t>
  </si>
  <si>
    <t>Instructional content for this group of programs is defined in codes 41.0301 - 41.0399.</t>
  </si>
  <si>
    <t>A program that prepares individuals to apply scientific principles and technical skills in support of chemical and biochemical research and industrial operations.  Includes instruction in principles of chemistry and biochemistry, technical mathematics, computer applications, radiochemistry, industrial biochemistry, chemical instrumentation, physical chemistry, laboratory research methods, industrial processing methods and equipment, and test equipment operation and maintenance.</t>
  </si>
  <si>
    <t>Physical Science Technologies/Technicians, Other.</t>
  </si>
  <si>
    <t>Any instructional program in physical science technologies not listed above.</t>
  </si>
  <si>
    <t>41.99</t>
  </si>
  <si>
    <t>Science Technologies/Technicians, Other.</t>
  </si>
  <si>
    <t>Instructional content is defined in code 41.9999.</t>
  </si>
  <si>
    <t>Any instructional program in science technologies not listed above.</t>
  </si>
  <si>
    <t>Instructional programs that focus on the scientific study of the behavior of individuals, independently or collectively, and the physical and environmental bases of mental, emotional, and neurological activity.</t>
  </si>
  <si>
    <t>42.01</t>
  </si>
  <si>
    <t>Instructional content is defined in code 42.0101.</t>
  </si>
  <si>
    <t>A general program that focuses on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</si>
  <si>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42.02</t>
  </si>
  <si>
    <t>Clinical Psychology.</t>
  </si>
  <si>
    <t>Instructional content is defined in code 42.0201.</t>
  </si>
  <si>
    <t>A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</si>
  <si>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42.03</t>
  </si>
  <si>
    <t>Instructional content is defined in code 42.0301.</t>
  </si>
  <si>
    <t>A program that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</si>
  <si>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Organizational Behavior Studies.</t>
  </si>
  <si>
    <t>42.10</t>
  </si>
  <si>
    <t>Personality Psychology.</t>
  </si>
  <si>
    <t>(NEW)   Instructional content is defined in code 42.1001.</t>
  </si>
  <si>
    <t>42.1001</t>
  </si>
  <si>
    <t>(NEW)  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</si>
  <si>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42.11</t>
  </si>
  <si>
    <t>Instructional content is defined in code 42.1101.</t>
  </si>
  <si>
    <t>A program that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</si>
  <si>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42.16</t>
  </si>
  <si>
    <t>Social Psychology.</t>
  </si>
  <si>
    <t>Instructional content is defined in code 42.1601.</t>
  </si>
  <si>
    <t>A program that focuses on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</si>
  <si>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42.17</t>
  </si>
  <si>
    <t>School Psychology.</t>
  </si>
  <si>
    <t>Instructional content is defined in code 42.1701.</t>
  </si>
  <si>
    <t>A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</si>
  <si>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42.18</t>
  </si>
  <si>
    <t>Instructional content is defined in code 42.1801. (Moved from 13.08 Series).</t>
  </si>
  <si>
    <t>42.1801</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</si>
  <si>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  (Moved from 13.0802)</t>
  </si>
  <si>
    <t>42.19</t>
  </si>
  <si>
    <t>(NEW)   Instructional content is defined in code 42.1901.</t>
  </si>
  <si>
    <t>(NEW)  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</si>
  <si>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42.20</t>
  </si>
  <si>
    <t>(NEW)  Instructional content is defined in code 42.2001.</t>
  </si>
  <si>
    <t>(NEW)  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</si>
  <si>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42.21</t>
  </si>
  <si>
    <t>Environmental Psychology.</t>
  </si>
  <si>
    <t>(NEW)  Instructional content is defined in code 42.2101.</t>
  </si>
  <si>
    <t>42.2101</t>
  </si>
  <si>
    <t>(NEW)  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</si>
  <si>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42.22</t>
  </si>
  <si>
    <t>(NEW)  Instructional content is defined in code 42.2201.</t>
  </si>
  <si>
    <t>(NEW) 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</si>
  <si>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42.23</t>
  </si>
  <si>
    <t>Health Psychology.</t>
  </si>
  <si>
    <t>(NEW)  Instructional content is defined in code 42.2301.</t>
  </si>
  <si>
    <t>42.2301</t>
  </si>
  <si>
    <t>Health/Medical Psychology.</t>
  </si>
  <si>
    <t>(NEW)  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</si>
  <si>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42.24</t>
  </si>
  <si>
    <t>Psychopharmacology.</t>
  </si>
  <si>
    <t>(NEW) Instructional content is defined in code 42.2401.</t>
  </si>
  <si>
    <t>42.2401</t>
  </si>
  <si>
    <t>(NEW) 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</si>
  <si>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42.25</t>
  </si>
  <si>
    <t>(NEW)  Instructional content is defined in code 42.2501.</t>
  </si>
  <si>
    <t>(NEW) 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</si>
  <si>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42.26</t>
  </si>
  <si>
    <t>Forensic Psychology.</t>
  </si>
  <si>
    <t>(NEW)  Instructional content is defined in code 42.2601.</t>
  </si>
  <si>
    <t>42.2601</t>
  </si>
  <si>
    <t>(NEW) 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</si>
  <si>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42.99</t>
  </si>
  <si>
    <t>Psychology, Other.</t>
  </si>
  <si>
    <t>Instructional content is defined in code 42.9999.</t>
  </si>
  <si>
    <t>Any instructional program in psychology not listed above.</t>
  </si>
  <si>
    <t>Instructional content is defined in code 26.9999.</t>
  </si>
  <si>
    <t>Any instructional program in the biological and biomedical sciences not listed above.</t>
  </si>
  <si>
    <t>MATHEMATICS AND STATISTICS.</t>
  </si>
  <si>
    <t>Instructional programs that focus on the systematic study of logical symbolic language and its applications.</t>
  </si>
  <si>
    <t>27.01</t>
  </si>
  <si>
    <t>Mathematics.</t>
  </si>
  <si>
    <t>Instructional content for this group of programs is defined in codes 27.0101 - 27.0199.</t>
  </si>
  <si>
    <t>Mathematics, General.</t>
  </si>
  <si>
    <t>A general program that focuses on the analysis of quantities, magnitudes, forms, and their relationships, using symbolic logic and language.  Includes instruction in algebra, calculus, functional analysis, geometry, number theory, logic, topology and other mathematical specializations.</t>
  </si>
  <si>
    <t>27.0102</t>
  </si>
  <si>
    <t>Algebra and Number Theory.</t>
  </si>
  <si>
    <t>(NEW)  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</si>
  <si>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27.0103</t>
  </si>
  <si>
    <t>Analysis and Functional Analysis.</t>
  </si>
  <si>
    <t>(NEW) 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</si>
  <si>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27.0104</t>
  </si>
  <si>
    <t>Geometry/Geometric Analysis.</t>
  </si>
  <si>
    <t>(NEW) 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</si>
  <si>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27.0105</t>
  </si>
  <si>
    <t>Topology and Foundations.</t>
  </si>
  <si>
    <t>(NEW)  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</si>
  <si>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27.0199</t>
  </si>
  <si>
    <t>Mathematics, Other.</t>
  </si>
  <si>
    <t>(NEW) Any program in mathematics not listed above.</t>
  </si>
  <si>
    <t>27.03</t>
  </si>
  <si>
    <t>Applied Mathematics.</t>
  </si>
  <si>
    <t>Instructional content for this group of programs is defined in codes 27.0301- 27.0399.</t>
  </si>
  <si>
    <t>A program that focuses on the application of mathematics and statistics to the solution of functional problems in fields such as engineering and the applied sciences.  Includes instruction in natural phenomena modeling continuum mechanics, reaction-diffusion, wave propagation, dynamic systems, numerical analysis, controlled theory, asymptotic methods, variation, optimization theory, inverse problems, and applications to specific scientific and industrial topics.</t>
  </si>
  <si>
    <t>(Moved, Report under 14.3701)</t>
  </si>
  <si>
    <t>(NEW)  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</si>
  <si>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Applied Mathematics, Other.</t>
  </si>
  <si>
    <t>Any instructional program in applied mathematics not listed above.</t>
  </si>
  <si>
    <t>27.05</t>
  </si>
  <si>
    <t>Statistics.</t>
  </si>
  <si>
    <t>Instructional content for this group of programs is defined in codes 27.0501- 27.0599.</t>
  </si>
  <si>
    <t>Statistics, General.</t>
  </si>
  <si>
    <t>A general program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</si>
  <si>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42.1901</t>
  </si>
  <si>
    <t>Psychometrics and Quantitative Psychology.</t>
  </si>
  <si>
    <t>52.1304</t>
  </si>
  <si>
    <t>Actuarial Science.</t>
  </si>
  <si>
    <t>27.0502</t>
  </si>
  <si>
    <t>Mathematical Statistics and Probability.</t>
  </si>
  <si>
    <t>(NEW)  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</si>
  <si>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27.0599</t>
  </si>
  <si>
    <t>Statistics, Other.</t>
  </si>
  <si>
    <t>(NEW)  Any instructional program in statistics not listed above.</t>
  </si>
  <si>
    <t>27.99</t>
  </si>
  <si>
    <t>Mathematics and Statistics, Other.</t>
  </si>
  <si>
    <t>Instructional content is defined in code 27.9999.</t>
  </si>
  <si>
    <t>Any instructional program in mathematics and  statistics not listed above.</t>
  </si>
  <si>
    <t>28.</t>
  </si>
  <si>
    <t>Programs for Series 28.</t>
  </si>
  <si>
    <t>29.</t>
  </si>
  <si>
    <t>MILITARY TECHNOLOGIES.</t>
  </si>
  <si>
    <t>Instructional programs that prepare individuals in specialized and advanced subject matter for the armed services and related national security organizations.</t>
  </si>
  <si>
    <t>29.01</t>
  </si>
  <si>
    <t>Military Technologies.</t>
  </si>
  <si>
    <t>Instructional content is defined in code 29.0101.</t>
  </si>
  <si>
    <t>A program that prepares individuals to undertake advanced and specialized leadership and technical responsibilities for the armed services and related national security organizations.  Includes instruction in such areas as weapons systems and technology, communications, intelligence, management, logistics, and strategy.</t>
  </si>
  <si>
    <t>MULTI/INTERDISCIPLINARY STUDIES.</t>
  </si>
  <si>
    <t>Instructional programs that derive from two or more distinct programs to provide a cross-cutting focus on a subject concentration that is not subsumed under a single discipline or occupational field.</t>
  </si>
  <si>
    <t>30.01</t>
  </si>
  <si>
    <t>Instructional content is defined in code 30.0101.</t>
  </si>
  <si>
    <t>A program that is either a general synthesis of one or more of the biological and physical sciences, or a specialization which draws from the biological and physical sciences.</t>
  </si>
  <si>
    <t>30.05</t>
  </si>
  <si>
    <t>Peace Studies and Conflict Resolution.</t>
  </si>
  <si>
    <t>Instructional content is defined in code 30.0501.</t>
  </si>
  <si>
    <t>A program that focuses on the origins, resolution and prevention of international and inter-group conflicts. Includes instruction in peace research methods and related social scientific and psychological knowledge bases.</t>
  </si>
  <si>
    <t>International Relations and Affairs.</t>
  </si>
  <si>
    <t>30.06</t>
  </si>
  <si>
    <t>Instructional content is defined in code 30.0601.</t>
  </si>
  <si>
    <t>A program with a multidisciplinary approach to the analysis and solution of complex problems, requiring a combined approach using data and models from the natural, social, technological, behavioral and life sciences, and other specialized fields.</t>
  </si>
  <si>
    <t>30.08</t>
  </si>
  <si>
    <t>Mathematics and Computer Science.</t>
  </si>
  <si>
    <t>Instructional content is defined in code 30.0801.</t>
  </si>
  <si>
    <t>A program with a general synthesis of mathematics and computer science or a specialization which draws from mathematics and computer science.</t>
  </si>
  <si>
    <t>30.10</t>
  </si>
  <si>
    <t>Instructional content is defined in code 30.1001.</t>
  </si>
  <si>
    <t>A program that focuses on biological and psychological linkages, especially the linkages between biochemical and biophysical activity and the functioning of the central nervous system.</t>
  </si>
  <si>
    <t>Physiological Psychology/Psychobiology.</t>
  </si>
  <si>
    <t>30.11</t>
  </si>
  <si>
    <t>Instructional content is defined in code 30.1101.</t>
  </si>
  <si>
    <t>A program that focuses on the human aging process and aged human populations, using the knowledge and methodologies of the social sciences, psychology and the biological and health sciences.</t>
  </si>
  <si>
    <t>42.2201</t>
  </si>
  <si>
    <t>Geropsychology.</t>
  </si>
  <si>
    <t>30.12</t>
  </si>
  <si>
    <t>Instructional content for this group of programs is defined in codes 30.1201- 30.1299.</t>
  </si>
  <si>
    <t>A program that focuses on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</si>
  <si>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(NEW) 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</si>
  <si>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30.1299</t>
  </si>
  <si>
    <t>Historic Preservation and Conservation, Other.</t>
  </si>
  <si>
    <t>(NEW)  Any instructional program that focuses on architectural design and building techniques for historic and restored structures not listed above.</t>
  </si>
  <si>
    <t>30.13</t>
  </si>
  <si>
    <t>Instructional content is defined in code 30.1301.</t>
  </si>
  <si>
    <t>A program that focuses on the  study of the Medieval and Renaissance periods in European and circum-Mediterranean history from the perspective of various disciplines in the humanities and social sciences, including history and archeology, as well as studies of period art and music.</t>
  </si>
  <si>
    <t>30.14</t>
  </si>
  <si>
    <t>Instructional content is defined in code 30.1401.</t>
  </si>
  <si>
    <t>A program that focuses on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</si>
  <si>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30.15</t>
  </si>
  <si>
    <t>Science, Technology and Society.</t>
  </si>
  <si>
    <t>Instructional content is defined in code 30.1501.</t>
  </si>
  <si>
    <t>A program that focuses on the contemporary social and public policy ramifications of science and technology, the interrelationship of science and engineering with the public policy process, and the social and ethical dimensions of scientific and technological enterprises.</t>
  </si>
  <si>
    <t>30.16</t>
  </si>
  <si>
    <t>Accounting and Computer Science.</t>
  </si>
  <si>
    <t>(NEW)  Instructional content is defined in code 30.1601.</t>
  </si>
  <si>
    <t>30.1601</t>
  </si>
  <si>
    <t>(NEW)  A program that combines accounting with computer science and/or computer studies.</t>
  </si>
  <si>
    <t>30.17</t>
  </si>
  <si>
    <t>Behavioral Sciences.</t>
  </si>
  <si>
    <t>(NEW)  Instructional content is defined in code 30.1701.</t>
  </si>
  <si>
    <t>30.1701</t>
  </si>
  <si>
    <t>(NEW)  A program with a combined or undifferentiated focus on the social sciences, psychology, and biomedical sciences to study complex problems of human individual and social growth and behavior.</t>
  </si>
  <si>
    <t>30.18</t>
  </si>
  <si>
    <t>Natural Sciences.</t>
  </si>
  <si>
    <t>(NEW)  Instructional content is defined in code 30.1801.</t>
  </si>
  <si>
    <t>30.1801</t>
  </si>
  <si>
    <t>(NEW) A program with a combined or undifferentiated focus on one or more of the physical and biological sciences.</t>
  </si>
  <si>
    <t>30.19</t>
  </si>
  <si>
    <t>(NEW)  Instructional content is defined in code 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</si>
  <si>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 (Moved from 26.0609)</t>
  </si>
  <si>
    <t>30.20</t>
  </si>
  <si>
    <t>International/Global Studies.</t>
  </si>
  <si>
    <t>(NEW)  Instructional content is defined in code 30.2001.</t>
  </si>
  <si>
    <t>30.2001</t>
  </si>
  <si>
    <t>(NEW)  A program that focuses on global and international issues from the perspective of the social sciences, social services, and related fields.</t>
  </si>
  <si>
    <t>(NEW)  Instructional content defined in 30.2101.</t>
  </si>
  <si>
    <t>(NEW) 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</si>
  <si>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30.22</t>
  </si>
  <si>
    <t>Classical and Ancient Studies.</t>
  </si>
  <si>
    <t>(NEW) Instructional content for this group of programs is defined in codes 30.2201- 30.2202.</t>
  </si>
  <si>
    <t>(NEW)  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</si>
  <si>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30.2202</t>
  </si>
  <si>
    <t>Classical, Ancient Mediterranean and Near Eastern Studies and Archaeology.</t>
  </si>
  <si>
    <t>(NEW)  A program that focuses on the cultures, environment, and history of the ancient Near East, Europe, and the Mediterranean basin from the perspective of the humanities and social sciences, including archaeology.</t>
  </si>
  <si>
    <t>30.23</t>
  </si>
  <si>
    <t>Intercultural/Multicultural and Diversity Studies.</t>
  </si>
  <si>
    <t>(NEW)  Instructional content is defined in code 30.2301.</t>
  </si>
  <si>
    <t>(NEW)  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</si>
  <si>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30.24</t>
  </si>
  <si>
    <t>(NEW) Instructional content is defined in code 30.2401.</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</si>
  <si>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  (Moved from 26.0608)</t>
  </si>
  <si>
    <t>30.25</t>
  </si>
  <si>
    <t>(NEW)  Instructional content is defined in code 30.2501.</t>
  </si>
  <si>
    <t>(NEW) 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</si>
  <si>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30.99</t>
  </si>
  <si>
    <t>Multi/Interdisciplinary Studies, Other.</t>
  </si>
  <si>
    <t>Instructional content is defined in code 30.9999.</t>
  </si>
  <si>
    <t>Multi-/Interdisciplinary Studies, Other.</t>
  </si>
  <si>
    <t>Any instructional program in multi/interdisciplinary studies not listed above.</t>
  </si>
  <si>
    <t>Instructional programs that focus on the principles and practices of managing parks and other recreational and fitness facilities; providing recreational, leisure and fitness services; and the study of human fitness.</t>
  </si>
  <si>
    <t>31.01</t>
  </si>
  <si>
    <t>Parks, Recreation and Leisure Studies.</t>
  </si>
  <si>
    <t>Instructional content is defined in code 31.0101.</t>
  </si>
  <si>
    <t>A program that focuses on the principles underlying recreational and leisure activities, and the practices involved in providing indoor and outdoor recreational facilities and services for the general public.</t>
  </si>
  <si>
    <t>31.03</t>
  </si>
  <si>
    <t>Instructional content is defined in code 31.0301.</t>
  </si>
  <si>
    <t>A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</si>
  <si>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31.05</t>
  </si>
  <si>
    <t>Health and Physical Education/Fitness.</t>
  </si>
  <si>
    <t>Instructional content for this group of programs is defined in codes 31.0501- 31.0599.</t>
  </si>
  <si>
    <t>A general program that focuses on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</si>
  <si>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Adapted Physical Education/Therapeutic Recreation.</t>
  </si>
  <si>
    <t>(Moved, Report under 51.2309)</t>
  </si>
  <si>
    <t>Athletic Training and Sports Medicine.</t>
  </si>
  <si>
    <t>(Moved, Report under 51.0913)</t>
  </si>
  <si>
    <t>Sport and Fitness Administration/Management.</t>
  </si>
  <si>
    <t>A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</si>
  <si>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 .</t>
  </si>
  <si>
    <t>Socio-Psychological Sports Studies.</t>
  </si>
  <si>
    <t>(Deleted, Report under 31.0599)</t>
  </si>
  <si>
    <t>Health and Physical Education/Fitness, Other.</t>
  </si>
  <si>
    <t>Any instructional program in health and physical education/fitness not listed above.</t>
  </si>
  <si>
    <t>31.99</t>
  </si>
  <si>
    <t>Parks, Recreation, Leisure, and Fitness Studies, Other.</t>
  </si>
  <si>
    <t>Instructional content is defined in code 31.9999.</t>
  </si>
  <si>
    <t>Any instructional program in parks, recreation, leisure and fitness studies not listed above.</t>
  </si>
  <si>
    <t>32- 37.</t>
  </si>
  <si>
    <t>Programs for Series 32-37 (Personal Improvement and Leisure programs) are located in chapter V.</t>
  </si>
  <si>
    <t>(245)</t>
  </si>
  <si>
    <t>38.</t>
  </si>
  <si>
    <t>PHILOSOPHY AND RELIGIOUS STUDIES.</t>
  </si>
  <si>
    <t>Instructional programs that focus on logical inquiry, philosophical analysis, and the academic study of organized systems of belief and religious practices.</t>
  </si>
  <si>
    <t>39.</t>
  </si>
  <si>
    <t>THEOLOGY AND RELIGIOUS VOCATIONS.</t>
  </si>
  <si>
    <t>38.01</t>
  </si>
  <si>
    <t>Philosophy.</t>
  </si>
  <si>
    <t>Instructional content for this group of programs is defined in codes 38.0101- 38.0199.</t>
  </si>
  <si>
    <t>A program that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</si>
  <si>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38.0102</t>
  </si>
  <si>
    <t>Logic.</t>
  </si>
  <si>
    <t>(NEW)  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</si>
  <si>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38.0103</t>
  </si>
  <si>
    <t>Ethics.</t>
  </si>
  <si>
    <t>(NEW)  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</si>
  <si>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38.0199</t>
  </si>
  <si>
    <t>Philosophy, Other.</t>
  </si>
  <si>
    <t>(NEW) Any instructional program in Philosophy not listed above.</t>
  </si>
  <si>
    <t>38.02</t>
  </si>
  <si>
    <t>Religion/Religious Studies.</t>
  </si>
  <si>
    <t>Instructional content for this group of programs is defined in codes 38.0201 - 38.0299.</t>
  </si>
  <si>
    <t>A program that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</si>
  <si>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(NEW)  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(Tipitaka, etc.) and study of one or more of the main branches including Early Buddhism, Hinayana, Theravada, Madhyamaka, Yogacara, Pure Land, Shingon, Tendai, Nichiren Shu, Zen, Tibetan, Chinese, Korean, Vietnamese, and others.</t>
  </si>
  <si>
    <t>38.0203</t>
  </si>
  <si>
    <t>Christian Studies.</t>
  </si>
  <si>
    <t>(NEW) 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</si>
  <si>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(NEW) 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</si>
  <si>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 (Qur'an, Hadith, Sunnah, Tafsir, Sirah); Islamic law and jurisprudence; Sufism; the various branches including Sunni, Shi'ia, Ahmaddiyyah, and others; and the development of Islamic religion and society from the beginnings to the present.  (Moved from 05.0204)</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</si>
  <si>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  (Moved from 05.0205).</t>
  </si>
  <si>
    <t>38.0299</t>
  </si>
  <si>
    <t>Religion/Religious Studies, Other.</t>
  </si>
  <si>
    <t>(NEW) Any instructional program in religion/religious studies not listed above.</t>
  </si>
  <si>
    <t>38.99</t>
  </si>
  <si>
    <t>Philosophy and Religious Studies, Other.</t>
  </si>
  <si>
    <t>Instructional content is defined in code 38.9999.</t>
  </si>
  <si>
    <t>Any instructional program in philosophy and religion not listed above.</t>
  </si>
  <si>
    <t>Instructional programs that focus on the intramural study of theology and that prepare individuals for the professional practice of religious vocations.</t>
  </si>
  <si>
    <t>39.01</t>
  </si>
  <si>
    <t>Biblical and Other Theological Languages and Literatures.</t>
  </si>
  <si>
    <t>(Deleted, Report under 16.1103)</t>
  </si>
  <si>
    <t>39.02</t>
  </si>
  <si>
    <t>Instructional content is defined in code 39.0201.</t>
  </si>
  <si>
    <t>A program that focuses on the Christian and/or Jewish Bible and related literature, with an emphasis on understanding and interpreting the theological, doctrinal, and ethical messages contained therein.  May include preparation for applying these studies in various religious vocations.</t>
  </si>
  <si>
    <t>39.03</t>
  </si>
  <si>
    <t>Missions/Missionary Studies and Missiology.</t>
  </si>
  <si>
    <t>Instructional content is defined in code 39.0301.</t>
  </si>
  <si>
    <t>A program that focuses on the theory and practice of religious outreach, social service and proselytization, and that prepares individuals for mission vocations.  Includes instruction in theology, evangelism, preaching, medical and social mission work, missionary education, missionary aviation, emergency services, legal and political aspects of working in other countries, and preparation for ordination as missionaries.</t>
  </si>
  <si>
    <t>39.04</t>
  </si>
  <si>
    <t>Religious Education.</t>
  </si>
  <si>
    <t>Instructional content is defined in code 39.0401.</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</si>
  <si>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</si>
  <si>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39.05</t>
  </si>
  <si>
    <t>Religious/Sacred Music.</t>
  </si>
  <si>
    <t>Instructional content is defined in code 39.0501.</t>
  </si>
  <si>
    <t>A program that focuses on the history, theory, composition, and performance of music for religious or sacred purposes, and that prepares individuals for religious musical vocations such as choir directors, Cantors, organists, and chanters.</t>
  </si>
  <si>
    <t>39.06</t>
  </si>
  <si>
    <t>Theological and Ministerial Studies.</t>
  </si>
  <si>
    <t>Instructional content for this group of programs is defined in codes 39.0601- 39.0699.</t>
  </si>
  <si>
    <t>Theology/Theological Studies.</t>
  </si>
  <si>
    <t>A program that focuses on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</si>
  <si>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Divinity/Ministry (BD, MDiv.</t>
  </si>
  <si>
    <t>).  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</si>
  <si>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H.L./Rav).  (Deleted, Report under code 39.0605 or 39.0606).</t>
  </si>
  <si>
    <t>Pre-Theology/Pre-Ministerial Studies.</t>
  </si>
  <si>
    <t>A program that prepares individuals to enter a seminary or other program leading to religious ordination, or a related religious vocation.</t>
  </si>
  <si>
    <t>H.L./Rav).  (NEW)   A program that prepares individuals for ordination as Rabbis. Includes instruction in Talmud, Halacha, Liturgy and Rituals, Rabbinical Thought, Jewish Ethics, Jewish Education, Pastoral Counseling and Homiletics.</t>
  </si>
  <si>
    <t>(NEW)  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</si>
  <si>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Theological and Ministerial Studies, Other.</t>
  </si>
  <si>
    <t>Any instructional program in theological and ministerial studies not listed above, including preparation for religious vocations in faiths other than Christianity and Judaism.</t>
  </si>
  <si>
    <t>Instructional content for this group of programs is defined in codes 39.0701- 39.0799.</t>
  </si>
  <si>
    <t>Pastoral Studies/Counseling.</t>
  </si>
  <si>
    <t>A program that focuses on the theory and principles of pastoral care and prepares ordained clergy to provide non-clinical pastoral counseling to individuals and groups.  Includes instruction in pastoral leadership, counseling psychology; crisis intervention; individual and group procedures; theological and spiritual counseling; pastoral care; and applications to specific types of ministry.</t>
  </si>
  <si>
    <t>51.1506</t>
  </si>
  <si>
    <t>Clinical Pastoral Counseling/Patient Counseling.</t>
  </si>
  <si>
    <t>39.0702</t>
  </si>
  <si>
    <t>Youth Ministry.</t>
  </si>
  <si>
    <t>(NEW) 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</si>
  <si>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39.0799</t>
  </si>
  <si>
    <t>Pastoral Counseling and Specialized Ministries, Other.</t>
  </si>
  <si>
    <t>(NEW)  Any instructional program in pastoral counseling and specialized ministries not listed above.</t>
  </si>
  <si>
    <t>39.99</t>
  </si>
  <si>
    <t>Theology and Religious Vocations, Other.</t>
  </si>
  <si>
    <t>Instructional content is defined in code 39.9999.</t>
  </si>
  <si>
    <t>Any instructional program in theological studies and religious vocations not listed above.</t>
  </si>
  <si>
    <t>Instructional programs that focus on the scientific study of inanimate objects, processes of matter and energy, and associated phenomena.</t>
  </si>
  <si>
    <t>40.01</t>
  </si>
  <si>
    <t>Physical Sciences.</t>
  </si>
  <si>
    <t>Instructional content is defined in code 40.0101.</t>
  </si>
  <si>
    <t>A program that focuses on the major topics, concepts, processes, and interrelationships of physical phenomena as studied in any combination of physical science disciplines.</t>
  </si>
  <si>
    <t>40.02</t>
  </si>
  <si>
    <t>Astronomy and Astrophysics.</t>
  </si>
  <si>
    <t>Instructional content for this group of programs is defined in codes 40.0201- 40.0299.</t>
  </si>
  <si>
    <t>Astronomy.</t>
  </si>
  <si>
    <t>(NEW) 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</si>
  <si>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26.0507</t>
  </si>
  <si>
    <t>Immunology.</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</si>
  <si>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signalling, immunosuppression, immunotherapy, immunogenetics, disease markers, transplantation, antibody humanization, and microbial pathogenesis.  (Moved from 26.0618)</t>
  </si>
  <si>
    <t>26.0599</t>
  </si>
  <si>
    <t>Microbiological Sciences and Immunology, Other.</t>
  </si>
  <si>
    <t>(NEW) Any instructional program in the microbiological sciences and immunology not listed above.</t>
  </si>
  <si>
    <t>26.06</t>
  </si>
  <si>
    <t>Miscellaneous Biological Specializations.</t>
  </si>
  <si>
    <t>(Deleted).</t>
  </si>
  <si>
    <t>(Moved, Report under 26.0403)</t>
  </si>
  <si>
    <t>(Moved, Report under 26.1301)</t>
  </si>
  <si>
    <t>Marine/Aquatic Biology (Moved, Report under 26.</t>
  </si>
  <si>
    <t>1302).</t>
  </si>
  <si>
    <t>Neuroscience.</t>
  </si>
  <si>
    <t>(Moved, Report under 30.2401)</t>
  </si>
  <si>
    <t>(Moved, Report under 30.1901)</t>
  </si>
  <si>
    <t>(Moved, Report under 26.0505)</t>
  </si>
  <si>
    <t>(Moved, Report under 26.0209)</t>
  </si>
  <si>
    <t>Toxicology.</t>
  </si>
  <si>
    <t>(Moved, Report under 26.1004)</t>
  </si>
  <si>
    <t>Genetics, Plant and Animal.</t>
  </si>
  <si>
    <t>(Deleted, Report under code 26.0804 or 26.0805)</t>
  </si>
  <si>
    <t>Biometrics.</t>
  </si>
  <si>
    <t>(Moved, Report under 26.1101)</t>
  </si>
  <si>
    <t>Biostatistics.</t>
  </si>
  <si>
    <t>(Moved, Report under 26.1102)</t>
  </si>
  <si>
    <t>(Moved, Report under 26.1201)</t>
  </si>
  <si>
    <t>Evolutionary Biology.</t>
  </si>
  <si>
    <t>(Moved, Report under 26.1303)</t>
  </si>
  <si>
    <t>Biological Immunology.</t>
  </si>
  <si>
    <t>(Moved, Report under 26.0507)</t>
  </si>
  <si>
    <t>(Moved, Report under 26.0504)</t>
  </si>
  <si>
    <t>Miscellaneous Biological Speclizations, Other.</t>
  </si>
  <si>
    <t>Instructional content for this group of programs is defined in codes 26.0701- 26.0799.</t>
  </si>
  <si>
    <t>A general program that focuses on the scientific study of the biology of animal species and phyla, with reference to their molecular and cellular systems, anatomy, physiology, and behavior.  Includes instruction in molecular and cell biology, microbiology, anatomy and physiology, ecology and behavior, evolutionary biology, and applications to specific species and phyla.</t>
  </si>
  <si>
    <t>A program that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</si>
  <si>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Pathology, Human and Animal.</t>
  </si>
  <si>
    <t>(Deleted, Report under 26.0910)</t>
  </si>
  <si>
    <t>Pharmacology.</t>
  </si>
  <si>
    <t>(Moved, Report under 26.1001)</t>
  </si>
  <si>
    <t>Physiology, Human and Animal.</t>
  </si>
  <si>
    <t>(Deleted, Report under 26.0707 or 26.0901)</t>
  </si>
  <si>
    <t>(NEW)  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</si>
  <si>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Physiology, Pathology and Related Sciences.</t>
  </si>
  <si>
    <t>26.0708</t>
  </si>
  <si>
    <t>Animal Behavior and Ethology.</t>
  </si>
  <si>
    <t>(NEW) 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</si>
  <si>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(NEW)  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</si>
  <si>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Zoology/Animal Biology, Other.</t>
  </si>
  <si>
    <t>Any instructional program in zoology/animal biology not listed above.</t>
  </si>
  <si>
    <t>(NEW)  Instructional content for this group of programs is defined in codes 26.0801- 26.0899.</t>
  </si>
  <si>
    <t>26.0801</t>
  </si>
  <si>
    <t>Genetics, General.</t>
  </si>
  <si>
    <t>(NEW) 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</si>
  <si>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26.0802</t>
  </si>
  <si>
    <t>Molecular Genetics.</t>
  </si>
  <si>
    <t>(NEW) A program that focuses on the scientific study of the molecular mechanisms regulating gene expression, information transfer, replication, and stability in DNA and RNA.  Includes instruction in prokaryotic genetics and gene expression; development and evolution of gene sequences and anatomical forms; biochemistry of gene replication and recombination; transcription and processing; genomics; chromatin architecture; and DNA/RNA structure.</t>
  </si>
  <si>
    <t>26.0803</t>
  </si>
  <si>
    <t>Microbial and Eukaryotic Genetics.</t>
  </si>
  <si>
    <t>(NEW)  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</si>
  <si>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(NEW) 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</si>
  <si>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26.0806</t>
  </si>
  <si>
    <t>(Report under 26.0806)</t>
  </si>
  <si>
    <t>(NEW) 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</si>
  <si>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Human/Medical Genetics.</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</si>
  <si>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diseases.(Moved from 51.1306)</t>
  </si>
  <si>
    <t>51.1509</t>
  </si>
  <si>
    <t>Genetic Counseling/Counselor.</t>
  </si>
  <si>
    <t>51.0914</t>
  </si>
  <si>
    <t>Gene/Genetic Therapy.</t>
  </si>
  <si>
    <t>26.0899</t>
  </si>
  <si>
    <t>Genetics, Other.</t>
  </si>
  <si>
    <t>(NEW) Any instructional program in genetics not listed above.</t>
  </si>
  <si>
    <t>(NEW) Instructional content for this group of programs is defined in codes 26.0901- 26.0999.</t>
  </si>
  <si>
    <t>26.0901</t>
  </si>
  <si>
    <t>(NEW)  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</si>
  <si>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(NEW)  A program that focuses on the scientific study of dynamic interactive processes and biochemical communications at the subcellular level.  Includes instruction in ion channels and transporters, molecular signalling pathways, endocrine control and regulation, genetic information transfer, homeostasis and molecular control systems, electrophysiology and sensory mechanisms, protein synthesis, and applicable research methods and technologies.</t>
  </si>
  <si>
    <t>(NEW) 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</si>
  <si>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26.0904</t>
  </si>
  <si>
    <t>Endocrinology.</t>
  </si>
  <si>
    <t>(NEW)  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</si>
  <si>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26.0905</t>
  </si>
  <si>
    <t>Reproductive Biology.</t>
  </si>
  <si>
    <t>(NEW) 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</si>
  <si>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26.0906</t>
  </si>
  <si>
    <t>Neurobiology and Neurophysiology.</t>
  </si>
  <si>
    <t>(NEW)  A program that focuses on the scientific study of the cellular and molecular basis of the lower and higher neural functions in animals and human beings, organ system behavior and the immune response, and the control of physiological systems.  Includes instruction in computational biology, computer modeling, protein biochemistry, electrophysiology, morphological basis of behavior, neural signal transduction and reception, synaptic activity, neurotransmission, sensory perception and sensorimotor interaction, inflammation and neurodegeneration, neurological and autoimmune disease, immune response, maintenance of homeostasis, and autonomic function.</t>
  </si>
  <si>
    <t>30.2401</t>
  </si>
  <si>
    <t>Biopsychology.</t>
  </si>
  <si>
    <t>26.0907</t>
  </si>
  <si>
    <t>Cardiovascular Science.</t>
  </si>
  <si>
    <t>(NEW) 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</si>
  <si>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26.0908</t>
  </si>
  <si>
    <t>Exercise Physiology.</t>
  </si>
  <si>
    <t>(NEW) 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</si>
  <si>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Kinesiology and Exercise Science.</t>
  </si>
  <si>
    <t>26.0909</t>
  </si>
  <si>
    <t>Vision Science/Physiological Optics.</t>
  </si>
  <si>
    <t>(NEW)  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</si>
  <si>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26.0910</t>
  </si>
  <si>
    <t>(NEW) 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</si>
  <si>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26.0911</t>
  </si>
  <si>
    <t>Oncology and Cancer Biology.</t>
  </si>
  <si>
    <t>(NEW)  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</si>
  <si>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26.0999</t>
  </si>
  <si>
    <t>Physiology, Pathology, and Related Sciences, Other.</t>
  </si>
  <si>
    <t>(NEW) Any instructional program in physiology, pathology, and related sciences not listed above.</t>
  </si>
  <si>
    <t>(NEW)  Instructional content for this group of programs is defined in codes 26.1001- 26.1099.</t>
  </si>
  <si>
    <t>26.1001</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</si>
  <si>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 (Moved from 26.0705)</t>
  </si>
  <si>
    <t>51.2506</t>
  </si>
  <si>
    <t>26.1002</t>
  </si>
  <si>
    <t>Molecular Pharmacology.</t>
  </si>
  <si>
    <t>(NEW)   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</si>
  <si>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26.1003</t>
  </si>
  <si>
    <t>Neuropharmacology.</t>
  </si>
  <si>
    <t>(NEW) 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</si>
  <si>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26.1004</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</si>
  <si>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  (Moved from 26.0612)</t>
  </si>
  <si>
    <t>26.1005</t>
  </si>
  <si>
    <t>Molecular Toxicology.</t>
  </si>
  <si>
    <t>(NEW)  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signalling, transcriptional activation, mutagenesis and carcinogenesis, pulmonary toxicology, xenobiotic metabolism, oxidative stress, risk assessment, molecular dosimetry, and studies of specific toxins and treatment therapies.</t>
  </si>
  <si>
    <t>26.1006</t>
  </si>
  <si>
    <t>Environmental Toxicology.</t>
  </si>
  <si>
    <t>(NEW)   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</si>
  <si>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26.1007</t>
  </si>
  <si>
    <t>(NEW) 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</si>
  <si>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26.1099</t>
  </si>
  <si>
    <t>Pharmacology and Toxicology, Other.</t>
  </si>
  <si>
    <t>(NEW)  Any instructional program in pharmacology and toxicology not listed above.</t>
  </si>
  <si>
    <t>26.11</t>
  </si>
  <si>
    <t>Biomathematics and Bioinformatics.</t>
  </si>
  <si>
    <t>(NEW) Instructional content for this group of programs is defined in codes 26.1101- 26.1199.</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</si>
  <si>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management.(Moved from 26.0614)</t>
  </si>
  <si>
    <t>26.1102</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</si>
  <si>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 (Moved from 26.0615)</t>
  </si>
  <si>
    <t>(NEW)  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</si>
  <si>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26.1199</t>
  </si>
  <si>
    <t>Biomathematics and Bioinformatics, Other.</t>
  </si>
  <si>
    <t>(NEW)  Any instructional program in biomathematics and bioinformatics not listed above.</t>
  </si>
  <si>
    <t>26.12</t>
  </si>
  <si>
    <t>(NEW)  Instructional content is defined in 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</si>
  <si>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  (Moved from 26.0616)</t>
  </si>
  <si>
    <t>Ecology, Evolution, Systematics, and Population Biology.</t>
  </si>
  <si>
    <t>(NEW)  Instructional content for this group of programs is defined in codes 26.1301 - 26.1399.</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</si>
  <si>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  (Moved from 26.0603)</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</si>
  <si>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 (Moved from 26.0607)</t>
  </si>
  <si>
    <t>26.1303</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</si>
  <si>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  (Moved from 26.0617)</t>
  </si>
  <si>
    <t>(NEW)  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</si>
  <si>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(NEW) 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</si>
  <si>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26.1306</t>
  </si>
  <si>
    <t>Population Biology.</t>
  </si>
  <si>
    <t>(NEW) 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</si>
  <si>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(NEW) 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</si>
  <si>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26.1308</t>
  </si>
  <si>
    <t>Systematic Biology/Biological Systematics.</t>
  </si>
  <si>
    <t>(NEW) 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</si>
  <si>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26.1309</t>
  </si>
  <si>
    <t>Epidemiology.</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</si>
  <si>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  (Moved from 51.2203)</t>
  </si>
  <si>
    <t>26.1399</t>
  </si>
  <si>
    <t>Ecology, Evolution, Systematics and Population Biology, Other.</t>
  </si>
  <si>
    <t>(NEW)  Any instructional program in ecology, evolution, and systematics not listed above.</t>
  </si>
  <si>
    <t>26.99</t>
  </si>
  <si>
    <t>Biological and Biomedical Sciences, Other.</t>
  </si>
  <si>
    <t>(NEW)  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</si>
  <si>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Fashion/Apparel Design.</t>
  </si>
  <si>
    <t>19.0904</t>
  </si>
  <si>
    <t>Textile Science.</t>
  </si>
  <si>
    <t>(NEW)  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</si>
  <si>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19.0905</t>
  </si>
  <si>
    <t>Apparel and Textile Marketing Management.</t>
  </si>
  <si>
    <t>(NEW)  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</si>
  <si>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t>
  </si>
  <si>
    <t>Fashion Merchandising.</t>
  </si>
  <si>
    <t>19.0906</t>
  </si>
  <si>
    <t>Fashion and Fabric Consultant.</t>
  </si>
  <si>
    <t>A program that prepares individuals to assist in apparel and fashion selection, style coordination, customer sales and consulting, fabric selection, clothing specifications, and contractbuying activities. Includes instruction in supplying regular clothing needs or acting as a consultant for special events such as weddings. (Moved from 20.0306)</t>
  </si>
  <si>
    <t>19.0999</t>
  </si>
  <si>
    <t>Apparel and Textiles, Other.</t>
  </si>
  <si>
    <t>(NEW)  Any instructional program in apparel and textiles not listed above.</t>
  </si>
  <si>
    <t>19.99</t>
  </si>
  <si>
    <t>Family and Consumer Sciences/Human Sciences, Other.</t>
  </si>
  <si>
    <t>Instructional content is defined in code 19.9999.</t>
  </si>
  <si>
    <t>Any instructional program in family and consumer sciences/human sciences not listed above.</t>
  </si>
  <si>
    <t>20.</t>
  </si>
  <si>
    <t>VOCATIONAL HOME ECONOMICS.</t>
  </si>
  <si>
    <t>(The entire series has been deleted, programs have been integrated into and should be reported under the appropriate codes in Series 19.).  Refer to the Crosswalk in table 3  for a specification of how/where these programs should be reported.</t>
  </si>
  <si>
    <t>21.</t>
  </si>
  <si>
    <t>Programs for Series 21.</t>
  </si>
  <si>
    <t>22.</t>
  </si>
  <si>
    <t>LEGAL PROFESSIONS AND STUDIES.</t>
  </si>
  <si>
    <t>Instructional programs that prepare individuals for the legal profession, for related support professions and professional legal research, and focus on the study of legal issues in non-professional programs.</t>
  </si>
  <si>
    <t>22.00</t>
  </si>
  <si>
    <t>Non-Professional General Legal Studies (Undergraduate).</t>
  </si>
  <si>
    <t>(NEW)  Instructional content for  this group of programs is defined in codes 22.0000- 22.0001.</t>
  </si>
  <si>
    <t>Legal Studies, General.</t>
  </si>
  <si>
    <t>(NEW)  A general program that focuses on law and legal issues from the perspective of the social sciences and humanities.</t>
  </si>
  <si>
    <t>22.0001</t>
  </si>
  <si>
    <t>Pre-Law Studies.</t>
  </si>
  <si>
    <t>A program that prepares individuals for the professional study of law at the post-baccalaureate level. (Moved from 22.0102)</t>
  </si>
  <si>
    <t>22.01</t>
  </si>
  <si>
    <t>Law (LL.</t>
  </si>
  <si>
    <t>B, J.D.).  Instructional content is defined in code 22.0101.</t>
  </si>
  <si>
    <t>B., J.D.).  A program that prepares individuals for theindependent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</si>
  <si>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(Moved, Report under 22.0001)</t>
  </si>
  <si>
    <t>Paralegal/Legal Assistant.</t>
  </si>
  <si>
    <t>(Moved, Report under 22.0302)</t>
  </si>
  <si>
    <t>Judicial Science/Legal Specialization.</t>
  </si>
  <si>
    <t>(Deleted, Report under 22.0299)</t>
  </si>
  <si>
    <t>Law and Legal Studies, Other.</t>
  </si>
  <si>
    <t>(Moved, Report under 22.9999)</t>
  </si>
  <si>
    <t>22.02</t>
  </si>
  <si>
    <t>Legal Research and Advanced Professional Studies (Post-LL.</t>
  </si>
  <si>
    <t>B./J.D.). (NEW)  Instructional content for this group of programs is defined in codes 22.0201- 22.0299.</t>
  </si>
  <si>
    <t>22.0201</t>
  </si>
  <si>
    <t>Advanced Legal Research/Studies, General (LL.</t>
  </si>
  <si>
    <t>M., M.C.L., M.L.I., M.S.L., J.S.D./S.J.D.). (NEW)  An integrated or undifferentiated program in one or more of  the legal research or advanced practice fields.</t>
  </si>
  <si>
    <t>22.0202</t>
  </si>
  <si>
    <t>Programs for Foreign Lawyers (LL.</t>
  </si>
  <si>
    <t>M., M.C.L.). (NEW)  A program that prepares lawyers educated outside the United States to understand U. S. or Canadian law and jurisprudence.</t>
  </si>
  <si>
    <t>22.0203</t>
  </si>
  <si>
    <t>American/U.</t>
  </si>
  <si>
    <t>S. Law/Legal Studies/Jurisprudence (LL.M., M.C.J., J.S.D./S.J.D.). (NEW) An advanced, professional program of the U. S. legal system, Constitution law, and jurisprudence.  Includes instruction in legal history, legal sociology, philosophy of law, Constitutional law, legal procedure, and related topics.</t>
  </si>
  <si>
    <t>22.0204</t>
  </si>
  <si>
    <t>Canadian Law/Legal Studies/Jurisprudence (LL.</t>
  </si>
  <si>
    <t>M., M.C.J., J.S.D./S.J.D.). (NEW)   An advanced, professional study of the Canadian legal system, Constitution law, and jurisprudence.  Includes instruction in legal history, legal sociology, philosophy of law, Constitutional law, Commonwealth law, legal procedure, and related topics.</t>
  </si>
  <si>
    <t>22.0205</t>
  </si>
  <si>
    <t>Banking, Corporate, Finance, and Securities Law (LL.</t>
  </si>
  <si>
    <t>M., J.S.D./S.J.D.). (NEW) 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</si>
  <si>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22.0206</t>
  </si>
  <si>
    <t>Comparative Law (LL.</t>
  </si>
  <si>
    <t>M., M.C.L., J.S.D./S.J.D.). (NEW) An advanced, professional study of legal systems and philosophies in comparative perspective.</t>
  </si>
  <si>
    <t>22.0207</t>
  </si>
  <si>
    <t>Energy, Environment, and Natural Resources Law (LL.</t>
  </si>
  <si>
    <t>M., M.S., J.S.D./S.J.D.). (NEW)  An advanced, professional study of  the law, policies, and regulations governing the energy industry, environmental protection, natural resources and land use, and related topics.</t>
  </si>
  <si>
    <t>22.0208</t>
  </si>
  <si>
    <t>Health Law (LL.</t>
  </si>
  <si>
    <t>M., M.J., J.S.D./S.J.D.). (NEW) An advanced, professional study of the law, policies and regulations affecting the health care industry, health professions, health services and insurance industries, and patients.</t>
  </si>
  <si>
    <t>22.0209</t>
  </si>
  <si>
    <t>International Law and Legal Studies (LL.</t>
  </si>
  <si>
    <t>M., J.S.D./S.J.D.). (NEW) An advanced, professional study of the law affecting relations between nations, the behavior of international organizations, and the international activities of private citizens and organizations.</t>
  </si>
  <si>
    <t>22.0210</t>
  </si>
  <si>
    <t>International Business, Trade, and Tax Law (LL.</t>
  </si>
  <si>
    <t>M., J.S.D./S.J.D.). (NEW) An advanced, professional study of the law, policies, and regulations governing transnational business and commercial practices, including the specialized tax law related to international financial transactions.</t>
  </si>
  <si>
    <t>22.0211</t>
  </si>
  <si>
    <t>Tax Law/Taxation (LL.</t>
  </si>
  <si>
    <t>M, J.S.D./S.J.D.). (NEW) An advanced, professional study of tax law and taxation procedures in U. S. or Canadian jurisdictions affecting individuals and corporations.</t>
  </si>
  <si>
    <t>22.0299</t>
  </si>
  <si>
    <t>Legal Research and Advanced Professional Studies, Other.</t>
  </si>
  <si>
    <t>(NEW)   Any program in legal research and advanced professional studies not listed above.</t>
  </si>
  <si>
    <t>22.03</t>
  </si>
  <si>
    <t>Legal Support Services.</t>
  </si>
  <si>
    <t>(NEW)  Instructional content for this group of programs is defined in codes 22.0301 - 22.0399.</t>
  </si>
  <si>
    <t>22.0301</t>
  </si>
  <si>
    <t>Legal Administrative Assistant/Secretary.</t>
  </si>
  <si>
    <t>A program that prepares individuals to serve as legal office managers, special assistants, and legal secretaries.  Includes instruction in office management, secretarial science, principles of U. S. or Canadian law, legal terminology and documentation, legal research, legal software applications, law office procedures, record-keeping, billing, applicable policies and regulations, and professional standards and ethics.   (Moved from 52.0403)</t>
  </si>
  <si>
    <t>22.0302</t>
  </si>
  <si>
    <t>Legal Assistant/Paralegal.</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</si>
  <si>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   (Moved from 22.0103)</t>
  </si>
  <si>
    <t>22.0303</t>
  </si>
  <si>
    <t>Court Reporting/Court Reporter.</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</si>
  <si>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  (Moved from 52.0405)</t>
  </si>
  <si>
    <t>22.0399</t>
  </si>
  <si>
    <t>Legal Support Services, Other.</t>
  </si>
  <si>
    <t>(NEW) Any program in legal support services not listed above.</t>
  </si>
  <si>
    <t>22.99</t>
  </si>
  <si>
    <t>Legal Professions and Studies, Other.</t>
  </si>
  <si>
    <t>(NEW)  Instructional content is defined in code 22.9999.</t>
  </si>
  <si>
    <t>22.9999</t>
  </si>
  <si>
    <t>(NEW)  Any program in law, legal services, and legal studies not listed above.</t>
  </si>
  <si>
    <t>Instructional programs that focus on the structure and use of the English language and dialects, speech, writing, and various aspects of the literatures and cultures of the English-speaking peoples.</t>
  </si>
  <si>
    <t>23.01</t>
  </si>
  <si>
    <t>Instructional content is defined in code 23.0101.</t>
  </si>
  <si>
    <t>A general program that focuses on the English language, including its history, structure and related communications skills; and the literature and culture of English-speaking peoples.</t>
  </si>
  <si>
    <t>23.03</t>
  </si>
  <si>
    <t>(Moved, Report under 16.0104)</t>
  </si>
  <si>
    <t>23.04</t>
  </si>
  <si>
    <t>English Composition.</t>
  </si>
  <si>
    <t>Instructional content is defined in code 23.0401.</t>
  </si>
  <si>
    <t>A program that focuses on the principles of English vocabulary, grammar, morphology, syntax and semantics; and techniques of selecting, developing, arranging, combining and expressing ideas in appropriate written forms.</t>
  </si>
  <si>
    <t>23.05</t>
  </si>
  <si>
    <t>Creative Writing.</t>
  </si>
  <si>
    <t>Instructional content is defined in code 23.0501.</t>
  </si>
  <si>
    <t>A program that focuses on the process and techniques of original composition in various literary forms such as the short story, poetry, the novel, and others.  Includes instruction in technical and editorial skills, criticism, and the marketing of finished manuscripts.</t>
  </si>
  <si>
    <t>23.07</t>
  </si>
  <si>
    <t>American Literature (United States and Canadian.</t>
  </si>
  <si>
    <t>)  Instructional content for this group of programs is defined in codes 23.0701- 23.0702.</t>
  </si>
  <si>
    <t>A program that focuses on the literature and literary development, both formal and folkloric, of the United States from the Colonial Era to the present.  Includes instruction in period and genre studies, author studies, literary criticism, and regional and oral traditions.</t>
  </si>
  <si>
    <t>(NEW)  A program that focuses on the literature and literary development, both formal and folkloric, of Canada from its origins to the present.  Includes instruction in period and genre studies, author studies, literary criticism, and regional and oral traditions.</t>
  </si>
  <si>
    <t>23.08</t>
  </si>
  <si>
    <t>Instructional content is defined in code 23.0801.</t>
  </si>
  <si>
    <t>A program that focuses on the literatures and literary developments of the English-speaking peoples of the British Isles and the British Commonwealth, from the origins of the English language to the present.  Includes instruction in period and genre studies, author studies, country and regional specializations, literary criticism, and the study of folkloric traditions.</t>
  </si>
  <si>
    <t>23.10</t>
  </si>
  <si>
    <t>Instructional content is defined in code 23.1001.</t>
  </si>
  <si>
    <t>A program that focuses on human interpersonal communication from the scientific/behavioral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</si>
  <si>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23.11</t>
  </si>
  <si>
    <t>Technical and Business Writing.</t>
  </si>
  <si>
    <t>Instructional content is defined in code 23.1101.</t>
  </si>
  <si>
    <t>A program that focuses on the theory, methods, and skills needed for writing and editing scientific, technical and business papers and monographs.</t>
  </si>
  <si>
    <t>23.99</t>
  </si>
  <si>
    <t>English Language and Literature/Letters, Other.</t>
  </si>
  <si>
    <t>Instructional content is defined in code 23.9999.</t>
  </si>
  <si>
    <t>Any instructional program in English language and literature not listed above.</t>
  </si>
  <si>
    <t>24.</t>
  </si>
  <si>
    <t>LIBERAL ARTS AND SCIENCES, GENERAL STUDIES AND HUMANITIES.</t>
  </si>
  <si>
    <t>General instructional programs and independent or individualized studies in the liberal arts subjects, the humanities disciplines and the general curriculum.</t>
  </si>
  <si>
    <t>24.01</t>
  </si>
  <si>
    <t>Liberal Arts and Sciences, General Studies and Humanities.</t>
  </si>
  <si>
    <t>Instructional content for this group of programs is defined in codes 24.0101- 24.0199.</t>
  </si>
  <si>
    <t>Liberal Arts and Sciences/Liberal Studies.</t>
  </si>
  <si>
    <t>A program that is a structured combination of the arts, biological and physical sciences, social sciences, and humanities, emphasizing breadth of study.  Includes instruction in independently designed, individualized, or regular programs.</t>
  </si>
  <si>
    <t>General Studies.</t>
  </si>
  <si>
    <t>An undifferentiated program that includes instruction in the general arts, general science, or unstructured studies.</t>
  </si>
  <si>
    <t>Humanities/Humanistic Studies.</t>
  </si>
  <si>
    <t>A program that focuses on combined studies and research in the humanities subjects as distinguished from the social and physical sciences, emphasizing languages, literatures, art, music, philosophy and religion.</t>
  </si>
  <si>
    <t>Liberal Arts and Sciences, General Studies and Humanities, Other.</t>
  </si>
  <si>
    <t>Any single instructional program in liberal arts and sciences, general studies and humanities not listed above.</t>
  </si>
  <si>
    <t>25.</t>
  </si>
  <si>
    <t>LIBRARY SCIENCE.</t>
  </si>
  <si>
    <t>Instructional programs that focus on the knowledge and skills required for managing and/or maintaining libraries and related information and record systems,  collections and facilities for research and general use.</t>
  </si>
  <si>
    <t>25.01</t>
  </si>
  <si>
    <t>Instructional content is defined in code 25.0101.</t>
  </si>
  <si>
    <t>A program that focuses on the knowledge and skills required to develop, organize, store, retrieve, administer, and facilitate the use of local, remote, and networked collections of information in print, audiovisual, and electronic formats and that prepares individuals for professional service as librarians and information consultants.</t>
  </si>
  <si>
    <t>54.0105</t>
  </si>
  <si>
    <t>Public/Applied History and Archival Administration.</t>
  </si>
  <si>
    <t>25.03</t>
  </si>
  <si>
    <t>Library Assistant.</t>
  </si>
  <si>
    <t>Instructional content is defined in code 25.0301.</t>
  </si>
  <si>
    <t>Library Assistant/Technician.</t>
  </si>
  <si>
    <t>A program that prepares individuals to assist professional librarians.  Includes instruction in principles, systems, processes, and procedures of library operation; library resources and services; processes of acquisition, cataloging, storage, and display systems; discovery and retrieval of requested materials; management of books, periodicals, and other documents.</t>
  </si>
  <si>
    <t>Library Science.</t>
  </si>
  <si>
    <t>Museology/Museum Studies.</t>
  </si>
  <si>
    <t>25.99</t>
  </si>
  <si>
    <t>Library Science, Other.</t>
  </si>
  <si>
    <t>Instructional content is defined in code 25.9999.</t>
  </si>
  <si>
    <t>Any instructional program in library science not listed above.</t>
  </si>
  <si>
    <t>Instructional programs that focus on the biological sciences and the non-clinical biomedical sciences, and that prepare individuals for research and professional careers as biologists and biomedical scientists.</t>
  </si>
  <si>
    <t>30.</t>
  </si>
  <si>
    <t>51.</t>
  </si>
  <si>
    <t>26.01</t>
  </si>
  <si>
    <t>Biology, General.</t>
  </si>
  <si>
    <t>Instructional content for this group of programs is defined in codes 26.0101 - 26.0102.</t>
  </si>
  <si>
    <t>A general program of biology at the introductory, basic level or a program in biology or the biological sciences that is undifferentiated as to title or content.  Includes instruction in general biology and programs covering a variety of biological specializations.</t>
  </si>
  <si>
    <t>26.0102</t>
  </si>
  <si>
    <t>Biomedical Sciences, General.</t>
  </si>
  <si>
    <t>(NEW)  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</si>
  <si>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Biochemistry, Biophysics and Molecular Biology.</t>
  </si>
  <si>
    <t>Instructional content for this group of programs is defined in codes 26.0202- 26.0299.</t>
  </si>
  <si>
    <t>Biochemistry.</t>
  </si>
  <si>
    <t>A program that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bio-organic chemistry, protein chemistry, bioanalytical chemistry, bioseparations, regulatory biochemistry, enzymology, hormonal chemistry, calorimetry, and research methods and equipment operation.</t>
  </si>
  <si>
    <t>Biophysics.</t>
  </si>
  <si>
    <t>A program that focuses on the application of physics principles to the scientific study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</si>
  <si>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26.0204</t>
  </si>
  <si>
    <t>Molecular Biology.</t>
  </si>
  <si>
    <t>A program that focuses on the scientific study of the structure and function of biological macromolecules and the role of molecular constituents and mechanisms in supramolecular assemblies and cells.  Includes instruction in such topics as molecular signalling and transduction, regulation of cell growth, enzyme substrates and mechanisms of enzyme action, DNA-protein interaction, and applications to fields such as biotechnology, genetics, cell biology, and physiology.(Moved from 26.0402)</t>
  </si>
  <si>
    <t>26.0205</t>
  </si>
  <si>
    <t>Molecular Biochemistry.</t>
  </si>
  <si>
    <t>(NEW) 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</si>
  <si>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26.0206</t>
  </si>
  <si>
    <t>Molecular Biophysics.</t>
  </si>
  <si>
    <t>(NEW) 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</si>
  <si>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26.0207</t>
  </si>
  <si>
    <t>Structural Biology.</t>
  </si>
  <si>
    <t>(NEW) 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</si>
  <si>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26.0208</t>
  </si>
  <si>
    <t>Photobiology.</t>
  </si>
  <si>
    <t>(NEW)  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</si>
  <si>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26.0209</t>
  </si>
  <si>
    <t>Radiation Biology/Radiobiology.</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</si>
  <si>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  (Moved from 26.0611)</t>
  </si>
  <si>
    <t>26.0210</t>
  </si>
  <si>
    <t>Biochemistry/Biophysics and Molecular Biology.</t>
  </si>
  <si>
    <t>(NEW)  An integrated, combined program that focuses on the structure, function, and dynamic behavior of the components of biological systems at the submolecular, molecular, and supramolecular levels and their influence on biological activity at the cellular, tissue, organ, and organismic levels.  Includes instruction in biochemistry, biophysics, structural biology, molecular biology, and research applications and methods appropriate to specific topics.</t>
  </si>
  <si>
    <t>26.0299</t>
  </si>
  <si>
    <t>Biochemistry, Biophysics and Molecular Biology, Other.</t>
  </si>
  <si>
    <t>(NEW) Any instructional program in biochemistry, biophysics and molecular biology not listed above.</t>
  </si>
  <si>
    <t>Instructional content for this group of programs is defined in codes 26.0301- 26.0399.</t>
  </si>
  <si>
    <t>A program that focuses on the scientific study of plants, related microbial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</si>
  <si>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Plant Pathology/Phytopathology.</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</si>
  <si>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</si>
  <si>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Plant Physiology.</t>
  </si>
  <si>
    <t>A program that focuses on the scientific study of plant internal dynamics and systems, plant-environment interaction, and plant life cycles and processes.  Includes instruction in cell and molecular biology; plant nutrition; plant respiration; plant growth, behavior, and reproduction; photosynthesis; plant systemics; and ecology.</t>
  </si>
  <si>
    <t>26.0308</t>
  </si>
  <si>
    <t>Plant Molecular Biology.</t>
  </si>
  <si>
    <t>(NEW) 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</si>
  <si>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Botany/Plant Biology, Other.</t>
  </si>
  <si>
    <t>Any instructional program in botany/plant biology not listed above.</t>
  </si>
  <si>
    <t>26.04</t>
  </si>
  <si>
    <t>Instructional content for this group of programs is defined in codes 26.0401- 26.0499.</t>
  </si>
  <si>
    <t>Cell/Cellular Biology and Histology.</t>
  </si>
  <si>
    <t>A program that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extracellular matrices, cell dynamics and motility, meiosis and mytosis, signal transduction, regulation, recognition and defense mechanisms, the cell cycle, cell metabolism and respiration, gene expression, and studies of cell types and characteristics.</t>
  </si>
  <si>
    <t>(Moved, Report under 26.0204)</t>
  </si>
  <si>
    <t>26.0403</t>
  </si>
  <si>
    <t>Anatomy.</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</si>
  <si>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  (Moved from 26.0601)</t>
  </si>
  <si>
    <t>26.0404</t>
  </si>
  <si>
    <t>Developmental Biology and Embryology.</t>
  </si>
  <si>
    <t>(NEW)  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</si>
  <si>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26.0405</t>
  </si>
  <si>
    <t>Neuroanatomy.</t>
  </si>
  <si>
    <t>(NEW)  A program that focuses on the scientific study of structure and function of the brain and central nervous system.  Includes instruction in the molecular biology of neural cells and circuits, cognitive biology, neural transmitters and receptors, neuronal signalling and control of physical function, membrane and synapse structure and communication, autonomic function, nervous system circuitry and mapping, anatomy of neurological disease and disorders, brain studies, protein chemistry, and computational biology.</t>
  </si>
  <si>
    <t>26.0406</t>
  </si>
  <si>
    <t>Cell/Cellular and Molecular Biology.</t>
  </si>
  <si>
    <t>(NEW) An integrated, combined program that focuses on the scientific study of cells, cellular systems, and the molecular basis of cell structure and function.  Includes instruction in cell biology, cell chemistry, molecular biology, biophysics, and structural biology.</t>
  </si>
  <si>
    <t>26.0407</t>
  </si>
  <si>
    <t>Cell Biology and Anatomy.</t>
  </si>
  <si>
    <t>(NEW)  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</si>
  <si>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Cell/Cellular Biology and Anatomical Sciences, Other.</t>
  </si>
  <si>
    <t>Any instructional program in cell/cellular biology and anatomical sciences not listed above.</t>
  </si>
  <si>
    <t>Instructional content for this group of programs is defined in codes 16.0502- 16.0599.</t>
  </si>
  <si>
    <t>Microbiology/Bacteriology.</t>
  </si>
  <si>
    <t>(Deleted, Report under 26.0503)</t>
  </si>
  <si>
    <t>26.0502</t>
  </si>
  <si>
    <t>Microbiology, General.</t>
  </si>
  <si>
    <t>(NEW)  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</si>
  <si>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26.0503</t>
  </si>
  <si>
    <t>Medical Microbiology and Bacteriology.</t>
  </si>
  <si>
    <t>(NEW)  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</si>
  <si>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26.0504</t>
  </si>
  <si>
    <t>Virology.</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</si>
  <si>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  (Moved from 26.0619)</t>
  </si>
  <si>
    <t>26.0505</t>
  </si>
  <si>
    <t>Parasitology.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</si>
  <si>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parasitology.(Moved from 26.0610)</t>
  </si>
  <si>
    <t>26.0506</t>
  </si>
  <si>
    <t>Mycology.</t>
  </si>
  <si>
    <t>(NEW) A program that focuses on the Tamil language and related dialects as spoken in South India and Sri Lanka.  Includes instruction in Tamil philology, Classical and Modern Tamil, Tamil dialects, and applications in business, science/technology, and other settings.</t>
  </si>
  <si>
    <t>16.0707</t>
  </si>
  <si>
    <t>Urdu Language and Literature.</t>
  </si>
  <si>
    <t>(NEW) A program that focuses on the Urdu language and related dialects as spoken in Pakistan and portions of India and Afghanistan.  Includes instruction in Urdu philology, Modern Urdu, Urdu dialects, and applications in business, science/technology, and other settings.</t>
  </si>
  <si>
    <t>16.0799</t>
  </si>
  <si>
    <t>South Asian Languages, Literatures, and Linguistics, Other.</t>
  </si>
  <si>
    <t>(NEW) Any instructional program in South Asian languages, literatures, and linguistics not listed above, including such languages as Bihari, Marathi, Gujarati, Rajasthani, Oriya, Nepalese, Sinhalese, Assamese, Sindhi, Romany, Telugu, Kannanda, Malayalam, and others.</t>
  </si>
  <si>
    <t>16.08</t>
  </si>
  <si>
    <t>Iranian/Persian Languages, Literatures, and Linguistics.</t>
  </si>
  <si>
    <t>(NEW) Instructional content is defined in code 16.0801.</t>
  </si>
  <si>
    <t>16.0801</t>
  </si>
  <si>
    <t>(NEW)  A program that focuses on the languages used in ancient, medieval, and modern Iran and its border regions.  Includes instruction in modern Farsi/Persian; Avestan/Old Persian; related modern languages such as Pashto, Kurdish, Baluchi, Dari, Tadzhik, Ossetian, and others; related extinct languages such as Median, Parthian, Bactrian, Sogdian, and Khwarezmian; and applications of modern Farsi and other languages to applications in business, science/technology, and other settings.</t>
  </si>
  <si>
    <t>Instructional content for this group of programs is defined in codes 16.0900- 16.0999.</t>
  </si>
  <si>
    <t>Romance Languages, Literatures, and Linguistics, General.</t>
  </si>
  <si>
    <t>(NEW)  A general program that focuses on one or more of the Romance languages of Western, Central, and Southern Europe.  Includes instruction in philology, linguistics, dialects and pidgins, literature, and applications to business, science/technology, and other settings.</t>
  </si>
  <si>
    <t>A program that focuses on the French language and related dialects and creoles.  Includes instruction in French philology, Metropolitan French, Canadian French, African and Caribbean Creoles, French regional dialects, and applications in business, science/technology, and other settings.</t>
  </si>
  <si>
    <t>A program that focuses on the Italian language and related dialects.  Includes instruction in Italian philology, Modern Italian, Italian regional dialects, and applications in business, science/technology, and other settings.</t>
  </si>
  <si>
    <t>Portuguese Language and Literature.</t>
  </si>
  <si>
    <t>A program that focuses on the Portuguese language and related dialects.  Includes instruction in Portuguese philology, Metropolitan Portuguese, Luso-Brazilian Portuguese, regional dialects, and applications in business, science/technology, and other settings.</t>
  </si>
  <si>
    <t>A program that focuses on the Spanish language and related dialects.  Includes instruction in Spanish philology, Modern Castillan, various Latin American dialects, regional Spanish dialects, and applications in business, science/technology, and other settings.</t>
  </si>
  <si>
    <t>16.0906</t>
  </si>
  <si>
    <t>Romanian Language and Literature.</t>
  </si>
  <si>
    <t>(NEW) A program that focuses on the Romanian language and related dialects.  Includes instruction in Romanian philology, Modern Romanian, Romanian regional dialects, and applications in business, science/technology, and other settings.</t>
  </si>
  <si>
    <t>16.0907</t>
  </si>
  <si>
    <t>Catalan Language and Literature.</t>
  </si>
  <si>
    <t>(NEW)  A program that focuses on the Catalan language and related dialects.  Includes instruction in Catalan philology, Modern Catalan, Catalan dialects, and applications in business, science/technology, and other settings.</t>
  </si>
  <si>
    <t>Romance Languages, Literatures, and Linguistics, Other.</t>
  </si>
  <si>
    <t>Any instructional program in Romance languages, literatures, and linguistics not listed above, including such languages as Rhaeto-Romansch, Friulian, Galician, Sardinian, Provençal/Langue d'Oc, and others.</t>
  </si>
  <si>
    <t>16.10</t>
  </si>
  <si>
    <t>(NEW)  Instructional content is defined in code 16.1001.</t>
  </si>
  <si>
    <t>(NEW) A program that focuses on one or more of the languages native to the Western Hemisphere, with an emphasis on American Indian languages but including other Native American langu</t>
  </si>
  <si>
    <t>Instructional content for this group of programs is defined in codes 16.1100- 16.1199.</t>
  </si>
  <si>
    <t>Semitic Languages, Literatures, and Linguistics, General.</t>
  </si>
  <si>
    <t>(NEW)  A general program that focuses on one or more of the Semitic languages of Western Asia, North Africa, and Europe.  Includes instruction in philology, linguistics, dialects and pidgins, literature, and applications to business, science/technology, and other settings.</t>
  </si>
  <si>
    <t>Arabic Language and Literature.</t>
  </si>
  <si>
    <t>A program that focuses on the Arabic language as spoken by the Arab and other peoples from earliest times to the present.  Includes instruction in Arabic philology, Classical Arabic, Modern Standard Arabic, Arabic dialects, and applications to business, science/technology, and other settings.</t>
  </si>
  <si>
    <t>Hebrew Language and Literature.</t>
  </si>
  <si>
    <t>A program that focuses on the Hebrew language in either pre-modern or modern forms.  Includes instruction in Hebrew philology, Biblical Hebrew (including Pre- and Post-Exilic scripts), Modern Hebrew, dialects and offshoots such as Samaritan, and applications to business, science/technology, and other settings.</t>
  </si>
  <si>
    <t>39.0605</t>
  </si>
  <si>
    <t>Rabbinical Studies (M.</t>
  </si>
  <si>
    <t>39.0606</t>
  </si>
  <si>
    <t>Talmudic Studies.</t>
  </si>
  <si>
    <t>16.1103</t>
  </si>
  <si>
    <t>Ancient Near Eastern and Biblical Languages, Literatures, and Linguistics.</t>
  </si>
  <si>
    <t>(NEW) A program that focuses on one or more of the extinct Semitic and/or Non-Semitic languages spoken in the ancient Near East, including those used to write historical Jewish and Christian religious texts.  Includes instruction in languages such as Egyptian/Coptic, Sumerian, Akkadian, Babylonian, Assyrian, Aramaic, Cannanite, Phonecian, Samarian, Ugaritic, Syriac, Mandean, Hattic, Elamite, Hurrian, Hittite, Urartian, Lydian, Luwian, Lycian, Palaic, Sabaean/South Arabian, and other associated languages, plus allied disciplines such as philology, epigraphy, papyrology, numismatics, and textual studies.</t>
  </si>
  <si>
    <t>Bible/Biblical Studies.</t>
  </si>
  <si>
    <t>Middle/Near Eastern and Semitic Languages, Literatures, and Linguistics, Other.</t>
  </si>
  <si>
    <t>Any instructional program in Middle/Near Eastern and Semitic languages, literatures, and linguistics not listed above, including such languages as Maltese, the Berber languages, Modern Assyrian, and the Cushitic languages.</t>
  </si>
  <si>
    <t>16.12</t>
  </si>
  <si>
    <t>Classics and Classical Languages, Literatures, and Linguistics.</t>
  </si>
  <si>
    <t>Instructional content for this group of programs is defined in codes 16.1200- 16.1299.</t>
  </si>
  <si>
    <t>Classics and Classical Languages, Literatures, and Linguistics, General.</t>
  </si>
  <si>
    <t>A general program that focuses on the literary culture of the ancient Graeco-Roman world and the Greek and Latin languages and literatures and their development prior to the fall of the Roman Empire. (Moved from 16.1201)</t>
  </si>
  <si>
    <t>30.2201</t>
  </si>
  <si>
    <t>Ancient Studies/Civilization.</t>
  </si>
  <si>
    <t>History.</t>
  </si>
  <si>
    <t>Classics and Classical Languages and Literatures.</t>
  </si>
  <si>
    <t>(Moved, Report under 16.1200)</t>
  </si>
  <si>
    <t>Ancient/Classical Greek Language and Literature.</t>
  </si>
  <si>
    <t>A program that focuses on the Greek language and literature from its origins through the fall of the Byzantine (Eastern Roman) Empire, as a secular and/or theological subject.  Includes instruction in Greek philology, Attic dialects, Hellenistic dialects, Koine (Biblical) Greek, and Medieval or Byzantine Greek.</t>
  </si>
  <si>
    <t>Latin Language and Literature.</t>
  </si>
  <si>
    <t>A program that focuses on the Latin language and literature from its origins through its decline and its current ecclesiastical usage, as a secular and/or theological subject.  Includes instruction in Latin philology, related Italic dialects, Late Roman and Medieval Latin, and modern Church Latin.</t>
  </si>
  <si>
    <t>Classics and Classical Languages, Literatures, and Linguistics, Other.</t>
  </si>
  <si>
    <t>Any instructional program in classics and classical languages, literatures, and linguistics not listed above, including non-Latin Italic languages of the ancient period such as Etruscan, Samnian, Oscan, and others.</t>
  </si>
  <si>
    <t>16.13</t>
  </si>
  <si>
    <t>(NEW) Instructional content is defined in code 16.1301.</t>
  </si>
  <si>
    <t>(NEW) A program that focuses on the historical and modern languages spoken by the Celtic peoples of the British Isles, Continental Europe, and Asia Minor.  Includes instruction in Celtic philology; modern languages such as Irish, Scots Gaelic, Welsh, and Breton; and extinct or revived languages such as Cornish, Manx, Galatian, and others.</t>
  </si>
  <si>
    <t>(NEW)  Instructional content for this group of programs is defined in codes 16.1400 - 16.1499.</t>
  </si>
  <si>
    <t>16.1400</t>
  </si>
  <si>
    <t>Southeast Asian Languages, Literatures, and Linguistics, General.</t>
  </si>
  <si>
    <t>(NEW)  A program that generally focuses on one or more of the modern o r historical languages spoken or originating in mainland Southeast Asia and the Indonesian and Philippines Archipelagoes, including members of the Thai, Tibeto-Burman, and Malayo-Polynesian language families. Programs may involve multiple languages and language families, not be specific as to the name of the language(s) studied, or be otherwise undifferentiated.</t>
  </si>
  <si>
    <t>16.1401</t>
  </si>
  <si>
    <t>Australian/Oceanic/Pacific Languages, Literatures, and Linguistics.</t>
  </si>
  <si>
    <t>(NEW)  A program that focuses on the languages spoken by the Melanesian, Micronesian, and Polynesian peoples inhabiting Papua/New Guinea, Australia, New Zealand, and the island groups of the Pacific Ocean.  Includes instruction in such languages as the Papuan languages (Pidgin, Police Motu, and others); the Australian languages; Micronesian languages (Nauruan, Fijian, Mola, and others); and the Polynesian languages (Maori, Tahitian, Tongan, Samoan, and others); their oral and written literature; and applications to business, science/technology, and other settings.</t>
  </si>
  <si>
    <t>16.1402</t>
  </si>
  <si>
    <t>Bahasa Indonesian/Bahasa Malay Languages and Literatures.</t>
  </si>
  <si>
    <t>(NEW)  A program that focuses on the modern Bahasa Malay and Bahasa Indonesian languages spoken in Indonesia, Malaysia, and Singapore.  Includes instruction in Malay and Indonesian philology, Bahasa Indonesian, Bahasa Malay, historical Malay and Javanese, Bahasa dialects, and applications to business, science/technology, and other settings.</t>
  </si>
  <si>
    <t>16.1403</t>
  </si>
  <si>
    <t>Burmese Language and Literature.</t>
  </si>
  <si>
    <t>(NEW)  A program that focuses on the Burmese language.  Includes instruction in Burmese philology, literature, and applications to business, science/technology, and other settings.</t>
  </si>
  <si>
    <t>16.1404</t>
  </si>
  <si>
    <t>Filipino/Tagalog Language and Literature.</t>
  </si>
  <si>
    <t>(NEW)  A program that focuses on the modern Filipino/Tagalog language as used in the Philippines.  Includes instruction in Filipino philology, literature, and applications to business, science/technology, and other settings.</t>
  </si>
  <si>
    <t>16.1405</t>
  </si>
  <si>
    <t>Khmer/Cambodian Language and Literature.</t>
  </si>
  <si>
    <t>(NEW)   A program that focuses on the Khmer language as spoken in Cambodia.  Includes instruction in Mon-Khmer philology, Classical and Modern Khmer, literature, and applications to business, science/technology, and other settings.</t>
  </si>
  <si>
    <t>16.1406</t>
  </si>
  <si>
    <t>Lao/Laotian Language and Literature.</t>
  </si>
  <si>
    <t>(NEW) A program that focuses on the Laotian language.  Includes instruction in Laotian philology, Modern Laotian and dialects, literature, and applications to business, science/technology, and other settings.</t>
  </si>
  <si>
    <t>16.1407</t>
  </si>
  <si>
    <t>Thai Language and Literature.</t>
  </si>
  <si>
    <t>(NEW) A program that focuses on the Thai languages.  Includes instruction in Thai philology, dialects, literature, and applications to business, science/technology, and other settings.</t>
  </si>
  <si>
    <t>16.1408</t>
  </si>
  <si>
    <t>Vietnamese Language and Literature.</t>
  </si>
  <si>
    <t>(NEW) A program that focuses on the Vietnamese language.  Includes instruction in Vietnamese philology, Classical and Modern Vietnamese, dialects, literature, and applications to business, science/technology, and other settings.</t>
  </si>
  <si>
    <t>16.1499</t>
  </si>
  <si>
    <t>Southeast Asian and Australasian/Pacific Languages, Literatures, and Linguistics, Other.</t>
  </si>
  <si>
    <t>(NEW) Any instructional program in Southeast Asian and Australasian/Pacific languages, literatures, and linguistics not listed above, including such languages as Shan, Yuan, Lolo-Moso, Bodo, Naga, Kachin, Karen, Sundan, Malagasy, Batak, Madurese, Makassarese, Achinese, Bisayan, Ilokano, Dayak, and others.</t>
  </si>
  <si>
    <t>Turkic, Ural-Altaic, Caucasian, and Central Asian Languages, Literatures, and Lingustics.</t>
  </si>
  <si>
    <t>(NEW) Instructional content for this group of programs is defined in codes 16.1501 - 16.1599.</t>
  </si>
  <si>
    <t>16.1501</t>
  </si>
  <si>
    <t>Turkish Language and Literature.</t>
  </si>
  <si>
    <t>(NEW)  A program that focuses on the Turkish language in either or both of its pre-modern and modern variants.  Includes instruction in Turkish philology, Ottoman Turkish, Modern Turkish, Turkish dialects, and applications to business, science/technology, and other settings.</t>
  </si>
  <si>
    <t>16.1502</t>
  </si>
  <si>
    <t>Finnish and Related Languages, Literatures, and Linguistics.</t>
  </si>
  <si>
    <t>(NEW) A program that focuses on Finnish and related Finnic languages such as Estonian, Karelian, Sami, and others.  Includes instruction in Finnish and Finnic philology, oral and written literatures, and applications to business, science/technology, and other settings.</t>
  </si>
  <si>
    <t>16.1503</t>
  </si>
  <si>
    <t>Hungarian/Magyar Language and Literature.</t>
  </si>
  <si>
    <t>(NEW)  A program that focuses on the Hungarian language.  Includes instruction in Hungarian philology, Hungarian literature, and applications to business, science/technology, and other settings.</t>
  </si>
  <si>
    <t>16.1504</t>
  </si>
  <si>
    <t>Mongolian Language and Literature.</t>
  </si>
  <si>
    <t>(NEW)  A program that focuses on the Mongolian language.  Includes instruction in Mongolian philology, Mongolian dialects, oral and written literature, and applications to business, science/technology, and other settings.</t>
  </si>
  <si>
    <t>16.1599</t>
  </si>
  <si>
    <t>Turkic, Ural-Altaic, Caucasian, and Central Asian Languages, Literatures, and Linguistics, Other.</t>
  </si>
  <si>
    <t>(NEW)  Any instructional program in the Turkic, Caucasian, and Central Asian Languages, Literatures, and Linguistics not listed above including languages such as Altaic, Armenian, Avaric, Azeri, Chechen-Ingushetian, Bashkir, Georgian, Kazakh, Kirghiz,  Tatar, Turkmen, Uighur, Uzbek, and others.</t>
  </si>
  <si>
    <t>16.16</t>
  </si>
  <si>
    <t>American Sign Language.</t>
  </si>
  <si>
    <t>(NEW)  Instructional content for this group of programs is defined in codes 16.1601- 16.1699.</t>
  </si>
  <si>
    <t>16.1601</t>
  </si>
  <si>
    <t>American Sign Language (ASL).</t>
  </si>
  <si>
    <t>(NEW)  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</si>
  <si>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16.1602</t>
  </si>
  <si>
    <t>Linguistics of ASL and Other Sign Languages.</t>
  </si>
  <si>
    <t>(NEW)  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such as ASL, Auslan (Australian Sign Language), LSF (French Sign Language), Shuwa jiten (Japanese Sign Language), HamNoSys (German Sign Language), Gestuno, and others.</t>
  </si>
  <si>
    <t>Sign Language Interpretation and Translation.</t>
  </si>
  <si>
    <t>A program that prepares individuals to function as simultaneous interpreters of American Sign Language (ASL) and other sign language systems employed to assist the hearing impaired, both one-way and two-way.  Includes instruction in American Sign Language (ASL), alternative sign languages, finger spelling, vocabulary and expressive nuances, oral and physical translation skills, cross-cultural communications, slang and colloquialisms, and technical interpretation.  (Moved from 51.0205)</t>
  </si>
  <si>
    <t>16.1699</t>
  </si>
  <si>
    <t>American Sign Language, Other.</t>
  </si>
  <si>
    <t>(NEW)  Any instructional program that focuses on American Sign Language as a communication medium or language skill that is not listed above.</t>
  </si>
  <si>
    <t>16.99</t>
  </si>
  <si>
    <t>Foreign Languages, Literatures, and Linguistics, Other.</t>
  </si>
  <si>
    <t>Instructional content is defined in code 16.9999.</t>
  </si>
  <si>
    <t>Any instructional program in foreign languages, literatures, and linguistics not listed above, including such unassigned languages as Basque and others.</t>
  </si>
  <si>
    <t>Instructional programs that focus on the human interface with the physical, social, emotional, and intellectual environments and the developmental stages and needs of individuals in the interrelated spheres of family, workplace, and community.  Note (  This broad field was formerly known as Home Economics and Human Ecology and includes the postsecondary programs of the CIP Series 20., Vocational Home Economics.</t>
  </si>
  <si>
    <t>19.00</t>
  </si>
  <si>
    <t>Work and Family Studies.</t>
  </si>
  <si>
    <t>(NEW)  Instructional content is defined in code 19.0000.</t>
  </si>
  <si>
    <t>(NEW)  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</si>
  <si>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19.01</t>
  </si>
  <si>
    <t>Instructional content is defined in code 19.0101.</t>
  </si>
  <si>
    <t>A general program that focuses on family and consumer sciences, including how individuals develop and function in family, work, and community settings and how they relate to their physical, social, emotional, and intellectual environments.</t>
  </si>
  <si>
    <t>19.02</t>
  </si>
  <si>
    <t>Family and Consumer Sciences/Human Sciences Business Services.</t>
  </si>
  <si>
    <t>Instructional content for this group of programs is defined in codes 19.0201- 19.0299.</t>
  </si>
  <si>
    <t>Business Family and Consumer Sciences/Human Sciences.</t>
  </si>
  <si>
    <t>A program that focuses on the relationship between the economy and the consuming individual and family.  Includes instruction in consumption theory and practice, the production and distribution of retail goods and services, and the management of business enterprises.</t>
  </si>
  <si>
    <t>Family and Consumer Sciences/Human Sciences Communication.</t>
  </si>
  <si>
    <t>A program that focuses on communication of human sciences subject matter and related consumer information to a variety of audiences through print and non-print media.</t>
  </si>
  <si>
    <t>19.0203</t>
  </si>
  <si>
    <t>Consumer Merchandising/Retailing Management.</t>
  </si>
  <si>
    <t>(NEW)  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</si>
  <si>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52.1801</t>
  </si>
  <si>
    <t>52.1803</t>
  </si>
  <si>
    <t>Retailing and Retail Operations.</t>
  </si>
  <si>
    <t>Marketing/Marketing Management, General.</t>
  </si>
  <si>
    <t>19.0299</t>
  </si>
  <si>
    <t>Family and Consumer Sciences/Human Sciences Business Services, Other.</t>
  </si>
  <si>
    <t>(NEW)  Any instructional program in family and consumer sciences/human sciences business services not listed above.</t>
  </si>
  <si>
    <t>19.03</t>
  </si>
  <si>
    <t>Family and Community Studies.</t>
  </si>
  <si>
    <t>(Moved, Report under 19.0707)</t>
  </si>
  <si>
    <t>19.04</t>
  </si>
  <si>
    <t>Family and Consumer Economics and Related Studies.</t>
  </si>
  <si>
    <t>Instructional content for this group of programs is defined in codes 19.0401- 19.0499.</t>
  </si>
  <si>
    <t>Family Resource Management Studies, General.</t>
  </si>
  <si>
    <t>A general program that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</si>
  <si>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Financial Planning and Services.</t>
  </si>
  <si>
    <t>Consumer Economics.</t>
  </si>
  <si>
    <t>A program that focuses on the application of micro- and macro-economic theory to consumer behavior and individual and family consumption of goods and services.  Includes instruction in modeling, economic forecasting, indexing, price theory, and analysis of individual commodities and services and/or groups of related commodities and services.</t>
  </si>
  <si>
    <t>Economics.</t>
  </si>
  <si>
    <t>19.0403</t>
  </si>
  <si>
    <t>Consumer Services and Advocacy.</t>
  </si>
  <si>
    <t>(NEW)  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</si>
  <si>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Family and Consumer Economics and Related Services, Other.</t>
  </si>
  <si>
    <t>Any instructional program in family and consumer economics and related services not listed above.</t>
  </si>
  <si>
    <t>19.05</t>
  </si>
  <si>
    <t>Foods, Nutrition, and Related Services.</t>
  </si>
  <si>
    <t>Instructional content for this group of programs is defined in codes 19.0501- 19.0599.</t>
  </si>
  <si>
    <t>Foods, Nutrition, and Wellness Studies, General.</t>
  </si>
  <si>
    <t>A general program that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safety and food composition.</t>
  </si>
  <si>
    <t>Foods and Nutrition Science.</t>
  </si>
  <si>
    <t>(Deleted, Report under 19.0501)</t>
  </si>
  <si>
    <t>Dietetics/Human Nutritional Services.</t>
  </si>
  <si>
    <t>(Deleted, Report under 51.3101 or  51.3102).</t>
  </si>
  <si>
    <t>(NEW)  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</si>
  <si>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51.31</t>
  </si>
  <si>
    <t>Foodservice Systems Administration/Management.</t>
  </si>
  <si>
    <t>A program that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organization of food service systems, purchasing, personnel management, and related business practices.</t>
  </si>
  <si>
    <t>Restaurant/Food Services Management.</t>
  </si>
  <si>
    <t>Foods, Nutrition, and Related Services, Other.</t>
  </si>
  <si>
    <t>Any instructional program in foods, nutrition, and related services not listed above.</t>
  </si>
  <si>
    <t>19.06</t>
  </si>
  <si>
    <t>Instructional content for this group of programs is defined in codes 19.0601- 19.0699.</t>
  </si>
  <si>
    <t>Housing and Human Environments, General.</t>
  </si>
  <si>
    <t>A general program that focuses on the behavioral, social, economic, functional, and aesthetic aspects of housing, interiors, and other built environments.  Includes instruction in analyzing, planning, designing, furnishing, and equipping residential, work, and leisure spaces to meet user needs and the study of related public policies.</t>
  </si>
  <si>
    <t>Interior Environments.</t>
  </si>
  <si>
    <t>(Deleted, Report under 19.0601)</t>
  </si>
  <si>
    <t>19.0604</t>
  </si>
  <si>
    <t>Facilities Planning and Management.</t>
  </si>
  <si>
    <t>(NEW) 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</si>
  <si>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19.0605</t>
  </si>
  <si>
    <t>Home Furnishings and Equipment Installers.</t>
  </si>
  <si>
    <t>A program that prepares individuals to assist in home furnishings and decorations. Includes instruction in selecting, purchasing designing, and decorating; Home furnishings and equipment; floral design; accessory construction;textiles; and upholstery.  (Moved from 20.0501)</t>
  </si>
  <si>
    <t>Housing and Human Environments, Other.</t>
  </si>
  <si>
    <t>Any instructional program in housing and human environments not listed above.</t>
  </si>
  <si>
    <t>19.07</t>
  </si>
  <si>
    <t>Human Development, Family Studies, and Related Services.</t>
  </si>
  <si>
    <t>Instructional content for this group of programs is defined in codes 19.0701- 19.0799.</t>
  </si>
  <si>
    <t>Human Development and Family Studies, General.</t>
  </si>
  <si>
    <t>A general program that focuses on basic human developmental and behavioral characteristics of the individual within the context of the family.  Includes instruction in the conditions that influence human growth and development; strategies that promote growth and development across the life span; and the study of family systems.</t>
  </si>
  <si>
    <t>19.0702</t>
  </si>
  <si>
    <t>Adult Development and Aging.</t>
  </si>
  <si>
    <t>(NEW) 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</si>
  <si>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Gerontology.</t>
  </si>
  <si>
    <t>Family and Marriage Counseling.</t>
  </si>
  <si>
    <t>(Moved, Report under 51.1505)</t>
  </si>
  <si>
    <t>Family Systems.</t>
  </si>
  <si>
    <t>A program that focuses on the family as a social unit in its developmental, dynamic, comparative, and structural aspects, and the significance of the family as a system that impacts individuals and society.  Includes instruction in related principles of sociology, psychology, behavioral sciences, and the humanities.</t>
  </si>
  <si>
    <t>42.2501</t>
  </si>
  <si>
    <t>Family Psychology.</t>
  </si>
  <si>
    <t>Gerontological Services.</t>
  </si>
  <si>
    <t>(Deleted, Report under 19.0702)</t>
  </si>
  <si>
    <t>Child Development.</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</si>
  <si>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</si>
  <si>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19.0707</t>
  </si>
  <si>
    <t>Family and Community Services.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</si>
  <si>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   (Moved from 19.0301)</t>
  </si>
  <si>
    <t>44.07</t>
  </si>
  <si>
    <t>Social Work.</t>
  </si>
  <si>
    <t>Clinical/Medical Social Work.</t>
  </si>
  <si>
    <t>19.0708</t>
  </si>
  <si>
    <t>Child Care and Support Services Management.</t>
  </si>
  <si>
    <t>(NEW)  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</si>
  <si>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19.0709</t>
  </si>
  <si>
    <t>Child Care Provider/Assistant.</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</si>
  <si>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  (Moved from 20.0202)</t>
  </si>
  <si>
    <t>Human Development, Family Studies, and Related Services, Other.</t>
  </si>
  <si>
    <t>Any instructional program in human development, family studies, and related services not listed above.</t>
  </si>
  <si>
    <t>19.09</t>
  </si>
  <si>
    <t>Apparel and Textiles.</t>
  </si>
  <si>
    <t>Instructional content for this group of programs is defined in codes 19.0901- 19.0999.</t>
  </si>
  <si>
    <t>Apparel and Accessories Marketing Operations.</t>
  </si>
  <si>
    <t>Apparel and Textiles, General.</t>
  </si>
  <si>
    <t>A general program that focuses on the development of textile products and their distribution and use in terms of the psychological, social, economic, and physical needs of consumers.  Includes instruction in the production, distribution, marketing, and end use of various apparel and textile products.</t>
  </si>
  <si>
    <t>Apparel and Textile Manufacture.</t>
  </si>
  <si>
    <t>Quality Control and Safety Technologies/Technicians.</t>
  </si>
  <si>
    <t>Instructional content for this group of programs is defined in codes 15.0701- 15.0799.</t>
  </si>
  <si>
    <t>A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</si>
  <si>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Quality Control Technology/Technician.</t>
  </si>
  <si>
    <t>A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</si>
  <si>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15.0703</t>
  </si>
  <si>
    <t>Industrial Safety Technology/Technician.</t>
  </si>
  <si>
    <t>(NEW)  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</si>
  <si>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15.0704</t>
  </si>
  <si>
    <t>Hazardous Materials Information Systems Technology/Technician.</t>
  </si>
  <si>
    <t>(NEW) 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</si>
  <si>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Quality Control and Safety Technologies/Technicians, Other.</t>
  </si>
  <si>
    <t>Any instructional program in quality control and safety technologies not listed above.</t>
  </si>
  <si>
    <t>15.08</t>
  </si>
  <si>
    <t>Mechanical Engineering Related Technologies/Technicians.</t>
  </si>
  <si>
    <t>Instructional content for this group of programs is defined in codes 15.0801- 15.0899.</t>
  </si>
  <si>
    <t>A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</si>
  <si>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Avionics Maintenance Technology/Technician.</t>
  </si>
  <si>
    <t>Automotive Engineering Technology/Technician.</t>
  </si>
  <si>
    <t>A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</si>
  <si>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Automobile/Automotive Mechanics Technology/Technician.</t>
  </si>
  <si>
    <t>Mechanical Engineering/Mechanical Technology/Technician.</t>
  </si>
  <si>
    <t>A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system-testing procedures, test equipment operation and maintenance, and report preparation.</t>
  </si>
  <si>
    <t>Mechanical Engineering Related Technologies/Technicians, Other.</t>
  </si>
  <si>
    <t>Any instructional program in mechanical engineering-related technologies not listed above.</t>
  </si>
  <si>
    <t>15.09</t>
  </si>
  <si>
    <t>Mining and Petroleum Technologies/Technicians.</t>
  </si>
  <si>
    <t>Instructional content for this group of programs is defined in codes 15.0901- 15.0999.</t>
  </si>
  <si>
    <t>A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</si>
  <si>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A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</si>
  <si>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Mining and Petroleum Technologies/Technicians, Other.</t>
  </si>
  <si>
    <t>Any instructional program in mining and petroleum engineering technologies not listed above.</t>
  </si>
  <si>
    <t>15.10</t>
  </si>
  <si>
    <t>Construction Engineering Technologies.</t>
  </si>
  <si>
    <t>Instructional content is defined in code 15.1001.</t>
  </si>
  <si>
    <t>A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</si>
  <si>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15.11</t>
  </si>
  <si>
    <t>Engineering-Related Technologies.</t>
  </si>
  <si>
    <t>Instructional content is defined in codes 15.1102 - 15.1199.</t>
  </si>
  <si>
    <t>Engineering Technology/Technician, General.</t>
  </si>
  <si>
    <t>(Moved, Report under 15.0000)</t>
  </si>
  <si>
    <t>Surveying Technology/Surveying.</t>
  </si>
  <si>
    <t>A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</si>
  <si>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Hydraulics and Fluid Power Technology/Technician.</t>
  </si>
  <si>
    <t>A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</si>
  <si>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15.1199</t>
  </si>
  <si>
    <t>Engineering-Related Technologies, Other.</t>
  </si>
  <si>
    <t>(NEW)  Any programs in engineering-related technologies and technicians not listed above.</t>
  </si>
  <si>
    <t>15.12</t>
  </si>
  <si>
    <t>Computer Engineering Technologies/Technicians.</t>
  </si>
  <si>
    <t>(NEW)  Instructional content for this group of programs is defined in codes 15.1201- 15.1299.</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</si>
  <si>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 (Moved from 15.0301)</t>
  </si>
  <si>
    <t>(NEW) 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</si>
  <si>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Computer Installation and Repair Technology/Technician.</t>
  </si>
  <si>
    <t>(NEW) 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</si>
  <si>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(NEW) A program that prepares individuals to apply basic engineering principles and technical skills to support engineers in developing, implementing, and evaluation computer software and program applications.  Includes instruction in computer programming,  programming languages, databases, user interfaces, networking and warehousing, encryption and security, software testing and evaluation, and customization.</t>
  </si>
  <si>
    <t>15.1299</t>
  </si>
  <si>
    <t>Computer Engineering Technologies/Technicians, Other.</t>
  </si>
  <si>
    <t>(NEW)  Any instructional program in computer engineering technologies not listed above.</t>
  </si>
  <si>
    <t>15.13</t>
  </si>
  <si>
    <t>Drafting/Design Engineering Technologies/Technicians.</t>
  </si>
  <si>
    <t>(NEW)  Instructional content for this group of programs is defined in codes 15.1301- 15.1399.</t>
  </si>
  <si>
    <t>15.1301</t>
  </si>
  <si>
    <t>Drafting and Design Technology/Technician, General.</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</si>
  <si>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  (Moved from 48.0101)</t>
  </si>
  <si>
    <t>15.1302</t>
  </si>
  <si>
    <t>CAD/CADD Drafting and/or Design Technology/Technician.</t>
  </si>
  <si>
    <t>(NEW)  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</si>
  <si>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Architectural Drafting and Architectural CAD/CADD.</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</si>
  <si>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  (Moved from 48.0102)</t>
  </si>
  <si>
    <t>15.1304</t>
  </si>
  <si>
    <t>Civil Drafting and Civil Engineering CAD/CADD.</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</si>
  <si>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  (Moved from 48.0103)</t>
  </si>
  <si>
    <t>15.1305</t>
  </si>
  <si>
    <t>Electrical/Electronics Drafting and Electrical/Electronics CAD/CADD.</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</si>
  <si>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  (Moved from 48.0104)</t>
  </si>
  <si>
    <t>15.1306</t>
  </si>
  <si>
    <t>Mechanical Drafting and Mechanical Drafting CAD/CADD.</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</si>
  <si>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   (Moved from 48.0105)</t>
  </si>
  <si>
    <t>15.1399</t>
  </si>
  <si>
    <t>Drafting/Design Engineering Technologies/Technicians, Other.</t>
  </si>
  <si>
    <t>(NEW)  Any instructional program in drafting/design engineering technologies not listed above.</t>
  </si>
  <si>
    <t>15.14</t>
  </si>
  <si>
    <t>Nuclear Engineering Technologies/Technicians.</t>
  </si>
  <si>
    <t>(NEW)  Instructional content is defined in code 15.1401.</t>
  </si>
  <si>
    <t>15.1401</t>
  </si>
  <si>
    <t>Nuclear Engineering Technology/Technician.</t>
  </si>
  <si>
    <t>(NEW)  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</si>
  <si>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15.15</t>
  </si>
  <si>
    <t>Engineering-Related Fields.</t>
  </si>
  <si>
    <t>(NEW)  Instructional content is defined in code 15.1501.</t>
  </si>
  <si>
    <t>15.1501</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</si>
  <si>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   (Moved from 14.3001)</t>
  </si>
  <si>
    <t>15.99</t>
  </si>
  <si>
    <t>Engineering Technologies/Technicians, Other.</t>
  </si>
  <si>
    <t>Instructional content is defined in code 15.9999.</t>
  </si>
  <si>
    <t>Any instructional program in engineering technologies not listed above.</t>
  </si>
  <si>
    <t>FOREIGN LANGUAGES, LITERATURES, AND LINGUISTICS.</t>
  </si>
  <si>
    <t>Instructional programs that focus on foreign languages and literatures, the humanistic and scientific study of linguistics, and the provision of professional interpretation and translation services.Note  (  Several new programs have been added to the 16. Series to better reflect the globalization of language study programs.</t>
  </si>
  <si>
    <t>16.01</t>
  </si>
  <si>
    <t>Linguistic, Comparative, and Related Language Studies and Services.</t>
  </si>
  <si>
    <t>Instructional content for this group of programs is defined in codes 16.0101- 16.0199.</t>
  </si>
  <si>
    <t>30.2301</t>
  </si>
  <si>
    <t>A general program that focuses on one or more modern foreign languages that is not specific as to the name of the language(s) studied; that is otherwise undifferentiated; or that introduces students to language studies at the basic/elementary level.</t>
  </si>
  <si>
    <t>A program that focuses on language, language development, and relationships among languages and language groups from a humanistic and/or scientific perspective.  Includes instruction in subjects such as psycholinguistics, behavioral linguistics, language acquisition, sociolinguistics, mathematical and computational linguistics, grammatical theory and theoretical linguistics, philosophical linguistics, philology and historical linguistics, comparative linguistics, phonetics, phonemics, dialectology, semantics, functional grammar and linguistics, language typology, lexicography, morphology and syntax, orthography, stylistics, structuralism, rhetoric, and applications to artificial intelligence.</t>
  </si>
  <si>
    <t>Cognitive Psychology and Psycholinguistics.</t>
  </si>
  <si>
    <t>Language Interpretation and Translation.</t>
  </si>
  <si>
    <t>A program that prepares individuals to be professional interpreters and/or translators of documents and data files, either from English or (Canadian) French into another language or languages or vice versa.  Includes intensive instruction in one or more foreign languages plus instruction in subjects such as single- and multiple-language interpretation, one- or two-way interpretation, simultaneous interpretation, general and literary translation, business translation, technical translation, and other specific applications of linguistic skills.</t>
  </si>
  <si>
    <t>Sign Language Interpretation/Interpreter.</t>
  </si>
  <si>
    <t>16.0104</t>
  </si>
  <si>
    <t>Comparative Literature.</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</si>
  <si>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  (Moved from 23.0301)</t>
  </si>
  <si>
    <t>16.0199</t>
  </si>
  <si>
    <t>Linguistic, Comparative, and Related Language Studies and Services, Other.</t>
  </si>
  <si>
    <t>(NEW)  Any instructional program in linguistic, comparative, and related language studies and services not listed above.</t>
  </si>
  <si>
    <t>16.02</t>
  </si>
  <si>
    <t>(NEW) Instructional content is defined in code 16.0201.</t>
  </si>
  <si>
    <t>(NEW) A program that focuses on one or more of the languages native to the African continent, with an emphasis on sub-Saharan Africa but including some Saharan languages and dialects.  Includes instruction in African linguistic philology and diffusion; African literatures (oral and written); Bantu languages (Swahili, Lingala, Tswana, Kongo, Zulu, Xhosa, Luba, Kikuyu, Sotho, Rundi, Rwanda, Swazi, and others); Nilo-Saharan languages (Kanuri, Ibo, Zande, Bagirmi, Dinka, Nubian, Maasai, and others); Niger-Congo languages (Wolof, Temne, Fon, Sango, Mossi, Senufo, Yoruba, Igbo, Akan, Ewe, Fulani, Mande, and others; Khoisan languages (!Kung and others); and the Chadic (Hausa, Margi, and others) and Ethiopic (Amharic, Galla, Ge'ez, Tigre, Tigrinya, and others) languages of the Hamito-Semitic language family.</t>
  </si>
  <si>
    <t>Instructional content for this group of programs is defined in codes 16.0300- 16.0399.</t>
  </si>
  <si>
    <t>East Asian Languages, Literatures, and Linguistics, General.</t>
  </si>
  <si>
    <t>(NEW) A general program that focuses on one or more of the Sino-Tibetan, Japanese, and Korean languages of East Asia.  Includes instruction in philology, linguistics, dialects and pidgins, literature, and applications to business, science/technology, and other settings.</t>
  </si>
  <si>
    <t>A program that focuses on the Chinese language and its associated dialects and literature.  Includes instruction in Chinese philology, Archaic and Classical Chinese, Modern Standard Chinese (Guóyu), Mandarin, Cantonese, Taiwanese, Wu, Min, Hunanese, Hakka, other dialects and pidgins, and applications to business, science/technology, and other settings.</t>
  </si>
  <si>
    <t>A program that focuses on the Japanese language.  Includes instruction in Japanese philology; Ancient, Medieval, and Modern Japanese; Japanese dialects; and applications to business, science/technology, and other settings.</t>
  </si>
  <si>
    <t>(NEW) A program that focuses on the Korean language.  Includes instruction in Korean philology; Pre-Modern and Modern Korean; Korean dialects; and applications to business, science/technology, and other settings.</t>
  </si>
  <si>
    <t>(NEW)  A program that focuses on the Tibetan language.  Includes instruction in Tibetan philology, secular and religious Tibetan, Tibetan dialects, and applications to business, science/technology, Buddhist studies, and other settings.</t>
  </si>
  <si>
    <t>East Asian Languages, Literatures, and Linguistics, Other.</t>
  </si>
  <si>
    <t>Any instructional program in East Asian languages, literatures, and linguistics not listed above, including such languages as Formosan, Miao, Yuan, Manchu, Ainu, and others.</t>
  </si>
  <si>
    <t>Slavic, Baltic and Albanian Languages, Literatures, and Linguistics.</t>
  </si>
  <si>
    <t>Instructional content for this group of programs is defined in codes 16.0400- 16.0499.</t>
  </si>
  <si>
    <t>Slavic Languages, Literatures, and Linguistics, General.</t>
  </si>
  <si>
    <t>(NEW)  A general program that focuses on one or more of the Slavic languages of Central and Eastern Europe.  Includes instruction in philology, linguistics, dialects and pidgins, literature, and applications to business, science/technology, and other settings.</t>
  </si>
  <si>
    <t>(NEW) A program that focuses on the languages of the Baltic peoples and the relationship of Baltic philology to comparative linguistics and Indo-European origins.  Includes instruction in the modern languages of Latvian and Lithuanian, their literature, and applications to business, science/technology, and other settings; and extinct languages such as Old Prussian and Curionian.</t>
  </si>
  <si>
    <t>A program that focuses on the Russian language.  Includes instruction in Russian philology, Old Russian, Modern Russian and dialects, literature, and applications to business, science/technology, and other settings.</t>
  </si>
  <si>
    <t>Slavic Languages and Literatures (Other Than Russian).</t>
  </si>
  <si>
    <t>(Deleted, Report under 16.0400)</t>
  </si>
  <si>
    <t>16.0404</t>
  </si>
  <si>
    <t>Albanian Language and Literature.</t>
  </si>
  <si>
    <t>(NEW) A program that focuses on the Albanian language.  Includes instruction in Albanian/Illyrian philology, Ghegg and Tosk dialects,  Modern Standard Albanian, and applications to business, science/technology, and other settings.</t>
  </si>
  <si>
    <t>16.0405</t>
  </si>
  <si>
    <t>Bulgarian Language and Literature.</t>
  </si>
  <si>
    <t>(NEW)  A program that focuses on the Bulgarian language.  Includes instruction in Bulgarian philology, literature, and applications to business, science/technology, and other settings.</t>
  </si>
  <si>
    <t>Czech Language and Literature.</t>
  </si>
  <si>
    <t>(NEW)  A program that focuses on the Czech language.  Includes instruction in Czech philology, literature, and applications to business, science/technology, and other settings.</t>
  </si>
  <si>
    <t>(NEW)  A program that focuses on the Polish language.  Includes instruction in Polish philology, dialects, literature, and applications to business, science/technology, and other settings.</t>
  </si>
  <si>
    <t>16.0408</t>
  </si>
  <si>
    <t>Serbian, Croatian, and Serbo-Croatian Languages and Literatures.</t>
  </si>
  <si>
    <t>(NEW)  A program that focuses on the Serbian and/or Croatian languages, either separately or considered as related derivatives of a common ancestor language.  Includes instruction in Serbo-Croatian philology, dialects such as Bosnian, Modern Croatian, Modern Serbian, and applications to business, science/technology, and other settings.</t>
  </si>
  <si>
    <t>16.0409</t>
  </si>
  <si>
    <t>Slovak Language and Literature.</t>
  </si>
  <si>
    <t>(NEW) A program that focuses on the Slovak language.  Includes instruction in Slovak philology, dialects, literature, and applications to business, science/technology, and other settings.</t>
  </si>
  <si>
    <t>(NEW)  A program that focuses on the Ukrainian language.  Includes instruction in Ukrainian philology, dialects, literature, and applications to business, science/technology, and other settings.</t>
  </si>
  <si>
    <t>Slavic, Baltic, and Albanian Languages, Literatures, and Linguistics, Other.</t>
  </si>
  <si>
    <t>A program that focuses on Slavic languages, literatures, and linguistics not listed above, including such languages as Lusatian (Sorbian/Wendish), Kashubian, Macedonian, Slovenian, Belarussian, Old Church Slavonic, and others.</t>
  </si>
  <si>
    <t>Instructional content for this group of programs is defined in codes 16.0500- 16.0599.</t>
  </si>
  <si>
    <t>Germanic Languages, Literatures, and Linguistics, General.</t>
  </si>
  <si>
    <t>(NEW)  A general program that focuses on one or more of the Germanic languages of Western, Central, and Northern Europe.  Includes instruction in philology, linguistics, dialects and pidgins, literature, and applications to business, science/technology, and other settings.</t>
  </si>
  <si>
    <t>A program that focuses on the German language and related dialects as used in Austria, Germany, Switzerland, neighboring European countries containing German-speaking minorities, and elsewhere.  Includes instruction in German philology; Old, Middle, and High German; Plattdeutsch and other regional dialects; and applications to business, science/technology, and other settings.</t>
  </si>
  <si>
    <t>A program that focuses on one or more of the languages, literatures, and linguistics of the peoples of Scandinavia and associated Northern European island groups.  Programs may involve multiple languages and language families, not be specific as to the name of the language(s) studied, or be otherwise undifferentiated.</t>
  </si>
  <si>
    <t>16.0503</t>
  </si>
  <si>
    <t>Danish Language and Literature.</t>
  </si>
  <si>
    <t>(NEW)  A program that focuses on the Danish language and related dialects as used in Denmark and Greenland (Kaalit Nuniat).  Includes instruction in Danish philology, literature, and applications to business, science/technology, and other settings.</t>
  </si>
  <si>
    <t>16.0504</t>
  </si>
  <si>
    <t>Dutch/Flemish Language and Literature.</t>
  </si>
  <si>
    <t>(NEW) A program that focuses on the Dutch language and related dialects as used in The Netherlands, Flemish-speaking Belgium, the Netherlands Antilles, and Suriname.  Includes instruction in Dutch/Flemish philology, literature, Dutch Creoles, and applications to business, science/technology, and other settings.</t>
  </si>
  <si>
    <t>16.0505</t>
  </si>
  <si>
    <t>Norwegian Language and Literature.</t>
  </si>
  <si>
    <t>(NEW)  A program that focuses on the Norwegian language and related dialects.  Includes instruction in Norwegian philology, Bokmal and Nynorsk dialects, literature, and applications to business, science/technology, and other settings.</t>
  </si>
  <si>
    <t>16.0506</t>
  </si>
  <si>
    <t>Swedish Language and Literature.</t>
  </si>
  <si>
    <t>(NEW)  A program that focuses on the Swedish language and related dialects as used in Sweden, Finland, and related island groups.  Includes instruction in Swedish philology, literature, and applications to business, science/technology, and other settings.</t>
  </si>
  <si>
    <t>Germanic Languages, Literatures, and Linguistics, Other.</t>
  </si>
  <si>
    <t>Any instructional program in Germanic languages, literatures, and linguistics not listed above, including languages such as Old Saxon, Gothic, Frisian, Luxembourgetsch, Yiddish, Afrikaans, Icelandic, Old Norse, and Faeroese.</t>
  </si>
  <si>
    <t>16.06</t>
  </si>
  <si>
    <t>Instructional content is defined in code 16.0601.</t>
  </si>
  <si>
    <t>A program that focuses on the development and use of the Greek language in the period dating from the late 15th century to the present.  Includes instruction in modern Greek literature, current Greek dialects, and applications to business, science/technology, and other settings.</t>
  </si>
  <si>
    <t>Instructional content for this group of programs is defined in codes 16.0700 - 16.0799.</t>
  </si>
  <si>
    <t>South Asian Languages, Literatures, and Linguistics, General.</t>
  </si>
  <si>
    <t>(NEW)   A general program that focuses on one or more of the languages, literatures, and linguistics of the peoples speaking the Indo-Aryan (Indic), Dravidian, and other languages of the Indian subcontinent and associated borderlands and island groups.  Programs may involve multiple languages and language families, not be specific as to the name of the language(s) studied, or be otherwise undifferentiated.</t>
  </si>
  <si>
    <t>16.0701</t>
  </si>
  <si>
    <t>Hindi Language and Literature.</t>
  </si>
  <si>
    <t>(NEW)  A program that focuses on the Hindi language, antecessors, and related dialects as spoken in India.  Includes instruction in Hindi philology, Modern Hindi, Hindustani, related dialects, and applications in business, science/technology, and other settings.</t>
  </si>
  <si>
    <t>16.0702</t>
  </si>
  <si>
    <t>Sanskrit and Classical Indian Languages, Literatures, and Linguistics.</t>
  </si>
  <si>
    <t>(NEW) 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</si>
  <si>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38.0204</t>
  </si>
  <si>
    <t>Hindu Studies.</t>
  </si>
  <si>
    <t>(Deleted, Report under 16.0700).</t>
  </si>
  <si>
    <t>16.0704</t>
  </si>
  <si>
    <t>Bengali Language and Literature.</t>
  </si>
  <si>
    <t>(NEW) A program that focuses on the Bengali language (Bangla) and related dialects as spoken in India and Bangladesh.  Includes instruction in Bengali philology, Modern Bangla, Bengali dialects, and applications in business, science/technology, and other settings.</t>
  </si>
  <si>
    <t>16.0705</t>
  </si>
  <si>
    <t>Punjabi Language and Literature.</t>
  </si>
  <si>
    <t>(NEW)  A program that focuses on the Punjabi language (Punjabi) and related dialects as spoken in India and Pakistan.  Includes instruction in Panjabi philology, Modern Panjabi, Panjabi dialects, and applications in business, science/technology, and other settings.</t>
  </si>
  <si>
    <t>16.0706</t>
  </si>
  <si>
    <t>Tamil Language and Literature.</t>
  </si>
  <si>
    <t>Engineering, General.</t>
  </si>
  <si>
    <t>Instructional content is defined in code 14.0101.</t>
  </si>
  <si>
    <t>40.</t>
  </si>
  <si>
    <t>PHYSICAL SCIENCES.</t>
  </si>
  <si>
    <t>A program that generally prepares individuals to apply mathematical and scientific principles to solve a wide variety of practical problems in industry, social organization, public works, and commerce.</t>
  </si>
  <si>
    <t>14.02</t>
  </si>
  <si>
    <t>Aerospace, Aeronautical and Astronautical Engineering.</t>
  </si>
  <si>
    <t>Instructional content is defined in code 14.0201.</t>
  </si>
  <si>
    <t>A program that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</si>
  <si>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Aeronautical/Aerospace Engineering Technology/Technician.</t>
  </si>
  <si>
    <t>14.03</t>
  </si>
  <si>
    <t>Agricultural/Biological Engineering and Bioengineering.</t>
  </si>
  <si>
    <t>Instructional content is defined in code 14.0301.</t>
  </si>
  <si>
    <t>A program that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</si>
  <si>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14.04</t>
  </si>
  <si>
    <t>Instructional content is defined in code 14.0401.</t>
  </si>
  <si>
    <t>A program that prepares individuals to apply mathematical and scientific principles to the design, development and operational evaluation of materials, systems, and methods used to construct and equip buildings intended for human habitation or other purposes.</t>
  </si>
  <si>
    <t>14.05</t>
  </si>
  <si>
    <t>Biomedical/Medical Engineering.</t>
  </si>
  <si>
    <t>Instructional content is defined in code 14.0501.</t>
  </si>
  <si>
    <t>A program that prepares individuals to apply mathematical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</si>
  <si>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Biomedical Technology/Technician.</t>
  </si>
  <si>
    <t>15.05</t>
  </si>
  <si>
    <t>Environmental Control Technologies/Technicians.</t>
  </si>
  <si>
    <t>Occupational Safety and Health Technology/Technician.</t>
  </si>
  <si>
    <t>Biology Technician/Biotechnology Laboratory Technician.</t>
  </si>
  <si>
    <t>HEALTH PROFESSIONS AND RELATED CLINICAL SCIENCES.</t>
  </si>
  <si>
    <t>14.06</t>
  </si>
  <si>
    <t>Ceramic Sciences and Engineering.</t>
  </si>
  <si>
    <t>Instructional content is defined in code 14.0601.</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</si>
  <si>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</si>
  <si>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14.07</t>
  </si>
  <si>
    <t>Chemical Engineering.</t>
  </si>
  <si>
    <t>Instructional content is defined in code 14.0701.</t>
  </si>
  <si>
    <t>A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</si>
  <si>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40.05</t>
  </si>
  <si>
    <t>Chemistry.</t>
  </si>
  <si>
    <t>Chemical Technology/Technician.</t>
  </si>
  <si>
    <t>Instructional content for this group of programs is defined in codes 14.0801-14.0899.</t>
  </si>
  <si>
    <t>Civil Engineering, General.</t>
  </si>
  <si>
    <t>A program that generally prepares individuals to apply mathematical and scientific principles to the design, development and operational evaluation of structural, load-bearing, material moving, transportation, water resource, and material control systems; and environmental safety measures.</t>
  </si>
  <si>
    <t>Geotechnical Engineering.</t>
  </si>
  <si>
    <t>A program that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stabilization, land fills, structural use and environmental stabilization of wastes and by-products, underground construction, and groundwater and hazardous material containment.</t>
  </si>
  <si>
    <t>Structural Engineering.</t>
  </si>
  <si>
    <t>A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failure, fabrication, safety, and natural hazards.</t>
  </si>
  <si>
    <t>Construction Engineering Technology/Technician.</t>
  </si>
  <si>
    <t>Transportation and Highway Engineering.</t>
  </si>
  <si>
    <t>A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</si>
  <si>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Water Resources Engineering.</t>
  </si>
  <si>
    <t>A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</si>
  <si>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Civil Engineering, Other.</t>
  </si>
  <si>
    <t>Any instructional program in civil engineering not listed above.</t>
  </si>
  <si>
    <t>14.09</t>
  </si>
  <si>
    <t>Instructional content for this group of programs is defined in codes 14.0901- 14.0999.</t>
  </si>
  <si>
    <t>A program that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</si>
  <si>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15.1202</t>
  </si>
  <si>
    <t>Computer Technology/Computer Systems Technology.</t>
  </si>
  <si>
    <t>(NEW)  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</si>
  <si>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(NEW)  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</si>
  <si>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14.0999</t>
  </si>
  <si>
    <t>Computer Engineering, Other.</t>
  </si>
  <si>
    <t>(NEW) Any instructional program in computer engineering not listed above.</t>
  </si>
  <si>
    <t>14.10</t>
  </si>
  <si>
    <t>Instructional content is  defined in code 14.1001</t>
  </si>
  <si>
    <t>A program that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superconductor, wave propagation, energy storage and retrieval, and reception and amplification.</t>
  </si>
  <si>
    <t>14.11</t>
  </si>
  <si>
    <t>Engineering Mechanics.</t>
  </si>
  <si>
    <t>Instructional content is defined in code 14.1101.</t>
  </si>
  <si>
    <t>A program with a general focus on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</si>
  <si>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14.12</t>
  </si>
  <si>
    <t>Engineering Physics.</t>
  </si>
  <si>
    <t>Instructional content is defined in code 14.1201.</t>
  </si>
  <si>
    <t>A program with a general focus on the general application of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</si>
  <si>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14.13</t>
  </si>
  <si>
    <t>Engineering Science.</t>
  </si>
  <si>
    <t>Instructional content is defined in code 14.1301.</t>
  </si>
  <si>
    <t>A program with a general focuses on the general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</si>
  <si>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14.14</t>
  </si>
  <si>
    <t>Environmental/Environmental Health Engineering.</t>
  </si>
  <si>
    <t>Instructional content is defined in code 14.1401.</t>
  </si>
  <si>
    <t>A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</si>
  <si>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15.07</t>
  </si>
  <si>
    <t>14.15</t>
  </si>
  <si>
    <t>Geological Engineering.</t>
  </si>
  <si>
    <t>(Deleted, Report under code 14.3901)</t>
  </si>
  <si>
    <t>14.16</t>
  </si>
  <si>
    <t>Geophysical Engineering.</t>
  </si>
  <si>
    <t>(Deleted Report under code 14.3901)</t>
  </si>
  <si>
    <t>14.17</t>
  </si>
  <si>
    <t>Industrial/Manufacturing Engineering.</t>
  </si>
  <si>
    <t>(Deleted, Report under code 14.3501 or 14.3601).</t>
  </si>
  <si>
    <t>14.18</t>
  </si>
  <si>
    <t>Materials Engineering   Instructional content is defined in code 14.</t>
  </si>
  <si>
    <t>1801.</t>
  </si>
  <si>
    <t>Materials Engineering.</t>
  </si>
  <si>
    <t>A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</si>
  <si>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Materials Science.</t>
  </si>
  <si>
    <t>14.19</t>
  </si>
  <si>
    <t>Mechanical Engineering.</t>
  </si>
  <si>
    <t>Instructional content is defined in code 14.1901.</t>
  </si>
  <si>
    <t>A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</si>
  <si>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14.20</t>
  </si>
  <si>
    <t>Metallurgical Engineering.</t>
  </si>
  <si>
    <t>Instructional content is defined in code 14.2001.</t>
  </si>
  <si>
    <t>A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</si>
  <si>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Metallurgical Technology/Technician.</t>
  </si>
  <si>
    <t>14.21</t>
  </si>
  <si>
    <t>Mining and Mineral Engineering.</t>
  </si>
  <si>
    <t>Instructional content is defined in code 14.2101.</t>
  </si>
  <si>
    <t>A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</si>
  <si>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Mining Technology/Technician.</t>
  </si>
  <si>
    <t>14.22</t>
  </si>
  <si>
    <t>Naval Architecture and Marine Engineering.</t>
  </si>
  <si>
    <t>Instructional content is defined in code 14.2201.</t>
  </si>
  <si>
    <t>A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</si>
  <si>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14.23</t>
  </si>
  <si>
    <t>Nuclear Engineering.</t>
  </si>
  <si>
    <t>Instructional content is defined in code 14.2301.</t>
  </si>
  <si>
    <t>A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</si>
  <si>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Nuclear Physics.</t>
  </si>
  <si>
    <t>Nuclear/Nuclear Power Technology/Technician.</t>
  </si>
  <si>
    <t>14.24</t>
  </si>
  <si>
    <t>Ocean Engineering.</t>
  </si>
  <si>
    <t>Instructional content is defined in code 14.2401</t>
  </si>
  <si>
    <t>A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</si>
  <si>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40.0607</t>
  </si>
  <si>
    <t>14.25</t>
  </si>
  <si>
    <t>Petroleum Engineering.</t>
  </si>
  <si>
    <t>Instructional content is defined in code 14.2501.</t>
  </si>
  <si>
    <t>A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</si>
  <si>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Petroleum Technology/Technician.</t>
  </si>
  <si>
    <t>14.27</t>
  </si>
  <si>
    <t>Instructional content is defined in code 14.2701.</t>
  </si>
  <si>
    <t>A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</si>
  <si>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14.28</t>
  </si>
  <si>
    <t>Textile Sciences and Engineering.</t>
  </si>
  <si>
    <t>Instructional content is defined in code 14.2801.</t>
  </si>
  <si>
    <t>A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</si>
  <si>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14.29</t>
  </si>
  <si>
    <t>Engineering Design.</t>
  </si>
  <si>
    <t>(Deleted, Report under 14.9999)</t>
  </si>
  <si>
    <t>14.30</t>
  </si>
  <si>
    <t>Engineering/Industrial Management.</t>
  </si>
  <si>
    <t>(Moved, Report under 15.1501)</t>
  </si>
  <si>
    <t>14.31</t>
  </si>
  <si>
    <t>Instructional content is defined in code 14.3101.</t>
  </si>
  <si>
    <t>A program that focuses on the general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</si>
  <si>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14.32</t>
  </si>
  <si>
    <t>Polymer/Plastics Engineering.</t>
  </si>
  <si>
    <t>Instructional content is defined in code 14.3201.</t>
  </si>
  <si>
    <t>A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</si>
  <si>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Plastics Engineering Technology/Technician.</t>
  </si>
  <si>
    <t>Polymer Chemistry.</t>
  </si>
  <si>
    <t>14.33</t>
  </si>
  <si>
    <t>(NEW)  Instructional content is defined in code 14.3301.</t>
  </si>
  <si>
    <t>(NEW) 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</si>
  <si>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14.34</t>
  </si>
  <si>
    <t>(NEW)  Instructional content is defined in code 14.3401.</t>
  </si>
  <si>
    <t>(NEW)  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</si>
  <si>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14.35</t>
  </si>
  <si>
    <t>Industrial Engineering.</t>
  </si>
  <si>
    <t>(NEW)  Instructional content is defined in code 14.3501.</t>
  </si>
  <si>
    <t>14.3501</t>
  </si>
  <si>
    <t>(NEW)  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</si>
  <si>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15.0612</t>
  </si>
  <si>
    <t>Industrial Technology/Technician.</t>
  </si>
  <si>
    <t>14.36</t>
  </si>
  <si>
    <t>Manufacturing Engineering.</t>
  </si>
  <si>
    <t>(NEW)  Instructional content is defined in code 14.3601.</t>
  </si>
  <si>
    <t>14.3601</t>
  </si>
  <si>
    <t>(NEW)  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</si>
  <si>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14.37</t>
  </si>
  <si>
    <t>Operations Research.</t>
  </si>
  <si>
    <t>(NEW)  Instructional content is defined in code 14.3701.</t>
  </si>
  <si>
    <t>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</si>
  <si>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  (Moved from 27.0302)</t>
  </si>
  <si>
    <t>14.38</t>
  </si>
  <si>
    <t>Surveying Engineering.</t>
  </si>
  <si>
    <t>(NEW)   Instructional content is defined in code 14.3801.</t>
  </si>
  <si>
    <t>14.3801</t>
  </si>
  <si>
    <t>(NEW)  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</si>
  <si>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Electrical and Electronic Engineering Technologies/Technicians, Other.</t>
  </si>
  <si>
    <t>Any instructional program in electrical and electronic engineering-related technologies not listed above.</t>
  </si>
  <si>
    <t>15.04</t>
  </si>
  <si>
    <t>Electromechanical Instrumentation and Maintenance Technologies/Technicians.</t>
  </si>
  <si>
    <t>Instructional content for this group of programs is defined in codes 15.0401- 15.0499.</t>
  </si>
  <si>
    <t>A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</si>
  <si>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Computer Maintenance Technology/Technician.</t>
  </si>
  <si>
    <t>(Deleted, Report under 15.1202)</t>
  </si>
  <si>
    <t>Electromechanical Technology/Electromechanical Engineering Technology.</t>
  </si>
  <si>
    <t>A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</si>
  <si>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Instrumentation Technology/Technician.</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</si>
  <si>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  (Moved from 47.0401)</t>
  </si>
  <si>
    <t>A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</si>
  <si>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Electromechanical and Instrumentation and Maintenance Technologies/Technicians, Other.</t>
  </si>
  <si>
    <t>Any instructional program in electromechanical instrumentation and maintenance technologies not listed above.</t>
  </si>
  <si>
    <t>Instructional content for this group of programs is defined in codes 15.0501- 15.0599.</t>
  </si>
  <si>
    <t>Heating, Air Conditioning and Refrigeration Technology/Technician (ACH/ACR/ACHR/HRAC/HVAC/AC Technology).</t>
  </si>
  <si>
    <t>A program that prepares individuals to apply basic engineering principles and technical skills in support of engineers and other professionals engaged in developing and using air conditioning, refrigeration, and heating systems.  Includes instruction in principles of heating and cooling technology, design and operational testing, inspection and maintenance procedures, installation and operation procedures, and report preparation.</t>
  </si>
  <si>
    <t>Energy Management and Systems Technology/Technician.</t>
  </si>
  <si>
    <t>A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</si>
  <si>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Solar Energy Technology/Technician.</t>
  </si>
  <si>
    <t>A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</si>
  <si>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Water Quality and Wastewater Treatment Management and Recycling Technology/Technician.</t>
  </si>
  <si>
    <t>A program that prepares individuals to apply basic engineering principles and technical skills in support of engineers and other professionals engaged in developing and using water storage, waterpower, and wastewater treatment systems.  Includes instruction in water storage, power and/or treatment systems and equipment; testing and inspection procedures; system maintenance procedures; and report preparation.</t>
  </si>
  <si>
    <t>Environmental Engineering Technology/Environmental Technology.</t>
  </si>
  <si>
    <t>A program that prepares individuals to apply basic engineering principles and technical skills in support of engineers and other professionals engaged in developing and using indoor and outdoor environmental pollution control systems.  Includes instruction in environmental safety principles, testing and sampling procedures, laboratory techniques, instrumentation calibration, safety and protection procedures, equipment maintenance, and report preparation.</t>
  </si>
  <si>
    <t>15.0508</t>
  </si>
  <si>
    <t>Hazardous Materials Management and Waste Technology/Technician.</t>
  </si>
  <si>
    <t>(NEW)  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</si>
  <si>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Environmental Control Technologies/Technicians, Other.</t>
  </si>
  <si>
    <t>Any instructional program in environmental control technologies not listed above.</t>
  </si>
  <si>
    <t>15.06</t>
  </si>
  <si>
    <t>Industrial Production Technologies/Technicians.</t>
  </si>
  <si>
    <t>Instructional content for this group of programs is defined in codes 15.0607- 15.0699.</t>
  </si>
  <si>
    <t>Industrial/Manufacturing Technology/Technician.</t>
  </si>
  <si>
    <t>(Deleted, Report under code 15.0612 or 15.0613)</t>
  </si>
  <si>
    <t>A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</si>
  <si>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A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</si>
  <si>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(NEW)  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</si>
  <si>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15.0613</t>
  </si>
  <si>
    <t>Manufacturing Technology/Technician.</t>
  </si>
  <si>
    <t>(NEW)  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</si>
  <si>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Industrial Production Technologies/Technicians, Other.</t>
  </si>
  <si>
    <t>Any instructional program in industrial production technologies not listed above.</t>
  </si>
  <si>
    <t>(NEW)  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</si>
  <si>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Education/Teaching of Individuals with Mental Retardation.</t>
  </si>
  <si>
    <t>A program that focuses on the design of educational services for children or adults with mental disabilities which adversely affect their educational performance and that may prepare individuals to teach such students.  Includes instruction in identifying students with mental retardation, developing individual education plans, teaching and supervising mentally handicapped students, counseling, and applicable laws and policies.</t>
  </si>
  <si>
    <t>Education/Teaching of Individuals with Multiple Disabilities.</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</si>
  <si>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multiple handicapped students, counseling, and applicable laws and policies.</t>
  </si>
  <si>
    <t>Education/Teaching of Individuals with Orthopedic and Other Physical Health Impairments.</t>
  </si>
  <si>
    <t>A program that focuses on the design of educational services for children or adults with orthopedic and other health impairments which adversely affect their educational performance and that may prepare individuals to teach such students.  Includes instruction in identifying physically disabled students, developing individual education plans, teaching and supervising students with orthopedic and other health impairments, counseling, and applicable laws and policies.</t>
  </si>
  <si>
    <t>Education/Teaching of Individuals with Vision Impairments Including Blindness.</t>
  </si>
  <si>
    <t>A program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counseling, and applicable laws and policies.</t>
  </si>
  <si>
    <t>Education/Teaching of Individuals with Specific Learning Disabilities.</t>
  </si>
  <si>
    <t>A program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</si>
  <si>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Education/Teaching of Individuals with Speech or Language Impairments.</t>
  </si>
  <si>
    <t>A program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counseling, and applicable laws and policies.</t>
  </si>
  <si>
    <t>Speech-Language Pathology/Pathologist.</t>
  </si>
  <si>
    <t>Education/Teaching of Individuals with Autism.</t>
  </si>
  <si>
    <t>A program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counseling, and applicable laws and policies.</t>
  </si>
  <si>
    <t>13.1014</t>
  </si>
  <si>
    <t>Education/Teaching of Individuals Who are Developmentally Delayed.</t>
  </si>
  <si>
    <t>(NEW) 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</si>
  <si>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13.1015</t>
  </si>
  <si>
    <t>Education/Teaching of Individuals in Early Childhood Special Education Programs.</t>
  </si>
  <si>
    <t>(NEW)  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</si>
  <si>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13.1016</t>
  </si>
  <si>
    <t>Education/Teaching of Individuals with Traumatic Brain Injuries.</t>
  </si>
  <si>
    <t>(NEW)  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</si>
  <si>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Special Education and Teaching, Other.</t>
  </si>
  <si>
    <t>Any instructional program in special education not listed above.</t>
  </si>
  <si>
    <t>13.11</t>
  </si>
  <si>
    <t>Student Counseling and Personnel Services.</t>
  </si>
  <si>
    <t>Instructional content for this group of programs is defined in codes 13.1101- 13.1199.</t>
  </si>
  <si>
    <t>A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</si>
  <si>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A program that focuses on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</si>
  <si>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13.1199</t>
  </si>
  <si>
    <t>Student Counseling and Personnel Services, Other.</t>
  </si>
  <si>
    <t>(NEW)  Any instructional program in student counseling and personnel services not listed above.</t>
  </si>
  <si>
    <t>13.12</t>
  </si>
  <si>
    <t>Teacher Education and Professional Development, Specific Levels and Methods.</t>
  </si>
  <si>
    <t>Instructional content for this group of programs is defined in codes 13.1201- 13.1299.</t>
  </si>
  <si>
    <t>Adult and Continuing Education and Teaching.</t>
  </si>
  <si>
    <t>A program that prepares individuals to teach adult students in various settings, including basic and remedial education programs, continuing education programs, and programs designed to develop or upgrade specific employment-related knowledge and skills.</t>
  </si>
  <si>
    <t>Elementary Education and Teaching.</t>
  </si>
  <si>
    <t>A program that prepares individuals to teach students in the elementary grades, which may include kindergarten through grade eight, depending on the school system or state regulations.  Includes preparation to teach all elementary education subject matter.</t>
  </si>
  <si>
    <t>14.39</t>
  </si>
  <si>
    <t>Geological/Geophysical Engineering.</t>
  </si>
  <si>
    <t>(NEW)  Instructional content is defined in code 14.3901.</t>
  </si>
  <si>
    <t>14.3901</t>
  </si>
  <si>
    <t>(NEW)  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</si>
  <si>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Geophysics and Seismology.</t>
  </si>
  <si>
    <t>14.99</t>
  </si>
  <si>
    <t>Engineering, Other.</t>
  </si>
  <si>
    <t>Instructional content is defined in code 14.9999.</t>
  </si>
  <si>
    <t>Any instructional program in engineering not listed above.</t>
  </si>
  <si>
    <t>Instructional programs that prepare individuals to apply basic engineering principles and technical skills in support of engineering and related projects.</t>
  </si>
  <si>
    <t>15.00</t>
  </si>
  <si>
    <t>Engineering Technology, General.</t>
  </si>
  <si>
    <t>(NEW)  Instructional content is defined in code 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</si>
  <si>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  (Moved from 15.1101)</t>
  </si>
  <si>
    <t>15.01</t>
  </si>
  <si>
    <t>Architectural Engineering Technologies/Technicians.</t>
  </si>
  <si>
    <t>Instructional content is defined in code 15.0101.</t>
  </si>
  <si>
    <t>A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</si>
  <si>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15.02</t>
  </si>
  <si>
    <t>Civil Engineering Technologies/Technicians.</t>
  </si>
  <si>
    <t>Instructional content is defined in code 15.0201.</t>
  </si>
  <si>
    <t>Civil Engineering Technology/Technician.</t>
  </si>
  <si>
    <t>A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</si>
  <si>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14.08</t>
  </si>
  <si>
    <t>Civil Engineering.</t>
  </si>
  <si>
    <t>15.03</t>
  </si>
  <si>
    <t>Electrical Engineering Technologies/Technicians.</t>
  </si>
  <si>
    <t>Instructional content for this group of programs is defined in codes 15.0303 - 15.0399.</t>
  </si>
  <si>
    <t>(Moved, Report under 15.1201).</t>
  </si>
  <si>
    <t>Electrical, Electronic and Communications Engineering Technology/Technician.</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</si>
  <si>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</si>
  <si>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Electrical, Electronics and Communications Engineering.</t>
  </si>
  <si>
    <t>Laser and Optical Technology/Technician.</t>
  </si>
  <si>
    <t>A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</si>
  <si>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(NEW) 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</si>
  <si>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Linguistics.</t>
  </si>
  <si>
    <t>42.04</t>
  </si>
  <si>
    <t>Community Psychology.</t>
  </si>
  <si>
    <t>Instructional content is defined in code 42.0401.</t>
  </si>
  <si>
    <t>A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</si>
  <si>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Community Organization and Advocacy.</t>
  </si>
  <si>
    <t>51.1504</t>
  </si>
  <si>
    <t>Community Health Services/Liaison/Counseling.</t>
  </si>
  <si>
    <t>42.05</t>
  </si>
  <si>
    <t>Comparative Psychology.</t>
  </si>
  <si>
    <t>(NEW)  Instructional content is defined in code 42.0501.</t>
  </si>
  <si>
    <t>42.0501</t>
  </si>
  <si>
    <t>(NEW)  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</si>
  <si>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42.06</t>
  </si>
  <si>
    <t>Counseling Psychology.</t>
  </si>
  <si>
    <t>Instructional content is defined in code 42.0601.</t>
  </si>
  <si>
    <t>A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</si>
  <si>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13.10</t>
  </si>
  <si>
    <t>Special Education and Teaching.</t>
  </si>
  <si>
    <t>Instructional content for this group of programs is defined in codes 13.1001- 13.1099.</t>
  </si>
  <si>
    <t>Special Education and Teaching, General.</t>
  </si>
  <si>
    <t>A general program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</si>
  <si>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Education/Teaching of Individuals with Hearing Impairments Including Deafness.</t>
  </si>
  <si>
    <t>A program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including deafness, developing individual education plans, teaching and supervising hearing-impaired students, counseling, and applicable laws and policies.</t>
  </si>
  <si>
    <t>16.1603</t>
  </si>
  <si>
    <t>Education/Teaching of the Gifted and Talented.</t>
  </si>
  <si>
    <t>A program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</si>
  <si>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Education/Teaching of Individuals with Emotional Disturbances.</t>
  </si>
  <si>
    <t>A program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counseling, and applicable laws and policies.</t>
  </si>
  <si>
    <t>Junior High/Intermediate/Middle School Education and Teaching.</t>
  </si>
  <si>
    <t>A program that prepares individuals to teach students in the middle, intermediate or junior high grades, which may include grades four through nine by regulation.</t>
  </si>
  <si>
    <t>Pre-Elementary/Early Childhood/Kindergarten Teacher Education.</t>
  </si>
  <si>
    <t>(Deleted, Report under 13.1209 or 13.1210)</t>
  </si>
  <si>
    <t>Secondary Education and Teaching.</t>
  </si>
  <si>
    <t>A program that prepares individuals to teach students in the secondary grades, which may include grades seven through twelve, depending on the school system or state regulations.  May include preparation to teach a comprehensive curriculum or specific subject matter.</t>
  </si>
  <si>
    <t>Teacher Education, Multiple Levels.</t>
  </si>
  <si>
    <t>A program that prepares individuals to teach students at more than one educational level, such as a combined program in elementary/secondary, early childhood/elementary, elementary/middle school, or junior high/high school teacher education.</t>
  </si>
  <si>
    <t>13.1207</t>
  </si>
  <si>
    <t>Montessori Teacher Education.</t>
  </si>
  <si>
    <t>(NEW)  A program that prepares individuals to teach students at various grade levels according to the pedagogical principles and methods developed by Maria Montessori and her followers.</t>
  </si>
  <si>
    <t>13.1208</t>
  </si>
  <si>
    <t>Waldorf/Steiner Teacher Education.</t>
  </si>
  <si>
    <t>(NEW)  A program that prepares individuals to teach students at various grade levels according to the pedagogical principles and methods developed by Rudolf Steiner and his followers.</t>
  </si>
  <si>
    <t>13.1209</t>
  </si>
  <si>
    <t>Kindergarten/Preschool Education and Teaching.</t>
  </si>
  <si>
    <t>(NEW)   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</si>
  <si>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13.1210</t>
  </si>
  <si>
    <t>Early Childhood Education and Teaching.</t>
  </si>
  <si>
    <t>(NEW)   A program that prepares individuals to teach students ranging in age from infancy through eight years (grade three), depending on the school system or state regulations.  Includes preparation to teach all relevant subject matter.</t>
  </si>
  <si>
    <t>Teacher Education and Professional Development, Specific Levels and Methods, Other.</t>
  </si>
  <si>
    <t>Any instructional program in teacher education and professional development not listed above.</t>
  </si>
  <si>
    <t>13.13</t>
  </si>
  <si>
    <t>Teacher Education and Professional Development, Specific Subject Areas.</t>
  </si>
  <si>
    <t>Instructional content for this group of programs is defined in codes 13.1301- 13.1399.</t>
  </si>
  <si>
    <t>A program that prepares individuals to teach vocational agricultural programs at various educational levels.</t>
  </si>
  <si>
    <t>Art Teacher Education.</t>
  </si>
  <si>
    <t>A program that prepares individuals to teach art and art appreciation programs at various educational levels.</t>
  </si>
  <si>
    <t>Art/Art Studies, General.</t>
  </si>
  <si>
    <t>Business Teacher Education.</t>
  </si>
  <si>
    <t>A program that prepares individuals to teach vocational business programs at various educational levels.</t>
  </si>
  <si>
    <t>52.</t>
  </si>
  <si>
    <t>Driver and Safety Teacher Education.</t>
  </si>
  <si>
    <t>A program that prepares individuals to teach driver and safety education programs at various educational levels.</t>
  </si>
  <si>
    <t>English/Language Arts Teacher Education.</t>
  </si>
  <si>
    <t>A program that prepares individuals to teach English grammar, composition and literature programs at various educational levels.</t>
  </si>
  <si>
    <t>English Language and Literature, General.</t>
  </si>
  <si>
    <t>Foreign Language Teacher  Education.</t>
  </si>
  <si>
    <t>A program that prepares individuals to teach foreign languages programs at various educational levels, other than French, German or Spanish.</t>
  </si>
  <si>
    <t>Foreign Languages and Literatures, General.</t>
  </si>
  <si>
    <t>Health Teacher Education.</t>
  </si>
  <si>
    <t>A program that prepares individuals to teach health education programs at various educational levels.</t>
  </si>
  <si>
    <t>Health and Physical Education, General.</t>
  </si>
  <si>
    <t>Family and Consumer Sciences/Home Economics Teacher Education.</t>
  </si>
  <si>
    <t>A program that prepares individuals to teach vocational home economics programs at various educational levels.</t>
  </si>
  <si>
    <t>Family and Consumer Sciences/Human Sciences, General.</t>
  </si>
  <si>
    <t>Technology Teacher Education/Industrial Arts Teacher Education.</t>
  </si>
  <si>
    <t>A program that prepares individuals to teach technology education/industrial arts programs at various educational levels.</t>
  </si>
  <si>
    <t>Sales and Marketing Operations/Marketing and Distribution   Teacher Education.</t>
  </si>
  <si>
    <t>A program that prepares individuals to teach vocational sales and marketing operations/marketing and distributive education programs at various educational levels.</t>
  </si>
  <si>
    <t>Mathematics Teacher Education.</t>
  </si>
  <si>
    <t>A program that prepares individuals to teach mathematics programs at various educational levels.</t>
  </si>
  <si>
    <t>27.</t>
  </si>
  <si>
    <t>Music Teacher Education.</t>
  </si>
  <si>
    <t>A program that prepares individuals to teach music and music appreciation programs at various educational levels.</t>
  </si>
  <si>
    <t>50.09</t>
  </si>
  <si>
    <t>Music.</t>
  </si>
  <si>
    <t>Physical Education Teaching and Coaching.</t>
  </si>
  <si>
    <t>A program that prepares individuals to teach physical education programs and/or to coach sports at various educational levels.</t>
  </si>
  <si>
    <t>Reading Teacher Education.</t>
  </si>
  <si>
    <t>A program that prepares individuals to diagnose reading difficulties and to teach reading programs at various educational levels.</t>
  </si>
  <si>
    <t>Science Teacher Education/General Science Teacher Education.</t>
  </si>
  <si>
    <t>A program that prepares individuals to teach general science programs, or a combination of the biological and physical science subject matter areas, at various educational levels.</t>
  </si>
  <si>
    <t>Biological and Physical Sciences.</t>
  </si>
  <si>
    <t>Social Science Teacher Education.</t>
  </si>
  <si>
    <t>A program that prepares individuals to teach specific social science subjects and programs at various educational levels.</t>
  </si>
  <si>
    <t>Psychology, General.</t>
  </si>
  <si>
    <t>Anthropology.</t>
  </si>
  <si>
    <t>Economics, General.</t>
  </si>
  <si>
    <t>Political Science and Government, General.</t>
  </si>
  <si>
    <t>Sociology.</t>
  </si>
  <si>
    <t>Social Studies Teacher Education.</t>
  </si>
  <si>
    <t>A program that prepares individuals to teach general social studies programs at various educational levels.</t>
  </si>
  <si>
    <t>Social Sciences, General.</t>
  </si>
  <si>
    <t>Technical Teacher Education.</t>
  </si>
  <si>
    <t>A program that prepares individuals to teach specific vocational technical education programs at various educational levels.</t>
  </si>
  <si>
    <t>41.</t>
  </si>
  <si>
    <t>Trade and Industrial Teacher Education.</t>
  </si>
  <si>
    <t>A program that prepares individuals to teach specific vocational trades and industries programs at various educational levels.</t>
  </si>
  <si>
    <t>43.</t>
  </si>
  <si>
    <t>SECURITY AND PROTECTIVE SERVICES.</t>
  </si>
  <si>
    <t>46.</t>
  </si>
  <si>
    <t>CONSTRUCTION TRADES.</t>
  </si>
  <si>
    <t>47.</t>
  </si>
  <si>
    <t>48.</t>
  </si>
  <si>
    <t>PRECISION PRODUCTION.</t>
  </si>
  <si>
    <t>TRANSPORTATION AND MATERIALS MOVING.</t>
  </si>
  <si>
    <t>VISUAL AND PERFORMING ARTS.</t>
  </si>
  <si>
    <t>Computer Teacher Education.</t>
  </si>
  <si>
    <t>A program that prepares individuals to teach computer education programs at various educational levels.</t>
  </si>
  <si>
    <t>Biology Teacher Education.</t>
  </si>
  <si>
    <t>A program that prepares individuals to teach biology programs at various educational levels.</t>
  </si>
  <si>
    <t>Biology/Biological Sciences, General.</t>
  </si>
  <si>
    <t>Chemistry Teacher Education.</t>
  </si>
  <si>
    <t>A program that prepares individuals to teach chemistry programs at various educational levels.</t>
  </si>
  <si>
    <t>Chemistry, General.</t>
  </si>
  <si>
    <t>Drama and Dance Teacher Education.</t>
  </si>
  <si>
    <t>A program that prepares individuals to teach drama and/or dance programs at various educational levels.</t>
  </si>
  <si>
    <t>Dance.</t>
  </si>
  <si>
    <t>French Language Teacher Education.</t>
  </si>
  <si>
    <t>A program that prepares individuals to teach French language programs at various educational levels.</t>
  </si>
  <si>
    <t>German Language Teacher Education.</t>
  </si>
  <si>
    <t>A program that prepares individuals to teach German language programs at various educational levels.</t>
  </si>
  <si>
    <t>Health Occupations Teacher Education.</t>
  </si>
  <si>
    <t>A program that prepares individuals to teach specific vocational health occupations programs at various educational levels.</t>
  </si>
  <si>
    <t>51.15</t>
  </si>
  <si>
    <t>51.06</t>
  </si>
  <si>
    <t>51.07</t>
  </si>
  <si>
    <t>Health and Medical Administrative Services.</t>
  </si>
  <si>
    <t>51.08</t>
  </si>
  <si>
    <t>Allied Health and Medical Assisting Services.</t>
  </si>
  <si>
    <t>51.09</t>
  </si>
  <si>
    <t>51.10</t>
  </si>
  <si>
    <t>51.16</t>
  </si>
  <si>
    <t>Nursing.</t>
  </si>
  <si>
    <t>Health Aides/Attendants/Orderlies.</t>
  </si>
  <si>
    <t>History Teacher Education.</t>
  </si>
  <si>
    <t>A program that prepares individuals to teach history programs at various educational levels.</t>
  </si>
  <si>
    <t>Physics Teacher Education.</t>
  </si>
  <si>
    <t>A program that prepares individuals to teach physics programs at various educational levels.</t>
  </si>
  <si>
    <t>40.08</t>
  </si>
  <si>
    <t>Physics.</t>
  </si>
  <si>
    <t>Spanish Language Teacher Education.</t>
  </si>
  <si>
    <t>A program that prepares individuals to teach Spanish language programs at various educational levels.</t>
  </si>
  <si>
    <t>Spanish Language and Literature.</t>
  </si>
  <si>
    <t>Speech Teacher Education.</t>
  </si>
  <si>
    <t>A program that prepares individuals to teach speech and language arts programs at various educational levels.</t>
  </si>
  <si>
    <t>Speech and Rhetorical Studies.</t>
  </si>
  <si>
    <t>13.1332</t>
  </si>
  <si>
    <t>Geography Teacher Education.</t>
  </si>
  <si>
    <t>(NEW)  A program that prepares individuals to teach geography at various grade levels.</t>
  </si>
  <si>
    <t>Geography.</t>
  </si>
  <si>
    <t>13.1333</t>
  </si>
  <si>
    <t>Latin Teacher Education.</t>
  </si>
  <si>
    <t>(NEW)  A program that prepares individuals to teach Latin at various grade levels.</t>
  </si>
  <si>
    <t>13.1334</t>
  </si>
  <si>
    <t>School Librarian/School Library Media Specialist.</t>
  </si>
  <si>
    <t>(NEW)  A program that prepares individuals to serve as librarians and media specialists in elementary and secondary schools as well as special instructional centers.</t>
  </si>
  <si>
    <t>13.1335</t>
  </si>
  <si>
    <t>Psychology Teacher Education.</t>
  </si>
  <si>
    <t>(NEW)   A program that prepares individuals to teach general psychology at the secondary school level.</t>
  </si>
  <si>
    <t>Psychology.</t>
  </si>
  <si>
    <t>Teacher Education and Professional Development, Specific Subject Areas, Other.</t>
  </si>
  <si>
    <t>Any instructional program in teacher education, specific academic and vocational programs not listed above.</t>
  </si>
  <si>
    <t>13.14</t>
  </si>
  <si>
    <t>Teaching English or French as a Second or Foreign Language.</t>
  </si>
  <si>
    <t>Instructional content for this group of programs is defined in codes 13.1401- 13.1499.</t>
  </si>
  <si>
    <t>A program that focuses on the principles and practice of teaching English to students who are not proficient in English or who do not speak, read or write English, and that may prepare individuals to function as teachers and administrators in such programs.</t>
  </si>
  <si>
    <t>(NEW)   A program study that focuses on the principles and practice of teaching French to students who are not proficient in French or who do not speak, read, or write French, and prepares individuals to serve as teachers and administrators.</t>
  </si>
  <si>
    <t>13.1499</t>
  </si>
  <si>
    <t>Teaching English or French as a Second or Foreign Language, Other.</t>
  </si>
  <si>
    <t>(NEW) Any program in teaching English or French as a second or foreign language not listed above.</t>
  </si>
  <si>
    <t>13.15</t>
  </si>
  <si>
    <t>Teaching Assistants/Aides.</t>
  </si>
  <si>
    <t>Instructional content for this group of programs is defined in codes 13.1501- 13.1599.</t>
  </si>
  <si>
    <t>Teacher Assistant/Aide.</t>
  </si>
  <si>
    <t>A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</si>
  <si>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13.1502</t>
  </si>
  <si>
    <t>Adult Literacy Tutor/Instructor.</t>
  </si>
  <si>
    <t>(NEW)  A program that prepares individuals to serve as instructors and mentors for adults in basic or functional literacy programs in school, institutional, community, and private settings.</t>
  </si>
  <si>
    <t>13.1599</t>
  </si>
  <si>
    <t>Teaching Assistants/Aides, Other.</t>
  </si>
  <si>
    <t>(NEW)  Any teaching assistant/aide program not listed above.</t>
  </si>
  <si>
    <t>13.99</t>
  </si>
  <si>
    <t>Education, Other.</t>
  </si>
  <si>
    <t>Instructional content is defined in code 13.9999.</t>
  </si>
  <si>
    <t>Any instructional program in education not listed above.</t>
  </si>
  <si>
    <t>Instructional programs that prepare individuals to apply mathematical and     scientific principles to the solution of practical problems.</t>
  </si>
  <si>
    <t>14.01</t>
  </si>
  <si>
    <t>Computer Software and Media Applications.</t>
  </si>
  <si>
    <t>(NEW)   Instructional content for this group of programs is defined in codes 11.0801- 11.0899.</t>
  </si>
  <si>
    <t>14.0903</t>
  </si>
  <si>
    <t>Computer Software Engineering.</t>
  </si>
  <si>
    <t>15.1204</t>
  </si>
  <si>
    <t>Computer Software Technology/Technician.</t>
  </si>
  <si>
    <t>(NEW)   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</si>
  <si>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11.0802</t>
  </si>
  <si>
    <t>Data Modeling/Warehousing and Database Administration.</t>
  </si>
  <si>
    <t>(NEW)  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</si>
  <si>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(NEW)  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</si>
  <si>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11.0899</t>
  </si>
  <si>
    <t>Computer Software and Media Applications, Other.</t>
  </si>
  <si>
    <t>(NEW)   Any instructional program in computer software and media applications not listed above.</t>
  </si>
  <si>
    <t>11.09</t>
  </si>
  <si>
    <t>Computer Systems Networking and Telecommunications.</t>
  </si>
  <si>
    <t>(NEW)   Instructional content is defined in code 11.0901.</t>
  </si>
  <si>
    <t>11.0901</t>
  </si>
  <si>
    <t>(NEW)  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</si>
  <si>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11.10</t>
  </si>
  <si>
    <t>Computer/Information Technology Administration and Management.</t>
  </si>
  <si>
    <t>(NEW)   Instructional content for this group of programs is defined in codes 11.1001-11.1099.</t>
  </si>
  <si>
    <t>52.0207</t>
  </si>
  <si>
    <t>Customer Service Management.</t>
  </si>
  <si>
    <t>52.1206</t>
  </si>
  <si>
    <t>Information Resources Management/CIO Training.</t>
  </si>
  <si>
    <t>11.1001</t>
  </si>
  <si>
    <t>System Administration/Administrator.</t>
  </si>
  <si>
    <t>(NEW)  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</si>
  <si>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11.1002</t>
  </si>
  <si>
    <t>System, Networking, and LAN/WAN Management/Manager.</t>
  </si>
  <si>
    <t>(NEW)   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</si>
  <si>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11.1003</t>
  </si>
  <si>
    <t>Computer and Information Systems Security.</t>
  </si>
  <si>
    <t>(NEW)  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</si>
  <si>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11.1004</t>
  </si>
  <si>
    <t>Web/Multimedia Management and Webmaster.</t>
  </si>
  <si>
    <t>(NEW)  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</si>
  <si>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11.1099</t>
  </si>
  <si>
    <t>Computer/Information Technology Services Administration andManagement, Other.</t>
  </si>
  <si>
    <t>(NEW)  Any instructional program in computer/information technology services administration and management not listed above.</t>
  </si>
  <si>
    <t>11.99</t>
  </si>
  <si>
    <t>Computer and Information Sciences and Support Services, Other.</t>
  </si>
  <si>
    <t>Instructional content is defined in code 11.9999.</t>
  </si>
  <si>
    <t>Any instructional program in computer and information sciences and support services not listed above.</t>
  </si>
  <si>
    <t>12.</t>
  </si>
  <si>
    <t>PERSONAL AND CULINARY SERVICES.</t>
  </si>
  <si>
    <t>Instructional programs that prepare individuals to provide professional services related to cosmetology, funeral services, and food preparation and service.</t>
  </si>
  <si>
    <t>12.02</t>
  </si>
  <si>
    <t>Gaming and Sports Officiating Services.</t>
  </si>
  <si>
    <t>Gaming Attendant/Manager.</t>
  </si>
  <si>
    <t>(Deleted, Report under 12.9999)</t>
  </si>
  <si>
    <t>Umpire/Referee/Sports Officiating.</t>
  </si>
  <si>
    <t>Gaming and Sports Officiating Services, Other.</t>
  </si>
  <si>
    <t>12.03</t>
  </si>
  <si>
    <t>Funeral Service and Mortuary Science.</t>
  </si>
  <si>
    <t>Instructional content for this group of programs is defined in codes 12.0301- 12.0399.</t>
  </si>
  <si>
    <t>Funeral Service and Mortuary Science, General.</t>
  </si>
  <si>
    <t>A program that generally prepares individuals for careers in the funeral service industry and for licensure as funeral service directors or morticians.  Includes instruction in the basic elements of mortuary science and the business, counseling, and operational aspects of funeral service.</t>
  </si>
  <si>
    <t>12.0302</t>
  </si>
  <si>
    <t>Funeral Direction/Service.</t>
  </si>
  <si>
    <t>(NEW)  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</si>
  <si>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12.0303</t>
  </si>
  <si>
    <t>Mortuary Science and Embalming/Embalmer.</t>
  </si>
  <si>
    <t>(NEW)  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</si>
  <si>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12.0399</t>
  </si>
  <si>
    <t>Funeral Service and Mortuary Science, Other.</t>
  </si>
  <si>
    <t>(NEW)  Any instructional program in funeral service and mortuary science not listed above.</t>
  </si>
  <si>
    <t>Instructional content for this group of programs is defined in codes 12.0401- 12.0499.</t>
  </si>
  <si>
    <t>Cosmetology/Cosmetologist, General.</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</si>
  <si>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  (Moved from 12.0403)</t>
  </si>
  <si>
    <t>Barbering/Barber.</t>
  </si>
  <si>
    <t>A program that prepares individuals to shave and trim facial/neck hair and beards, cut and dress hair, fit hairpieces, give facial and scalp massages, apply cosmetic treatments, and to prepare for licensure as professional barbers at various levels.  Includes instruction in facial shaving; beard and mustache shaping and trimming; shampooing; hair cutting; hair styles and styling art; facial treatments and massage; chemical applications; hair and scalp anatomy and physiology; hairpiece and toupee fitting; equipment operation; health and safety; customer service; and shop business practices.</t>
  </si>
  <si>
    <t>Cosmetologist.</t>
  </si>
  <si>
    <t>(Moved, Report under 12.0401)</t>
  </si>
  <si>
    <t>Electrolysis/Electrology and Electrolysis Technician.</t>
  </si>
  <si>
    <t>A program that prepares individuals to permanently remove hair from the human scalp, face, and body using specialized charged solid needle probes, and to function as licensed electrologists and electrolysis technicians.  Includes instruction in direct current electrolysis, alternating current/high frequency thermolysis, blend/dual modality treatments, equipment theory and operation, safety and sanitation, client evaluation and care, laws and regulations, and business practices.</t>
  </si>
  <si>
    <t>Massage.</t>
  </si>
  <si>
    <t>(Moved, Report under 51.3501)</t>
  </si>
  <si>
    <t>Make-Up Artist/Specialist.</t>
  </si>
  <si>
    <t>A program that prepares individuals to professionally apply cosmetic makeup preparations and perform complete and specialized appearance makeovers including hairdressing, wig work, masking, temporary prosthesis applications, cosmetic applications, and related costuming for leisure or for professional stage, camera, clinical, or security purposes.  Includes instruction in period and contemporary hairstyling and costuming; wig work and hairpiece application; synthetic hair and masks; cosmetic preparations and treatments; makeup artistry; attachment, removal, and camouflaging of prostheses; health and safety; client consultation and care; pre- and post-production operations; set and crew conduct and relations; script, instruction, and prescription interpretation; labor relations; and business practices.</t>
  </si>
  <si>
    <t>12.0407</t>
  </si>
  <si>
    <t>Hair Styling/Stylist and Hair Design.</t>
  </si>
  <si>
    <t>(NEW)  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</si>
  <si>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12.0408</t>
  </si>
  <si>
    <t>Facial Treatment Specialist/Facialist.</t>
  </si>
  <si>
    <t>(NEW) 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</si>
  <si>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12.0409</t>
  </si>
  <si>
    <t>Aesthetician/Esthetician and Skin Care Specialist.</t>
  </si>
  <si>
    <t>(NEW)  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</si>
  <si>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12.0410</t>
  </si>
  <si>
    <t>Nail Technician/Specialist and Manicurist.</t>
  </si>
  <si>
    <t>(NEW) 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</si>
  <si>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12.0411</t>
  </si>
  <si>
    <t>Permanent Cosmetics/Makeup and Tattooing.</t>
  </si>
  <si>
    <t>(NEW) 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</si>
  <si>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12.0412</t>
  </si>
  <si>
    <t>Salon/Beauty Salon Management/Manager.</t>
  </si>
  <si>
    <t>(NEW)  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</si>
  <si>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12.0413</t>
  </si>
  <si>
    <t>Cosmetology, Barber/Styling, and Nail Instructor.</t>
  </si>
  <si>
    <t>(NEW) 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</si>
  <si>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Cosmetology and Related Personal Grooming Arts, Other.</t>
  </si>
  <si>
    <t>Any instructional program in cosmetology and related personal grooming services not listed above.</t>
  </si>
  <si>
    <t>12.05</t>
  </si>
  <si>
    <t>Culinary Arts and Related Services.</t>
  </si>
  <si>
    <t>Instructional content for this group of programs is defined in codes 12.0500- 12.0599.</t>
  </si>
  <si>
    <t>Hospitality Administration/Management.</t>
  </si>
  <si>
    <t>Cooking and Related Culinary Arts, General.</t>
  </si>
  <si>
    <t>(NEW) 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</si>
  <si>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Baking and Pastry Arts/Baker/Pastry Chef.</t>
  </si>
  <si>
    <t>A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</si>
  <si>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Bartending/Bartender.</t>
  </si>
  <si>
    <t>A program that prepares individuals to professionally prepare mixed alcoholic and non-alcoholic beverages and related products and manage bars, lounges, and beverage service operations in the hospitality industry.  Includes instruction in mixology, oenology, accounting and cash management, inventory and cellar management, bar and lounge management, applicable laws and regulations, customer service, and labor/employment regulations.</t>
  </si>
  <si>
    <t>Culinary Arts/Chef Training.</t>
  </si>
  <si>
    <t>A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</si>
  <si>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Restaurant, Culinary, and Catering Management/Manager.</t>
  </si>
  <si>
    <t>A program that prepares individuals to plan, supervise, and manage food and beverage preparation and service operations, restaurant facilities, and catering services.  Includes instruction in food/beverage industry operations, cost control, purchasing and storage, business administration, logistics, personnel management, culinary arts, restaurant and menu planning, executive chef functions, event planning and management, health and safety, insurance, and applicable law and regulations.</t>
  </si>
  <si>
    <t>Food Preparation/Professional Cooking/Kitchen Assistant.</t>
  </si>
  <si>
    <t>A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</si>
  <si>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Meat Cutting/Meat Cutter.</t>
  </si>
  <si>
    <t>A program that prepares individuals to receive, cut, and package animal meat products in commercial establishments and to function as licensed meat cutters/butchers.  Includes instruction in product recognition for beef, veal, lamb, pork, poultry, and fancy and smoked meats; retail and wholesale cutting and specialty cuts; packaging and counter display; shop safety; meat sanitation, storage and rotation; quality control; meat handling laws and regulations; and customer service.</t>
  </si>
  <si>
    <t>Food Service, Waiter/Waitress, and Dining Room Management/Manager.</t>
  </si>
  <si>
    <t>A program that prepares individuals to serve food to customers in formal or informal settings.  Includes instruction inthe nutritional, sensory, and functional properties of food and its ingredients; food services principles; table and counter services; dining room operations and procedures; service personnel supervision and management; communication skills; business math; safety and sanitation.</t>
  </si>
  <si>
    <t>12.0508</t>
  </si>
  <si>
    <t>Institutional Food Workers.</t>
  </si>
  <si>
    <t>(NEW)  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</si>
  <si>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Culinary Arts and Related Services, Other.</t>
  </si>
  <si>
    <t>Any instructional program in culinary arts and related services not listed above.</t>
  </si>
  <si>
    <t>12.99</t>
  </si>
  <si>
    <t>Personal and Culinary Services, Other.</t>
  </si>
  <si>
    <t>Instructional content is defined in code 12.9999.</t>
  </si>
  <si>
    <t>Any instructional program in personal and culinary services not listed above.</t>
  </si>
  <si>
    <t>13.</t>
  </si>
  <si>
    <t>EDUCATION.</t>
  </si>
  <si>
    <t>Instructional programs that focus on the theory and practice of learning and teaching, and related research, administrative and support services.</t>
  </si>
  <si>
    <t>42.</t>
  </si>
  <si>
    <t>PSYCHOLOGY.</t>
  </si>
  <si>
    <t>13.01</t>
  </si>
  <si>
    <t>Education, General.</t>
  </si>
  <si>
    <t>Instructional content is defined in code 13.0101.</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</si>
  <si>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</si>
  <si>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13.02</t>
  </si>
  <si>
    <t>Bilingual, Multilingual, and Multicultural Education.</t>
  </si>
  <si>
    <t>Instructional content for this group of programs is defined in codes 13.0201- 13.0299.</t>
  </si>
  <si>
    <t>Bilingual and Multilingual Education.</t>
  </si>
  <si>
    <t>A program that focuses on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</si>
  <si>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Teaching English as a Second or Foreign Language/ESL Language Instructor.</t>
  </si>
  <si>
    <t>13.1402</t>
  </si>
  <si>
    <t>Teaching French as a Second or Foreign Language.</t>
  </si>
  <si>
    <t>13.0202</t>
  </si>
  <si>
    <t>Multicultural Education.</t>
  </si>
  <si>
    <t>(NEW) 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</si>
  <si>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13.0203</t>
  </si>
  <si>
    <t>Indian/Native American Education.</t>
  </si>
  <si>
    <t>(NEW)  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</si>
  <si>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13.0299</t>
  </si>
  <si>
    <t>Bilingual, Multilingual, and Multicultural Education, Other.</t>
  </si>
  <si>
    <t>(NEW) Any instructional program in bilingual, multilingual, and multicultural Education not listed above.</t>
  </si>
  <si>
    <t>13.03</t>
  </si>
  <si>
    <t>Curriculum and Instruction.</t>
  </si>
  <si>
    <t>Instructional content is defined in code 13.0301.</t>
  </si>
  <si>
    <t>A program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programs or educational levels.</t>
  </si>
  <si>
    <t>13.04</t>
  </si>
  <si>
    <t>Educational Administration and Supervision.</t>
  </si>
  <si>
    <t>Instructional content for this group of programs is defined in codes 13.0401- 13.0499.</t>
  </si>
  <si>
    <t>Educational Leadership and Administration, General.</t>
  </si>
  <si>
    <t>A  program that focuses on the general principles and techniques of administering a wide variety of schools and other educational organizations and facilities, supervising educational personnel at the school or staff level, and that may prepare individuals as general administrators and supervisors.</t>
  </si>
  <si>
    <t>Administration of Special Education.</t>
  </si>
  <si>
    <t>A program that prepares individuals to plan, supervise, and manage programs for exceptional students and their parents.  Includes instruction in special education theory and practice, special education program development, evaluation and assessment in special education, state and federal law and regulations, managing individual education plans, problems of low- and high- disability students, mainstreaming, special education curricula, staff management, parent education, communications and community relations, budgeting, and professional standards and ethics.</t>
  </si>
  <si>
    <t>Adult and Continuing Education Administration.</t>
  </si>
  <si>
    <t>A program  that focuses on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</si>
  <si>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Educational, Instructional, and Curriculum Supervision.</t>
  </si>
  <si>
    <t>A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</si>
  <si>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Elementary and Middle and Secondary Education Administration.</t>
  </si>
  <si>
    <t>(Deleted, Report under 13.0408 or 13.0409)</t>
  </si>
  <si>
    <t>Higher Education/Higher Education Administration.</t>
  </si>
  <si>
    <t>A program that focuses on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</si>
  <si>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Community College Education.</t>
  </si>
  <si>
    <t>A program that focuses on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</si>
  <si>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13.0408</t>
  </si>
  <si>
    <t>Elementary and Middle School Administration/Principalship.</t>
  </si>
  <si>
    <t>(NEW) 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</si>
  <si>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13.0409</t>
  </si>
  <si>
    <t>Secondary School Administration/Principalship.</t>
  </si>
  <si>
    <t>(NEW)  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</si>
  <si>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13.0410</t>
  </si>
  <si>
    <t>Urban Education and Leadership.</t>
  </si>
  <si>
    <t>A program that focuses on the theories, methods, and techniques used to plan, produce, and distribute audio and video programs and messages, and that prepares individuals to function as staff, producers, directors, and managers of radio and television shows and media organizations.  Includes instruction in media aesthetics; planning, scheduling, and production; writing and editing; performing and directing; personnel and facilities management; marketing and distribution; media regulations, law, and policy; and principles of broadcast technology.</t>
  </si>
  <si>
    <t>50.06</t>
  </si>
  <si>
    <t>Film/Video and Photographic Arts.</t>
  </si>
  <si>
    <t>10.0201</t>
  </si>
  <si>
    <t>10.0202</t>
  </si>
  <si>
    <t>Radio and Television Broadcasting Technology/Technician.</t>
  </si>
  <si>
    <t>10.0203</t>
  </si>
  <si>
    <t>09.0702</t>
  </si>
  <si>
    <t>Digital Communication and Media/Multimedia.</t>
  </si>
  <si>
    <t>(NEW)  A program that focuses on the development, use, and regulation of new electronic communication technologies using computer applications and that prepares individuals to function as developers and managers of digital communications media.  Includes instruction in the principles of computers and telecommunications technologies and processes; design and development of digital communications; marketing and distribution; digital communications regulation, law, and policy; the study of human interaction with, and use of, digital media; and emerging trends and issues.</t>
  </si>
  <si>
    <t>15.0305</t>
  </si>
  <si>
    <t>Telecommunications Technology/Technician.</t>
  </si>
  <si>
    <t>52.12</t>
  </si>
  <si>
    <t>09.0799</t>
  </si>
  <si>
    <t>Radio, Television, and Digital Communication, Other.</t>
  </si>
  <si>
    <t>(NEW)   Any instructional program in radio, television, and digital communications not listed above.</t>
  </si>
  <si>
    <t>Public Relations, Advertising, and Applied Communication.</t>
  </si>
  <si>
    <t>(NEW)  Instructional content for this group of programs is defined in codes 09.0901- 09.0999.</t>
  </si>
  <si>
    <t>09.0901</t>
  </si>
  <si>
    <t>Organizational Communication, General.</t>
  </si>
  <si>
    <t>(NEW)   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</si>
  <si>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09.0902</t>
  </si>
  <si>
    <t>Public Relations/Image Management.</t>
  </si>
  <si>
    <t>(NEW)  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</si>
  <si>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09.0903</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</si>
  <si>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 (Moved from 09.0201)</t>
  </si>
  <si>
    <t>Marketing Research.</t>
  </si>
  <si>
    <t>International Marketing.</t>
  </si>
  <si>
    <t>09.0904</t>
  </si>
  <si>
    <t>Political Communication.</t>
  </si>
  <si>
    <t>(NEW)   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</si>
  <si>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09.0905</t>
  </si>
  <si>
    <t>Health Communication.</t>
  </si>
  <si>
    <t>(NEW)   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</si>
  <si>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09.0999</t>
  </si>
  <si>
    <t>Public Relations, Advertising, and Applied Communication, Other (NEW)   Any instructional program in organizational communication, public relations, and advertising not listed above.</t>
  </si>
  <si>
    <t>09.10</t>
  </si>
  <si>
    <t>Publishing.</t>
  </si>
  <si>
    <t>(NEW)    Instructional content is defined in code 09.1001.</t>
  </si>
  <si>
    <t>09.1001</t>
  </si>
  <si>
    <t>(NEW)  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</si>
  <si>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09.99</t>
  </si>
  <si>
    <t>Communication, Journalism, and Related Programs, Other.</t>
  </si>
  <si>
    <t>Instructional content is defined in code 09.9999.</t>
  </si>
  <si>
    <t>Any instructional program in communication, journalism, and related fields not listed above.</t>
  </si>
  <si>
    <t>10.</t>
  </si>
  <si>
    <t>COMMUNICATIONS TECHNOLOGIES/TECHNICIANS AND SUPPORT SERVICES.</t>
  </si>
  <si>
    <t>Instructional programs that prepare individuals to function as equipment operators, support technicians, and operations managers in the film/video, recording, and graphic communications industries.</t>
  </si>
  <si>
    <t>10.01</t>
  </si>
  <si>
    <t>Communications Technology/Technician.</t>
  </si>
  <si>
    <t>Instructional content is defined in code  10.0105.</t>
  </si>
  <si>
    <t>Educational/Instructional Media Technology/Technician.</t>
  </si>
  <si>
    <t>(Deleted,Report under 13.0501)</t>
  </si>
  <si>
    <t>Photographic Technology/Technician.</t>
  </si>
  <si>
    <t>(Moved, Report under 10.0201)</t>
  </si>
  <si>
    <t>(Moved, Report under 10.0202)</t>
  </si>
  <si>
    <t>10.0105</t>
  </si>
  <si>
    <t>(NEW)   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</si>
  <si>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Communications Technology/Technician, Other.</t>
  </si>
  <si>
    <t>(Deleted, Report under 10.9999).</t>
  </si>
  <si>
    <t>10.02</t>
  </si>
  <si>
    <t>Audiovisual Communications Technologies/Technicians.</t>
  </si>
  <si>
    <t>(NEW)    Instructional content for this group of programs is defined in codes 10.0201- 10.0299.</t>
  </si>
  <si>
    <t>Photographic and Film/Video Technology/Technician and Assistant.</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</si>
  <si>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   (Moved from 10.0103)</t>
  </si>
  <si>
    <t>Commercial Photography.</t>
  </si>
  <si>
    <t>Cinematography and Film/Video Production.</t>
  </si>
  <si>
    <t>Photography.</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</si>
  <si>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 (Moved from 10.0104)</t>
  </si>
  <si>
    <t>Recording Arts Technology/Technician.</t>
  </si>
  <si>
    <t>(NEW)  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</si>
  <si>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10.0299</t>
  </si>
  <si>
    <t>Audiovisual Communications Technologies/Technicians, Other.</t>
  </si>
  <si>
    <t>(NEW)  Any instructional program in audiovisual communications technologies not listed above.</t>
  </si>
  <si>
    <t>10.03</t>
  </si>
  <si>
    <t>Graphic Communications.</t>
  </si>
  <si>
    <t>(NEW)  Instructional content for this group of programs is defined in codes 10.0301- 10.0399.</t>
  </si>
  <si>
    <t>50.04</t>
  </si>
  <si>
    <t>Design and Applied Arts.</t>
  </si>
  <si>
    <t>10.0301</t>
  </si>
  <si>
    <t>Graphic Communications, General.</t>
  </si>
  <si>
    <t>(NEW)   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</si>
  <si>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50.0409</t>
  </si>
  <si>
    <t>Graphic Design.</t>
  </si>
  <si>
    <t>Commercial and Advertising Art.</t>
  </si>
  <si>
    <t>10.0302</t>
  </si>
  <si>
    <t>Printing Management.</t>
  </si>
  <si>
    <t>(NEW)  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</si>
  <si>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10.0303</t>
  </si>
  <si>
    <t>Prepress/Desktop Publishing and Digital Imaging Design.</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</si>
  <si>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  (Moved from 48.0212)</t>
  </si>
  <si>
    <t>11.0801</t>
  </si>
  <si>
    <t>Web Page, Digital/Multimedia and Information Resources Design.</t>
  </si>
  <si>
    <t>10.0304</t>
  </si>
  <si>
    <t>Animation, Interactive Technology, Video Graphics and Special Effects.</t>
  </si>
  <si>
    <t>(NEW)   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</si>
  <si>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11.0803</t>
  </si>
  <si>
    <t>Computer Graphics.</t>
  </si>
  <si>
    <t>Counselor Education/School Counseling and Guidance Services.</t>
  </si>
  <si>
    <t>College Student Counseling and Personnel Services.</t>
  </si>
  <si>
    <t>51.1505</t>
  </si>
  <si>
    <t>Marriage and Family Therapy/Counseling.</t>
  </si>
  <si>
    <t>39.07</t>
  </si>
  <si>
    <t>Pastoral Counseling and Specialized Ministries.</t>
  </si>
  <si>
    <t>42.07</t>
  </si>
  <si>
    <t>Developmental and Child Psychology.</t>
  </si>
  <si>
    <t>Instructional content is defined in code 42.0701.</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</si>
  <si>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   Note (  Family and Human Development Studies/Individual and Family Development Studies, General, have been integrated into Developmental and Child Psychology because the definitions are virtually the same for the two programs.</t>
  </si>
  <si>
    <t>42.2001</t>
  </si>
  <si>
    <t>Clinical Child Psychology.</t>
  </si>
  <si>
    <t>42.08</t>
  </si>
  <si>
    <t>Experimental Psychology.</t>
  </si>
  <si>
    <t>Instructional content is defined in code 42.0801.</t>
  </si>
  <si>
    <t>A program that focuses on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</si>
  <si>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42.09</t>
  </si>
  <si>
    <t>Industrial and Organizational Psychology.</t>
  </si>
  <si>
    <t>Instructional content is defined in code 42.0901.</t>
  </si>
  <si>
    <t>A program that focuses on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</si>
  <si>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13.0411</t>
  </si>
  <si>
    <t>Superintendency and Educational System Administration.</t>
  </si>
  <si>
    <t>(NEW)  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</si>
  <si>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Educational Administration and Supervision, Other.</t>
  </si>
  <si>
    <t>Any instructional program in education administration and supervision not listed above.</t>
  </si>
  <si>
    <t>13.05</t>
  </si>
  <si>
    <t>Educational/Instructional Media Design.</t>
  </si>
  <si>
    <t>Instructional content is defined in code 13.0501.</t>
  </si>
  <si>
    <t>A program that focuses on the principles and techniques of creating instructional products and related educational resources in various formats or combinations such as film, video, recording, text, art, CD-ROM, computer software, virtual reality technology, and three-dimensional objects,  and that prepares individuals to function as instructional media designers.  Includes instruction in the techniques specific to creating in various media; the behavioral principles applicable to using various media in learning and teaching; the design, testing and production of instructional materials; and the management of educational/instructional media facilities and programs.</t>
  </si>
  <si>
    <t>13.06</t>
  </si>
  <si>
    <t>Educational Assessment, Evaluation, and Research.</t>
  </si>
  <si>
    <t>Instructional content for this group of programs is defined in codes 13.0601- 13.0699.</t>
  </si>
  <si>
    <t>Educational Evaluation and Research.</t>
  </si>
  <si>
    <t>A program that focuses on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</si>
  <si>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Educational Statistics and Research Methods.</t>
  </si>
  <si>
    <t>A program that focuses on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</si>
  <si>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Educational Assessment, Testing, and Measurement.</t>
  </si>
  <si>
    <t>A program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</si>
  <si>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Educational Assessment, Evaluation, and Research, Other.</t>
  </si>
  <si>
    <t>Any instructional program in educational evaluation, research and statistics not listed above.</t>
  </si>
  <si>
    <t>13.07</t>
  </si>
  <si>
    <t>International and Comparative Education.</t>
  </si>
  <si>
    <t>Instructional content is defined in code 13.0701.</t>
  </si>
  <si>
    <t>A program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</si>
  <si>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13.08</t>
  </si>
  <si>
    <t>Educational Psychology.</t>
  </si>
  <si>
    <t>(Moved, Report under 42.18 Series)</t>
  </si>
  <si>
    <t>(Moved, Report under 42.1801)</t>
  </si>
  <si>
    <t>13.09</t>
  </si>
  <si>
    <t>Social and Philosophical Foundations of Education.</t>
  </si>
  <si>
    <t>Instructional content is defined in code 13.0901.</t>
  </si>
  <si>
    <t>A program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</si>
  <si>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10.0305</t>
  </si>
  <si>
    <t>Graphic and Printing Equipment Operator, General Production.</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</si>
  <si>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  (Moved from 48.0201)</t>
  </si>
  <si>
    <t>10.0306</t>
  </si>
  <si>
    <t>Platemaker/Imager.</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</si>
  <si>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  (Moved from 48.0206)</t>
  </si>
  <si>
    <t>Printmaking.</t>
  </si>
  <si>
    <t>10.0307</t>
  </si>
  <si>
    <t>Printing Press Operator.</t>
  </si>
  <si>
    <t>A program that prepares individuals to apply technical knowledge and skills to set up, operate, and maintain printing presses. (Moved from 48.0208)</t>
  </si>
  <si>
    <t>10.0308</t>
  </si>
  <si>
    <t>Computer Typography and Composition Equipment Operator.</t>
  </si>
  <si>
    <t>A program that prepares individuals to apply technical knowledge and skills to design and execute page formats, layouts and text composition, and to make typographical selections using computer graphics and other computer-assisted design programs.  (Moved from 48.0211)</t>
  </si>
  <si>
    <t>10.0399</t>
  </si>
  <si>
    <t>Graphic Communications, Other.</t>
  </si>
  <si>
    <t>(NEW)  Any instructional program in graphic communications not listed above.</t>
  </si>
  <si>
    <t>10.99</t>
  </si>
  <si>
    <t>Communications Technologies/Technicians and Support Services, Other.</t>
  </si>
  <si>
    <t>(NEW)    Instructional content is defined in code 10.9999.</t>
  </si>
  <si>
    <t>10.9999</t>
  </si>
  <si>
    <t>(NEW)  Any instructional program in communications technologies and support services not listed above.</t>
  </si>
  <si>
    <t>Instructional programs that focus on the computer and information sciences and prepare individuals for various occupations in information technology and computer operations fields.</t>
  </si>
  <si>
    <t>11.01</t>
  </si>
  <si>
    <t>Computer and Information Sciences, General .</t>
  </si>
  <si>
    <t>Instructional content is defined in code 11.0101.</t>
  </si>
  <si>
    <t>Computer and Information Sciences, General.</t>
  </si>
  <si>
    <t>A general program that focuses on computing, computer science, and information science and systems as part of a broad and/or interdisciplinary program. Such programs are undifferentiated as to title and content and are not to be confused with specific programs in computer science, information science, or related support services.</t>
  </si>
  <si>
    <t>11.0102</t>
  </si>
  <si>
    <t>Artificial Intelligence and Robotics.</t>
  </si>
  <si>
    <t>(NEW)    A program that focuses on the symbolic inference, representation, and simulation by computers and software of human learning and reasoning processes and capabilities, and the modeling of human motor control and motions by computer-driven machinery.  Includes instruction in computing theory, cybernetics, human factors, natural language processing, robot design, and applicable aspects of engineering, technology, and specific end-use applications.</t>
  </si>
  <si>
    <t>Robotics Technology/Technician.</t>
  </si>
  <si>
    <t>14.0902</t>
  </si>
  <si>
    <t>Computer Hardware Engineering.</t>
  </si>
  <si>
    <t>15.1203</t>
  </si>
  <si>
    <t>Computer Hardware Technology/Technician.</t>
  </si>
  <si>
    <t>11.0103</t>
  </si>
  <si>
    <t>Information Technology.</t>
  </si>
  <si>
    <t>(NEW)  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</si>
  <si>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51.2706</t>
  </si>
  <si>
    <t>Medical Informatics.</t>
  </si>
  <si>
    <t>11.0199</t>
  </si>
  <si>
    <t>Computer and Information Sciences,  Other.</t>
  </si>
  <si>
    <t>(NEW)  Any instructional program in computer science not listed above.</t>
  </si>
  <si>
    <t>11.02</t>
  </si>
  <si>
    <t>codes 1</t>
  </si>
  <si>
    <t>Computer Programming.</t>
  </si>
  <si>
    <t>Instructional content for this group programs is defined in</t>
  </si>
  <si>
    <t>Computer Programming/Programmer, General.</t>
  </si>
  <si>
    <t>A program that focuses on the general writing and implementation of generic and customized programs to drive operating systems and that generally prepares individuals to apply the methods and procedures of software design and programming  to software installation and maintenance.  Includes instruction in software design, low- and high-level languages and program writing; program customization and linking; prototype testing; troubleshooting; and related aspects of operating systems and networks.</t>
  </si>
  <si>
    <t>11.0202</t>
  </si>
  <si>
    <t>Computer Programming, Specific Applications.</t>
  </si>
  <si>
    <t>(NEW)   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</si>
  <si>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51.0709</t>
  </si>
  <si>
    <t>Medical Office Computer Specialist/Assistant.</t>
  </si>
  <si>
    <t>11.0203</t>
  </si>
  <si>
    <t>Computer Programming, Vendor/Product Certification.</t>
  </si>
  <si>
    <t>(NEW)   A program that prepares individuals to fulfill the requirements set by vendors for professional qualification as certified installation, customization, and maintenance engineers for specific software products and/or processes.  Includes training in specific vendor supported software products and their installation and maintenance.</t>
  </si>
  <si>
    <t>11.0299</t>
  </si>
  <si>
    <t>Computer Programming, Other.</t>
  </si>
  <si>
    <t>(NEW)    Any instructional program in computer programming not listed above.</t>
  </si>
  <si>
    <t>11.03</t>
  </si>
  <si>
    <t>Data Processing.</t>
  </si>
  <si>
    <t>Instructional content is defined in code 11.0301.</t>
  </si>
  <si>
    <t>Data Processing and Data Processing Technology/Technician.</t>
  </si>
  <si>
    <t>A program that prepares individuals to master and use computer software programs and applications for inputting, verifying, organizing, storing, retrieving, transforming (changing, updating, and deleting), and extracting information.  Includes instruction in using various operating system configurations and in types of data entry such as word processing, spreadsheets, calculators, management programs, design programs, database programs, and research programs.</t>
  </si>
  <si>
    <t>11.04</t>
  </si>
  <si>
    <t>Information Science/Studies.</t>
  </si>
  <si>
    <t>Instructional content is defined in code 11.0401.</t>
  </si>
  <si>
    <t>A program that focuses on the  theory, organization, and process of information collection, transmission, and utilization in traditional and electronic forms.  Includes instruction in information classification and organization; information storage and processing; transmission, transfer, and signaling; communications and networking; systems planning and design; human interfacing and use analysis; database development; information policy analysis; and related aspects of hardware, software, economics, social factors, and capacity.</t>
  </si>
  <si>
    <t>Library Science/Librarianship.</t>
  </si>
  <si>
    <t>Systems Science and Theory.</t>
  </si>
  <si>
    <t>30.2501</t>
  </si>
  <si>
    <t>Cognitive Science.</t>
  </si>
  <si>
    <t>11.05</t>
  </si>
  <si>
    <t>Computer Systems Analysis.</t>
  </si>
  <si>
    <t>Instructional content is defined in code 11.0501.</t>
  </si>
  <si>
    <t>Computer Systems Analysis/Analyst.</t>
  </si>
  <si>
    <t>A program that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</si>
  <si>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Systems Engineering.</t>
  </si>
  <si>
    <t>11.06</t>
  </si>
  <si>
    <t>Data Entry/Microcomputer Applications.</t>
  </si>
  <si>
    <t>(NEW)  Instructional content for this group of programs is defined in codes 11.0601- 11.0699.</t>
  </si>
  <si>
    <t>11.0601</t>
  </si>
  <si>
    <t>Data Entry/Microcomputer Applications, General.</t>
  </si>
  <si>
    <t>(NEW)   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</si>
  <si>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51.0713</t>
  </si>
  <si>
    <t>Medical Insurance Coding Specialist/Coder.</t>
  </si>
  <si>
    <t>11.0602</t>
  </si>
  <si>
    <t>Word Processing.</t>
  </si>
  <si>
    <t>(NEW)  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</si>
  <si>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11.0699</t>
  </si>
  <si>
    <t>Data Entry/Microcomputer Applications, Other.</t>
  </si>
  <si>
    <t>(NEW)   Any instructional program in data entry/microcomputer applications not listed above.</t>
  </si>
  <si>
    <t>11.07</t>
  </si>
  <si>
    <t>Computer Science.</t>
  </si>
  <si>
    <t>Instructional content is defined in code 11.0701.</t>
  </si>
  <si>
    <t>A general program that focuses on computers, computing problems and solutions, and the design of computer systems and user interfaces from a scientific perspective. Includes instruction in the principles of computational science, and computing theory; computer hardware design; computer development and programming; and applications to a variety of end-use situations.</t>
  </si>
  <si>
    <t>27.0303</t>
  </si>
  <si>
    <t>Computational Mathematics.</t>
  </si>
  <si>
    <t>Computer Engineering, General.</t>
  </si>
  <si>
    <t>15.1201</t>
  </si>
  <si>
    <t>Computer Engineering Technology/Technician.</t>
  </si>
  <si>
    <t>11.08</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</si>
  <si>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 (Moved from 02.0401)</t>
  </si>
  <si>
    <t>Botany/Plant Biology.</t>
  </si>
  <si>
    <t>01.1102</t>
  </si>
  <si>
    <t>Agronomy and Crop Science.</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</si>
  <si>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  (Moved from 02.0402)</t>
  </si>
  <si>
    <t>01.1103</t>
  </si>
  <si>
    <t>Horticultural Science.</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</si>
  <si>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  (Moved from 02.0403)</t>
  </si>
  <si>
    <t>01.1104</t>
  </si>
  <si>
    <t>Agricultural and Horticultural Plant Breeding.</t>
  </si>
  <si>
    <t>(NEW)  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</si>
  <si>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t>
  </si>
  <si>
    <t>Plant Genetics.</t>
  </si>
  <si>
    <t>Pathology/Experimental Pathology.</t>
  </si>
  <si>
    <t>Physiology, General.</t>
  </si>
  <si>
    <t>26.0902</t>
  </si>
  <si>
    <t>Molecular Physiology.</t>
  </si>
  <si>
    <t>26.0903</t>
  </si>
  <si>
    <t>Cell Physiology.</t>
  </si>
  <si>
    <t>01.1105</t>
  </si>
  <si>
    <t>Plant Protection and Integrated Pest Management.</t>
  </si>
  <si>
    <t>A program that focuses on the application of scientific principles to the control of animal and weed infestation of domesticated plant populations,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 (Moved from 02.0408)</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</si>
  <si>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  (Moved from 02.0409)</t>
  </si>
  <si>
    <t>01.1199</t>
  </si>
  <si>
    <t>Plant Sciences, Other.</t>
  </si>
  <si>
    <t>Any instructional program in plant sciences not listed above.  (Moved from 02.0499)</t>
  </si>
  <si>
    <t>01.1201</t>
  </si>
  <si>
    <t>(Moved from 02.</t>
  </si>
  <si>
    <t>Soil Science and Agronomy, General.</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</si>
  <si>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  (Moved from 02.0501)</t>
  </si>
  <si>
    <t>01.1202</t>
  </si>
  <si>
    <t>Soil Chemistry and Physics.</t>
  </si>
  <si>
    <t>(NEW)   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</si>
  <si>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40.0605</t>
  </si>
  <si>
    <t>Hydrology and Water Resources Science.</t>
  </si>
  <si>
    <t>01.1203</t>
  </si>
  <si>
    <t>Soil Microbiology.</t>
  </si>
  <si>
    <t>(NEW)   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</si>
  <si>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01.1299</t>
  </si>
  <si>
    <t>Soil Sciences, Other.</t>
  </si>
  <si>
    <t>(NEW)  Any instructional program in the soil sciences not listed above.</t>
  </si>
  <si>
    <t>01.99</t>
  </si>
  <si>
    <t>Agriculture, Agriculture Operations, and Related Sciences, Other.</t>
  </si>
  <si>
    <t>Instructional content is defined in code 01.9999.</t>
  </si>
  <si>
    <t>Any instructional program in agriculture, agricultural operations, and related sciences not listed above.</t>
  </si>
  <si>
    <t>AGRICULTURAL SCIENCES.</t>
  </si>
  <si>
    <t>(The entire series has been deleted. The programs originally contained in the series have been moved to and should be reported under the appropriate codes in Series 01. and 26.).  Refer to the Crosswalk in table 3 for a specification of how/where these programs should be reported.</t>
  </si>
  <si>
    <t>03.</t>
  </si>
  <si>
    <t>NATURAL RESOURCES AND CONSERVATION.</t>
  </si>
  <si>
    <t>Instructional programs that focus on the various natural resources and conservation fields and prepare individuals for related occupations.</t>
  </si>
  <si>
    <t>31.</t>
  </si>
  <si>
    <t>PARKS, RECREATION, LEISURE, AND FITNESS STUDIES.</t>
  </si>
  <si>
    <t>03.01</t>
  </si>
  <si>
    <t>Natural Resources Conservation and Research.</t>
  </si>
  <si>
    <t>Instructional content for this group of programs is defined in codes 03.0101- 03.0199.</t>
  </si>
  <si>
    <t>Natural Resources/Conservation, General.</t>
  </si>
  <si>
    <t>A general program that focuses on the studies and activities relating to the natural environment and its conservation, use, and improvement.  Includes instruction in subjects such as climate, air, soil, water, land, fish and wildlife, and plant resources; in the basic principles of environmental science and natural resources management; and the recreational and economic uses of renewable and nonrenewable natural resources.</t>
  </si>
  <si>
    <t>Environmental Science/Studies.</t>
  </si>
  <si>
    <t>(Deleted, Report under code 03.0103 or 03.0104)</t>
  </si>
  <si>
    <t>(NEW)   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</si>
  <si>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03.0104</t>
  </si>
  <si>
    <t>Environmental Science.</t>
  </si>
  <si>
    <t>(NEW)  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</si>
  <si>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26.1307</t>
  </si>
  <si>
    <t>Conservation Biology.</t>
  </si>
  <si>
    <t>26.1305</t>
  </si>
  <si>
    <t>Environmental Biology.</t>
  </si>
  <si>
    <t>03.0199</t>
  </si>
  <si>
    <t>Natural Resources Conservation and Research, Other.</t>
  </si>
  <si>
    <t>(NEW)   Any instructional program in natural resources conservation and research not listed above.</t>
  </si>
  <si>
    <t>03.02</t>
  </si>
  <si>
    <t>Natural Resources Management and Policy.</t>
  </si>
  <si>
    <t>Instructional content for this group of programs is defined in codes 03.0201- 03.0299.</t>
  </si>
  <si>
    <t>A program that prepares individuals to plan, develop, manage, and evaluate programs to protect and regulate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</si>
  <si>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Public Policy Analysis.</t>
  </si>
  <si>
    <t>Environmental Health.</t>
  </si>
  <si>
    <t>Natural Resources Law Enforcement and Protective Services.</t>
  </si>
  <si>
    <t>(Deleted, Report under 03.0299)</t>
  </si>
  <si>
    <t>(NEW)   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</si>
  <si>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03.0205</t>
  </si>
  <si>
    <t>Water, Wetlands, and Marine Resources Management.</t>
  </si>
  <si>
    <t>(NEW)   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</si>
  <si>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03.0206</t>
  </si>
  <si>
    <t>Land Use Planning and Management/Development.</t>
  </si>
  <si>
    <t>(NEW)  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</si>
  <si>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Natural Resources Management and Policy, Other.</t>
  </si>
  <si>
    <t>Any instructional program in natural resources management and policy not listed above.</t>
  </si>
  <si>
    <t>American Government and Politics (United States).</t>
  </si>
  <si>
    <t>American Indian/Native American Studies.</t>
  </si>
  <si>
    <t>Asian Studies/Civilization.</t>
  </si>
  <si>
    <t>A program that focuses on the history, society, politics, culture, and economics of one or more of the peoples of the Asian Continent, including the study of the Asian diasporas overseas.</t>
  </si>
  <si>
    <t>East Asian Languages, Literatures, and Linguistics.</t>
  </si>
  <si>
    <t>Middle/Near Eastern and Semitic Languages, Literatures, and Linguistics.</t>
  </si>
  <si>
    <t>16.07</t>
  </si>
  <si>
    <t>South Asian Languages, Literatures, and Linguistics.</t>
  </si>
  <si>
    <t>16.14</t>
  </si>
  <si>
    <t>16.15</t>
  </si>
  <si>
    <t>38.0202</t>
  </si>
  <si>
    <t>Buddhist Studies.</t>
  </si>
  <si>
    <t>38.0205</t>
  </si>
  <si>
    <t>Islamic Studies.</t>
  </si>
  <si>
    <t>38.0206</t>
  </si>
  <si>
    <t>Jewish/Judaic Studies.</t>
  </si>
  <si>
    <t>54.0106</t>
  </si>
  <si>
    <t>Asian History.</t>
  </si>
  <si>
    <t>East Asian Studies.</t>
  </si>
  <si>
    <t>A program that focuses on the history, society, politics, culture, and economics of one or more of the peoples of East Asia, defined as including China, Korea, Japan, Mongolia, Taiwan, Tibet, related borderlands and island groups, and including the study of the East Asian diasporas overseas.</t>
  </si>
  <si>
    <t>16.03</t>
  </si>
  <si>
    <t>Central/Middle and Eastern European Studies.</t>
  </si>
  <si>
    <t>A program that focuses on the history, society, politics, culture, and economics of one or more of the peoples of what is historically known as Central/Middle and Eastern Europe, defined as including Austria, the Balkans, the Baltic States, Belarus, Czech Republic, Hungary, Romania, Poland, Russia, Slovakia, Ukraine, related borderlands and island groups, and migration patterns.</t>
  </si>
  <si>
    <t>16.05</t>
  </si>
  <si>
    <t>Germanic Languages, Literatures, and Linguistics.</t>
  </si>
  <si>
    <t>Modern Greek Language and Literature.</t>
  </si>
  <si>
    <t>16.11</t>
  </si>
  <si>
    <t>16.09</t>
  </si>
  <si>
    <t>Romance Languages, Literatures, and Linguistics.</t>
  </si>
  <si>
    <t>16.04</t>
  </si>
  <si>
    <t>30.2101</t>
  </si>
  <si>
    <t>Holocaust and Related Studies.</t>
  </si>
  <si>
    <t>European Studies/Civilization.</t>
  </si>
  <si>
    <t>A program that focuses on the history, society, politics, culture, and economics of one or more of the peoples of the European Continent, including the study of European migration patterns and colonial empires.</t>
  </si>
  <si>
    <t>16.0401</t>
  </si>
  <si>
    <t>Baltic Languages, Literatures, and Linguistics.</t>
  </si>
  <si>
    <t>16.1301</t>
  </si>
  <si>
    <t>Celtic Languages, Literatures, and Linguistics.</t>
  </si>
  <si>
    <t>Medieval and Renaissance Studies.</t>
  </si>
  <si>
    <t>30.21</t>
  </si>
  <si>
    <t>54.0103</t>
  </si>
  <si>
    <t>European History.</t>
  </si>
  <si>
    <t>Latin American Studies.</t>
  </si>
  <si>
    <t>A program that focuses on the history, society, politics, culture, and economics of one or more of the Hispanic peoples of the North and South American Continents outside Canada and the United States, including the study of the Pre-Columbian period and the flow of immigrants from other societies.</t>
  </si>
  <si>
    <t>16.1001</t>
  </si>
  <si>
    <t>American Indian/Native American Languages, Literatures, and Linguistics.</t>
  </si>
  <si>
    <t>Near and Middle Eastern Studies.</t>
  </si>
  <si>
    <t>A program that focuses on the history, society, politics, culture, and economics of one or more of the peoples of North Africa, Southwestern Asia, Asia Minor, and the Arabian Peninsula, related borderlands and island groups, and including emigrant and immigrant groups.</t>
  </si>
  <si>
    <t>Pacific Area/Pacific Rim Studies.</t>
  </si>
  <si>
    <t>A program that focuses on the history, society, politics, culture, and economics of one or more of the peoples of Australasia and the Pacific Ocean, related island groups and bordering coastal regions, and including pre- and post-colonial migration patterns.</t>
  </si>
  <si>
    <t>Southeast Asian and Australasian/Pacific Languages, Literatures, and Linguistics.</t>
  </si>
  <si>
    <t>Russian Studies.</t>
  </si>
  <si>
    <t>A program that focuses on the history, society, politics, culture, and economics of one or more of the peoples of the Russian Federation and its Soviet, Czarist, and medieval predecessors and related borderlands.</t>
  </si>
  <si>
    <t>Russian Language and Literature.</t>
  </si>
  <si>
    <t>Scandinavian Studies.</t>
  </si>
  <si>
    <t>A program that focuses on the history, society, politics, culture, and economics of one or more of the peoples of Scandinavia, defined as Northern Europe including Denmark, Finland, Iceland, Norway, Sweden, related island groups (including Greenland), and borderlands.</t>
  </si>
  <si>
    <t>Scandinavian Languages, Literatures, and Linguistics.</t>
  </si>
  <si>
    <t>South Asian Studies.</t>
  </si>
  <si>
    <t>A program that focuses on the history, society, politics, culture, and economics of one or more of the peoples of South Asia, defined as including Afghanistan, India, the Maldives, Myanmar (Burma), Pakistan, and Sri Lanka and related borderlands and island groups; and including the study of migration patterns and overseas diasporas.</t>
  </si>
  <si>
    <t>Southeast Asian Studies.</t>
  </si>
  <si>
    <t>A program that focuses on the history, society, politics, culture, and economics of one or more of the peoples of Southeast Asia, defined as including Brunei, Cambodia, Indonesia, Laos, Malaysia, The Philippines, Singapore, Thailand, and Viet Nam; related borderlands and island groups; and including the study of migration patterns and overseas diasporas.</t>
  </si>
  <si>
    <t>Western European Studies.</t>
  </si>
  <si>
    <t>A program that focuses on the history, society, politics, culture, and economics of one or more of the peoples of historical Western Europe, defined as including Britain, Ireland, France, the Low Countries, the Iberian Peninsula, Italy, the Western Mediterranean, and related island groups and borderlands.</t>
  </si>
  <si>
    <t>English Literature (British and Commonwealth).</t>
  </si>
  <si>
    <t>Canadian Studies.</t>
  </si>
  <si>
    <t>A program that focuses on the history, society, politics, culture, and economics of one or more of the peoples of Canada and its Pre-Columbian, colonial, and pre-federation predecessors, including immigrant flows and related borderlands and island groups.</t>
  </si>
  <si>
    <t>23.0702</t>
  </si>
  <si>
    <t>American Literature (Canadian).</t>
  </si>
  <si>
    <t>French Language and Literature.</t>
  </si>
  <si>
    <t>54.0107</t>
  </si>
  <si>
    <t>Canadian History.</t>
  </si>
  <si>
    <t>Canadian Government and Politics.</t>
  </si>
  <si>
    <t>05.0116</t>
  </si>
  <si>
    <t>Balkans Studies.</t>
  </si>
  <si>
    <t>(NEW)   A program that focuses on the history, society, politics, culture, and economics of one or more of the peoples inhabiting the Balkan Peninsula and associated island groups and borderlands, Southern Slavic and non-Slavic, during the medieval, Ottoman, and modern periods.</t>
  </si>
  <si>
    <t>05.0117</t>
  </si>
  <si>
    <t>Baltic Studies.</t>
  </si>
  <si>
    <t>(NEW)   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</si>
  <si>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05.0118</t>
  </si>
  <si>
    <t>Slavic Studies.</t>
  </si>
  <si>
    <t>(NEW)   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</si>
  <si>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05.0119</t>
  </si>
  <si>
    <t>Caribbean Studies.</t>
  </si>
  <si>
    <t>(NEW)   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</si>
  <si>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05.0120</t>
  </si>
  <si>
    <t>Ural-Altaic and Central Asian Studies.</t>
  </si>
  <si>
    <t>(NEW)  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</si>
  <si>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05.0121</t>
  </si>
  <si>
    <t>Commonwealth Studies.</t>
  </si>
  <si>
    <t>(NEW)  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</si>
  <si>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05.0122</t>
  </si>
  <si>
    <t>Regional Studies (U.</t>
  </si>
  <si>
    <t>S., Canadian, Foreign).  (NEW)    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</si>
  <si>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05.0123</t>
  </si>
  <si>
    <t>Chinese Studies.</t>
  </si>
  <si>
    <t>(NEW)  A program that focuses on the history, society, politics, culture, and economics of one or more of the peoples of present-day China and its historical predecessors, related borderlands and island groups, and the overseas Chinese diaspora.</t>
  </si>
  <si>
    <t>Chinese Language and Literature.</t>
  </si>
  <si>
    <t>05.0124</t>
  </si>
  <si>
    <t>French Studies.</t>
  </si>
  <si>
    <t>(NEW)  A program that focuses on the history, society, politics, culture, and economics of France, other Francophone countries inside and outside Europe, and the French colonial experience and the associated French minorities around the world.</t>
  </si>
  <si>
    <t>05.0125</t>
  </si>
  <si>
    <t>German Studies.</t>
  </si>
  <si>
    <t>(NEW)   A program that focuses on the history, society, politics, culture, and economics of Germany, the neighboring countries of Austria and Switzerland, the German minorities in neighboring European countries, and the historical areas of German influence across Europe and overseas.</t>
  </si>
  <si>
    <t>German Language and Literature.</t>
  </si>
  <si>
    <t>05.0126</t>
  </si>
  <si>
    <t>Italian Studies.</t>
  </si>
  <si>
    <t>(NEW)  A program that focuses on the history, society, politics, culture, and economics of modern Italy and its predecessors on the Italian Peninsula, including overseas migrations of Italian peoples.</t>
  </si>
  <si>
    <t>Italian Language and Literature.</t>
  </si>
  <si>
    <t>05.0127</t>
  </si>
  <si>
    <t>Japanese Studies.</t>
  </si>
  <si>
    <t>(NEW)  A program that focuses on the history, society, politics, culture, and economics of the peoples of Japan, and related island groups and coastal neighbors.</t>
  </si>
  <si>
    <t>Japanese Language and Literature.</t>
  </si>
  <si>
    <t>05.0128</t>
  </si>
  <si>
    <t>Korean Studies.</t>
  </si>
  <si>
    <t>(NEW)   A program that focuses on the history, society, politics, culture, and economics of the peoples of Korea, including related island groups and borderlands.</t>
  </si>
  <si>
    <t>16.0303</t>
  </si>
  <si>
    <t>Korean Language and Literature.</t>
  </si>
  <si>
    <t>05.0129</t>
  </si>
  <si>
    <t>Polish Studies.</t>
  </si>
  <si>
    <t>(NEW)   A program that focuses on the history, society, politics, culture, and economics of Poland and the current and historical inhabitants of the Polish lands, including borderlands, from earliest times to the present.</t>
  </si>
  <si>
    <t>16.0407</t>
  </si>
  <si>
    <t>Polish Language and Literature.</t>
  </si>
  <si>
    <t>05.0130</t>
  </si>
  <si>
    <t>Spanish and Iberian Studies.</t>
  </si>
  <si>
    <t>(NEW)   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</si>
  <si>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05.0131</t>
  </si>
  <si>
    <t>Tibetan Studies.</t>
  </si>
  <si>
    <t>(NEW)   A program that focuses on the history, society, politics, culture, and economics of Tibet and its borderlands, with emphasis on both pre-modern and modern Tibet and associated religious and exile movements.</t>
  </si>
  <si>
    <t>16.0304</t>
  </si>
  <si>
    <t>Tibetan Language and Literature.</t>
  </si>
  <si>
    <t>05.0132</t>
  </si>
  <si>
    <t>Ukraine Studies.</t>
  </si>
  <si>
    <t>(NEW)   A program that focuses on the history, society, politics, culture, and economics of the Ukraine and its inhabitants, and related border regions, from earliest times to the present.</t>
  </si>
  <si>
    <t>16.0410</t>
  </si>
  <si>
    <t>Ukrainian Language and Literature.</t>
  </si>
  <si>
    <t>Area Studies, Other.</t>
  </si>
  <si>
    <t>Any instructional program in specifically defined area studies not listed above.</t>
  </si>
  <si>
    <t>05.02</t>
  </si>
  <si>
    <t>Ethnic, Cultural Minority, and Gender Studies.</t>
  </si>
  <si>
    <t>Instructional content for this group of programs is defined in codes 05.0201- 05.0299.</t>
  </si>
  <si>
    <t>African-American/Black Studies.</t>
  </si>
  <si>
    <t>A program that focuses on the history, sociology, politics, culture, and economics of the North American peoples descended from the African diaspora; focusing on the United States, Canada, and the Caribbean, but also including reference to Latin American elements of the diaspora.</t>
  </si>
  <si>
    <t>A program that focuses on the history, sociology, politics, culture, and economics of one or more of the American Indian, Aleut, Inuit, Hawaiian and other native peoples of the Americas from earliest times until the present, with particular emphasis on U.S. and Canadian populations and their problems but including reference to Caribbean and Latin American native peoples.</t>
  </si>
  <si>
    <t>Hispanic-American, Puerto Rican, and Mexican-American/Chicano Studies.</t>
  </si>
  <si>
    <t>A program that focuses on the history, sociology, politics, culture, and economics of one or more of the Hispanic American immigrant populations within the U.S. and Canada, including Mexican-American Studies, Cuban American Studies, Puerto Rican Studies, and others.</t>
  </si>
  <si>
    <t>(Moved, Report under 38.0205)</t>
  </si>
  <si>
    <t>(Moved, Report under 38.0206)</t>
  </si>
  <si>
    <t>Asian-American Studies.</t>
  </si>
  <si>
    <t>A program that focuses on the history, sociology, politics, culture, and economics of Asian population groups who have immigrated to the United States and Canada, or sought refugee asylum, from the colonial period to the present, and including Chinese-Americans, Japanese-Americans, Korean-Americans, Vietnamese-Americans, Cambodian-Americans, and others.</t>
  </si>
  <si>
    <t>Women's Studies.</t>
  </si>
  <si>
    <t>A program that focuses on the history, sociology, politics, culture, and economics of women, and the development of modern feminism in relation to the roles played by women in different periods and locations in North America and the world.  Programs may focus on literature, philosophy, and the arts as much as on social studies and policy.</t>
  </si>
  <si>
    <t>05.0208</t>
  </si>
  <si>
    <t>Gay/Lesbian Studies.</t>
  </si>
  <si>
    <t>(NEW)   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</si>
  <si>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Ethnic, Cultural Minority, and Gender Studies, Other.</t>
  </si>
  <si>
    <t>Any instructional program in ethnic, cultural minority, and gender studies not listed above.</t>
  </si>
  <si>
    <t>05.99</t>
  </si>
  <si>
    <t>Area, Ethnic, Cultural, and Gender Studies, Other.</t>
  </si>
  <si>
    <t>Instructional content is defined in code 05.9999.</t>
  </si>
  <si>
    <t>Any instructional program in area, ethnic, cultural, and gender studies not listed above.</t>
  </si>
  <si>
    <t>08.</t>
  </si>
  <si>
    <t>MARKETING OPERATIONS/MARKETING AND DISTRIBUTION.</t>
  </si>
  <si>
    <t>(The entire series has been Deleted, the programs have been moved to and should be reported under the   appropriate codes in Series 52). Refer to the Crosswalk in table 3  for a specification of how/where these programs should be reported.</t>
  </si>
  <si>
    <t>09.</t>
  </si>
  <si>
    <t>COMMUNICATION, JOURNALISM, AND RELATED PROGRAMS.</t>
  </si>
  <si>
    <t>Instructional programs that focus on how messages in various media are produced, used, and interpreted within and across different contexts, channels, and cultures, and that prepare individuals to apply communication knowledge and skills professionally.</t>
  </si>
  <si>
    <t>09.01</t>
  </si>
  <si>
    <t>Communication and Media Studies.</t>
  </si>
  <si>
    <t>Instructional content for this group of programs is defined in codes 09.0101- 09.0199.</t>
  </si>
  <si>
    <t>23.</t>
  </si>
  <si>
    <t>ENGLISH LANGUAGE AND LITERATURE/LETTERS.</t>
  </si>
  <si>
    <t>Communication Studies/Speech Communication and Rhetoric.</t>
  </si>
  <si>
    <t>A program that focuses on the scientific, humanistic, and critical study of human communication in a variety of formats, media, and contexts.  Includes instruction in the theory and practice of interpersonal, group, organizational,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</si>
  <si>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09.0102</t>
  </si>
  <si>
    <t>Mass Communication/Media Studies.</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</si>
  <si>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  (Moved from 09.0403)</t>
  </si>
  <si>
    <t>09.0199</t>
  </si>
  <si>
    <t>Communication and Media Studies, Other.</t>
  </si>
  <si>
    <t>(NEW)   Any instructional program in communication and media studies not listed above.</t>
  </si>
  <si>
    <t>09.02</t>
  </si>
  <si>
    <t>Advertising.</t>
  </si>
  <si>
    <t>(Moved, Report under 09.0903)</t>
  </si>
  <si>
    <t>09.04</t>
  </si>
  <si>
    <t>Instructional content for this group of programs is defined in codes 09.0401- 09.0499.</t>
  </si>
  <si>
    <t>A program that focuses on the theory and practice of gathering, processing, and delivering news and that prepares individuals to be professional print journalists, news editors, and news managers.  Includes instruction in news writing and editing; reporting; photojournalism; layout and graphic design; journalism law and policy; professional standards and ethics; research methods; and journalism history and criticism.</t>
  </si>
  <si>
    <t>A program that focuses on the methods and techniques for reporting, producing, and delivering news and news programs via radio, television, and video/film media; and that prepares individuals to be professional broadcast journalists, editors, producers, directors, and managers.  Includes instruction in the principles of broadcast technology; broadcast reporting; on- and off-camera and microphone procedures and techniques; program, sound, and video/film editing; program design and production; media law and policy; and professional standards and ethics.</t>
  </si>
  <si>
    <t>Mass Communications.</t>
  </si>
  <si>
    <t>(Moved, Report under 09.0102)</t>
  </si>
  <si>
    <t>09.0404</t>
  </si>
  <si>
    <t>Photojournalism.</t>
  </si>
  <si>
    <t>(NEW)  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</si>
  <si>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Journalism, Other.</t>
  </si>
  <si>
    <t>(NEW)  Any instructional program in journalism not listed above.</t>
  </si>
  <si>
    <t>09.05</t>
  </si>
  <si>
    <t>Public Relations and Organizational Communications.</t>
  </si>
  <si>
    <t>(Deleted, Report under 09.0902)</t>
  </si>
  <si>
    <t>09.07</t>
  </si>
  <si>
    <t>Radio, Television, and Digital Communication.</t>
  </si>
  <si>
    <t>Instructional content for this group of programs is defined in codes 09.0701- 09.0799.</t>
  </si>
  <si>
    <t>11.</t>
  </si>
  <si>
    <t>COMPUTER AND INFORMATION SCIENCES AND SUPPORT SERVICES.</t>
  </si>
  <si>
    <t>14.</t>
  </si>
  <si>
    <t>ENGINEERING.</t>
  </si>
  <si>
    <t>15.</t>
  </si>
  <si>
    <t>ENGINEERING TECHNOLOGIES/TECHNICIANS.</t>
  </si>
  <si>
    <t>Radio and Television.</t>
  </si>
  <si>
    <t>A program that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</si>
  <si>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Housing and Human Environments.</t>
  </si>
  <si>
    <t>Interior Design.</t>
  </si>
  <si>
    <t>04.05</t>
  </si>
  <si>
    <t>Interior Architecture.</t>
  </si>
  <si>
    <t>Instructional content is defined in code 04.0501.</t>
  </si>
  <si>
    <t>A program that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</si>
  <si>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04.06</t>
  </si>
  <si>
    <t>Landscape Architecture.</t>
  </si>
  <si>
    <t>Instructional content is defined in code 04.0601.</t>
  </si>
  <si>
    <t>Landscape Architecture (BS, BSLA, BLA, MSLA, MLA, PhD).</t>
  </si>
  <si>
    <t>A program that prepares individuals for the independent professional practice of landscape architecture and research in various aspects of the field.  Includes instruction in geology and hydrology; soils, groundcovers, and horticultural elements; project and site planning; landscape design, history, and theory; environmental design; applicable law and regulations; and professional responsibilities and standards.</t>
  </si>
  <si>
    <t>Landscaping and Groundskeeping.</t>
  </si>
  <si>
    <t>04.07</t>
  </si>
  <si>
    <t>Architectural Urban Design and Planning.</t>
  </si>
  <si>
    <t>(Deleted, Report under 04.0301)</t>
  </si>
  <si>
    <t>04.08</t>
  </si>
  <si>
    <t>Architectural History and Criticism.</t>
  </si>
  <si>
    <t>(NEW)   Instructional content is defined in code 04.0801.</t>
  </si>
  <si>
    <t>04.0801</t>
  </si>
  <si>
    <t>Architectural History and Criticism, General.</t>
  </si>
  <si>
    <t>(NEW)   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</si>
  <si>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Historic Preservation and Conservation.</t>
  </si>
  <si>
    <t>30.1202</t>
  </si>
  <si>
    <t>Cultural Resource Management and Policy Analysis.</t>
  </si>
  <si>
    <t>54.0104</t>
  </si>
  <si>
    <t>Art History, Criticism and Conservation.</t>
  </si>
  <si>
    <t>04.09</t>
  </si>
  <si>
    <t>Architectural Technology/Technician.</t>
  </si>
  <si>
    <t>(NEW)   Instructional content is defined in code 04.0901.</t>
  </si>
  <si>
    <t>04.0901</t>
  </si>
  <si>
    <t>(NEW)   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</si>
  <si>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04.99</t>
  </si>
  <si>
    <t>Architecture and Related Services, Other.</t>
  </si>
  <si>
    <t>Instructional content is defined in code 04.9999.</t>
  </si>
  <si>
    <t>Any instructional program in architecture and related programs not listed above.</t>
  </si>
  <si>
    <t>05.</t>
  </si>
  <si>
    <t>AREA, ETHNIC, CULTURAL, AND GENDER STUDIES.</t>
  </si>
  <si>
    <t>Instructional programs that focus on the defined areas, regions, and countries of the world; defined minority groups within and across societies; and issues relevant to collective gender experience.</t>
  </si>
  <si>
    <t>05.01</t>
  </si>
  <si>
    <t>Area Studies.</t>
  </si>
  <si>
    <t>Instructional content for this group of programs is defined in codes 05.0101- 05.0199.</t>
  </si>
  <si>
    <t>16.</t>
  </si>
  <si>
    <t>45.</t>
  </si>
  <si>
    <t>SOCIAL SCIENCES.</t>
  </si>
  <si>
    <t>54.</t>
  </si>
  <si>
    <t>African Studies.</t>
  </si>
  <si>
    <t>A program that focuses on the history, society, politics, culture, and economics of one or more of the peoples of the African Continent, usually with an emphasis on Africa south of the Sahara, and including the African diaspora overseas.</t>
  </si>
  <si>
    <t>16.0201</t>
  </si>
  <si>
    <t>African Languages, Literatures, and Linguistics.</t>
  </si>
  <si>
    <t>American/United States Studies/Civilization.</t>
  </si>
  <si>
    <t>A program that focuses on the history, society, politics, culture, and economics of the United States and its Pre-Columbian and colonial predecessors, and including the flow of immigrants from other societies.</t>
  </si>
  <si>
    <t>American Literature (United States).</t>
  </si>
  <si>
    <t>54.0102</t>
  </si>
  <si>
    <t>01.</t>
  </si>
  <si>
    <t>AGRICULTURE, AGRICULTURE OPERATIONS, AND RELATED SCIENCES.</t>
  </si>
  <si>
    <t>Instructional programs that focus on agriculture and related sciences and that prepare individuals to apply specific knowledge, methods, and techniques to the management and performance of agricultural operations.</t>
  </si>
  <si>
    <t>19.</t>
  </si>
  <si>
    <t>FAMILY AND CONSUMER SCIENCES/HUMAN SCIENCES.</t>
  </si>
  <si>
    <t>26.</t>
  </si>
  <si>
    <t>BIOLOGICAL AND BIOMEDICAL SCIENCES.</t>
  </si>
  <si>
    <t>01.00</t>
  </si>
  <si>
    <t>Agriculture, General.</t>
  </si>
  <si>
    <t>(NEW)   Instructional content is defined in code 01.0000.</t>
  </si>
  <si>
    <t>M</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</si>
  <si>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  (Moved from 02.0101)</t>
  </si>
  <si>
    <t>01.01</t>
  </si>
  <si>
    <t>Agricultural Business and Management.</t>
  </si>
  <si>
    <t>Instructional content for this group of programs is defined in codes 01.0101-01.0199.</t>
  </si>
  <si>
    <t>Agricultural Business and Management, General.</t>
  </si>
  <si>
    <t>A  general program that focuses on modern business and economic principles involved in the organization, operation, and management of agricultural enterprises.</t>
  </si>
  <si>
    <t>Business Administration and Management, General.</t>
  </si>
  <si>
    <t>Agribusiness/Agricultural Business Operations.</t>
  </si>
  <si>
    <t>A program that prepares individuals to manage agricultural businesses and agriculturally related operations within diversified corporations.  Includes instruction in agriculture, agricultural specialization, business management, accounting, finance, marketing, planning, human resources management, and other managerial responsibilities.</t>
  </si>
  <si>
    <t>Operations Management and Supervision.</t>
  </si>
  <si>
    <t>Agricultural Economics.</t>
  </si>
  <si>
    <t>A program that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</si>
  <si>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03.0204</t>
  </si>
  <si>
    <t>Natural Resource Economics.</t>
  </si>
  <si>
    <t>Applied Economics.</t>
  </si>
  <si>
    <t>Farm/Farm and Ranch Management.</t>
  </si>
  <si>
    <t>A program that prepares individuals to manage farms, ranches, and similar enterprises.  Includes instruction in applicable agricultural specialization, business management, accounting, taxation, capitalization, purchasing, government programs and regulations, operational planning and budgeting, contracts and negotiation, and estate planning.</t>
  </si>
  <si>
    <t>Entrepreneurship/Entrepreneurial Studies.</t>
  </si>
  <si>
    <t>52.0703</t>
  </si>
  <si>
    <t>01.0105</t>
  </si>
  <si>
    <t>Agricultural/Farm Supplies Retailing and Wholesaling.</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</si>
  <si>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 (Moved from 01.0501)</t>
  </si>
  <si>
    <t>01.0106</t>
  </si>
  <si>
    <t>Agricultural Business Technology.</t>
  </si>
  <si>
    <t>(NEW)   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</si>
  <si>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Agricultural Business and Management, Other.</t>
  </si>
  <si>
    <t>Any instructional program in agricultural business and management not listed above.</t>
  </si>
  <si>
    <t>01.02</t>
  </si>
  <si>
    <t>Agricultural Mechanization.</t>
  </si>
  <si>
    <t>Instructional content for this group of programs is defined in codes 01.0201-01.0299.</t>
  </si>
  <si>
    <t>Agricultural Mechanization, General.</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</si>
  <si>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</si>
  <si>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01.10</t>
  </si>
  <si>
    <t>Agricultural Power Machinery Operation.</t>
  </si>
  <si>
    <t>A program that prepares individuals to operate specialized farm, ranch, and agribusiness power equipment of a stationary, mobile, and/or hand-operated nature.  Includes instruction in operating specialized equipment such as terrestrial and airborne crop 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</si>
  <si>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t>
  </si>
  <si>
    <t>01.0205</t>
  </si>
  <si>
    <t>Agricultural Mechanics and Equipment/Machine Technology.</t>
  </si>
  <si>
    <t>(NEW) 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 spraying equipment; tractors and hauling equipment; planting and harvesting equipment; cutting equipment; power sources and systems for silos; irrigation and pumping equipment; dairy, feeding and, shearing operations; and processing systems.</t>
  </si>
  <si>
    <t>47.06</t>
  </si>
  <si>
    <t>Vehicle Maintenance and Repair Technologies.</t>
  </si>
  <si>
    <t>Agricultural Mechanization, Other.</t>
  </si>
  <si>
    <t>Any instructional program in agricultural mechanization not listed above.</t>
  </si>
  <si>
    <t>01.03</t>
  </si>
  <si>
    <t>Agricultural Production Operations.</t>
  </si>
  <si>
    <t>Instructional content for this group of programs is defined in codes 01.0301-01.0399.</t>
  </si>
  <si>
    <t>Agricultural Production Operations, General.</t>
  </si>
  <si>
    <t>A program that focuses on the general planning, economics, and use of facilities, natural resources, equipment, labor, and capital to produce plant and animal products, and that may prepare individuals for work in farming, ranching, and agribusiness.</t>
  </si>
  <si>
    <t>Animal/Livestock Husbandry and Production.</t>
  </si>
  <si>
    <t>A program that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</si>
  <si>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A program that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</si>
  <si>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Crop Production.</t>
  </si>
  <si>
    <t>A program that prepares individuals to cultivate grain, fiber,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</si>
  <si>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01.0306</t>
  </si>
  <si>
    <t>Dairy Husbandry and Production.</t>
  </si>
  <si>
    <t>(NEW)  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</si>
  <si>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01.0307</t>
  </si>
  <si>
    <t>Horse Husbandry/Equine Science and Management.</t>
  </si>
  <si>
    <t>(NEW)   A program that prepares individuals to manage the selection, breeding, care, and maintenance of work, athletic, and show horses; and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</si>
  <si>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Agricultural Production Operations, Other.</t>
  </si>
  <si>
    <t>Any instructional program in agricultural production operations not listed above.</t>
  </si>
  <si>
    <t>01.04</t>
  </si>
  <si>
    <t>Agricultural and Food Products Processing.</t>
  </si>
  <si>
    <t>Instructional content is defined in code 01.0401.</t>
  </si>
  <si>
    <t>A program that prepares individuals to receive, inspect, store, process, and package agricultural products in the form of human food consumables, animal or plant food, or other industrial products.  Includes instruction in the nutrient and industrial properties of various agricultural products; logistics and storage procedures; chemical and mechanical processing operations; packaging; safety and health requirements; and related technical and business principles.</t>
  </si>
  <si>
    <t>01.05</t>
  </si>
  <si>
    <t>Agricultural and Domestic Animal Services.</t>
  </si>
  <si>
    <t>Instructional content for this group of programs is defined in codes 01.0504-01.0599.</t>
  </si>
  <si>
    <t>51.24</t>
  </si>
  <si>
    <t>Veterinary Medicine (DVM).</t>
  </si>
  <si>
    <t>(Moved, Report under 01.0105)</t>
  </si>
  <si>
    <t>01.0504</t>
  </si>
  <si>
    <t>Dog/Pet/Animal Grooming.</t>
  </si>
  <si>
    <t>(NEW)  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</si>
  <si>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12.04</t>
  </si>
  <si>
    <t>Cosmetology and Related Personal Grooming Services.</t>
  </si>
  <si>
    <t>Animal Training.</t>
  </si>
  <si>
    <t>A program that prepares individuals to teach and exercise animals for leisure, sport, show, and professional purposes.  Includes instruction in animal psychology, health, and safety; human-animal interaction; learning and behavior styles associated with different breeds and species; and the technical and pedagogical aspects of training animals for such specific functions as obedient household pets, performing show animals, animal athletes, care-giving (e.g., seeing-eye dogs), search and rescue, and police/security work.</t>
  </si>
  <si>
    <t>Equestrian/Equine Studies.</t>
  </si>
  <si>
    <t>A program that focuses on the horse, horsemanship, and related subjects and prepares individuals to care for horses and horse equipment; ride and drive horses for leisure, sport, show, and professional purposes; and manage the training of horses and riders.  Includes instruction in horse breeding, nutrition, health, and safety; history of the horse and horsemanship; horse development and training; riding and equestrian technique; stable, paddock, and track management; and equipment maintenance and repair.</t>
  </si>
  <si>
    <t>01.0508</t>
  </si>
  <si>
    <t>Taxidermy/Taxidermist.</t>
  </si>
  <si>
    <t>(NEW)   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</si>
  <si>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Agricultural and Domestic Animal Services, Other.</t>
  </si>
  <si>
    <t>Any instructional program in agricultural and domestic animal services not listed above.</t>
  </si>
  <si>
    <t>01.06</t>
  </si>
  <si>
    <t>Applied Horticulture and Horticultural Business Services.</t>
  </si>
  <si>
    <t>Instructional content for this group of programs is defined in codes 01.0601-01.0699.</t>
  </si>
  <si>
    <t>Applied Horticulture/Horticulture Operations, General.</t>
  </si>
  <si>
    <t>A program that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</si>
  <si>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Ornamental Horticulture.</t>
  </si>
  <si>
    <t>A program that focuses on  domesticated plants and plant materials used for decorative and recreational applications and prepares individuals to breed, grow, and utilize ornamental plant varieties for commercial and aesthetic purposes.  Includes instruction in applicable plant science subjects, the environmental design and artistic aspects of horticultural product usage, and the management of horticultural operations.</t>
  </si>
  <si>
    <t>Greenhouse Operations and Management.</t>
  </si>
  <si>
    <t>A program that prepares individuals to produce, store, and deliver plant species in controlled indoor environments for wholesale, commercial, research, or other purposes.  Includes instruction in applicable principles of plant science; climate, irrigation, and nutrition control equipment operation and maintenance; facilities management; inventory control; safety procedures; and personnel supervision.</t>
  </si>
  <si>
    <t>A program that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</si>
  <si>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Plant Nursery Operations and Management.</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</si>
  <si>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</si>
  <si>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Turf and Turfgrass Management.</t>
  </si>
  <si>
    <t>A program that focuses on turfgrasses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</si>
  <si>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01.0608</t>
  </si>
  <si>
    <t>Floriculture/Floristry Operations and Management.</t>
  </si>
  <si>
    <t>(NEW)  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</si>
  <si>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Applied Horticulture/Horticultural Business Services, Other.</t>
  </si>
  <si>
    <t>Any instructional program in horticultural service operations not listed above.</t>
  </si>
  <si>
    <t>01.07</t>
  </si>
  <si>
    <t>International Agriculture.</t>
  </si>
  <si>
    <t>Instructional content is defined in code 01.0701.</t>
  </si>
  <si>
    <t>A program that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</si>
  <si>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01.08</t>
  </si>
  <si>
    <t>Agricultural Public Services.</t>
  </si>
  <si>
    <t>(NEW)   Instructional content for this group of programs is defined in codes 01.0801- 01.0899.</t>
  </si>
  <si>
    <t>01.0801</t>
  </si>
  <si>
    <t>Agricultural and Extension Education Services.</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</si>
  <si>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  (Moved from 02.0102)</t>
  </si>
  <si>
    <t>Agricultural Teacher Education.</t>
  </si>
  <si>
    <t>01.0802</t>
  </si>
  <si>
    <t>Agricultural Communication/Journalism.</t>
  </si>
  <si>
    <t>(NEW)   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</si>
  <si>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Journalism.</t>
  </si>
  <si>
    <t>Broadcast Journalism.</t>
  </si>
  <si>
    <t>09.09</t>
  </si>
  <si>
    <t>01.0899</t>
  </si>
  <si>
    <t>Agricultural Public Services, Other.</t>
  </si>
  <si>
    <t>(NEW)   Any instructional program in general agricultural sciences and related services not listed above.</t>
  </si>
  <si>
    <t>01.09</t>
  </si>
  <si>
    <t>Animal Sciences.</t>
  </si>
  <si>
    <t>Instructional content for this group of programs is defined in codes  01.0901- 01.0999.  (Moved from 02.02 Series)</t>
  </si>
  <si>
    <t>01.0901</t>
  </si>
  <si>
    <t>Animal Sciences, General.</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</si>
  <si>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  (Moved from 02.0201)</t>
  </si>
  <si>
    <t>26.02</t>
  </si>
  <si>
    <t>Cell/Cellular Biology and Anatomical Sciences.</t>
  </si>
  <si>
    <t>26.13</t>
  </si>
  <si>
    <t>Zoology/Animal Biology.</t>
  </si>
  <si>
    <t>26.1101</t>
  </si>
  <si>
    <t>Biometry/Biometrics.</t>
  </si>
  <si>
    <t>(Report under 26.1101)</t>
  </si>
  <si>
    <t>26.1103</t>
  </si>
  <si>
    <t>Bioinformatics.</t>
  </si>
  <si>
    <t>01.0902</t>
  </si>
  <si>
    <t>Agricultural Animal Breeding.</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</si>
  <si>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 (Moved from 02.0202)</t>
  </si>
  <si>
    <t>26.0804</t>
  </si>
  <si>
    <t>Animal Genetics.</t>
  </si>
  <si>
    <t>26.1201</t>
  </si>
  <si>
    <t>Biotechnology.</t>
  </si>
  <si>
    <t>01.0903</t>
  </si>
  <si>
    <t>Animal Health.</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</si>
  <si>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  (Moved from 02.0203)</t>
  </si>
  <si>
    <t>26.05</t>
  </si>
  <si>
    <t>Microbiological Sciences and Immunology.</t>
  </si>
  <si>
    <t>26.09</t>
  </si>
  <si>
    <t>(Report under 26.09 Series)</t>
  </si>
  <si>
    <t>26.10</t>
  </si>
  <si>
    <t>Pharmacology and Toxicology.</t>
  </si>
  <si>
    <t>51.25</t>
  </si>
  <si>
    <t>01.0904</t>
  </si>
  <si>
    <t>Animal Nutrition.</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</si>
  <si>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  (Moved from 02.0204)</t>
  </si>
  <si>
    <t>Human Nutrition.</t>
  </si>
  <si>
    <t>30.1901</t>
  </si>
  <si>
    <t>Nutrition Sciences.</t>
  </si>
  <si>
    <t>(Report under 30.1901)</t>
  </si>
  <si>
    <t>26.0707</t>
  </si>
  <si>
    <t>Animal Physiology.</t>
  </si>
  <si>
    <t>01.0905</t>
  </si>
  <si>
    <t>Dairy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</si>
  <si>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  (Moved from 02.0206)</t>
  </si>
  <si>
    <t>01.0906</t>
  </si>
  <si>
    <t>Livestock Management.</t>
  </si>
  <si>
    <t>(NEW)   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</si>
  <si>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01.0907</t>
  </si>
  <si>
    <t>Poultry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</si>
  <si>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  (Moved from 02.0209)</t>
  </si>
  <si>
    <t>Entomology.</t>
  </si>
  <si>
    <t>01.0999</t>
  </si>
  <si>
    <t>Animal Sciences, Other.</t>
  </si>
  <si>
    <t>Any instructional program in the animal sciences not listed above.  (Moved from 02.0299)</t>
  </si>
  <si>
    <t>Food Science and Technology.</t>
  </si>
  <si>
    <t>Instructional content for this group of programs is defined in codes 01.1001- 01.1099.  (Moved from 02.03 Series)</t>
  </si>
  <si>
    <t>01.1001</t>
  </si>
  <si>
    <t>Food Science.</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</si>
  <si>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   (Moved from 02.0301)</t>
  </si>
  <si>
    <t>01.1002</t>
  </si>
  <si>
    <t>Food Technology and Processing.</t>
  </si>
  <si>
    <t>(NEW)   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</si>
  <si>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01.1099</t>
  </si>
  <si>
    <t>Food Science and Technology, Other.</t>
  </si>
  <si>
    <t>(NEW)  Any instructional program in food sciences and technology not listed above.</t>
  </si>
  <si>
    <t>Instructional content for this group of programs is defined in codes</t>
  </si>
  <si>
    <t>01.1101</t>
  </si>
  <si>
    <t>Plant Sciences, General.</t>
  </si>
  <si>
    <t>A group of instructional programs that describe the application of scientific and mathematical principles to the study of business problems.</t>
  </si>
  <si>
    <t>521300</t>
  </si>
  <si>
    <t>52.1301</t>
  </si>
  <si>
    <t>Management Science</t>
  </si>
  <si>
    <t>An instructional program that describes the application of mathematical modeling, programming, forecasting and operations research techniques to the analysis of problems of business organization and performance.  Includes instruction in optimization theory and mathematical techniques, stochastic and dynamic modelling, operations analysis, and the design and testing of prototype systems and evaluation models.</t>
  </si>
  <si>
    <t>521301</t>
  </si>
  <si>
    <t>52.1302</t>
  </si>
  <si>
    <t>Business Statistics</t>
  </si>
  <si>
    <t>An instructional program that describes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</si>
  <si>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521302</t>
  </si>
  <si>
    <t>52.1399</t>
  </si>
  <si>
    <t>Business Quantitative Methods &amp; Management Science, Other</t>
  </si>
  <si>
    <t>Any instructional program in business quantitative methods and management science not described elsewhere in this group of instructional programs.</t>
  </si>
  <si>
    <t>521399</t>
  </si>
  <si>
    <t>52.1400</t>
  </si>
  <si>
    <t>Marketing Management &amp; Research</t>
  </si>
  <si>
    <t>A group of instructional programs that prepare individuals to provide services for moving goods and services from producer to consumer, and to manage such services.</t>
  </si>
  <si>
    <t>521400</t>
  </si>
  <si>
    <t>52.1401</t>
  </si>
  <si>
    <t>Business Marketing &amp; Marketing Management</t>
  </si>
  <si>
    <t>An instructional program that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</si>
  <si>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521401</t>
  </si>
  <si>
    <t>52.1402</t>
  </si>
  <si>
    <t>Marketing Research</t>
  </si>
  <si>
    <t>An instructional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 analysis, geographic analysis, and applications to specific products and markets.</t>
  </si>
  <si>
    <t>521402</t>
  </si>
  <si>
    <t>52.1403</t>
  </si>
  <si>
    <t>International Business Marketing</t>
  </si>
  <si>
    <t>An instructional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</si>
  <si>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521403</t>
  </si>
  <si>
    <t>52.1499</t>
  </si>
  <si>
    <t>Marketing Management &amp; Research, Other</t>
  </si>
  <si>
    <t>Any instructional program in general marketing and marketing research not described elsewhere in this group of instructional programs.</t>
  </si>
  <si>
    <t>521499</t>
  </si>
  <si>
    <t>52.1500</t>
  </si>
  <si>
    <t>Real Estate</t>
  </si>
  <si>
    <t>A group of instructional programs that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</si>
  <si>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521500</t>
  </si>
  <si>
    <t>52.1501</t>
  </si>
  <si>
    <t>An instructional program that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</si>
  <si>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521501</t>
  </si>
  <si>
    <t>52.1600</t>
  </si>
  <si>
    <t>Taxation</t>
  </si>
  <si>
    <t>A group of instructional programs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</si>
  <si>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521600</t>
  </si>
  <si>
    <t>52.1601</t>
  </si>
  <si>
    <t>An instructional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</si>
  <si>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521601</t>
  </si>
  <si>
    <t>52.9900</t>
  </si>
  <si>
    <t>Business Management &amp; Administrative Services, Other</t>
  </si>
  <si>
    <t>Any instructional programs in business management and administrative services not described elsewhere in this group of instructional programs.</t>
  </si>
  <si>
    <t>529900</t>
  </si>
  <si>
    <t>52.9999</t>
  </si>
  <si>
    <t>Any instructional program in business management and administrative services not described elsewhere in this group of instructional programs.</t>
  </si>
  <si>
    <t>529999</t>
  </si>
  <si>
    <t>53</t>
  </si>
  <si>
    <t>53.0000</t>
  </si>
  <si>
    <t>High School/Secondary Diplomas and Certificates</t>
  </si>
  <si>
    <t>A summary of groups of instructional programs that describe the requirements for high school/secondary graduation.</t>
  </si>
  <si>
    <t>530000</t>
  </si>
  <si>
    <t>53.0100</t>
  </si>
  <si>
    <t>High School/Secondary Diplomas</t>
  </si>
  <si>
    <t>A group of instructional programs that describe prescribed programs of study leading to high school/secondary graduation.</t>
  </si>
  <si>
    <t>530100</t>
  </si>
  <si>
    <t>53.0101</t>
  </si>
  <si>
    <t>Regular High School Diploma</t>
  </si>
  <si>
    <t>An instructional program that describes prescribed minimum requirements specified by a state or other jurisdiction for high school/secondary school graduation.</t>
  </si>
  <si>
    <t>530101</t>
  </si>
  <si>
    <t>53.0102</t>
  </si>
  <si>
    <t>College Preparatory High School Diploma</t>
  </si>
  <si>
    <t>An instructional program that describes prescribed requirements, specified by a state or other jurisdiction, for high school/secondary school graduation in a program of academic subject matter designed to meet typical college entrance requirements.</t>
  </si>
  <si>
    <t>530102</t>
  </si>
  <si>
    <t>53.0103</t>
  </si>
  <si>
    <t>Vocational High School Diploma</t>
  </si>
  <si>
    <t>An instructional program that describes prescribed requirements, specified by a state or other jurisdiction, for high school/secondary school graduation in a vocational program -- together with other required subject matter, and that may prepare individuals for specific occupations.</t>
  </si>
  <si>
    <t>530103</t>
  </si>
  <si>
    <t>53.0104</t>
  </si>
  <si>
    <t>Honors/Regents High School Diploma</t>
  </si>
  <si>
    <t>An instructional program that describes prescribed requirements, specified by a state or other jurisdiction, for high school/secondary school graduation in an academic or vocational program at a stated level of outstanding scholastic performance, or via meeting special requirements beyond the minimum.</t>
  </si>
  <si>
    <t>530104</t>
  </si>
  <si>
    <t>53.0199</t>
  </si>
  <si>
    <t>High School/Secondary Diplomas, Other</t>
  </si>
  <si>
    <t>Any high school/secondary diploma program not described elsewhere in this group of instructional programs, such as diplomas awarded to special education students for completion of an individualized education plan (IEP).</t>
  </si>
  <si>
    <t>530199</t>
  </si>
  <si>
    <t>53.0200</t>
  </si>
  <si>
    <t>High School/Secondary Certificates</t>
  </si>
  <si>
    <t>A group of instructional programs that describe the requirements for successful completion of  specified portions of high school/secondary diploma programs.</t>
  </si>
  <si>
    <t>530200</t>
  </si>
  <si>
    <t>53.0201</t>
  </si>
  <si>
    <t>High School Equivalence Certificate</t>
  </si>
  <si>
    <t>An instructional program that describes the requirements for meeting the minimum high school/secondary graduation requirements specified by a state or other jurisdiction, either by obtaining a prescribed passing score on the national General Educational Development Test (GED), or by satisfactory completion of prescribed coursework, or both.</t>
  </si>
  <si>
    <t>530201</t>
  </si>
  <si>
    <t>53.0202</t>
  </si>
  <si>
    <t>High School Certificate of Competence</t>
  </si>
  <si>
    <t>An instructional program that describes the requirements for meeting specified performance standards in academic or vocational program areas, as prescribed by a state or other jurisdiction, corresponding to a portion of a high school/secondary diploma program.  Includes such requirements as passing a state-mandated academic achievement test, completing specified requirements for subject-matter competence, or achieving a specified high level of performance, and may be awarded independently or in conjunction with a high school/secondary diploma.</t>
  </si>
  <si>
    <t>530202</t>
  </si>
  <si>
    <t>53.0203</t>
  </si>
  <si>
    <t>Certificate of IEP Completion</t>
  </si>
  <si>
    <t>An instructional program that describes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t>
  </si>
  <si>
    <t>530203</t>
  </si>
  <si>
    <t>53.0299</t>
  </si>
  <si>
    <t>High School/Secondary Certificates, Other</t>
  </si>
  <si>
    <t>Any certificate program at the high school/secondary instructional level not described elsewhere in this group of instructional programs.</t>
  </si>
  <si>
    <t>530299</t>
  </si>
  <si>
    <t>99</t>
  </si>
  <si>
    <t>99.0000</t>
  </si>
  <si>
    <t>Unknown</t>
  </si>
  <si>
    <t>Any program that does not fit into a current CIP code.</t>
  </si>
  <si>
    <t>990000</t>
  </si>
  <si>
    <t>99.9999</t>
  </si>
  <si>
    <t>999999</t>
  </si>
  <si>
    <t>CIP85</t>
  </si>
  <si>
    <t>00.0000</t>
  </si>
  <si>
    <t>Not Applicable</t>
  </si>
  <si>
    <t>00</t>
  </si>
  <si>
    <t>000000</t>
  </si>
  <si>
    <t>Agric Bus &amp; Mgmt, Genl</t>
  </si>
  <si>
    <t>Agric Bus &amp; Mgmt, Other</t>
  </si>
  <si>
    <t>Agricul Mechanics, Genl</t>
  </si>
  <si>
    <t>Agricultural Technology</t>
  </si>
  <si>
    <t>Horse Handling &amp; Care</t>
  </si>
  <si>
    <t>International Agricul</t>
  </si>
  <si>
    <t>Agricultural Sci, Genl</t>
  </si>
  <si>
    <t>Animal Sciences, Genl</t>
  </si>
  <si>
    <t>Dairy</t>
  </si>
  <si>
    <t>Poultry</t>
  </si>
  <si>
    <t>Food Science</t>
  </si>
  <si>
    <t>Agronomy</t>
  </si>
  <si>
    <t>Renewable Nat Resources</t>
  </si>
  <si>
    <t>Conservation &amp; Reg, Gen</t>
  </si>
  <si>
    <t>Nat Res Mgmt, Other</t>
  </si>
  <si>
    <t>03.0302</t>
  </si>
  <si>
    <t>Fisheries and Wildlife</t>
  </si>
  <si>
    <t>030302</t>
  </si>
  <si>
    <t>Forestry Prod &amp; Process</t>
  </si>
  <si>
    <t>Forest Prod Proces Tech</t>
  </si>
  <si>
    <t>03.0406</t>
  </si>
  <si>
    <t>Forest Prod Proces Oth*</t>
  </si>
  <si>
    <t>030406</t>
  </si>
  <si>
    <t>Forestry*</t>
  </si>
  <si>
    <t>City, Comm &amp; Reg Plan</t>
  </si>
  <si>
    <t>Environmental Design</t>
  </si>
  <si>
    <t>Urban Design</t>
  </si>
  <si>
    <t>Arch &amp; Envir Des, Other</t>
  </si>
  <si>
    <t>American Studies</t>
  </si>
  <si>
    <t>Asian Studies, General</t>
  </si>
  <si>
    <t>European Studies, Genl</t>
  </si>
  <si>
    <t>Russian &amp; Slavic Studs</t>
  </si>
  <si>
    <t>Western European Studs</t>
  </si>
  <si>
    <t>Afro-Amer (Black) Stud</t>
  </si>
  <si>
    <t>Area &amp; Ethnic St, Other</t>
  </si>
  <si>
    <t>06.0101</t>
  </si>
  <si>
    <t>Business &amp; Mgmt, Genl</t>
  </si>
  <si>
    <t>06</t>
  </si>
  <si>
    <t>060101</t>
  </si>
  <si>
    <t>06.0201</t>
  </si>
  <si>
    <t>060201</t>
  </si>
  <si>
    <t>06.0301</t>
  </si>
  <si>
    <t>Banking &amp; Finance</t>
  </si>
  <si>
    <t>060301</t>
  </si>
  <si>
    <t>06.0401</t>
  </si>
  <si>
    <t>Business Administration</t>
  </si>
  <si>
    <t>060401</t>
  </si>
  <si>
    <t>06.0402</t>
  </si>
  <si>
    <t>Contract Mgt/Purchasing</t>
  </si>
  <si>
    <t>060402</t>
  </si>
  <si>
    <t>06.0403</t>
  </si>
  <si>
    <t>Product Management</t>
  </si>
  <si>
    <t>060403</t>
  </si>
  <si>
    <t>06.0499</t>
  </si>
  <si>
    <t>060499</t>
  </si>
  <si>
    <t>06.0501</t>
  </si>
  <si>
    <t>Business Economics</t>
  </si>
  <si>
    <t>060501</t>
  </si>
  <si>
    <t>06.0601</t>
  </si>
  <si>
    <t>Human Resources Develop</t>
  </si>
  <si>
    <t>060601</t>
  </si>
  <si>
    <t>06.0701</t>
  </si>
  <si>
    <t>Hotel/Motel Management</t>
  </si>
  <si>
    <t>060701</t>
  </si>
  <si>
    <t>06.0705</t>
  </si>
  <si>
    <t>Transportation Mgmt</t>
  </si>
  <si>
    <t>060705</t>
  </si>
  <si>
    <t>06.0799</t>
  </si>
  <si>
    <t>Institutional Mgmt, Oth</t>
  </si>
  <si>
    <t>060799</t>
  </si>
  <si>
    <t>06.0801</t>
  </si>
  <si>
    <t>Insurance and Risk Mgmt</t>
  </si>
  <si>
    <t>060801</t>
  </si>
  <si>
    <t>06.0901</t>
  </si>
  <si>
    <t>060901</t>
  </si>
  <si>
    <t>06.0999</t>
  </si>
  <si>
    <t>NOT LISTED</t>
  </si>
  <si>
    <t>060999</t>
  </si>
  <si>
    <t>06.1201</t>
  </si>
  <si>
    <t>Management Information</t>
  </si>
  <si>
    <t>061201</t>
  </si>
  <si>
    <t>06.1302</t>
  </si>
  <si>
    <t>Operations Res (Quant)</t>
  </si>
  <si>
    <t>061302</t>
  </si>
  <si>
    <t>06.1303</t>
  </si>
  <si>
    <t>Management Science, Gen</t>
  </si>
  <si>
    <t>061303</t>
  </si>
  <si>
    <t>06.1399</t>
  </si>
  <si>
    <t>Management Science, Oth</t>
  </si>
  <si>
    <t>061399</t>
  </si>
  <si>
    <t>06.1401</t>
  </si>
  <si>
    <t>Marketing Management</t>
  </si>
  <si>
    <t>061401</t>
  </si>
  <si>
    <t>06.1402</t>
  </si>
  <si>
    <t>061402</t>
  </si>
  <si>
    <t>06.1501</t>
  </si>
  <si>
    <t>Organizational Behavior</t>
  </si>
  <si>
    <t>061501</t>
  </si>
  <si>
    <t>06.1601</t>
  </si>
  <si>
    <t>Personnel Management</t>
  </si>
  <si>
    <t>061601</t>
  </si>
  <si>
    <t>06.1701</t>
  </si>
  <si>
    <t>061701</t>
  </si>
  <si>
    <t>06.1799</t>
  </si>
  <si>
    <t>Real Estate/Urban Dev *</t>
  </si>
  <si>
    <t>061799</t>
  </si>
  <si>
    <t>06.1801</t>
  </si>
  <si>
    <t>Enterprise Mgmt &amp; Oper</t>
  </si>
  <si>
    <t>061801</t>
  </si>
  <si>
    <t>06.1901</t>
  </si>
  <si>
    <t>061901</t>
  </si>
  <si>
    <t>06.2001</t>
  </si>
  <si>
    <t>Trade &amp; Industrial Mgmt</t>
  </si>
  <si>
    <t>062001</t>
  </si>
  <si>
    <t>06.9999</t>
  </si>
  <si>
    <t>Business &amp; Mgmt, Other</t>
  </si>
  <si>
    <t>069999</t>
  </si>
  <si>
    <t>07.0101</t>
  </si>
  <si>
    <t>Acct, Bookkeep, Rel Pro</t>
  </si>
  <si>
    <t>07</t>
  </si>
  <si>
    <t>070101</t>
  </si>
  <si>
    <t>07.0102</t>
  </si>
  <si>
    <t>Accounting &amp; Computing</t>
  </si>
  <si>
    <t>070102</t>
  </si>
  <si>
    <t>07.0103</t>
  </si>
  <si>
    <t>Bookkeeping</t>
  </si>
  <si>
    <t>070103</t>
  </si>
  <si>
    <t>07.0301</t>
  </si>
  <si>
    <t>Bus, Data Proc, Rel Pro</t>
  </si>
  <si>
    <t>070301</t>
  </si>
  <si>
    <t>07.0303</t>
  </si>
  <si>
    <t>Bus Data Entry Equip Op</t>
  </si>
  <si>
    <t>070303</t>
  </si>
  <si>
    <t>07.0401</t>
  </si>
  <si>
    <t>Office Superv &amp; Mgmt</t>
  </si>
  <si>
    <t>070401</t>
  </si>
  <si>
    <t>07.0599</t>
  </si>
  <si>
    <t>Personnel &amp; Train Prog</t>
  </si>
  <si>
    <t>070599</t>
  </si>
  <si>
    <t>07.0601</t>
  </si>
  <si>
    <t>Secrt &amp; Related Prog</t>
  </si>
  <si>
    <t>070601</t>
  </si>
  <si>
    <t>07.0603</t>
  </si>
  <si>
    <t>Executive Secretarial</t>
  </si>
  <si>
    <t>070603</t>
  </si>
  <si>
    <t>07.0604</t>
  </si>
  <si>
    <t>Legal Secretarial</t>
  </si>
  <si>
    <t>070604</t>
  </si>
  <si>
    <t>07.0605</t>
  </si>
  <si>
    <t>Medical Secretarial</t>
  </si>
  <si>
    <t>070605</t>
  </si>
  <si>
    <t>07.0606</t>
  </si>
  <si>
    <t>Secretarial</t>
  </si>
  <si>
    <t>070606</t>
  </si>
  <si>
    <t>07.0699</t>
  </si>
  <si>
    <t>Secrt &amp; Rel Prog, Other</t>
  </si>
  <si>
    <t>070699</t>
  </si>
  <si>
    <t>07.0701</t>
  </si>
  <si>
    <t>Typing, Gen Office, Gen</t>
  </si>
  <si>
    <t>070701</t>
  </si>
  <si>
    <t>07.9999</t>
  </si>
  <si>
    <t>Business (Adm Sup), Oth</t>
  </si>
  <si>
    <t>079999</t>
  </si>
  <si>
    <t>Apparel &amp; Accessor Mktg</t>
  </si>
  <si>
    <t>08.0201</t>
  </si>
  <si>
    <t>Bus/Personal Ser Mktg</t>
  </si>
  <si>
    <t>080201</t>
  </si>
  <si>
    <t>Food Marketing, General</t>
  </si>
  <si>
    <t>Retailing</t>
  </si>
  <si>
    <t>Hospitality &amp; Rec Mktg</t>
  </si>
  <si>
    <t>08.1101</t>
  </si>
  <si>
    <t>Trans &amp; Trav Mktg, Gen</t>
  </si>
  <si>
    <t>081101</t>
  </si>
  <si>
    <t>Tourism</t>
  </si>
  <si>
    <t xml:space="preserve"> "Marketing &amp; Dist</t>
  </si>
  <si>
    <t>Journalism (Mass Comm)</t>
  </si>
  <si>
    <t>Public Relations</t>
  </si>
  <si>
    <t>09.0601</t>
  </si>
  <si>
    <t>Radio/TV News Brdcs</t>
  </si>
  <si>
    <t>090601</t>
  </si>
  <si>
    <t>09.0801</t>
  </si>
  <si>
    <t>Telecommunications</t>
  </si>
  <si>
    <t>090801</t>
  </si>
  <si>
    <t>Radio &amp; TV Prod &amp; Brdcs</t>
  </si>
  <si>
    <t>Computer &amp; Info Sci Gen</t>
  </si>
  <si>
    <t>Data Processing</t>
  </si>
  <si>
    <t>Information Sci &amp; Syst</t>
  </si>
  <si>
    <t>Systems Analysis</t>
  </si>
  <si>
    <t>Computer &amp; Information</t>
  </si>
  <si>
    <t>Funeral Services</t>
  </si>
  <si>
    <t>Curriculum and Instr</t>
  </si>
  <si>
    <t>Educational Admin</t>
  </si>
  <si>
    <t>Admin of Special Educ</t>
  </si>
  <si>
    <t>Higher Education Admin</t>
  </si>
  <si>
    <t>Comm College Education</t>
  </si>
  <si>
    <t>Ed Admin &amp; Sup, Other</t>
  </si>
  <si>
    <t>Educational Media</t>
  </si>
  <si>
    <t>Educational Statistics</t>
  </si>
  <si>
    <t>Ed Policy Studies</t>
  </si>
  <si>
    <t>13.0801</t>
  </si>
  <si>
    <t>130801</t>
  </si>
  <si>
    <t>Special Education, Genl</t>
  </si>
  <si>
    <t>Ed of Hearing Impaired</t>
  </si>
  <si>
    <t>Education of the Gifted</t>
  </si>
  <si>
    <t>Ed of Emotional Handic</t>
  </si>
  <si>
    <t>Ed of Mental Handicap</t>
  </si>
  <si>
    <t>Ed of Multiple Handicap</t>
  </si>
  <si>
    <t>Ed of Physically Handic</t>
  </si>
  <si>
    <t>Specific Learning Disab</t>
  </si>
  <si>
    <t>Speech Correction</t>
  </si>
  <si>
    <t>Special Educ., Other</t>
  </si>
  <si>
    <t>Stud Couns &amp; Personnel</t>
  </si>
  <si>
    <t>Adult and Continuing Ed</t>
  </si>
  <si>
    <t>Elementary Education</t>
  </si>
  <si>
    <t>Junior High/Mid Sch Ed</t>
  </si>
  <si>
    <t>Pre-Elementary Educatio</t>
  </si>
  <si>
    <t>Secondary Education</t>
  </si>
  <si>
    <t>Teacher Education, Genl</t>
  </si>
  <si>
    <t>Agricultural Education</t>
  </si>
  <si>
    <t>Art Education</t>
  </si>
  <si>
    <t>Business Education</t>
  </si>
  <si>
    <t>English Education</t>
  </si>
  <si>
    <t>Foreign Languages Educ</t>
  </si>
  <si>
    <t>Health Education</t>
  </si>
  <si>
    <t>Home Economics Educ</t>
  </si>
  <si>
    <t>Industrial Arts Educ</t>
  </si>
  <si>
    <t>Market &amp; Distrib Educ</t>
  </si>
  <si>
    <t>Mathematics Education</t>
  </si>
  <si>
    <t>Music Education</t>
  </si>
  <si>
    <t>Physical Education</t>
  </si>
  <si>
    <t>Reading Education</t>
  </si>
  <si>
    <t>Science Education</t>
  </si>
  <si>
    <t>Social Science, Educ</t>
  </si>
  <si>
    <t>Social Studies Educatio</t>
  </si>
  <si>
    <t>Trade &amp; Industrial Educ</t>
  </si>
  <si>
    <t>Computer Education</t>
  </si>
  <si>
    <t>Teacher Education, Spec</t>
  </si>
  <si>
    <t>Tchg Eng as Second Lang</t>
  </si>
  <si>
    <t>Aerosp, Aeron, &amp; Astro</t>
  </si>
  <si>
    <t>Agricultural Engineer</t>
  </si>
  <si>
    <t>Bioengineering &amp; Biomed</t>
  </si>
  <si>
    <t>Electrical, Electronics</t>
  </si>
  <si>
    <t>Agricultural Engnrng</t>
  </si>
  <si>
    <t>Environment Health Eng</t>
  </si>
  <si>
    <t>Industrial Engineering</t>
  </si>
  <si>
    <t>14.1990</t>
  </si>
  <si>
    <t>Mechanical and Aerospac</t>
  </si>
  <si>
    <t>141990</t>
  </si>
  <si>
    <t>Mining &amp; Mineral Engine</t>
  </si>
  <si>
    <t>14.2798</t>
  </si>
  <si>
    <t>Urban Systems Engr.*</t>
  </si>
  <si>
    <t>142798</t>
  </si>
  <si>
    <t>14.2799</t>
  </si>
  <si>
    <t>Software Sys. Engr.</t>
  </si>
  <si>
    <t>142799</t>
  </si>
  <si>
    <t>Textile Engineering</t>
  </si>
  <si>
    <t>14.9998</t>
  </si>
  <si>
    <t>Engineering Administrat</t>
  </si>
  <si>
    <t>149998</t>
  </si>
  <si>
    <t>Arch Design &amp; Const Tec</t>
  </si>
  <si>
    <t>15.0111</t>
  </si>
  <si>
    <t>150111</t>
  </si>
  <si>
    <t>Civil Technology</t>
  </si>
  <si>
    <t>15.0202</t>
  </si>
  <si>
    <t>Drafting &amp; Design Techn</t>
  </si>
  <si>
    <t>150202</t>
  </si>
  <si>
    <t>15.0299</t>
  </si>
  <si>
    <t>Civil Technologies, Oth</t>
  </si>
  <si>
    <t>150299</t>
  </si>
  <si>
    <t>Computer Technology</t>
  </si>
  <si>
    <t>Electronic Technology</t>
  </si>
  <si>
    <t>Electrical &amp; Electronic</t>
  </si>
  <si>
    <t>Biomedical Equip Tech</t>
  </si>
  <si>
    <t>Computer Servicing Tech</t>
  </si>
  <si>
    <t>Environ Control Tech</t>
  </si>
  <si>
    <t>Industrial Technology</t>
  </si>
  <si>
    <t>Indust Prod Tech, Other</t>
  </si>
  <si>
    <t>Occ Safety &amp; Hlth Tech</t>
  </si>
  <si>
    <t>Mechanical &amp; Rel Tech</t>
  </si>
  <si>
    <t>Coal Mining Technology</t>
  </si>
  <si>
    <t>Eng &amp; Eng-Related Tech</t>
  </si>
  <si>
    <t>Foreign Languages, Mult</t>
  </si>
  <si>
    <t>Russian</t>
  </si>
  <si>
    <t>Slavic Lan (Not Russian</t>
  </si>
  <si>
    <t>German</t>
  </si>
  <si>
    <t>Greek (Classical)</t>
  </si>
  <si>
    <t>French</t>
  </si>
  <si>
    <t>Italian</t>
  </si>
  <si>
    <t>16.0903</t>
  </si>
  <si>
    <t>Latin</t>
  </si>
  <si>
    <t>160903</t>
  </si>
  <si>
    <t>Spanish</t>
  </si>
  <si>
    <t>Foreign Languages, Oth</t>
  </si>
  <si>
    <t>17.0101</t>
  </si>
  <si>
    <t>Dental Assisting</t>
  </si>
  <si>
    <t>17</t>
  </si>
  <si>
    <t>170101</t>
  </si>
  <si>
    <t>17.0102</t>
  </si>
  <si>
    <t>Dental Hygiene</t>
  </si>
  <si>
    <t>170102</t>
  </si>
  <si>
    <t>17.0103</t>
  </si>
  <si>
    <t>Dental Lab Technology</t>
  </si>
  <si>
    <t>170103</t>
  </si>
  <si>
    <t>17.0206</t>
  </si>
  <si>
    <t>Emerg Med Tech--Paramed</t>
  </si>
  <si>
    <t>170206</t>
  </si>
  <si>
    <t>17.0207</t>
  </si>
  <si>
    <t>Med Radiation Dosimetry</t>
  </si>
  <si>
    <t>170207</t>
  </si>
  <si>
    <t>17.0208</t>
  </si>
  <si>
    <t>Nuclear Medical Technol</t>
  </si>
  <si>
    <t>170208</t>
  </si>
  <si>
    <t>17.0209</t>
  </si>
  <si>
    <t>Radiologic (Med) Tech</t>
  </si>
  <si>
    <t>170209</t>
  </si>
  <si>
    <t>17.0210</t>
  </si>
  <si>
    <t>Respiratory Ther Tech</t>
  </si>
  <si>
    <t>170210</t>
  </si>
  <si>
    <t>17.0211</t>
  </si>
  <si>
    <t>Surgical Technology</t>
  </si>
  <si>
    <t>170211</t>
  </si>
  <si>
    <t>17.0299</t>
  </si>
  <si>
    <t>Diag &amp; Treat Serv, Oth</t>
  </si>
  <si>
    <t>170299</t>
  </si>
  <si>
    <t>17.0301</t>
  </si>
  <si>
    <t>Blood Bank Technology</t>
  </si>
  <si>
    <t>170301</t>
  </si>
  <si>
    <t>17.0303</t>
  </si>
  <si>
    <t>Clinical Animal Technol</t>
  </si>
  <si>
    <t>170303</t>
  </si>
  <si>
    <t>17.0309</t>
  </si>
  <si>
    <t>Medical Lab Technology</t>
  </si>
  <si>
    <t>170309</t>
  </si>
  <si>
    <t>17.0310</t>
  </si>
  <si>
    <t>170310</t>
  </si>
  <si>
    <t>17.0399</t>
  </si>
  <si>
    <t>Medical Lab Tech, Other</t>
  </si>
  <si>
    <t>170399</t>
  </si>
  <si>
    <t>17.0402</t>
  </si>
  <si>
    <t>Community Health Work</t>
  </si>
  <si>
    <t>170402</t>
  </si>
  <si>
    <t>17.0406</t>
  </si>
  <si>
    <t>Ment Hlth/Hum Svcs Tech</t>
  </si>
  <si>
    <t>170406</t>
  </si>
  <si>
    <t>17.0407</t>
  </si>
  <si>
    <t>Rehabilitation Counsel</t>
  </si>
  <si>
    <t>170407</t>
  </si>
  <si>
    <t>17.0499</t>
  </si>
  <si>
    <t>Mental Health/Human Ser</t>
  </si>
  <si>
    <t>170499</t>
  </si>
  <si>
    <t>17.0503</t>
  </si>
  <si>
    <t>Medical Assisting</t>
  </si>
  <si>
    <t>170503</t>
  </si>
  <si>
    <t>17.0505</t>
  </si>
  <si>
    <t>Medical Office Mgmt</t>
  </si>
  <si>
    <t>170505</t>
  </si>
  <si>
    <t>17.0506</t>
  </si>
  <si>
    <t>Medical Records Technol</t>
  </si>
  <si>
    <t>170506</t>
  </si>
  <si>
    <t>17.0508</t>
  </si>
  <si>
    <t>170508</t>
  </si>
  <si>
    <t>17.0605</t>
  </si>
  <si>
    <t>Practical Nursing</t>
  </si>
  <si>
    <t>170605</t>
  </si>
  <si>
    <t>17.0699</t>
  </si>
  <si>
    <t>Nursing-Related Ser, Ot</t>
  </si>
  <si>
    <t>170699</t>
  </si>
  <si>
    <t>17.0705</t>
  </si>
  <si>
    <t>Optometric Technology</t>
  </si>
  <si>
    <t>170705</t>
  </si>
  <si>
    <t>17.0801</t>
  </si>
  <si>
    <t>170801</t>
  </si>
  <si>
    <t>17.0806</t>
  </si>
  <si>
    <t>170806</t>
  </si>
  <si>
    <t>17.0807</t>
  </si>
  <si>
    <t>170807</t>
  </si>
  <si>
    <t>17.0808</t>
  </si>
  <si>
    <t>Occupational Ther, Oth</t>
  </si>
  <si>
    <t>170808</t>
  </si>
  <si>
    <t>17.0813</t>
  </si>
  <si>
    <t>170813</t>
  </si>
  <si>
    <t>17.0815</t>
  </si>
  <si>
    <t>Physical Therapy Asst</t>
  </si>
  <si>
    <t>170815</t>
  </si>
  <si>
    <t>17.0816</t>
  </si>
  <si>
    <t>170816</t>
  </si>
  <si>
    <t>17.0818</t>
  </si>
  <si>
    <t>Respiratory Therapy</t>
  </si>
  <si>
    <t>170818</t>
  </si>
  <si>
    <t>17.0899</t>
  </si>
  <si>
    <t>Rehabilitation Services</t>
  </si>
  <si>
    <t>170899</t>
  </si>
  <si>
    <t>17.9998</t>
  </si>
  <si>
    <t>Health Sciences</t>
  </si>
  <si>
    <t>179998</t>
  </si>
  <si>
    <t>17.9999</t>
  </si>
  <si>
    <t>Allied Health, Other</t>
  </si>
  <si>
    <t>179999</t>
  </si>
  <si>
    <t>18.0101</t>
  </si>
  <si>
    <t>Audiology</t>
  </si>
  <si>
    <t>18</t>
  </si>
  <si>
    <t>180101</t>
  </si>
  <si>
    <t>18.0102</t>
  </si>
  <si>
    <t>Speech Pathology</t>
  </si>
  <si>
    <t>180102</t>
  </si>
  <si>
    <t>18.0103</t>
  </si>
  <si>
    <t>Speech-Language Path</t>
  </si>
  <si>
    <t>180103</t>
  </si>
  <si>
    <t>18.0401</t>
  </si>
  <si>
    <t>Dentistry, General</t>
  </si>
  <si>
    <t>180401</t>
  </si>
  <si>
    <t>18.0601</t>
  </si>
  <si>
    <t>Hospital Epidemiology</t>
  </si>
  <si>
    <t>180601</t>
  </si>
  <si>
    <t>18.0701</t>
  </si>
  <si>
    <t>Health Services Adminis</t>
  </si>
  <si>
    <t>180701</t>
  </si>
  <si>
    <t>18.0703</t>
  </si>
  <si>
    <t>Medical Records Adminis</t>
  </si>
  <si>
    <t>180703</t>
  </si>
  <si>
    <t>18.0799</t>
  </si>
  <si>
    <t>180799</t>
  </si>
  <si>
    <t>18.0901</t>
  </si>
  <si>
    <t>180901</t>
  </si>
  <si>
    <t>18.1001</t>
  </si>
  <si>
    <t>Medicine, General</t>
  </si>
  <si>
    <t>181001</t>
  </si>
  <si>
    <t>18.1026</t>
  </si>
  <si>
    <t>Surgery</t>
  </si>
  <si>
    <t>181026</t>
  </si>
  <si>
    <t>18.1101</t>
  </si>
  <si>
    <t>Nursing, General</t>
  </si>
  <si>
    <t>181101</t>
  </si>
  <si>
    <t>18.1102</t>
  </si>
  <si>
    <t>Anesthetist</t>
  </si>
  <si>
    <t>181102</t>
  </si>
  <si>
    <t>18.1105</t>
  </si>
  <si>
    <t>Nursing Administration</t>
  </si>
  <si>
    <t>181105</t>
  </si>
  <si>
    <t>18.1107</t>
  </si>
  <si>
    <t>181107</t>
  </si>
  <si>
    <t>18.1199</t>
  </si>
  <si>
    <t>181199</t>
  </si>
  <si>
    <t>18.1401</t>
  </si>
  <si>
    <t>181401</t>
  </si>
  <si>
    <t>18.1701</t>
  </si>
  <si>
    <t>Pre-Dentistry</t>
  </si>
  <si>
    <t>181701</t>
  </si>
  <si>
    <t>18.1801</t>
  </si>
  <si>
    <t>Pre-Medicine</t>
  </si>
  <si>
    <t>181801</t>
  </si>
  <si>
    <t>18.2001</t>
  </si>
  <si>
    <t>Pre-Veterinary Med</t>
  </si>
  <si>
    <t>182001</t>
  </si>
  <si>
    <t>18.2202</t>
  </si>
  <si>
    <t>Public Health Lab Sci</t>
  </si>
  <si>
    <t>182202</t>
  </si>
  <si>
    <t>18.2203</t>
  </si>
  <si>
    <t>Public Health Education</t>
  </si>
  <si>
    <t>182203</t>
  </si>
  <si>
    <t>18.2204</t>
  </si>
  <si>
    <t>Public Hlth, Prac &amp; Mgm</t>
  </si>
  <si>
    <t>182204</t>
  </si>
  <si>
    <t>18.2299</t>
  </si>
  <si>
    <t>182299</t>
  </si>
  <si>
    <t>18.2401</t>
  </si>
  <si>
    <t>Veterinary Medicine</t>
  </si>
  <si>
    <t>182401</t>
  </si>
  <si>
    <t>18.9998</t>
  </si>
  <si>
    <t>Health-Related Sciences</t>
  </si>
  <si>
    <t>189998</t>
  </si>
  <si>
    <t>18.9999</t>
  </si>
  <si>
    <t>Health Sciences, Other</t>
  </si>
  <si>
    <t>189999</t>
  </si>
  <si>
    <t>Family/Comm Services</t>
  </si>
  <si>
    <t>Family/Consumer Res Mgm</t>
  </si>
  <si>
    <t>Consumer Science</t>
  </si>
  <si>
    <t>Food Sci &amp; Human Nutr</t>
  </si>
  <si>
    <t>Dietetics/Human Nutrit</t>
  </si>
  <si>
    <t>19.0504</t>
  </si>
  <si>
    <t>Human Nutrition</t>
  </si>
  <si>
    <t>190504</t>
  </si>
  <si>
    <t>Foods &amp; Nutrition</t>
  </si>
  <si>
    <t>Human Env &amp; Housing</t>
  </si>
  <si>
    <t>Housing</t>
  </si>
  <si>
    <t>Individual &amp; Family Dev</t>
  </si>
  <si>
    <t>Text &amp; Clothing, Genl</t>
  </si>
  <si>
    <t>19.0902</t>
  </si>
  <si>
    <t>Fashion Design</t>
  </si>
  <si>
    <t>190902</t>
  </si>
  <si>
    <t>Hotel/Rest./Inst. Mgmt.</t>
  </si>
  <si>
    <t>Clothing, Apparel &amp; Tex</t>
  </si>
  <si>
    <t>20.0406</t>
  </si>
  <si>
    <t>Food Service</t>
  </si>
  <si>
    <t>200406</t>
  </si>
  <si>
    <t>21.0106</t>
  </si>
  <si>
    <t>Graphic Arts</t>
  </si>
  <si>
    <t>210106</t>
  </si>
  <si>
    <t>Law</t>
  </si>
  <si>
    <t>Pre-Law</t>
  </si>
  <si>
    <t>Legal Asssiting</t>
  </si>
  <si>
    <t>Law, Other</t>
  </si>
  <si>
    <t>English, General</t>
  </si>
  <si>
    <t>23.0201</t>
  </si>
  <si>
    <t>Classics</t>
  </si>
  <si>
    <t>230201</t>
  </si>
  <si>
    <t>Creative Writing</t>
  </si>
  <si>
    <t>23.0601</t>
  </si>
  <si>
    <t>Linguistics (Incl Phon,</t>
  </si>
  <si>
    <t>230601</t>
  </si>
  <si>
    <t>Literature, English</t>
  </si>
  <si>
    <t>23.0901</t>
  </si>
  <si>
    <t>Rhetoric and Communicat</t>
  </si>
  <si>
    <t>230901</t>
  </si>
  <si>
    <t>Speech, Debate &amp; Foren</t>
  </si>
  <si>
    <t>Tech &amp; Scientific Comm</t>
  </si>
  <si>
    <t>Letters, Other</t>
  </si>
  <si>
    <t>Liberal Arts &amp; Sciences</t>
  </si>
  <si>
    <t>24.0198</t>
  </si>
  <si>
    <t>Liberal Arts &amp; Science*</t>
  </si>
  <si>
    <t>240198</t>
  </si>
  <si>
    <t>Liberal/General Studies</t>
  </si>
  <si>
    <t>24.9999</t>
  </si>
  <si>
    <t>249999</t>
  </si>
  <si>
    <t>25.0201</t>
  </si>
  <si>
    <t>Archival Science</t>
  </si>
  <si>
    <t>250201</t>
  </si>
  <si>
    <t>Library Assisting</t>
  </si>
  <si>
    <t>25.0401</t>
  </si>
  <si>
    <t>250401</t>
  </si>
  <si>
    <t>26.0201</t>
  </si>
  <si>
    <t>Biochemistry &amp; Biophysi</t>
  </si>
  <si>
    <t>260201</t>
  </si>
  <si>
    <t>26.0304</t>
  </si>
  <si>
    <t>Genetics, Plant/Animal</t>
  </si>
  <si>
    <t>260304</t>
  </si>
  <si>
    <t>Microbiology</t>
  </si>
  <si>
    <t>26.0602</t>
  </si>
  <si>
    <t>Biometrics &amp; Biostatist</t>
  </si>
  <si>
    <t>260602</t>
  </si>
  <si>
    <t>Marine Biology</t>
  </si>
  <si>
    <t>Neurosciences</t>
  </si>
  <si>
    <t>26.0698</t>
  </si>
  <si>
    <t>260698</t>
  </si>
  <si>
    <t>Biomedical Sciences</t>
  </si>
  <si>
    <t>26.0703</t>
  </si>
  <si>
    <t>Genetics, Human &amp; Anima</t>
  </si>
  <si>
    <t>260703</t>
  </si>
  <si>
    <t>Pathology, Human &amp; Anim</t>
  </si>
  <si>
    <t>Pharmacol, Human &amp; Anim</t>
  </si>
  <si>
    <t>Physiology, Human &amp; Ani</t>
  </si>
  <si>
    <t>Life Sciences, Other</t>
  </si>
  <si>
    <t>Mathematics, General</t>
  </si>
  <si>
    <t>Statistics</t>
  </si>
  <si>
    <t>29.9999</t>
  </si>
  <si>
    <t>Military Tech, Other</t>
  </si>
  <si>
    <t>299999</t>
  </si>
  <si>
    <t>Biol &amp; Physical Science</t>
  </si>
  <si>
    <t>30.0201</t>
  </si>
  <si>
    <t>Clinical Pastoral Care</t>
  </si>
  <si>
    <t>300201</t>
  </si>
  <si>
    <t>30.0301</t>
  </si>
  <si>
    <t>Engineering &amp; Other Dis</t>
  </si>
  <si>
    <t>300301</t>
  </si>
  <si>
    <t>30.0401</t>
  </si>
  <si>
    <t>Humanities &amp; Social Sci</t>
  </si>
  <si>
    <t>300401</t>
  </si>
  <si>
    <t>Peace and Conflict Stud</t>
  </si>
  <si>
    <t>30.0701</t>
  </si>
  <si>
    <t>Women"s Studies</t>
  </si>
  <si>
    <t>300701</t>
  </si>
  <si>
    <t>Math &amp; Computer Science</t>
  </si>
  <si>
    <t>30.9997</t>
  </si>
  <si>
    <t>Environmental Science</t>
  </si>
  <si>
    <t>309997</t>
  </si>
  <si>
    <t>30.9998</t>
  </si>
  <si>
    <t>Interdisciplinary Stud</t>
  </si>
  <si>
    <t>309998</t>
  </si>
  <si>
    <t>Multi/Interdisciplinary</t>
  </si>
  <si>
    <t>Parks &amp; Recreation, Gen</t>
  </si>
  <si>
    <t>31.0201</t>
  </si>
  <si>
    <t>Outdoor Recreation</t>
  </si>
  <si>
    <t>310201</t>
  </si>
  <si>
    <t>Parks &amp; Rec Management</t>
  </si>
  <si>
    <t>Parks &amp; Recreation, Oth</t>
  </si>
  <si>
    <t>Health Rel Activit, Oth</t>
  </si>
  <si>
    <t>Leisure &amp; Rec Act, Genl</t>
  </si>
  <si>
    <t>Sports/Physical Educ</t>
  </si>
  <si>
    <t>Religion</t>
  </si>
  <si>
    <t>Philosophy &amp; Religion,</t>
  </si>
  <si>
    <t>Bible Studies</t>
  </si>
  <si>
    <t>Missionary Studies</t>
  </si>
  <si>
    <t>Religious Music</t>
  </si>
  <si>
    <t>Theological Studies</t>
  </si>
  <si>
    <t>Theology, Other</t>
  </si>
  <si>
    <t>Physical Sciences, Gen.</t>
  </si>
  <si>
    <t>Pharmaceutical Chemistr</t>
  </si>
  <si>
    <t>Geology, Other*</t>
  </si>
  <si>
    <t>Earth Science</t>
  </si>
  <si>
    <t>40.0799</t>
  </si>
  <si>
    <t>Misc Physical Sci, Oth</t>
  </si>
  <si>
    <t>400799</t>
  </si>
  <si>
    <t>Physical Sciences, Oth</t>
  </si>
  <si>
    <t>Biological Tech/Technic</t>
  </si>
  <si>
    <t>Nuclear Tech, Other</t>
  </si>
  <si>
    <t>Science Tech, Other</t>
  </si>
  <si>
    <t>Cognitive Science*</t>
  </si>
  <si>
    <t>Industrial &amp; Organizati</t>
  </si>
  <si>
    <t>Physiolog Psy/Psychobio</t>
  </si>
  <si>
    <t>Criminal Justice Admini</t>
  </si>
  <si>
    <t>Criminal Justice Studie</t>
  </si>
  <si>
    <t>Forensic Studies</t>
  </si>
  <si>
    <t>Law Enforcement</t>
  </si>
  <si>
    <t>43.0108</t>
  </si>
  <si>
    <t>Law Enforcement Admin</t>
  </si>
  <si>
    <t>430108</t>
  </si>
  <si>
    <t>Criminal Justice, Other</t>
  </si>
  <si>
    <t>Protective Services, Ot</t>
  </si>
  <si>
    <t>44.0101</t>
  </si>
  <si>
    <t>Public Affairs, General</t>
  </si>
  <si>
    <t>440101</t>
  </si>
  <si>
    <t>Comm Org, Res &amp; Serv</t>
  </si>
  <si>
    <t>Public Policy Studies</t>
  </si>
  <si>
    <t>Social Work, General</t>
  </si>
  <si>
    <t>44.0702</t>
  </si>
  <si>
    <t>Medical Social Work</t>
  </si>
  <si>
    <t>440702</t>
  </si>
  <si>
    <t>44.0799</t>
  </si>
  <si>
    <t>Social Work, Other</t>
  </si>
  <si>
    <t>440799</t>
  </si>
  <si>
    <t>Public Affairs, Other</t>
  </si>
  <si>
    <t>Social Sciences, Genera</t>
  </si>
  <si>
    <t>International Relations</t>
  </si>
  <si>
    <t>Political Science &amp; Gov</t>
  </si>
  <si>
    <t>Political Economy</t>
  </si>
  <si>
    <t>Urban Studies</t>
  </si>
  <si>
    <t>Misc Const &amp; Prop Maint</t>
  </si>
  <si>
    <t>Computer Network Tech</t>
  </si>
  <si>
    <t>47.0301</t>
  </si>
  <si>
    <t>Ind Equip Maint &amp; Rep</t>
  </si>
  <si>
    <t>470301</t>
  </si>
  <si>
    <t>Musical Instr Repair</t>
  </si>
  <si>
    <t>Aircraft Tech, Airframe</t>
  </si>
  <si>
    <t>Aircraft Tech, Pwr Plnt</t>
  </si>
  <si>
    <t>Vehicle &amp; Mob Equip Mch</t>
  </si>
  <si>
    <t>Graphic &amp; Printing Comm</t>
  </si>
  <si>
    <t>48.0203</t>
  </si>
  <si>
    <t>Commercial Art</t>
  </si>
  <si>
    <t>480203</t>
  </si>
  <si>
    <t>Air Transportation, Gen</t>
  </si>
  <si>
    <t>Air Traffic Control</t>
  </si>
  <si>
    <t>Truck and Bus Driving</t>
  </si>
  <si>
    <t>Transp &amp; Material Movg</t>
  </si>
  <si>
    <t>Visual &amp; Performing Art</t>
  </si>
  <si>
    <t>Crafts, General</t>
  </si>
  <si>
    <t>Design, General</t>
  </si>
  <si>
    <t>Graphic Design</t>
  </si>
  <si>
    <t>50.0405</t>
  </si>
  <si>
    <t>Theatre Design</t>
  </si>
  <si>
    <t>500405</t>
  </si>
  <si>
    <t>Design, Other</t>
  </si>
  <si>
    <t>Dramatic Arts</t>
  </si>
  <si>
    <t>Film Arts, General</t>
  </si>
  <si>
    <t>50.0603</t>
  </si>
  <si>
    <t>Film Animation</t>
  </si>
  <si>
    <t>500603</t>
  </si>
  <si>
    <t>Film Arts, Other</t>
  </si>
  <si>
    <t>Fine Arts, General</t>
  </si>
  <si>
    <t>Art History &amp; Appreciat</t>
  </si>
  <si>
    <t>Fine Arts, Other</t>
  </si>
  <si>
    <t>Music History &amp; Apprec</t>
  </si>
  <si>
    <t>Music Performance</t>
  </si>
  <si>
    <t>Music Theory &amp; Comp</t>
  </si>
  <si>
    <t>50.0998</t>
  </si>
  <si>
    <t>Music Media</t>
  </si>
  <si>
    <t>500998</t>
  </si>
  <si>
    <t>Visual &amp; Perf Art, Oth</t>
  </si>
  <si>
    <t>90.0000</t>
  </si>
  <si>
    <t>Not Declared</t>
  </si>
  <si>
    <t>90</t>
  </si>
  <si>
    <t>900000</t>
  </si>
  <si>
    <t>91.0001</t>
  </si>
  <si>
    <t>High Sch Students Taking College Courses</t>
  </si>
  <si>
    <t>91</t>
  </si>
  <si>
    <t>910001</t>
  </si>
  <si>
    <t>91.0002</t>
  </si>
  <si>
    <t>Teacher Relicensure/Recertification</t>
  </si>
  <si>
    <t>910002</t>
  </si>
  <si>
    <t>CIPCode</t>
  </si>
  <si>
    <t>ACTIONCODE</t>
  </si>
  <si>
    <t>ReportUnder</t>
  </si>
  <si>
    <t>03.03</t>
  </si>
  <si>
    <t>Fishing and Fisheries Sciences and Management.</t>
  </si>
  <si>
    <t>Instructional content is defined in code 03.0301.</t>
  </si>
  <si>
    <t>A program that focuses on the scientific study of the husbandry and production of non-domesticated fish and shellfish populations for recreational and commercial purposes and the management of fishing and marine/aquatic product processing to ensure adequate conservation and efficient utilization.  Includes instruction in the principles of marine/aquatic biology, freshwater and saltwater ecosystems, water resources, fishing production operations and management, fishing policy and regulation, and the management of recreational and commercial fishing activities.</t>
  </si>
  <si>
    <t>Aquaculture.</t>
  </si>
  <si>
    <t>26.1302</t>
  </si>
  <si>
    <t>Marine Biology and Biological Oceanography.</t>
  </si>
  <si>
    <t>26.1304</t>
  </si>
  <si>
    <t>Aquatic Biology/Limnology.</t>
  </si>
  <si>
    <t>Commercial Fishing.</t>
  </si>
  <si>
    <t>03.04</t>
  </si>
  <si>
    <t>D</t>
  </si>
  <si>
    <t>Forest Production and Processing.</t>
  </si>
  <si>
    <t>(Deleted)</t>
  </si>
  <si>
    <t>Forest Harvesting and Production Technology/Technician.</t>
  </si>
  <si>
    <t>(Deleted, Report under 03.0511)</t>
  </si>
  <si>
    <t>Forest Products Technology/Technician.</t>
  </si>
  <si>
    <t>Logging/Timber Harvesting.</t>
  </si>
  <si>
    <t>(Deleted, Report under 03.0599)</t>
  </si>
  <si>
    <t>Forest Production and Processing, Other.</t>
  </si>
  <si>
    <t>03.05</t>
  </si>
  <si>
    <t>Forestry.</t>
  </si>
  <si>
    <t>Instructional content for this group of programs is defined in codes 03.0501-03.0599.</t>
  </si>
  <si>
    <t>Forestry, General.</t>
  </si>
  <si>
    <t>A program that generally prepares individuals to manage and develop forest areas for economic, recreational, and ecological purposes.  Includes instruction in forest-related sciences, mapping, statistics, harvesting and production technology, natural resources management and economics, wildlife sciences, administration, and public relations.</t>
  </si>
  <si>
    <t>01.1106</t>
  </si>
  <si>
    <t>Range Science and Management.</t>
  </si>
  <si>
    <t>Forest Sciences and Biology.</t>
  </si>
  <si>
    <t>A program that focuses on the application of one or more forest-related sciences to the study of environmental factors affecting forests and the growth and management of forest resources.  Includes instruction in forest biology, forest hydrology, forest mensuration, silviculture, forest soils, water resources, environmental science, forest resources management, and wood science.</t>
  </si>
  <si>
    <t>01.12</t>
  </si>
  <si>
    <t>Soil Sciences.</t>
  </si>
  <si>
    <t>01.11</t>
  </si>
  <si>
    <t>Plant Sciences.</t>
  </si>
  <si>
    <t>26.03</t>
  </si>
  <si>
    <t>26.1301</t>
  </si>
  <si>
    <t>Ecology.</t>
  </si>
  <si>
    <t>03.0103</t>
  </si>
  <si>
    <t>Environmental Studies.</t>
  </si>
  <si>
    <t>26.08</t>
  </si>
  <si>
    <t>Genetics.</t>
  </si>
  <si>
    <t>Forest Management/Forest Resources Management.</t>
  </si>
  <si>
    <t>A program that prepares individuals to apply principles of forestry and natural resources management to the administration of forest lands and related resources.  Includes instruction in silviculture, forest mensuration, forest protection, inventorying, biometrics, geographic information systems, remote sensing, photogrammetry, forest policy and economics, forest land use planning, fire protection and management, and related administrative skills.</t>
  </si>
  <si>
    <t>03.0508</t>
  </si>
  <si>
    <t>N</t>
  </si>
  <si>
    <t>Urban Forestry.</t>
  </si>
  <si>
    <t>(NEW)  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</si>
  <si>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Wood Science and Wood Products/Pulp and Paper Technology.</t>
  </si>
  <si>
    <t>A program that focuses on the application of chemical, physical, and engineering principles to the analysis of the properties and behavior of wood and wood products and the development of processes for converting wood into paper and other products.  Includes instruction in wood classification and testing, product development, manufacturing and processing technologies, and the design and development of related equipment and systems.</t>
  </si>
  <si>
    <t>14.3401</t>
  </si>
  <si>
    <t>Forest Engineering.</t>
  </si>
  <si>
    <t>03.0510</t>
  </si>
  <si>
    <t>Forest Resources Production and Management.</t>
  </si>
  <si>
    <t>(NEW)   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</si>
  <si>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03.0511</t>
  </si>
  <si>
    <t>Forest Technology/Technician.</t>
  </si>
  <si>
    <t>(NEW)   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</si>
  <si>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Forestry, Other.</t>
  </si>
  <si>
    <t>Any program in forestry not listed above.</t>
  </si>
  <si>
    <t>03.06</t>
  </si>
  <si>
    <t>Wildlife and Wildlands Science and Management.</t>
  </si>
  <si>
    <t>Instructional content is defined in code 03.0601.</t>
  </si>
  <si>
    <t>A program that prepares individuals to conserve and manage wilderness areas and the flora and fauna therein, and manage wildlife reservations and zoological facilities for recreational, commercial, and ecological purposes.  Includes instruction in wildlife biology; environmental science; natural resources management and policy; outdoor recreation and parks management; the design and operation of natural and artificial wildlife habitats; applicable law and regulations; and related administrative and communications skills.</t>
  </si>
  <si>
    <t>Parks, Recreation and Leisure Facilities Management.</t>
  </si>
  <si>
    <t>26.0709</t>
  </si>
  <si>
    <t>Wildlife Biology.</t>
  </si>
  <si>
    <t>26.07</t>
  </si>
  <si>
    <t>03.99</t>
  </si>
  <si>
    <t>Natural Resources and Conservation, Other.</t>
  </si>
  <si>
    <t>Instructional content is defined in code 03.9999.</t>
  </si>
  <si>
    <t>Any instructional program in natural resources and conservation not listed above.</t>
  </si>
  <si>
    <t>04.</t>
  </si>
  <si>
    <t>ARCHITECTURE AND RELATED SERVICES.</t>
  </si>
  <si>
    <t>Instructional programs that prepare individuals for professional practice in the various architecture-related fields and focus on the study of related aesthetic and socioeconomic aspects of the built environment.</t>
  </si>
  <si>
    <t>04.02</t>
  </si>
  <si>
    <t>Architecture.</t>
  </si>
  <si>
    <t>Instructional content is defined in code 04.0201.</t>
  </si>
  <si>
    <t>Architecture (BArch, BA/BS, MArch, MA/MS, PhD).</t>
  </si>
  <si>
    <t>A program that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</si>
  <si>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Architectural Engineering.</t>
  </si>
  <si>
    <t>14.3301</t>
  </si>
  <si>
    <t>Construction Engineering.</t>
  </si>
  <si>
    <t>Architectural Engineering Technology/Technician.</t>
  </si>
  <si>
    <t>15.1303</t>
  </si>
  <si>
    <t>Architectural Drafting.</t>
  </si>
  <si>
    <t>04.03</t>
  </si>
  <si>
    <t>City/Urban, Community and Regional Planning.</t>
  </si>
  <si>
    <t>Instructional content is defined in code 04.0301.</t>
  </si>
  <si>
    <t>A program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</si>
  <si>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Urban Studies/Affairs.</t>
  </si>
  <si>
    <t>04.04</t>
  </si>
  <si>
    <t>Environmental Design.</t>
  </si>
  <si>
    <t>Instructional content is defined in 04.0401.</t>
  </si>
  <si>
    <t>Environmental Design/Architecture.</t>
  </si>
  <si>
    <t>A residency training program that prepares veterinarians in the provision of regular and long term care to animals, health services to owners, and the management of independent veterinary practices.  Includes instruction in comprehensive care and specialist referral, basic surgery, emergency medical procedures, and diagnostic imaging.</t>
  </si>
  <si>
    <t>513011</t>
  </si>
  <si>
    <t>51.3012</t>
  </si>
  <si>
    <t>Veterinary Preventive Medicine</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</si>
  <si>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t>
  </si>
  <si>
    <t>513012</t>
  </si>
  <si>
    <t>51.3013</t>
  </si>
  <si>
    <t>Veterinary Radiology</t>
  </si>
  <si>
    <t>A residency training program that prepares veterinarians in the use of radiologic imaging and therapies to diagnose and treat animal diseases and health problems.  Includes instruction in the use and handling of equipment for radionuclide detection and application.</t>
  </si>
  <si>
    <t>513013</t>
  </si>
  <si>
    <t>51.3014</t>
  </si>
  <si>
    <t>Veterinary Surgery</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</si>
  <si>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 operative and post operative care, trauma management, endoscopic techniques, and applications to large and small animal medicine.</t>
  </si>
  <si>
    <t>513014</t>
  </si>
  <si>
    <t>51.3015</t>
  </si>
  <si>
    <t>Theriogenology</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</si>
  <si>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t>
  </si>
  <si>
    <t>513015</t>
  </si>
  <si>
    <t>51.3016</t>
  </si>
  <si>
    <t>Veterinary Toxicology</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</si>
  <si>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t>
  </si>
  <si>
    <t>513016</t>
  </si>
  <si>
    <t>51.3017</t>
  </si>
  <si>
    <t>Zoological Medicine</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</si>
  <si>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t>
  </si>
  <si>
    <t>513017</t>
  </si>
  <si>
    <t>51.3099</t>
  </si>
  <si>
    <t>Veterinary Residency Programs, Other</t>
  </si>
  <si>
    <t>Any residency training program in veterinary medicine not described elsewhere in these group of programs.</t>
  </si>
  <si>
    <t>513099</t>
  </si>
  <si>
    <t>51.9900</t>
  </si>
  <si>
    <t>Health Professions &amp; Related Services, Other</t>
  </si>
  <si>
    <t>Any residency training program in veterinary medicine not described elsewhere in this group of instructional programs.</t>
  </si>
  <si>
    <t>519900</t>
  </si>
  <si>
    <t>51.9999</t>
  </si>
  <si>
    <t>Health Professions &amp; Related Sciences, Other</t>
  </si>
  <si>
    <t>Any instructional program in health professions and related sciences not described elsehwere in this group of instructional programs.</t>
  </si>
  <si>
    <t>519999</t>
  </si>
  <si>
    <t>52</t>
  </si>
  <si>
    <t>52.0000</t>
  </si>
  <si>
    <t>Business Management and Administrative Services</t>
  </si>
  <si>
    <t xml:space="preserve"> A summa-ry of groups of instructional programs that prepare individuals to perform managerial, research, and technical support functions related to the commercial and/or non-profit production, buying, and selling of goods and services.</t>
  </si>
  <si>
    <t>520000</t>
  </si>
  <si>
    <t>52.0100</t>
  </si>
  <si>
    <t>Business</t>
  </si>
  <si>
    <t>A  group of instructional programs that describes the world of business, including the processes of interchanging goods and services (buying, selling and producing), business organization, and accounting as used in profit making and nonprofit public and private institutions and agencies.  Programs may prepare individuals to apply business principles and techniques in various occupational settings.</t>
  </si>
  <si>
    <t>520100</t>
  </si>
  <si>
    <t>52.0101</t>
  </si>
  <si>
    <t>Business, General</t>
  </si>
  <si>
    <t>An instructional program that generally describes the world of business, including the processes of interchanging goods and services (buying, selling and producing), business organization, and accounting as used in profit making and nonprofit public and private institutions and agencies.  Programs may prepare individuals to apply business principles and techniques in various occupational settings.</t>
  </si>
  <si>
    <t>520101</t>
  </si>
  <si>
    <t>52.0200</t>
  </si>
  <si>
    <t>Business Administration &amp; Management</t>
  </si>
  <si>
    <t>A group of instructional programs that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 making.</t>
  </si>
  <si>
    <t>520200</t>
  </si>
  <si>
    <t>52.0201</t>
  </si>
  <si>
    <t>Business Administration &amp; Management, General</t>
  </si>
  <si>
    <t>An instructional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 making.</t>
  </si>
  <si>
    <t>520201</t>
  </si>
  <si>
    <t>52.0202</t>
  </si>
  <si>
    <t>Purchasing, Procurement &amp; Contracts Management</t>
  </si>
  <si>
    <t>An instructional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</si>
  <si>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520202</t>
  </si>
  <si>
    <t>52.0203</t>
  </si>
  <si>
    <t>Logistics &amp; Materials Management</t>
  </si>
  <si>
    <t>An instructional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</si>
  <si>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520203</t>
  </si>
  <si>
    <t>52.0204</t>
  </si>
  <si>
    <t>Office Supervision &amp; Management</t>
  </si>
  <si>
    <t>An instructional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</si>
  <si>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520204</t>
  </si>
  <si>
    <t>52.0205</t>
  </si>
  <si>
    <t>Operations Management &amp; Supervision</t>
  </si>
  <si>
    <t>An instructional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</si>
  <si>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520205</t>
  </si>
  <si>
    <t>52.0206</t>
  </si>
  <si>
    <t>Non-Profit &amp; Public Management</t>
  </si>
  <si>
    <t>An instructional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</si>
  <si>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520206</t>
  </si>
  <si>
    <t>52.0299</t>
  </si>
  <si>
    <t>Business Administration &amp; Management, Other</t>
  </si>
  <si>
    <t>Any instructional program in business and administration not described elsewhere in this group of instructional programs.</t>
  </si>
  <si>
    <t>520299</t>
  </si>
  <si>
    <t>52.0300</t>
  </si>
  <si>
    <t>Accounting</t>
  </si>
  <si>
    <t>A group of instructional programs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</si>
  <si>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520300</t>
  </si>
  <si>
    <t>52.0301</t>
  </si>
  <si>
    <t>An instructional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</si>
  <si>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520301</t>
  </si>
  <si>
    <t>52.0302</t>
  </si>
  <si>
    <t>Accounting Technician</t>
  </si>
  <si>
    <t>An instructional program that prepares individuals to provide technical administrative support to professional accountants and other financial management personnel.  Includes instruction in posting transactions to accounts, record keeping systems, accounting software operation, and general accounting principles and practices.</t>
  </si>
  <si>
    <t>520302</t>
  </si>
  <si>
    <t>52.0399</t>
  </si>
  <si>
    <t>Accounting, Other</t>
  </si>
  <si>
    <t>Any instructional program in accounting not described elsewhere in this group of instructional programs.</t>
  </si>
  <si>
    <t>520399</t>
  </si>
  <si>
    <t>52.0400</t>
  </si>
  <si>
    <t>Administrative &amp; Secretarial Services</t>
  </si>
  <si>
    <t>A group of instructional programs that prepare individuals to provide administrative and office support services.</t>
  </si>
  <si>
    <t>520400</t>
  </si>
  <si>
    <t>52.0401</t>
  </si>
  <si>
    <t>Administrative Assistant/Secretarial Science, General</t>
  </si>
  <si>
    <t>An instructional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</si>
  <si>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520401</t>
  </si>
  <si>
    <t>52.0402</t>
  </si>
  <si>
    <t>Executive Assistant/Secretary</t>
  </si>
  <si>
    <t>An instructional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</si>
  <si>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520402</t>
  </si>
  <si>
    <t>52.0403</t>
  </si>
  <si>
    <t>Legal Administrative Assistant/Secretary</t>
  </si>
  <si>
    <t>An instructional program that prepares individuals to perform the duties of special assistants and/or personal secretaries for lawyers, judges, and legal counsels.  Includes instruction in business and legal communications, principles of law, public relations, scheduling and travel management, secretarial accounting, filing systems and records management, conference and meeting recording, report preparation, office equipment and procedures, office supervisory skills, legal terminology and research methods, and professional standards and legal requirements.</t>
  </si>
  <si>
    <t>520403</t>
  </si>
  <si>
    <t>52.0404</t>
  </si>
  <si>
    <t>Medical Administrative Assistant/Secretary</t>
  </si>
  <si>
    <t>An instructional program that prepares individuals to perform the duties of special assistants and/or personal secretaries for physicians, hospital and health services administrators, and other health professionals.  Includes instruction in business and medical communications, principles of health services operations, public relations, scheduling and travel management, secretarial accounting, filing systems and records management, conference and meeting recording, report preparation, office equipment and procedures, office supervisory skills, medical terminology, medical legal and business procedures, and professional standards and legal requirements.</t>
  </si>
  <si>
    <t>520404</t>
  </si>
  <si>
    <t>52.0405</t>
  </si>
  <si>
    <t>Court Reporter</t>
  </si>
  <si>
    <t>An instructional program that prepares individuals to record examinations, testimony, judicial opinions, judges' charges to juries, judgments or sentences of courts, or other formal legal proceedings by machine shorthand or other acceptable procedures.  Includes instruction in specialized terminology, procedures and equipment, and professional standards and applicable regulations.</t>
  </si>
  <si>
    <t>520405</t>
  </si>
  <si>
    <t>52.0406</t>
  </si>
  <si>
    <t>Receptionist</t>
  </si>
  <si>
    <t>An instructional program that prepares individuals to perform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</si>
  <si>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520406</t>
  </si>
  <si>
    <t>52.0407</t>
  </si>
  <si>
    <t>Information Processing/Data Entry Technician</t>
  </si>
  <si>
    <t>An instructional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</si>
  <si>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520407</t>
  </si>
  <si>
    <t>52.0408</t>
  </si>
  <si>
    <t>General Office/Clerical &amp; Typing Services</t>
  </si>
  <si>
    <t>An instructional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</si>
  <si>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520408</t>
  </si>
  <si>
    <t>52.0499</t>
  </si>
  <si>
    <t>Administrative &amp; Secretarial Services, Other</t>
  </si>
  <si>
    <t>Any instructional program in administrative and secretarial services not described elsewhere in this group of programs.</t>
  </si>
  <si>
    <t>520499</t>
  </si>
  <si>
    <t>52.0500</t>
  </si>
  <si>
    <t>Business Communications</t>
  </si>
  <si>
    <t>A group of instructional programs that prepares individuals to function in an organization as a composer, editor and proofreader of business or business related communications.</t>
  </si>
  <si>
    <t>520500</t>
  </si>
  <si>
    <t>52.0501</t>
  </si>
  <si>
    <t>An instructional program that prepares individuals to function in an organization as a composer, editor and proofreader of business or business related communications.</t>
  </si>
  <si>
    <t>520501</t>
  </si>
  <si>
    <t>52.0600</t>
  </si>
  <si>
    <t>Business/Managerial Economics</t>
  </si>
  <si>
    <t>A group of instructional programs that describes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</si>
  <si>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520600</t>
  </si>
  <si>
    <t>52.0601</t>
  </si>
  <si>
    <t>An instructional program that describes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</si>
  <si>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520601</t>
  </si>
  <si>
    <t>52.0700</t>
  </si>
  <si>
    <t>Enterprise Management &amp; Operation</t>
  </si>
  <si>
    <t>A group of instructional programs that prepare individuals to develop, own, and operate businesses.</t>
  </si>
  <si>
    <t>520700</t>
  </si>
  <si>
    <t>52.0701</t>
  </si>
  <si>
    <t>Enterprise Management &amp; Operation, General</t>
  </si>
  <si>
    <t>An instructional program that generally prepares individuals to perform development, marketing and management functions associated with owning and operating a business.</t>
  </si>
  <si>
    <t>520701</t>
  </si>
  <si>
    <t>52.0702</t>
  </si>
  <si>
    <t>Franchise Operation</t>
  </si>
  <si>
    <t>An instructional program that prepares individuals to manage and operate franchises.  Includes instruction in legal requirements, set-up costs and capitalization requirements, financing, and applications to specific franchise opportunities.</t>
  </si>
  <si>
    <t>520702</t>
  </si>
  <si>
    <t>52.0799</t>
  </si>
  <si>
    <t>Enterprise Management &amp; Operation, Other</t>
  </si>
  <si>
    <t>Any instructional program in enterprise management and entrepreneurship not described elsewhere in this of group of programs.</t>
  </si>
  <si>
    <t>520799</t>
  </si>
  <si>
    <t>52.0800</t>
  </si>
  <si>
    <t>Financial Management &amp; Services</t>
  </si>
  <si>
    <t>A group of instructional programs that prepare individuals to provide financial or banking services to individuals or institutions.</t>
  </si>
  <si>
    <t>520800</t>
  </si>
  <si>
    <t>52.0801</t>
  </si>
  <si>
    <t>Finance, General</t>
  </si>
  <si>
    <t>An instructional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</si>
  <si>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520801</t>
  </si>
  <si>
    <t>52.0802</t>
  </si>
  <si>
    <t>Actuarial Science</t>
  </si>
  <si>
    <t>An instructional program that describes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</si>
  <si>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520802</t>
  </si>
  <si>
    <t>52.0803</t>
  </si>
  <si>
    <t>Banking &amp; Financial Support Services</t>
  </si>
  <si>
    <t>An instructional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</si>
  <si>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520803</t>
  </si>
  <si>
    <t>52.0804</t>
  </si>
  <si>
    <t>Financial Planning</t>
  </si>
  <si>
    <t>An instructional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</si>
  <si>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520804</t>
  </si>
  <si>
    <t>52.0805</t>
  </si>
  <si>
    <t>Insurance &amp; Risk Management</t>
  </si>
  <si>
    <t>An instructional program that prepares individuals to manage risk in organizational settings and provide risk-aversion services to businesses, individuals, and other organizations. Includes instruction in risk theory, casualty insurance and general liability, property insurance, employee benefits, social and health insurance, loss adjustment, underwriting, and pension planning.</t>
  </si>
  <si>
    <t>520805</t>
  </si>
  <si>
    <t>52.0806</t>
  </si>
  <si>
    <t>International Finance</t>
  </si>
  <si>
    <t>An instructional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</si>
  <si>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520806</t>
  </si>
  <si>
    <t>52.0807</t>
  </si>
  <si>
    <t>Investments &amp; Securities</t>
  </si>
  <si>
    <t>An instructional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</si>
  <si>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520807</t>
  </si>
  <si>
    <t>52.0808</t>
  </si>
  <si>
    <t>Public Finance</t>
  </si>
  <si>
    <t>An instructional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</si>
  <si>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520808</t>
  </si>
  <si>
    <t>52.0899</t>
  </si>
  <si>
    <t>Financial Management &amp; Services, Other</t>
  </si>
  <si>
    <t>Any instructional program in financial management and services not described elsewhere in this group of instructional programs.</t>
  </si>
  <si>
    <t>520899</t>
  </si>
  <si>
    <t>52.0900</t>
  </si>
  <si>
    <t>Hospitality Services Management</t>
  </si>
  <si>
    <t>A group of instructional programs that prepare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</si>
  <si>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520900</t>
  </si>
  <si>
    <t>52.0901</t>
  </si>
  <si>
    <t>Hospitality Administration/Management</t>
  </si>
  <si>
    <t>An instructional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</si>
  <si>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520901</t>
  </si>
  <si>
    <t>52.0902</t>
  </si>
  <si>
    <t>Hotel/Motel &amp; Restaurant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</si>
  <si>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t>
  </si>
  <si>
    <t>520902</t>
  </si>
  <si>
    <t>52.0903</t>
  </si>
  <si>
    <t>Travel-Tourism Management</t>
  </si>
  <si>
    <t>An instructional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</si>
  <si>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520903</t>
  </si>
  <si>
    <t>52.0999</t>
  </si>
  <si>
    <t>Hospitality Services Management, Other</t>
  </si>
  <si>
    <t>Any instructional program in hospitality service management not described elsewhere in this group of programs.</t>
  </si>
  <si>
    <t>520999</t>
  </si>
  <si>
    <t>52.1000</t>
  </si>
  <si>
    <t>Human Resources Management</t>
  </si>
  <si>
    <t>A group of instructional programs  that prepare individuals to provide employee services and supporting research for businesses, and other organizations.</t>
  </si>
  <si>
    <t>521000</t>
  </si>
  <si>
    <t>52.1001</t>
  </si>
  <si>
    <t>An instructional program that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</si>
  <si>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521001</t>
  </si>
  <si>
    <t>52.1002</t>
  </si>
  <si>
    <t>Labor/Personnel Relations &amp; Studies</t>
  </si>
  <si>
    <t>An instructional program that describes the study of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</si>
  <si>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521002</t>
  </si>
  <si>
    <t>52.1003</t>
  </si>
  <si>
    <t>Organizational Behavior Studies</t>
  </si>
  <si>
    <t>An instructional program that describes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</si>
  <si>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521003</t>
  </si>
  <si>
    <t>52.1099</t>
  </si>
  <si>
    <t>Human Resources Management, Other</t>
  </si>
  <si>
    <t>Any instructional program in human resources management not described elsewhere in this group of instructional programs.</t>
  </si>
  <si>
    <t>521099</t>
  </si>
  <si>
    <t>52.1100</t>
  </si>
  <si>
    <t>International Business</t>
  </si>
  <si>
    <t>A group of instructional programs that prepare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</si>
  <si>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521100</t>
  </si>
  <si>
    <t>52.1101</t>
  </si>
  <si>
    <t>An instructional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</si>
  <si>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521101</t>
  </si>
  <si>
    <t>52.1200</t>
  </si>
  <si>
    <t>Business Information &amp; Data Processing Services</t>
  </si>
  <si>
    <t>A group of instructional programs that prepare individuals to provide computer services in business environments, and to manage such services.</t>
  </si>
  <si>
    <t>521200</t>
  </si>
  <si>
    <t>52.1201</t>
  </si>
  <si>
    <t>Management Info Systems &amp; Bus Data Processing, General</t>
  </si>
  <si>
    <t>An instructional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</si>
  <si>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521201</t>
  </si>
  <si>
    <t>52.1202</t>
  </si>
  <si>
    <t>Business Computer Programming/Programmer</t>
  </si>
  <si>
    <t>An instructional program that prepares individuals to apply software theory and programming methods to the solution of business data problems.  Includes instruction in designing customized software applications, prototype testing, documentation, input specification, and report generation.</t>
  </si>
  <si>
    <t>521202</t>
  </si>
  <si>
    <t>52.1203</t>
  </si>
  <si>
    <t>Business Systems Analysis &amp; Design</t>
  </si>
  <si>
    <t>An instructional program that prepares individuals to analyze business information needs and prepare specifications and requirements for appropriate data system solutions.  Includes instruction in information requirements analysis, specification development and writing, prototype evaluation, and network application interfaces.</t>
  </si>
  <si>
    <t>521203</t>
  </si>
  <si>
    <t>52.1204</t>
  </si>
  <si>
    <t>Business Systems Networking &amp; Telecommunications</t>
  </si>
  <si>
    <t>An instructional program that prepares individuals to evaluate and resolve business data system hardware and software communication requirements.  Includes instruction electronic communications networks, telecommunications theory, network theory, hardware and software interfacing, computer network design and evaluation, distance communications systems, computer systems facilities and support design and evaluation, and applications to specific operational needs regarding voice, text, and data communications.</t>
  </si>
  <si>
    <t>521204</t>
  </si>
  <si>
    <t>52.1205</t>
  </si>
  <si>
    <t>Business Computer Facilities Operator</t>
  </si>
  <si>
    <t>An instructional program that prepares individuals to operate mainframe computers and related peripheral equipment in business settings.  Includes instruction in mainframe operation and monitoring, peripheral equipment operation and monitoring, disk and tape mounting and storage, printer operations, and related computer facility operations.</t>
  </si>
  <si>
    <t>521205</t>
  </si>
  <si>
    <t>52.1299</t>
  </si>
  <si>
    <t>Business Information &amp; Data Processing Services, Other</t>
  </si>
  <si>
    <t>Any instructional program in business information and data processing services not described elsewhere in this group of instructional programs.</t>
  </si>
  <si>
    <t>521299</t>
  </si>
  <si>
    <t>52.1300</t>
  </si>
  <si>
    <t>Business Quantitative Methods &amp; Management Science</t>
  </si>
  <si>
    <t>A residency training program that prepares dentists in the functional and structural changes that affect the oral cavity, including diagnosis of diseases, abnormalities and tumors.</t>
  </si>
  <si>
    <t>512804</t>
  </si>
  <si>
    <t>51.2805</t>
  </si>
  <si>
    <t>Orthodontics Specialty</t>
  </si>
  <si>
    <t>A residency training program that prepares dentists in the principles and techniques involved in the prevention and correction of dental malocclusions and oral cavity anomalies.</t>
  </si>
  <si>
    <t>512805</t>
  </si>
  <si>
    <t>51.2806</t>
  </si>
  <si>
    <t>Pedodontics Specialty</t>
  </si>
  <si>
    <t>A residency training program that prepares dentists in the principles and techniques of diagnosing and treating the dental and other oral cavity conditions of children.</t>
  </si>
  <si>
    <t>512806</t>
  </si>
  <si>
    <t>51.2807</t>
  </si>
  <si>
    <t>Periodontics Specialty</t>
  </si>
  <si>
    <t>A residency training program that prepares dentists in the nature and treatment of diseases which affect the mucous membranes, gums and other soft tissues within the oral cavity.</t>
  </si>
  <si>
    <t>512807</t>
  </si>
  <si>
    <t>51.2808</t>
  </si>
  <si>
    <t>Prosthodontics Specialty</t>
  </si>
  <si>
    <t>A residency training program that prepares dentists in the principles and techniques of constructing oral prostheses, and the restoration and maintenance of oral function by the replacement of missing teeth and other oral structures with such artificial devices.</t>
  </si>
  <si>
    <t>512808</t>
  </si>
  <si>
    <t>51.2899</t>
  </si>
  <si>
    <t>Dental Residency Programs, Other</t>
  </si>
  <si>
    <t>Any dental residency program not listed elsewhere in this group of instructuional programs.</t>
  </si>
  <si>
    <t>512899</t>
  </si>
  <si>
    <t>51.2900</t>
  </si>
  <si>
    <t>Medical Residency Programs</t>
  </si>
  <si>
    <t>A group of instructional programs that prepare physicians in advanced clinical work in special areas of medical practice.  Programs may lead to examination for board certification.</t>
  </si>
  <si>
    <t>512900</t>
  </si>
  <si>
    <t>51.2901</t>
  </si>
  <si>
    <t>Aerospace Medicine Residency</t>
  </si>
  <si>
    <t>A residency training program that prepares physicians in the health care of  operating crews and passengers of air and space vehicles, plus support personnel.  Includes instruction in special conditions of physical and psychological stress, emergency medical procedures, adaptive systems and artificial environments.</t>
  </si>
  <si>
    <t>512901</t>
  </si>
  <si>
    <t>51.2902</t>
  </si>
  <si>
    <t>Allergies &amp; Immunology Residency</t>
  </si>
  <si>
    <t>A residency training program that prepares physicians in the delivery of skilled medical care to patients suffering from allergic, asthmatic and immunologic diseases.  Requires completion of a prior program in internal medicine or pediatrics.</t>
  </si>
  <si>
    <t>512902</t>
  </si>
  <si>
    <t>51.2903</t>
  </si>
  <si>
    <t>Anesthesiology Residency</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</si>
  <si>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(see also 51.2910)</t>
  </si>
  <si>
    <t>512903</t>
  </si>
  <si>
    <t>51.2904</t>
  </si>
  <si>
    <t>Blood Banking Residency</t>
  </si>
  <si>
    <t>A residency training program that prepares physicians in the medical, technical, research and administrative aspects of operating blood banks.  Includes instruction in transfusion and transplantation procedures, logistics and the training and supervision of blood bank technicians.</t>
  </si>
  <si>
    <t>512904</t>
  </si>
  <si>
    <t>51.2905</t>
  </si>
  <si>
    <t>Cardiology Residency</t>
  </si>
  <si>
    <t>A residency training program that prepares physicians in the natural history of cardiovascular disorders in adults and the diagnosis and treatment of diseases of the heart and blood vessels.  Includes instruction in coronary care, diagnostic testing and evaluation, invasive and non invasive therapies and pacemaker follow up.  Requires prior completion of a program in internal medicine.   (see also 51.2945)</t>
  </si>
  <si>
    <t>512905</t>
  </si>
  <si>
    <t>51.2906</t>
  </si>
  <si>
    <t>Chemical Pathology Residency</t>
  </si>
  <si>
    <t>A residency training program that prepares physicians in the development, operation and quality control of chemical pathology laboratories and the provision of support and consultative services to other physicians.  Includes instruction in instrumentation, analysis, data processing and administration.  Requires prior completion of a program in medical pathology.</t>
  </si>
  <si>
    <t>512906</t>
  </si>
  <si>
    <t>51.2907</t>
  </si>
  <si>
    <t>Child/Pediatric Neurology Residency</t>
  </si>
  <si>
    <t>A residency training program that prepares physicians in the diagnosis and management of neurological disorders of the newborn infant, early childhood and adolescence.  Requires training in adult neurology and prior partial completion of a program in pediatrics.</t>
  </si>
  <si>
    <t>512907</t>
  </si>
  <si>
    <t>51.2908</t>
  </si>
  <si>
    <t>Child Psychiatry Residency</t>
  </si>
  <si>
    <t>A residency training program that prepares physicians in the diagnosis and treatment of mental, emotional and behavioral disorders of infancy, early childhood and adolescence.  Requires completion of the initial segment of a program in psychiatry.</t>
  </si>
  <si>
    <t>512908</t>
  </si>
  <si>
    <t>51.2909</t>
  </si>
  <si>
    <t>Colon &amp; Rectal Surgery Residency</t>
  </si>
  <si>
    <t>A residency training program that prepares physicians in the surgical care of patients with anorectal and colonic diseases.  Also includes instruction in diagnostic and therapeutic colonoscopy.  Requires prior completion of a program in general surgery.</t>
  </si>
  <si>
    <t>512909</t>
  </si>
  <si>
    <t>51.2910</t>
  </si>
  <si>
    <t>Critical Care Anesthesiology Residency</t>
  </si>
  <si>
    <t>A residency training program that prepares physicians in the administration of anesthesia to patients with acute, chronic or long term illness and who have multiple organ system derangements.  Includes instruction in high risk and trauma procedures, respiratory therapy and biomedical engineering.  Requires prior completion of a program in anesthesiology.</t>
  </si>
  <si>
    <t>512910</t>
  </si>
  <si>
    <t>51.2911</t>
  </si>
  <si>
    <t>Critical Care Medicine Residency</t>
  </si>
  <si>
    <t>A residency training program that prepares physicians in the management of care for patients with acutely life threatening conditions which may include multiple organ failure.  Includes instruction in the management of critical care units, emergency procedures and post discharge care of former critical care patients.  Requires prior completion of a program in internal medicine.</t>
  </si>
  <si>
    <t>512911</t>
  </si>
  <si>
    <t>51.2912</t>
  </si>
  <si>
    <t>Critical Care Surgery Residency</t>
  </si>
  <si>
    <t>A residency training program that prepares physicians in surgical procedures for patients with multiple trauma, critical illness, patients on life support and elderly or very young patients with disease complications.  Requires full or partial prior completion of a program in general surgery or another surgical specialty.</t>
  </si>
  <si>
    <t>512912</t>
  </si>
  <si>
    <t>51.2913</t>
  </si>
  <si>
    <t>Dermatology Residency</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</si>
  <si>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t>
  </si>
  <si>
    <t>512913</t>
  </si>
  <si>
    <t>51.2914</t>
  </si>
  <si>
    <t>Dermatopathology Residency</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</si>
  <si>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t>
  </si>
  <si>
    <t>512914</t>
  </si>
  <si>
    <t>51.2915</t>
  </si>
  <si>
    <t>Diagnostic Radiology Residency</t>
  </si>
  <si>
    <t>A residency training program that prepares physicians in the diagnostic use of roentgen, isotopic, ultrasound and other radiant energy imaging techniques.  Includes instruction in intervention procedures, safety and imaging science and technology.   (see also 51.2936, 51.2958, and 51.2959)</t>
  </si>
  <si>
    <t>512915</t>
  </si>
  <si>
    <t>51.2916</t>
  </si>
  <si>
    <t>Emergency Medicine Residency</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</si>
  <si>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 up and referral; management of prehospital care; training and supervision of emergency medical personnel; emergency department management; medicolegal and ethical issues; and disaster planning.</t>
  </si>
  <si>
    <t>512916</t>
  </si>
  <si>
    <t>51.2917</t>
  </si>
  <si>
    <t>Endocrinology &amp; Metabolism Residency</t>
  </si>
  <si>
    <t>A residency training program that prepares physicians in the diagnosis and treatment of diseases and disorders of the endocrine glands and metabolic system. Includes instruction in the diagnosis and care of diabetes, hypoglycemia, hormone disorders and sexual disfunction.  Requires prior completion of a program in internal medicine.   (see also 51.2946)</t>
  </si>
  <si>
    <t>512917</t>
  </si>
  <si>
    <t>51.2918</t>
  </si>
  <si>
    <t>Family Medicine Residency</t>
  </si>
  <si>
    <t>A residency training program that prepares physicians in the provision of regular and long term care to individuals and family members.  Includes instruction in comprehensive care and specialist referral,  basic surgery, emergency medical procedures, diagnostic imaging and practice management.</t>
  </si>
  <si>
    <t>512918</t>
  </si>
  <si>
    <t>51.2919</t>
  </si>
  <si>
    <t>Forensic Pathology Residency</t>
  </si>
  <si>
    <t>A residency training program that prepares physicians in the performance of medical autopsies, the analysis of human remains and crime scenes, and the legal follow up and responsibilities of public pathologists.  Requires prior completion of a program in pathology.</t>
  </si>
  <si>
    <t>512919</t>
  </si>
  <si>
    <t>51.2920</t>
  </si>
  <si>
    <t>Gastroenterology Residency</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</si>
  <si>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t>
  </si>
  <si>
    <t>512920</t>
  </si>
  <si>
    <t>51.2921</t>
  </si>
  <si>
    <t>General Surgery Residency</t>
  </si>
  <si>
    <t>A residency training program that prepares physicians in the care and treatment of diseases and disorders via invasive procedures and the etiology, pathogenesis, diagnosis and management of physical disorders.  Includes instruction in clinical and operative skills, pre operative and post operative care, trauma management and endoscopic techniques.   (see also 51.2912, 51.2923, 51.2933, 51.2942, 51.2950, 51.2953, 51.2962, and 51.2964)</t>
  </si>
  <si>
    <t>512921</t>
  </si>
  <si>
    <t>51.2922</t>
  </si>
  <si>
    <t>Geriatric Medicine Residency</t>
  </si>
  <si>
    <t>A residency training program that prepares physicians in the care and management of elderly patients in acute, ambulatory, community and long 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t>
  </si>
  <si>
    <t>512922</t>
  </si>
  <si>
    <t>51.2923</t>
  </si>
  <si>
    <t>Hand Surgery Residency</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</si>
  <si>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t>
  </si>
  <si>
    <t>512923</t>
  </si>
  <si>
    <t>51.2924</t>
  </si>
  <si>
    <t>Hematology Residency</t>
  </si>
  <si>
    <t>A residency training program that prepares physicians in the mechanisms and therapy of  diseases of the blood, including patient management, diagnostic tests, biopsies and other procedures.  Requires prior completion of a program in internal medicine.</t>
  </si>
  <si>
    <t>512924</t>
  </si>
  <si>
    <t>51.2925</t>
  </si>
  <si>
    <t>Hematological Pathology Residency</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</si>
  <si>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t>
  </si>
  <si>
    <t>512925</t>
  </si>
  <si>
    <t>51.2926</t>
  </si>
  <si>
    <t>Immunopathology Residency</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</si>
  <si>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t>
  </si>
  <si>
    <t>512926</t>
  </si>
  <si>
    <t>51.2927</t>
  </si>
  <si>
    <t>Infectious Disease Residency</t>
  </si>
  <si>
    <t>A residency training program that prepares physicians in the natural history, prevention and treatment of major infectious diseases, including sexually transmitted diseases, and the long term management  of patients.  Includes instruction in epidemiology, identification and specimen collection techniques, quality assurance and cost containment.  Requires prior completion of a program in internal medicine.</t>
  </si>
  <si>
    <t>512927</t>
  </si>
  <si>
    <t>51.2928</t>
  </si>
  <si>
    <t>Internal Medicine Residency</t>
  </si>
  <si>
    <t>A residency training program that prepares physicians in the provision of general medical services to adult patients with a wide range of non surgical clinical problems.  Includes instruction in behavioral aspects of diseases, patient and family counseling and practice management.</t>
  </si>
  <si>
    <t>512928</t>
  </si>
  <si>
    <t>51.2929</t>
  </si>
  <si>
    <t>Laboratory Medicine Residency</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</si>
  <si>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t>
  </si>
  <si>
    <t>512929</t>
  </si>
  <si>
    <t>51.2930</t>
  </si>
  <si>
    <t>Musculoskeletal Oncology Residency</t>
  </si>
  <si>
    <t>A residency training program that prepares physicians in the diagnosis and treatment of musculoskeletal neoplasia,  and the application of cancer therapy regimes.</t>
  </si>
  <si>
    <t>512930</t>
  </si>
  <si>
    <t>51.2931</t>
  </si>
  <si>
    <t>Neonatal-Perinatal Medicine Residency</t>
  </si>
  <si>
    <t>A residency training program that prepares physicians in the physiology of the normal neonate, the patho physiology of the sick infant and the diagnosis and management of problems of the newborn infant.  Requires prior completion of a program in pediatrics and obstetrics.</t>
  </si>
  <si>
    <t>512931</t>
  </si>
  <si>
    <t>51.2932</t>
  </si>
  <si>
    <t>Nephrology Residency</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</si>
  <si>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(see also 51.2048)</t>
  </si>
  <si>
    <t>512932</t>
  </si>
  <si>
    <t>51.2933</t>
  </si>
  <si>
    <t>Neurological Surgery/Neurosurgery Residency</t>
  </si>
  <si>
    <t>A residency training program that prepare physicians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Includes instruction in critical care management and rehabilitation.  Requires prior partial completion of a program in general surgery and another surgical specialty.</t>
  </si>
  <si>
    <t>512933</t>
  </si>
  <si>
    <t>51.2934</t>
  </si>
  <si>
    <t>Neurology Residency</t>
  </si>
  <si>
    <t>A residency training program that prepares physicians in the diagnosis and non surgical treatment of diseases and abnormalities affecting the nervous system and nerve tissue in adults.  Requires prior partial completion of a program in internal medicine.   (see also 51.2907)</t>
  </si>
  <si>
    <t>512934</t>
  </si>
  <si>
    <t>51.2935</t>
  </si>
  <si>
    <t>Neuropathology Residency</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</si>
  <si>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t>
  </si>
  <si>
    <t>512935</t>
  </si>
  <si>
    <t>51.2936</t>
  </si>
  <si>
    <t>Nuclear Medicine Residency</t>
  </si>
  <si>
    <t>A residency training program that prepares physicians in the diagnostic, therapeutic and investigational use of radionuclides.  Includes instruction in imaging and non imaging technologies and the design and development instrumentation, procedures and pharmaceutical.  Requires prior partial completion of a program in radiology, pathology or internal medicine.</t>
  </si>
  <si>
    <t>512936</t>
  </si>
  <si>
    <t>51.2937</t>
  </si>
  <si>
    <t>Nuclear Radiology Residency</t>
  </si>
  <si>
    <t>A residency training program that prepares physicians in the imaging by external detection of radionuclides and/or biodistribution by external detection of radionuclides for diagnosis of disease.  Requires prior partial completion of a program in diagnostic radiology.</t>
  </si>
  <si>
    <t>512937</t>
  </si>
  <si>
    <t>51.2938</t>
  </si>
  <si>
    <t>Obstetrics &amp; Gynecology Residency</t>
  </si>
  <si>
    <t>A residency training program that prepares physicians in the diagnosis, prevention and treatment of diseases of women, especially those affecting the reproductive system, and the comprehensive care and treatment of women before, during and after childbirth.</t>
  </si>
  <si>
    <t>512938</t>
  </si>
  <si>
    <t>51.2939</t>
  </si>
  <si>
    <t>Occupational Medicine Residency</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</si>
  <si>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t>
  </si>
  <si>
    <t>512939</t>
  </si>
  <si>
    <t>51.2940</t>
  </si>
  <si>
    <t>Oncology Residency</t>
  </si>
  <si>
    <t>A residency training program that prepares physicians in the etiology, epidemiology, diagnosis, treatment and therapeutic management of cancers and related clinical neoplastic diseases.  Includes instruction in rehabilitation, supportive care and the administration of tumor boards.  Requires prior completion of a program in internal medicine.   (see also 51.2930, 51.2947 and 51.2958)</t>
  </si>
  <si>
    <t>512940</t>
  </si>
  <si>
    <t>51.2941</t>
  </si>
  <si>
    <t>Ophthalmology Residency</t>
  </si>
  <si>
    <t xml:space="preserve">A residency training program that prepares physicians in the diagnosis, prevention treatment of ophthalmic diseases and disorders, and ocular pathology procedures.  Includes instruction in eye surgery. </t>
  </si>
  <si>
    <t>512941</t>
  </si>
  <si>
    <t>51.2942</t>
  </si>
  <si>
    <t>Orthopedics/Orthopedic Surgery Residency</t>
  </si>
  <si>
    <t>A residency training program that prepares physicians in the investigation, preservation, and restoration of the form and function of the extremities, spine and associated structures by medical, surgical and physical methods.  Requires prior partial completion of a program in general surgery, internal medicine or pediatrics.  (see also 51.2949)</t>
  </si>
  <si>
    <t>512942</t>
  </si>
  <si>
    <t>51.2943</t>
  </si>
  <si>
    <t>Otolaryngology Residency</t>
  </si>
  <si>
    <t>A residency training program that prepares physicians in the recognition and medical management of diseases, congenital anomalies, disorders and traumas of the head and neck, the air and food passages, and the organs of hearing and speech.  Includes instruction in regional surgery.  Requires prior partial completion of a program in general surgery.</t>
  </si>
  <si>
    <t>512943</t>
  </si>
  <si>
    <t>51.2944</t>
  </si>
  <si>
    <t>Pathology Residency</t>
  </si>
  <si>
    <t>A residency training program that prepares physicians in the clinical laboratory analysis and diagnosis of disease and anatomic abnormalities.  Includes instruction in performing general autopsies, forensic medicine, laboratory management and quality control.  (see also 51.2904, 51.2914, 51.2919, 51.2925, 51.2935 and 51.2959)</t>
  </si>
  <si>
    <t>512944</t>
  </si>
  <si>
    <t>51.2945</t>
  </si>
  <si>
    <t>Pediatric Cardiology Residency</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</si>
  <si>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t>
  </si>
  <si>
    <t>512945</t>
  </si>
  <si>
    <t>51.2946</t>
  </si>
  <si>
    <t>Pediatric Endocrinology Residency</t>
  </si>
  <si>
    <t>A residency training program that prepares physicians in the diagnosis and management of endocrine diseases and the regulation of hormone balance in childhood and adolescence.  Requires prior completion of a program in pediatrics.</t>
  </si>
  <si>
    <t>512946</t>
  </si>
  <si>
    <t>51.2947</t>
  </si>
  <si>
    <t>Pediatric Hemato-Oncology Residency</t>
  </si>
  <si>
    <t>A residency training program that prepares physicians in the diagnosis and management of hematologic disorders and malignant diseases, including blood and bone marrow function, in infancy, childhood and adolescence.  Requires prior completion of a program in pediatrics.</t>
  </si>
  <si>
    <t>512947</t>
  </si>
  <si>
    <t>51.2948</t>
  </si>
  <si>
    <t>Pediatric Nephrology Residency</t>
  </si>
  <si>
    <t>A residency training program that prepares physicians in the diagnosis and management of infants, children and adolescents with renal and genito urinary problems, hypertension and disorders of body fluid physiology.  Requires prior completion of a program in pediatrics.</t>
  </si>
  <si>
    <t>512948</t>
  </si>
  <si>
    <t>51.2949</t>
  </si>
  <si>
    <t>Pediatric Orthopedics Residency</t>
  </si>
  <si>
    <t>A residency training program that prepares physicians in the diagnosis, surgical and non surgical treatment, and management of musculoskeletal diseases, abnormalities and trauma in infants, children and adolescents.  Requires prior completion of a program in orthopedic surgery.</t>
  </si>
  <si>
    <t>512949</t>
  </si>
  <si>
    <t>51.2950</t>
  </si>
  <si>
    <t>Pediatric Surgery Residency</t>
  </si>
  <si>
    <t>A residency training program that prepares physicians in the diagnosis, evaluation and surgical treatment of diseases, disorders and trauma in infants and children.  Requires prior completion of a program in general surgery.</t>
  </si>
  <si>
    <t>512950</t>
  </si>
  <si>
    <t>51.2951</t>
  </si>
  <si>
    <t>Pediatrics Residency</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</si>
  <si>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(see also 51.2945, 51.2946, 51.2947, 51.2948, 51.2949 and 51.2950)</t>
  </si>
  <si>
    <t>512951</t>
  </si>
  <si>
    <t>51.2952</t>
  </si>
  <si>
    <t>Physical &amp; Rehabilitation Medicine Residency</t>
  </si>
  <si>
    <t>A residency training program that prepares physicians in the diagnosis, etiology, treatment, prevention and rehabilitation of neuromusculo skeletal, cardiovascular, pulmonary and other system disorders common to patients of both sexes and all ages.  Includes instruction in physiatric examinations, design and prescription of rehabilitation strategies and the supervision of rehabilitation teams.</t>
  </si>
  <si>
    <t>512952</t>
  </si>
  <si>
    <t>51.2953</t>
  </si>
  <si>
    <t>Plastic Surgery Residency</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</si>
  <si>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t>
  </si>
  <si>
    <t>512953</t>
  </si>
  <si>
    <t>51.2954</t>
  </si>
  <si>
    <t>Preventive Medicine Residency</t>
  </si>
  <si>
    <t>A residency training program that prepares physicians in the investigation of and intervention in health and disease problems of communities and defined population groups, and the simulation of behaviors that promote good health.  Includes instruction in biostatistics, epidemiology, environmental control, toxicology and the planning and administration of health programs and services.  Requires prior or concurrent completion of a program in public health.</t>
  </si>
  <si>
    <t>512954</t>
  </si>
  <si>
    <t>51.2955</t>
  </si>
  <si>
    <t>Psychiatry Residency</t>
  </si>
  <si>
    <t>A residency training program that prepares physicians in the diagnosis, treatment, and prevention of mental, emotional, behavioral and neurological disorders.  Includes instruction in psychotherapy, family counseling, referral, clinical diagnosis, and practice management.  Requires prior partial completion of a program in neurology and internal medicine, family medicine or pediatrics.  (see also 51.2908)</t>
  </si>
  <si>
    <t>512955</t>
  </si>
  <si>
    <t>51.2956</t>
  </si>
  <si>
    <t>Public Health Medicine Residency</t>
  </si>
  <si>
    <t>A residency training program that prepares physicians in the prevention, control and treatment of communicable and chronic diseases in communities and defined population groups, with emphasis on the administrative management of health care, sanitation and applied research services.</t>
  </si>
  <si>
    <t>512956</t>
  </si>
  <si>
    <t>51.2957</t>
  </si>
  <si>
    <t>Pulmonary Disease Residency</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</si>
  <si>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t>
  </si>
  <si>
    <t>512957</t>
  </si>
  <si>
    <t>51.2958</t>
  </si>
  <si>
    <t>Radiation Oncology Residency</t>
  </si>
  <si>
    <t>A residency training program that prepares physicians in the use of ionizing radiation to treat patients with cancer and other diseases.  Includes instruction in treatment planning, instrument design and operation, radiation physics and radiobiology.</t>
  </si>
  <si>
    <t>512958</t>
  </si>
  <si>
    <t>51.2959</t>
  </si>
  <si>
    <t>Radioisotopic Pathology Residency</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</si>
  <si>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t>
  </si>
  <si>
    <t>512959</t>
  </si>
  <si>
    <t>51.2960</t>
  </si>
  <si>
    <t>Rheumatology Residency</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</si>
  <si>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t>
  </si>
  <si>
    <t>512960</t>
  </si>
  <si>
    <t>51.2961</t>
  </si>
  <si>
    <t>Sports Medicine Residency</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</si>
  <si>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orthopedic surgery.</t>
  </si>
  <si>
    <t>512961</t>
  </si>
  <si>
    <t>51.2962</t>
  </si>
  <si>
    <t>Thoracic Surgery Residency</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</si>
  <si>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t>
  </si>
  <si>
    <t>512962</t>
  </si>
  <si>
    <t>51.2963</t>
  </si>
  <si>
    <t>Urology Residency</t>
  </si>
  <si>
    <t>A residency training program that prepares physicians in the diagnosis and treatment of diseases of the genitourinary tract in men and women, including renal transplantation, renal vascular disease, oncology, infertility and endocrinology, stone disease and aerodynamics.  Requires prior partial completion of a program in general surgery.</t>
  </si>
  <si>
    <t>512963</t>
  </si>
  <si>
    <t>51.2964</t>
  </si>
  <si>
    <t>Vascular Surgery Residency</t>
  </si>
  <si>
    <t>A residency training program that prepares physicians in the surgical treatment of diseases and disorders of the arterial, venous and lymphatic circulatory systems and of the heart and thoracic aorta.  Requires prior completion of all or a portion of a program in general surgery.</t>
  </si>
  <si>
    <t>512964</t>
  </si>
  <si>
    <t>51.2999</t>
  </si>
  <si>
    <t>Medical Residency Programs, Other</t>
  </si>
  <si>
    <t>Any residency program in medicine not described elsewhere in this group of programs.</t>
  </si>
  <si>
    <t>512999</t>
  </si>
  <si>
    <t>51.3000</t>
  </si>
  <si>
    <t>Veterinary Residency Programs</t>
  </si>
  <si>
    <t>A group of instructional programs that prepare veterinarians in advanced clinical work in special areas of veterinary practice.  Programs may lead to examination for board certification.</t>
  </si>
  <si>
    <t>513000</t>
  </si>
  <si>
    <t>51.3001</t>
  </si>
  <si>
    <t>Veterinary Anesthesiology</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</si>
  <si>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t>
  </si>
  <si>
    <t>513001</t>
  </si>
  <si>
    <t>51.3002</t>
  </si>
  <si>
    <t>Veterinary Dentistry</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</si>
  <si>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</si>
  <si>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513002</t>
  </si>
  <si>
    <t>51.3003</t>
  </si>
  <si>
    <t>Veterinary Dermatology</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</si>
  <si>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t>
  </si>
  <si>
    <t>513003</t>
  </si>
  <si>
    <t>51.3004</t>
  </si>
  <si>
    <t>Veterinary Emergency &amp; Critical Care Medicine</t>
  </si>
  <si>
    <t>A residency training program that prepares veterinarians in the emergency treatment and management of care for animals with acutely life threatening conditions which may include multiple organ failure.  Includes instruction in the management of critical care units, emergency procedures, and long-term care of critically diseased animals.</t>
  </si>
  <si>
    <t>513004</t>
  </si>
  <si>
    <t>51.3005</t>
  </si>
  <si>
    <t>Veterinary Internal Medicine</t>
  </si>
  <si>
    <t>A residency training program that prepares veterinarians in the provision of general medical services to animals with a wide range of non surgical clinical problems.  Includes instruction in behavioral aspects of diseases, animal diagnosis, animal aging, and referral procedures.</t>
  </si>
  <si>
    <t>513005</t>
  </si>
  <si>
    <t>51.3006</t>
  </si>
  <si>
    <t>Laboratory Animal Medicine</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</si>
  <si>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t>
  </si>
  <si>
    <t>513006</t>
  </si>
  <si>
    <t>51.3007</t>
  </si>
  <si>
    <t>Veterinary Microbiology</t>
  </si>
  <si>
    <t>A residency training program that prepares veterinarians in clinical applications  of research on harmful microorganisms, including viruses, and of the disease processes they induce in animals.</t>
  </si>
  <si>
    <t>513007</t>
  </si>
  <si>
    <t>51.3008</t>
  </si>
  <si>
    <t>Veterinary Nutrition</t>
  </si>
  <si>
    <t>A residency training program that prepares veterinarians to apply research on the chemical nature of food substances; the processes by which animals ingest, digest, absorb, transport, utilize and excrete food and nutrients; and their relation to animal behavior and health.</t>
  </si>
  <si>
    <t>513008</t>
  </si>
  <si>
    <t>51.3009</t>
  </si>
  <si>
    <t>Veterinary Ophthalmology</t>
  </si>
  <si>
    <t>A residency training program that prepares veterinarians in the diagnosis, prevention, and treatment of ophthalmic diseases and disorders in animals, and related ocular pathology procedures.  Includes instruction in animal eye surgery.</t>
  </si>
  <si>
    <t>513009</t>
  </si>
  <si>
    <t>51.3010</t>
  </si>
  <si>
    <t>Veterinary Pathology</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</si>
  <si>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t>
  </si>
  <si>
    <t>513010</t>
  </si>
  <si>
    <t>51.3011</t>
  </si>
  <si>
    <t>Veterinary Practice</t>
  </si>
  <si>
    <t>A group of instructional programs that describe the scientific study, by medical residents and other medical doctors, of specialized medical practice arts and related clinical research.  Includes instruction in fields such as pediatrics, anesthesiology, obstetrics, gynecology, oncology, surgery,  radiology, internal medicine, neurology, clinical pathology, psychiatry, and others.</t>
  </si>
  <si>
    <t>511400</t>
  </si>
  <si>
    <t>51.1401</t>
  </si>
  <si>
    <t>An instructional program that describes the scientific study, by medical residents and other medical doctors, of specialized medical practice arts and related clinical research.  Includes instruction in fields such as pediatrics, anesthesiology, obstetrics, gynecology, oncology, surgery,  radiology, internal medicine, neurology, clinical pathology, psychiatry, and others.</t>
  </si>
  <si>
    <t>511401</t>
  </si>
  <si>
    <t>51.1500</t>
  </si>
  <si>
    <t>Mental Health Services</t>
  </si>
  <si>
    <t>A group of instructional programs that prepare individuals to provide counseling and support services related to the care and treatment of persons with mental, emotional or behavioral disorders.</t>
  </si>
  <si>
    <t>511500</t>
  </si>
  <si>
    <t>51.1501</t>
  </si>
  <si>
    <t>Alcohol/Drug Abuse Counseling</t>
  </si>
  <si>
    <t>An instructional program that prepares individuals to counsel drug users, addicts, family members, and associates in a wide variety of settings, using various preventive strategies and treatment regimes.  Includes instruction in outreach; patient education; therapeutic intervention methods; diagnostic procedures; addiction symptomology; record-keeping; liaison with community health, social services, law enforcement, and legal services; and applicable regulations.</t>
  </si>
  <si>
    <t>511501</t>
  </si>
  <si>
    <t>51.1502</t>
  </si>
  <si>
    <t>Psychiatric/Mental Health Services Technician</t>
  </si>
  <si>
    <t>An instructional program that prepares individuals to assist psychiatrists, psychologists, nurses and other mental health personnel in patient care and treatment.  Includes instruction in patient interviewing, data recording, taking vital signs, the supervised administration of routine medication and assisting in examinations and treatment procedures.</t>
  </si>
  <si>
    <t>511502</t>
  </si>
  <si>
    <t>51.1503</t>
  </si>
  <si>
    <t>Clinical &amp; Medical Social Work</t>
  </si>
  <si>
    <t>An instructional program that prepares  individuals for the independent practice of social work in mental health clinics, hospitals, and community health service organizations.  Includes instruction in psychiatric case work, clinical interviewing techniques, therapeutic intervention strategies, psychological test administration, family counseling, social rehabilitation, record-keeping, and liaison with other community support agencies and services.</t>
  </si>
  <si>
    <t>511503</t>
  </si>
  <si>
    <t>51.1599</t>
  </si>
  <si>
    <t>Mental Health Services, Other</t>
  </si>
  <si>
    <t>Any instructional program in mental health/human services not described elsewgere in this group of instructional programs.</t>
  </si>
  <si>
    <t>511599</t>
  </si>
  <si>
    <t>51.1600</t>
  </si>
  <si>
    <t>Nursing</t>
  </si>
  <si>
    <t>A group of instructional programs that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</si>
  <si>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511600</t>
  </si>
  <si>
    <t>51.1601</t>
  </si>
  <si>
    <t>Nursing (R.N.Training)</t>
  </si>
  <si>
    <t>An instructional program that generally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</si>
  <si>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511601</t>
  </si>
  <si>
    <t>51.1602</t>
  </si>
  <si>
    <t>Nursing Administration (Post-R.N.)</t>
  </si>
  <si>
    <t>An instructional program that prepares registered nurses (R.N.) to manage nursing personnel and services in hospitals and other health care delivery agencies.</t>
  </si>
  <si>
    <t>511602</t>
  </si>
  <si>
    <t>51.1603</t>
  </si>
  <si>
    <t>Nursing, Adult Health (Post-R.N.)</t>
  </si>
  <si>
    <t>An instructional program that prepares registered nurses (R.N.) to provide general care for adult patients, including the administration of medication and treatments, assisting a physician during treatments and examinations, referring patients to physicians and other health care specialists, and planning education for health maintenance.</t>
  </si>
  <si>
    <t>511603</t>
  </si>
  <si>
    <t>51.1604</t>
  </si>
  <si>
    <t>Nursing Anesthetist (Post-R.N.)</t>
  </si>
  <si>
    <t>An instructional program that prepares registered nurses (R.N.) to administer anesthetics and provide care for patients before, during and after anesthesia.</t>
  </si>
  <si>
    <t>511604</t>
  </si>
  <si>
    <t>51.1605</t>
  </si>
  <si>
    <t>Nursing, Family Practice (Post-R.N.)</t>
  </si>
  <si>
    <t>An instructional program that prepares registered nurses (R.N.) to provide general care for family groups and individual health needs in the context of family living, including the administration of medication and treatments, assisting a physician during treatments and examinations, referring patients to physicians and other health care specialists, and planning education for health maintenance.</t>
  </si>
  <si>
    <t>511605</t>
  </si>
  <si>
    <t>51.1606</t>
  </si>
  <si>
    <t>Nursing, Maternal/Child Health (Post-R.N.)</t>
  </si>
  <si>
    <t>An instructional program that prepares registered nurses (R.N.) to provide prenatal care to pregnant women and postnatal care to mothers and their infants.</t>
  </si>
  <si>
    <t>511606</t>
  </si>
  <si>
    <t>51.1607</t>
  </si>
  <si>
    <t>Nursing Midwifery (Post-R.N.)</t>
  </si>
  <si>
    <t>An instructional program that prepares registered nurses (R.N.) to independently deliver babies and treat mothers in the prenatal, delivery, and post-delivery periods.  Includes instruction in pre-delivery screening, physician referral, and the care of infants during the delivery and immediate post-delivery phases.</t>
  </si>
  <si>
    <t>511607</t>
  </si>
  <si>
    <t>51.1608</t>
  </si>
  <si>
    <t>Nursing Science (Post-R.N.)</t>
  </si>
  <si>
    <t>An instructional program in research that describes the study of advanced clinical practices, research methodologies, the administration of complex nursing services, and that prepares nurses to further the progress of nursing research through experimentation and clinical applications.</t>
  </si>
  <si>
    <t>511608</t>
  </si>
  <si>
    <t>51.1609</t>
  </si>
  <si>
    <t>Nursing, Pediatric (Post-R.N.)</t>
  </si>
  <si>
    <t>An instructional program that prepares registered nurses (R.N.) to provide care for children from infancy through adolescence.  Includes instruction in the administration of medication and treatments, assisting physicians, patient examination and referral, and planning and delivering health maintenance and health education programs.</t>
  </si>
  <si>
    <t>511609</t>
  </si>
  <si>
    <t>51.1610</t>
  </si>
  <si>
    <t>Nursing, Psychiatric/Mental Health (Post-R.N.)</t>
  </si>
  <si>
    <t>An instructional program that prepares registered nurses (R.N.) to promote mental health and provide nursing care to patients with mental, emotional or behavioral disorders, in mental institutions or other settings.</t>
  </si>
  <si>
    <t>511610</t>
  </si>
  <si>
    <t>51.1611</t>
  </si>
  <si>
    <t>Nursing, Public Health (Post-R.N)</t>
  </si>
  <si>
    <t>An instructional program that prepares registered nurses (R.N.) to promote health and provide preventive and curative nursing services for individuals, groups or communities under the supervision of a public health agency.</t>
  </si>
  <si>
    <t>511611</t>
  </si>
  <si>
    <t>51.1612</t>
  </si>
  <si>
    <t>Nursing, Surgical (Post-R.N.)</t>
  </si>
  <si>
    <t>An instructional program that prepares registered nurses (R.N.) to provide care to patients before and during surgery, and provide tableside assistance to surgeons.</t>
  </si>
  <si>
    <t>511612</t>
  </si>
  <si>
    <t>51.1613</t>
  </si>
  <si>
    <t>Practical Nurse (L.P.N.)</t>
  </si>
  <si>
    <t>An instructional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</si>
  <si>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511613</t>
  </si>
  <si>
    <t>51.1614</t>
  </si>
  <si>
    <t>Nursing Assistant/Aide</t>
  </si>
  <si>
    <t>An instructional program that prepares individuals to perform routine nursing related services to patients in hospitals or long term care facilities, under the training and supervision of a registered nurse or licensed practical nurse.</t>
  </si>
  <si>
    <t>511614</t>
  </si>
  <si>
    <t>51.1615</t>
  </si>
  <si>
    <t>Home Health Aide</t>
  </si>
  <si>
    <t>An instructional program that prepares individuals to assist elderly, convalescent or handicapped patients in their homes by providing for their physical, mental, emotional and/or social health care needs, under the supervision of a registered nurse.</t>
  </si>
  <si>
    <t>511615</t>
  </si>
  <si>
    <t>51.1699</t>
  </si>
  <si>
    <t>Nursing, Other</t>
  </si>
  <si>
    <t>Any instructional program in nursing not described elsewhere in this group of instructional programs.</t>
  </si>
  <si>
    <t>511699</t>
  </si>
  <si>
    <t>51.1700</t>
  </si>
  <si>
    <t>Optometry</t>
  </si>
  <si>
    <t>A group of instructional programs that prepare individuals for the independent professional practice of optometry and that describes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</si>
  <si>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511700</t>
  </si>
  <si>
    <t>51.1701</t>
  </si>
  <si>
    <t>Optometry (O.D.)</t>
  </si>
  <si>
    <t>An instructional program that prepares individuals for the independent professional practice of optometry and that describes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</si>
  <si>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511701</t>
  </si>
  <si>
    <t>51.1800</t>
  </si>
  <si>
    <t>Ophthalmic/Optometric Services</t>
  </si>
  <si>
    <t>A group of instructional programs that prepare individuals to assist ophthalmologists and/or optometrists in providing clinical services.</t>
  </si>
  <si>
    <t>511800</t>
  </si>
  <si>
    <t>51.1801</t>
  </si>
  <si>
    <t>Opticianry/Dispensing Optician</t>
  </si>
  <si>
    <t>An instructional program that prepares individuals to fill prescriptions ordered by ophthalmologists or optometrists and to dispense optical supplies and equipment.  Includes instruction in shaping and grinding lenses, frame selection and fitting, patient counseling, supervision of assistants and the operation of a business.</t>
  </si>
  <si>
    <t>511801</t>
  </si>
  <si>
    <t>51.1802</t>
  </si>
  <si>
    <t>Optical Technician/Assistant</t>
  </si>
  <si>
    <t>An instructional program that prepares individuals to assist optometrists or ophthalmologist providing diagnostic, treatment and dispensing services.  Includes instruction in vision testing, corneal measurement, color screening, patient counseling, eyewear fitting and modification, and office administration duties.</t>
  </si>
  <si>
    <t>511802</t>
  </si>
  <si>
    <t>51.1803</t>
  </si>
  <si>
    <t>Ophthalmic Medical Technologist</t>
  </si>
  <si>
    <t>An instructional program that prepares individuals to perform ophthalmic clinical photography and florescence angiography of the eye, ophthalmic electrophysiological and microbiological procedures, and administer ocular motility and binocular function tests under the supervision of ophthalmologist.</t>
  </si>
  <si>
    <t>511803</t>
  </si>
  <si>
    <t>51.1804</t>
  </si>
  <si>
    <t>Orthoptics</t>
  </si>
  <si>
    <t>An instructional program that prepares individuals, under the supervision of an ophthalmologist, to correct vision defects in children and adults via therapeutic exercises.  Includes instruction in strabismus, amblyopia, patient care and counseling, and diagnostic testing.</t>
  </si>
  <si>
    <t>511804</t>
  </si>
  <si>
    <t>51.1899</t>
  </si>
  <si>
    <t>Ophthalmic/Optometric Services, Other</t>
  </si>
  <si>
    <t>Any instructional program in ophthalmic/optometric services not described elsewhere in this group of programs.</t>
  </si>
  <si>
    <t>511899</t>
  </si>
  <si>
    <t>51.1900</t>
  </si>
  <si>
    <t>Osteopathic Medicine (D.O.)</t>
  </si>
  <si>
    <t>A group of instructional programs that prepare individuals for the independent professional practice of osteopathy, a system of holistic diagnosis and treatment of health problems.  Includes instruction in all accepted allopathic medical diagnostic and treatment methods, plus spinal manipulation; musculoskeletal and nervous system influence on body health; promoting natural defense mechanisms; and the interrelation of the various body systems.</t>
  </si>
  <si>
    <t>511900</t>
  </si>
  <si>
    <t>51.1901</t>
  </si>
  <si>
    <t>An instructional program that prepares individuals for the independent professional practice of osteopathy, a system of holistic diagnosis and treatment of health problems.  Includes instruction in all accepted allopathic medical diagnostic and treatment methods, plus spinal manipulation; musculoskeletal and nervous system influence on body health; promoting natural defense mechanisms; and the interrelation of the various body systems.</t>
  </si>
  <si>
    <t>511901</t>
  </si>
  <si>
    <t>51.2000</t>
  </si>
  <si>
    <t>Pharmacy</t>
  </si>
  <si>
    <t>A group of instructional programs that prepares individuals for the independent professional practice of pharmacy.  Includes instruction in principles of medicinal chemistry, drug behavior, and drug metabolism; mixing, preparing, and dispensing prescription medications; pharmacy practice management; patient advising; ethical and professional standards; and applicable laws and regulations.</t>
  </si>
  <si>
    <t>512000</t>
  </si>
  <si>
    <t>51.2001</t>
  </si>
  <si>
    <t>Pharmacy (B.Pharm., Pharm.D.)</t>
  </si>
  <si>
    <t>An instructional program that prepares individuals for the independent professional practice of pharmacy.  Includes instruction in principles of medicinal chemistry, drug behavior, and drug metabolism; mixing, preparing, and dispensing prescription medications; pharmacy practice management; patient advising; ethical and professional standards; and applicable laws and regulations.</t>
  </si>
  <si>
    <t>512001</t>
  </si>
  <si>
    <t>51.2002</t>
  </si>
  <si>
    <t>Pharmacy Administration &amp; Pharmaceutics</t>
  </si>
  <si>
    <t>An instructional program that prepares pharmacists to manage pharmaceutical operations and programs in industrial, hospital, and other clinical settings.  Includes instructional in business management principles; pharmaceutical laboratory and production operations and organization; social and economic policy aspects of pharmaceutics; and specific applications to such areas as industrial pharmaceutics, clinical pharmaceutics, hospital pharmaceutics, pharmacy industry and distribution studies, and the regulatory aspects of pharmaceutics.</t>
  </si>
  <si>
    <t>512002</t>
  </si>
  <si>
    <t>51.2003</t>
  </si>
  <si>
    <t>Medical Pharmacology &amp; Pharmaceutical Sciences</t>
  </si>
  <si>
    <t>An instructional program that describes the scientific study, by pharmacists and other medical researchers, of drugs, drug behavior, and the actions of chemical substances on human systems and whole organisms.  Includes instruction in such areas as biopharmaceutics, pharmacokinetics and dynamics, drug metabolism, bioanalytical assay, pharmacognosy, cosmetic science, neuropharmacology, behavioral effects of drugs, radiopharmacology, and pharmaceutical socioeconomic policy.</t>
  </si>
  <si>
    <t>512003</t>
  </si>
  <si>
    <t>51.2099</t>
  </si>
  <si>
    <t>Pharmacy, Other</t>
  </si>
  <si>
    <t>Any instructional program in pharmacy not described elsewhere in this group of instructional programs.</t>
  </si>
  <si>
    <t>512099</t>
  </si>
  <si>
    <t>51.2100</t>
  </si>
  <si>
    <t>Podiatry (D.P.M., D.P., Pod.D.)</t>
  </si>
  <si>
    <t>A group of instructional programs that prepares individuals for the independent professional practice of podiatric medicine.  Includes instruction in the principles and procedures used in the observation, diagnosis, care and treatment of disease, injury, deformity, or other anomalies of the human foot; ethics and professional standards; and supervised clinical practice.</t>
  </si>
  <si>
    <t>512100</t>
  </si>
  <si>
    <t>51.2101</t>
  </si>
  <si>
    <t>An instructional program that prepares individuals for the independent professional practice of podiatric medicine.  Includes instruction in the principles and procedures used in the observation, diagnosis, care and treatment of disease, injury, deformity, or other anomalies of the human foot; ethics and professional standards; and supervised clinical practice.</t>
  </si>
  <si>
    <t>512101</t>
  </si>
  <si>
    <t>51.2200</t>
  </si>
  <si>
    <t>Public Health</t>
  </si>
  <si>
    <t>A group of instructional programs that prepare individuals to provide publicly supervised health services to community, regional, national and international health services.</t>
  </si>
  <si>
    <t>512200</t>
  </si>
  <si>
    <t>51.2201</t>
  </si>
  <si>
    <t>Public Health, General</t>
  </si>
  <si>
    <t>An instructional program that prepares individuals to plan, implement, and evaluate publicly supervised and administered health care programs and systems.  Includes instruction in principles of epidemiology, health law and regulations, law enforcement, biostatistical methods, budget policy and economics, report making and personnel supervision.</t>
  </si>
  <si>
    <t>512201</t>
  </si>
  <si>
    <t>51.2202</t>
  </si>
  <si>
    <t>Environmental Health</t>
  </si>
  <si>
    <t>An instructional program that prepares public health specialists to monitor and evaluate potential and confirmed environmental health hazards, and to plan and manage environmental health programs.  Includes instruction in environmental toxicology, genetic toxicology, biohazard research, test and evaluation procedures, measurement instrumentation and equipment operation, environmental and health law and regulations, and applications to specific environmental health problems.</t>
  </si>
  <si>
    <t>512202</t>
  </si>
  <si>
    <t>51.2203</t>
  </si>
  <si>
    <t>Epidemiology</t>
  </si>
  <si>
    <t>An instructional program that describes the scientific study, by public health scientists and other medical researchers, of the distribution of disease in human populations; patterns in the life cycles of infectious diseases; and methods of preventing disease outbreaks and promoting population health.</t>
  </si>
  <si>
    <t>512203</t>
  </si>
  <si>
    <t>51.2204</t>
  </si>
  <si>
    <t>Health &amp; Medical Biostatistics</t>
  </si>
  <si>
    <t xml:space="preserve">An instructional program that describes the advanced study of the health applications of statistical models and analytical techniques.  Includes instruction in descriptive and inferential studies of human populations, the human organism and its biological components. </t>
  </si>
  <si>
    <t>512204</t>
  </si>
  <si>
    <t>51.2205</t>
  </si>
  <si>
    <t>Health Physics/Radiologic Health</t>
  </si>
  <si>
    <t>An instructional program that describes the scientific measurement of radiation levels and dosages affecting human beings, and that prepares individuals to monitor radiation health.  Includes instruction in radiation dosimetry methods; the health effects of natural and man-made radiation; operation and maintenance of test and monitoring equipment; and applicable standards and regulations pertaining to radiation emissions.</t>
  </si>
  <si>
    <t>512205</t>
  </si>
  <si>
    <t>51.2206</t>
  </si>
  <si>
    <t>Occupational Health &amp; Industrial Hygiene</t>
  </si>
  <si>
    <t>An instructional program that prepares public health specialists to monitor and evaluate health standards related to industrial and commercial workplaces and locations.  Includes instruction in occupational health and safety standards and regulations; requirements of particular jobs and industrial processes; test and monitoring equipment operation and maintenance; industrial toxicology; worker health and safety education; and the analysis of job-related equipment, behavior, practices, and protective gear.</t>
  </si>
  <si>
    <t>512206</t>
  </si>
  <si>
    <t>51.2207</t>
  </si>
  <si>
    <t>Public Health Education &amp; Promotion</t>
  </si>
  <si>
    <t>An instructional program that prepares public health specialists to provide specialized educational and informational services to populations affected by disease outbreak, health hazards, or who are at risk.  Includes instruction in health publicity, public relations, public health campaign management, preparation of public health teaching aids and instructional materials, and applications to specific public health problems and campaign audiences.</t>
  </si>
  <si>
    <t>512207</t>
  </si>
  <si>
    <t>51.2299</t>
  </si>
  <si>
    <t>Public Health, Other</t>
  </si>
  <si>
    <t>Any instructional program in public health not described elsewhere in this group of instructional programs.</t>
  </si>
  <si>
    <t>512299</t>
  </si>
  <si>
    <t>51.2300</t>
  </si>
  <si>
    <t>Rehabilitation/Therapeutic Services</t>
  </si>
  <si>
    <t>A group of instructional programs that prepare individuals to provide assistance in stabilizing and/or improving diagnosed health problems.</t>
  </si>
  <si>
    <t>512300</t>
  </si>
  <si>
    <t>51.2301</t>
  </si>
  <si>
    <t>Art Therapy</t>
  </si>
  <si>
    <t>An instructional program that prepares individuals to employ art as a tool to assist patients in overcoming physical disability, resolving emotional conflicts and enhancing communications with others.</t>
  </si>
  <si>
    <t>512301</t>
  </si>
  <si>
    <t>51.2302</t>
  </si>
  <si>
    <t>Dance Therapy</t>
  </si>
  <si>
    <t>An instructional program that prepares individuals to employ dance as a tool to assist patients in overcoming physical disability, resolving emotional conflicts and enhancing communications with others.</t>
  </si>
  <si>
    <t>512302</t>
  </si>
  <si>
    <t>51.2303</t>
  </si>
  <si>
    <t>Hypnotherapy</t>
  </si>
  <si>
    <t>An instructional program that prepares individuals to employ hypnosis as a tool to assist patients in reducing physical pain, resolving emotional conflicts and enhancing communications with others.  Includes instruction in trance inducement and its relation to other healing arts specialties.</t>
  </si>
  <si>
    <t>512303</t>
  </si>
  <si>
    <t>51.2304</t>
  </si>
  <si>
    <t>Movement Therapy</t>
  </si>
  <si>
    <t>An instructional program that prepares individuals to employ hands on repatterning and verbal instruction as a tool to assist patients in overcoming physical disability, resolving emotional conflicts and enhancing communications with others.  Includes instruction in physiological patterning/cognitive motor functioning, movement analysis and performance, psychological/emotional expression and health maintenance and improvement.</t>
  </si>
  <si>
    <t>512304</t>
  </si>
  <si>
    <t>51.2305</t>
  </si>
  <si>
    <t>Music Therapy</t>
  </si>
  <si>
    <t>An instructional program that prepares individuals to employ music as a tool to assist patients in overcoming physical disability, resolving emotional conflicts and enhancing communications with others.  Includes instruction in leading and monitoring individual and group musical activities with patients who suffer from physical or mental disorders.</t>
  </si>
  <si>
    <t>512305</t>
  </si>
  <si>
    <t>51.2306</t>
  </si>
  <si>
    <t>Occupational Therapy</t>
  </si>
  <si>
    <t>An instructional program that prepares individuals to employ self care, work and play activities as therapeutic regimes for patients in order to increase independent functioning, enhance development and assist recovery from disability.  Includes instruction in adapting therapeutic tasks or environments to achieve maximum independence and enhance the quality of life for each patient.</t>
  </si>
  <si>
    <t>512306</t>
  </si>
  <si>
    <t>51.2307</t>
  </si>
  <si>
    <t>Orthotics/Prosthetics</t>
  </si>
  <si>
    <t>An instructional program that prepares individuals, under the supervision of a physician and in consultation with therapists, to make and fit orthoses and prostheses.  Includes instruction in design, crafting and production techniques, properties of materials, anatomy and physiology, and patient counseling.</t>
  </si>
  <si>
    <t>512307</t>
  </si>
  <si>
    <t>51.2308</t>
  </si>
  <si>
    <t>Physical Therapy</t>
  </si>
  <si>
    <t>An instructional program that prepares individuals, upon referral by a physician, to evaluate patients and plan and execute treatment programs to prevent or remediate physical dysfunction, relieve pain and prevent further disability.  Includes instruction in patho  and therapeutic kinesiology, equipment design and maintenance, treatment regimes, and the evaluation of skeletal, neurological and cardiovascular disorders.  Also includes instruction in patient counseling, personnel supervision and record keeping.</t>
  </si>
  <si>
    <t>512308</t>
  </si>
  <si>
    <t>51.2309</t>
  </si>
  <si>
    <t>Recreational Therapy</t>
  </si>
  <si>
    <t>An instructional program that prepares individuals to plan, organize, and direct medically approved programs of leisure activity to promote patient physical and mental health and functioning in social interactions.  Includes instruction in volunteer and staff supervision, patient evaluation and monitoring, behavioral therapy, and recreation program and predischarge planning.</t>
  </si>
  <si>
    <t>512309</t>
  </si>
  <si>
    <t>51.2310</t>
  </si>
  <si>
    <t>Vocational Rehabilitation Counseling</t>
  </si>
  <si>
    <t>An instructional program that prepares individuals, under the supervision of physicians or psychologists, to assist patients in coping with physical and/or mental disabilities that affect work.  Includes instruction in vocational counseling, employment assistance and placement, patient evaluation and monitoring, administering psychological and psychomotor tests, and the planning of training programs.</t>
  </si>
  <si>
    <t>512310</t>
  </si>
  <si>
    <t>51.2399</t>
  </si>
  <si>
    <t>Rehabilitation/Therapeutic Services, Other</t>
  </si>
  <si>
    <t>An instructional program in rehabilitation/therapeutic services not described elsehwere in this group of instructional programs.</t>
  </si>
  <si>
    <t>512399</t>
  </si>
  <si>
    <t>51.2400</t>
  </si>
  <si>
    <t>Veterinary Medicine (D.V.M.)</t>
  </si>
  <si>
    <t>A group of instructional programs that prepare individuals for the independent professional practice of veterinary medicine.  Includes instruction in the principles and procedures used in the observation, diagnosis, care and treatment of illness, disease, injury, deformity, or other anomalies in animals; ethics and professional standards; and supervised clinical practice.</t>
  </si>
  <si>
    <t>512400</t>
  </si>
  <si>
    <t>51.2401</t>
  </si>
  <si>
    <t>An instructional program that prepares individuals for the independent professional practice of veterinary medicine.  Includes instruction in the principles and procedures used in the observation, diagnosis, care and treatment of illness, disease, injury, deformity, or other anomalies in animals; ethics and professional standards; and supervised clinical practice.</t>
  </si>
  <si>
    <t>512401</t>
  </si>
  <si>
    <t>51.2500</t>
  </si>
  <si>
    <t>Veterinary Clinical Sciences (M.S., Ph.D.)</t>
  </si>
  <si>
    <t>A group of instructional programs that describes the scientific study, by veterinarians, of the clinical specializations and supporting applied sciences related to the practice of veterinary medicine.  Includes instruction in areas such as veterinary anatomy; veterinary physiology; veterinary pharmacology; veterinary radiology; veterinary pathology; veterinary toxicology; veterinary microbiology; veterinary preventive medicine; veterinary parasitology; veterinary immunology; veterinary bacteriology; veterinary virology; large animal surgery and medicine; small animal surgery and medicine; avian medicine; theriogenology; laboratory animal science; and animal nutrition.</t>
  </si>
  <si>
    <t>512500</t>
  </si>
  <si>
    <t>51.2501</t>
  </si>
  <si>
    <t>An instructional program that describes the scientific study, by veterinarians, of the clinical specializations and supporting applied sciences related to the practice of veterinary medicine.  Includes instruction in areas such as veterinary anatomy; veterinary physiology; veterinary pharmacology; veterinary radiology; veterinary pathology; veterinary toxicology; veterinary microbiology; veterinary preventive medicine; veterinary parasitology; veterinary immunology; veterinary bacteriology; veterinary virology; large animal surgery and medicine; small animal surgery and medicine; avian medicine; theriogenology; laboratory animal science; and animal nutrition.</t>
  </si>
  <si>
    <t>512501</t>
  </si>
  <si>
    <t>51.2600</t>
  </si>
  <si>
    <t>Miscellaneous Health Aides</t>
  </si>
  <si>
    <t>A group of instructional programs that prepare individuals to perform routine care and assistance duties for patients, under the direct supervision of other health care professionals, and/or to perform routine maintenance and general assistance duties in health care laboratories.</t>
  </si>
  <si>
    <t>512600</t>
  </si>
  <si>
    <t>51.2601</t>
  </si>
  <si>
    <t>Health Aide</t>
  </si>
  <si>
    <t>Any of a group of instructional programs that prepare individuals to perform routine care and assistance duties for patients, under the direct supervision of other health care professionals, and/or to perform routine maintenance and general assistance duties in health care laboratories.</t>
  </si>
  <si>
    <t>512601</t>
  </si>
  <si>
    <t>51.2700</t>
  </si>
  <si>
    <t>Miscellaneous Health Sciences &amp; Allied Health Services</t>
  </si>
  <si>
    <t>A group of instructional programs that prepare individuals in health related subjects and fields not included in Health Sciences and Allied Health Services Series described above.</t>
  </si>
  <si>
    <t>512700</t>
  </si>
  <si>
    <t>51.2701</t>
  </si>
  <si>
    <t>Acupuncture &amp; Oriental Medicine</t>
  </si>
  <si>
    <t>An instructional program that prepares individuals to administer Oriental and related traditional treatment therapies, and dispense traditional herbal and other medications, as independent practitioners.  Includes instruction in acupuncture, moxibustion, Oriental pharmacology, Oriental medical theory and principles,  diagnostic procedures, patient counseling, and related health care arts.</t>
  </si>
  <si>
    <t>512701</t>
  </si>
  <si>
    <t>51.2702</t>
  </si>
  <si>
    <t>Medical Dietician</t>
  </si>
  <si>
    <t>An instructional program that prepares individuals to plan and administer special diets in clinical situations, under the supervision of or in consultation with physicians or other health professionals.  Includes instruction in the principles of medical nutrition; the use of nutrition as a treatment regime; the management of health care facility food services; special menu planning and food preparation; and patient education and counseling.</t>
  </si>
  <si>
    <t>512702</t>
  </si>
  <si>
    <t>51.2703</t>
  </si>
  <si>
    <t>Medical Illustrating</t>
  </si>
  <si>
    <t>An instructional program that prepares individuals to demonstrate medical facts by the creation of illustrations such as drawings, models, photographs, and films; either independently or under physicians' supervision.  Includes instruction in illustrating live treatment situations as well as working from data, notes and samples.</t>
  </si>
  <si>
    <t>512703</t>
  </si>
  <si>
    <t>51.2704</t>
  </si>
  <si>
    <t>Naturopathic Medicine</t>
  </si>
  <si>
    <t>An instructional program that prepares individuals to provide primary care and promote patient health through the use of natural therapies and related physiological, psychological and mechanical methods.  Includes instruction in natural law, phytotherapy, electrotherapy, physiotherapy, mechanotherapy, naturopathic manipulation, minor surgery, and herbal remedies.</t>
  </si>
  <si>
    <t>512704</t>
  </si>
  <si>
    <t>51.2705</t>
  </si>
  <si>
    <t>Psychoanalysis</t>
  </si>
  <si>
    <t>An instructional program that prepares individuals to provide psychotherapy to individuals and groups, based on the psychodynamic theory evolved from the work of Freud, Adler and Jung.  Includes instruction in personality theory, dream analysis, free association and transference theory and techniques, psychodynamic theory, developmental processes, applications to specific clinical conditions, practice standards and management, and client relations.</t>
  </si>
  <si>
    <t>512705</t>
  </si>
  <si>
    <t>51.2800</t>
  </si>
  <si>
    <t>Dental Residency Programs</t>
  </si>
  <si>
    <t>A group of instructional programs that prepare dentists in advanced clinical work in special areas of dental practice.  Programs may lead to examination for board certification.</t>
  </si>
  <si>
    <t>512800</t>
  </si>
  <si>
    <t>51.2801</t>
  </si>
  <si>
    <t>Dental/Oral Surgery Specialty</t>
  </si>
  <si>
    <t>A residency training program that prepares dentists and medical surgeons in advanced clinical training and practice in the surgery of the oral cavity and jaws, including the removal of cancerous and other diseased tissue, removal of teeth, and reconstruction of the jaw and related facial structure.</t>
  </si>
  <si>
    <t>512801</t>
  </si>
  <si>
    <t>51.2802</t>
  </si>
  <si>
    <t>Dental Public Health Specialty</t>
  </si>
  <si>
    <t>A residency training program that prepares dentists in the formulation and delivery of public preventive and curative dental health services.</t>
  </si>
  <si>
    <t>512802</t>
  </si>
  <si>
    <t>51.2803</t>
  </si>
  <si>
    <t>Endodontics Specialty</t>
  </si>
  <si>
    <t>A residency training program that prepares dentists in the etiology, diagnosis, prevention, and treatment of conditions that affect the dental and other periodontal tissues, including pulp canal therapy and root canal therapy.</t>
  </si>
  <si>
    <t>512803</t>
  </si>
  <si>
    <t>51.2804</t>
  </si>
  <si>
    <t>Oral Pathology Specialty</t>
  </si>
  <si>
    <t>An instructional program that describes the scientific study of the anatomy and physiology of the hearing and/or speech organs, their function and malfunction, and related environmental and behavioral topics.  Includes instruction in bioacoustics; neuroanatomy of speech, hearing, and language; hearing measurement; communications embryology and congenital defects; hearing aids and related technology; hearing conservation and noise reduction research; and the experimental analysis of hearing, speech, and language disorders.</t>
  </si>
  <si>
    <t>510202</t>
  </si>
  <si>
    <t>51.0203</t>
  </si>
  <si>
    <t>Speech-Language Pathology</t>
  </si>
  <si>
    <t>An instructional program that prepares individuals to provide therapeutic care to persons with physical or behavioral disorders that affect speaking or comprehension.  Includes instruction in identifying and assessing speech and language disorders; specific treatment regimes; structure and development of aphasia; specific production, articulation, fluency, motor speech, and voice disorders; psychosocial and educational effects of speech/language disorders; and the planning and management of patient therapy.</t>
  </si>
  <si>
    <t>510203</t>
  </si>
  <si>
    <t>51.0204</t>
  </si>
  <si>
    <t>Speech Pathology &amp; Audiology</t>
  </si>
  <si>
    <t>An instructional program that prepares individuals to provide therapeutic care to persons with hearing and related communications disorders.  Includes instruction in the principles of audiology; structure and development of hearing and communications disorders; speech disorder and hearing loss identification and assessment; aural rehabilitation; psychosocial and educational effects of speech and hearing disorders; and the planning and management of patient therapy.</t>
  </si>
  <si>
    <t>510204</t>
  </si>
  <si>
    <t>51.0205</t>
  </si>
  <si>
    <t>Sign Language Interpreter</t>
  </si>
  <si>
    <t>An instructional program that prepares individuals to interpret oral speech for the hearing impaired.  Includes instruction in American Sign Language or other deaf language, fingerspelling, orientation to deaf culture, and interpreting from signing to voice as well as from voice to signing.</t>
  </si>
  <si>
    <t>510205</t>
  </si>
  <si>
    <t>51.0299</t>
  </si>
  <si>
    <t>Communication Disorders Sciences &amp; Services, Other</t>
  </si>
  <si>
    <t>Any instructional program in communication disorders sciences and services not described elsewhere in this group of instructional programs.</t>
  </si>
  <si>
    <t>510299</t>
  </si>
  <si>
    <t>51.0300</t>
  </si>
  <si>
    <t>Community Health Services</t>
  </si>
  <si>
    <t>A group of instructional programs that prepare individuals to serve the health needs of communities and groups within communities.</t>
  </si>
  <si>
    <t>510300</t>
  </si>
  <si>
    <t>51.0301</t>
  </si>
  <si>
    <t>Community Health Liaison</t>
  </si>
  <si>
    <t>An instructional program that prepares individuals to serve as liaison between public health and other social services, and the recipients of health services in communities.  Includes instruction in the basics of human health and nutrition, communicable diseases, environmental health, personal hygiene, care of infants, medications, and family and community services.</t>
  </si>
  <si>
    <t>510301</t>
  </si>
  <si>
    <t>51.0400</t>
  </si>
  <si>
    <t>Dentistry (D.D.S., D.M.D.)</t>
  </si>
  <si>
    <t>A group of instructional programs that prepare individuals for the independent professional practice of dentistry.  Includes instruction in the prevention, diagnosis, and treatment of diseases and abnormalities of the teeth and gums and related parts of the oral cavity; related anatomical and physiological principles; professional ethics and standards; and supervised clinical practice.</t>
  </si>
  <si>
    <t>510400</t>
  </si>
  <si>
    <t>51.0401</t>
  </si>
  <si>
    <t>An instructional program that prepares individuals for the independent professional practice of dentistry.  Includes instruction in the prevention, diagnosis, and treatment of diseases and abnormalities of the teeth and gums and related parts of the oral cavity; related anatomical and physiological principles; professional ethics and standards; and supervised clinical practice.</t>
  </si>
  <si>
    <t>510401</t>
  </si>
  <si>
    <t>51.0500</t>
  </si>
  <si>
    <t>Dental Clinical Sciences/Graduate Dentistry (M.S., Ph.D.)</t>
  </si>
  <si>
    <t>A group of instructional programs that describe advanced study or research, by dentists or other medical doctors, in dental practice specialties and related sciences such as oral biology, endodontics, oral/maxillofacial surgery, orthodontics, pediatric dentistry, periodontics, dental materials, dental diagnostics, prosthodontics, dental nutrition, dental immunology, and dental pathology.</t>
  </si>
  <si>
    <t>510500</t>
  </si>
  <si>
    <t>51.0501</t>
  </si>
  <si>
    <t>An instructional program that generally describes advanced study or research, by dentists or other medical doctors, in dental practice specialties and related sciences such as oral biology, endodontics, oral/maxillofacial surgery, orthodontics, pediatric dentistry, periodontics, dental materials, dental diagnostics, prosthodontics, dental nutrition, dental immunology, and dental pathology.</t>
  </si>
  <si>
    <t>510501</t>
  </si>
  <si>
    <t>51.0600</t>
  </si>
  <si>
    <t>Dental Services</t>
  </si>
  <si>
    <t>A group of instructional programs that prepare individuals to provide dental health care services.</t>
  </si>
  <si>
    <t>510600</t>
  </si>
  <si>
    <t>51.0601</t>
  </si>
  <si>
    <t>Dental Assistant</t>
  </si>
  <si>
    <t>An instructional program that prepares individuals to assist a dentist or dental hygienist in performing the functions of a dental practice.  Includes instruction in chairside assistance, patient preparation, dental office functions, selected dental office laboratory procedures, and dental radiography.</t>
  </si>
  <si>
    <t>510601</t>
  </si>
  <si>
    <t>51.0602</t>
  </si>
  <si>
    <t>Dental Hygienist</t>
  </si>
  <si>
    <t>An instructional program that prepares individuals to practice the cleaning of teeth and related oral health therapies, either independently or in collaboration with dentists.  Includes instruction in basic preventive oral health care, oral health education, dental hygiene therapy, initial periodontal therapy, patient examination and counseling, dental radiography, local anesthesia, prosthetic casts, equipment operation and maintenance, and record-keeping.</t>
  </si>
  <si>
    <t>510602</t>
  </si>
  <si>
    <t>51.0603</t>
  </si>
  <si>
    <t>Dental Laboratory Technician</t>
  </si>
  <si>
    <t>An instructional program that prepares individuals to make and repair dental prostheses and restorative appliances as prescribed by a dentist.  Includes instruction in complete and partial denture construction, crown and fixed bridge fabrication, cast metal partial, customized porcelain and acrylic restorations, and building orthodontic appliances.</t>
  </si>
  <si>
    <t>510603</t>
  </si>
  <si>
    <t>51.0699</t>
  </si>
  <si>
    <t>Dental Services, Other</t>
  </si>
  <si>
    <t>Any instructional in dental services not described elsewhere in this group of instructional programs.</t>
  </si>
  <si>
    <t>510699</t>
  </si>
  <si>
    <t>51.0700</t>
  </si>
  <si>
    <t>Health &amp; Medical Administrative Services</t>
  </si>
  <si>
    <t>A group of instructional programs that describe the management of the administrative aspects of the health care delivery system at the unit, office, building or system levels.</t>
  </si>
  <si>
    <t>510700</t>
  </si>
  <si>
    <t>51.0701</t>
  </si>
  <si>
    <t>Health Systems/Health Services Administration</t>
  </si>
  <si>
    <t>An instructional program that prepares physicians and other professionals to develop, plan, and manage health care systems and service networks.  Includes instruction in planning and coordination, business and financial management, fund-raising and marketing, public relations, human resources management, technical operations of health care systems, resource allocation, health law, and applications to specific health service situations.</t>
  </si>
  <si>
    <t>510701</t>
  </si>
  <si>
    <t>51.0702</t>
  </si>
  <si>
    <t>Hospital/Health Facilities Administration</t>
  </si>
  <si>
    <t>An instructional program that prepares health and other professionals to apply the principles of management to the running of hospitals and similar health facilities.  Includes instruction in building and facility management, planning and coordination, scheduling, business and financial management, fund-raising and marketing, public relations, human resources management and labor relations, technical hospital operations, resource allocation, and health law.</t>
  </si>
  <si>
    <t>510702</t>
  </si>
  <si>
    <t>51.0703</t>
  </si>
  <si>
    <t>Health Unit Coordinator/Ward Clerk</t>
  </si>
  <si>
    <t>An instructional program that prepares individuals to perform routine clerical and reception duties in a patient care unit within a hospital or other health care facility.  Includes instruction in receiving and directing visitors, transcribing medical orders, preparing requisition forms, scheduling appointments and monitoring the location of patients and personnel, under the supervision of a head nurse or ward supervisor.</t>
  </si>
  <si>
    <t>510703</t>
  </si>
  <si>
    <t>51.0704</t>
  </si>
  <si>
    <t>Health Unit Manager/Ward Supervisor</t>
  </si>
  <si>
    <t>An instructional program that prepares individuals to supervise and coordinate administrative management functions for one or more patient care units in a health care facility, under the supervision of a nursing or medical services administrator.  Includes instruction in initiating clerical procedures, supervising ward clerks, and serving as a liaison to facility administration and medical staffs.</t>
  </si>
  <si>
    <t>510704</t>
  </si>
  <si>
    <t>51.0705</t>
  </si>
  <si>
    <t>Medical Office Management</t>
  </si>
  <si>
    <t>An instructional program that prepares individuals to manage the administrative and business aspects of a medical practice or other health care office.  Includes instruction in policy administration, conference planning, scheduling and coordination, managing business records and reports, financial record-keeping, personnel supervision, public relations, administrative aspects of health law, and office operations.</t>
  </si>
  <si>
    <t>510705</t>
  </si>
  <si>
    <t>51.0706</t>
  </si>
  <si>
    <t>Medical Records Administration</t>
  </si>
  <si>
    <t>An instructional program that prepares individuals to supervise and manage the preparation, storage, and use of medical records; and the management of related information systems.  Includes instruction in the legal and technical aspects of medical records, the design and management of secure data systems, the role of records in medical surveys, and the supervision of medical records technicians and other related staff.</t>
  </si>
  <si>
    <t>510706</t>
  </si>
  <si>
    <t>51.0707</t>
  </si>
  <si>
    <t>Medical Records Technology/Technician</t>
  </si>
  <si>
    <t>An instructional program that prepares individuals to classify medical information and prepare records, under the supervision of a medical records administrator.  Includes instruction in medical records science, medical terminology, record classification, user needs, indexing, special records systems, computer operation, and applicable laws and regulations.</t>
  </si>
  <si>
    <t>510707</t>
  </si>
  <si>
    <t>51.0708</t>
  </si>
  <si>
    <t>Medical Transcription</t>
  </si>
  <si>
    <t>An instructional program that prepares individuals to execute verbatim medical minutes, reports and orders.  Includes instruction in dictation, analysis of written notes or visual evidence, computer and transcription machine operation, formal medical correspondence and report formats and requirements, and applicable laws and regulations.</t>
  </si>
  <si>
    <t>510708</t>
  </si>
  <si>
    <t>51.0799</t>
  </si>
  <si>
    <t>Health &amp; Medical Administrative Services, Other</t>
  </si>
  <si>
    <t>Any instructional program in health and medical administrative services not described elsewhere in this group of instructional programs.</t>
  </si>
  <si>
    <t>510799</t>
  </si>
  <si>
    <t>51.0800</t>
  </si>
  <si>
    <t>Health &amp; Medical Assistants</t>
  </si>
  <si>
    <t>A group of instructional programs that prepare individuals to provide general or specialized assistance to physicians or other health professionals.</t>
  </si>
  <si>
    <t>510800</t>
  </si>
  <si>
    <t>51.0801</t>
  </si>
  <si>
    <t>Medical Assistant</t>
  </si>
  <si>
    <t>An instructional program that prepares individuals to support physicians by providing assistance during patient examinations, treatment administration, and monitoring; by keeping patient and related health record information; and by performing a wide range of practice-related duties.</t>
  </si>
  <si>
    <t>510801</t>
  </si>
  <si>
    <t>51.0802</t>
  </si>
  <si>
    <t>Medical Laboratory Assistant</t>
  </si>
  <si>
    <t>An instructional program that prepares individuals to support laboratory directors and technicians by performing routine clinical laboratory procedures and clerical tasks.</t>
  </si>
  <si>
    <t>510802</t>
  </si>
  <si>
    <t>51.0803</t>
  </si>
  <si>
    <t>Occupational Therapy Assistant</t>
  </si>
  <si>
    <t>An instructional program that prepares individuals to support occupational therapists by providing assistance during patient examinations, treatment administration, and monitoring; by keeping patient and related health record information; and by performing a wide range of practice-related duties.</t>
  </si>
  <si>
    <t>510803</t>
  </si>
  <si>
    <t>51.0804</t>
  </si>
  <si>
    <t>Ophthalmic Medical Assistant</t>
  </si>
  <si>
    <t>An instructional program that prepares individuals to support ophthalmologists by providing assistance during patient examinations, treatment administration, and monitoring; by keeping patient and related health record information; and by performing a wide range of practice-related duties.</t>
  </si>
  <si>
    <t>510804</t>
  </si>
  <si>
    <t>51.0805</t>
  </si>
  <si>
    <t>Pharmacy Technician/Assistant</t>
  </si>
  <si>
    <t>An instructional program that prepares individuals to support pharmacists by providing assistance during patient consultation, counter dispensing operations, and prescription preparation; keeping patient and related health record information; and by performing a wide range of practice-related duties.</t>
  </si>
  <si>
    <t>510805</t>
  </si>
  <si>
    <t>51.0806</t>
  </si>
  <si>
    <t>Physical Therapy Assistant</t>
  </si>
  <si>
    <t>An instructional program that prepares individuals to support physical therapists by providing assistance during patient examinations, treatment administration, and monitoring; by keeping patient and related health record information; and by performing a wide range of practice-related duties.</t>
  </si>
  <si>
    <t>510806</t>
  </si>
  <si>
    <t>51.0807</t>
  </si>
  <si>
    <t>Physician Assistant</t>
  </si>
  <si>
    <t>An instructional program that prepares individuals to manage the treatment of patients with routine or chronic health problems, in consultation with a physician or under indirect supervision.  Includes instruction in patient interviewing and history taking, counseling, laboratory testing and analysis, administration of medication, minor surgery, prescribing routine drugs,  preparing medical reports and referrals to physicians and other specialists.</t>
  </si>
  <si>
    <t>510807</t>
  </si>
  <si>
    <t>51.0808</t>
  </si>
  <si>
    <t>Veterinarian Assistant/Animal Health Technician</t>
  </si>
  <si>
    <t>An instructional program that prepares individuals to support veterinarians by providing assistance during animal examinations, treatment administration, and monitoring; by keeping animal and related health record information; and by performing a wide range of practice-related duties.</t>
  </si>
  <si>
    <t>510808</t>
  </si>
  <si>
    <t>51.0899</t>
  </si>
  <si>
    <t>Health &amp; Medical Assistants, Other</t>
  </si>
  <si>
    <t>Any instructional program for health and medical assistants not described elsewhere in this group of instructional programs.</t>
  </si>
  <si>
    <t>510899</t>
  </si>
  <si>
    <t>51.0900</t>
  </si>
  <si>
    <t>Health &amp; Medical Diagnostic &amp; Treatment Services</t>
  </si>
  <si>
    <t>A group of instructional programs that prepare individuals to use medical equipment and materials for diagnostic, immediate care and treatment purposes.</t>
  </si>
  <si>
    <t>510900</t>
  </si>
  <si>
    <t>51.0901</t>
  </si>
  <si>
    <t>Cardiovascular Technology/Technician</t>
  </si>
  <si>
    <t>An instructional program that prepares individuals to perform invasive and non invasive tests to monitor human heart and circulatory system health, and to administer prescribed treatment therapies, under the supervision of a physician.  Includes instruction in the administration of tests such as EKG, phonocardiogram, and stress tests; therapeutic procedures such as cardiac catheterization and Holter monitoring; patient preparation; equipment preparation and maintenance; and record keeping.</t>
  </si>
  <si>
    <t>510901</t>
  </si>
  <si>
    <t>51.0902</t>
  </si>
  <si>
    <t>Electrocardiograph Technology/Technician</t>
  </si>
  <si>
    <t>An instructional program that prepares individuals to perform examinations of electromotive variations in human heart activity using an electrocardiograph machine, under the supervision of a physician.  Includes instruction in patient preparation, equipment operation and maintenance, making minor repairs, and record-keeping.</t>
  </si>
  <si>
    <t>510902</t>
  </si>
  <si>
    <t>51.0903</t>
  </si>
  <si>
    <t>Electroencephalograph Technology/Technician</t>
  </si>
  <si>
    <t>An instructional program that prepares individuals to perform examinations of electromotive variations in human brain activity using an electroencephalograph machine, and to make related data analyses, under the supervision of a physician.  Includes instruction in patient preparation, equipment operation and maintenance, EEG test procedures, data analysis, determination of brain death, tumor identification, and brain injury and disorder identification.</t>
  </si>
  <si>
    <t>510903</t>
  </si>
  <si>
    <t>51.0904</t>
  </si>
  <si>
    <t>Emergency Medical Technology/Technician</t>
  </si>
  <si>
    <t>An instructional program that prepares individuals to perform initial medical diagnosis, treatment, and comprehensive care in medical crises, under the general supervision of a coordinating physician.  Includes instruction in all aspects of basic health care; disease, disorder, and injury symptomology and diagnosis; emergency medical treatment procedures for various injuries and disease outbreaks;  basic pharmacology; anesthetics; intravenous and other drug administration procedures; obstetrics procedures; basic surgical techniques; emergency medical equipment operation and maintenance; special care of patients exposed to heat, cold, radiation, or contagious disease; and administrative aspects of emergency medicine.  Programs may include emergency vehicle operation and patient transportation procedures, depending on level of training.</t>
  </si>
  <si>
    <t>510904</t>
  </si>
  <si>
    <t>51.0905</t>
  </si>
  <si>
    <t>Nuclear Medical Technology/Technician</t>
  </si>
  <si>
    <t>An instructional program that prepares individuals to prepare and administer radioactive isotopes via injections, and to measure glandular and other bodily activity by means of in vitro and in vivo detection and specimen testing.  Includes instruction in equipment operation and maintenance, materials storage and safety, patient preparation, and record keeping.</t>
  </si>
  <si>
    <t>510905</t>
  </si>
  <si>
    <t>51.0906</t>
  </si>
  <si>
    <t>Perfusion Technology/Technician</t>
  </si>
  <si>
    <t>An instructional program that prepares individuals to operate heart lung machines and monitor patient condition under the direct supervision of a surgeon.  Includes instruction in patient examination and preparation, equipment operation and maintenance, anesthesia, and operating room procedures.</t>
  </si>
  <si>
    <t>510906</t>
  </si>
  <si>
    <t>51.0907</t>
  </si>
  <si>
    <t>Medical Radiologic Technology/Technician</t>
  </si>
  <si>
    <t>An instructional program that prepares individuals to perform diagnostic examinations, and administer therapeutic procedures, using X-Rays and related radiations, under the supervision of a radiologist.  Includes instruction in conducting CAT scans (computer tomography), xeradiography, thermography and X Ray procedures; equipment operation and maintenance; patient preparation; and record-keeping.</t>
  </si>
  <si>
    <t>510907</t>
  </si>
  <si>
    <t>51.0908</t>
  </si>
  <si>
    <t>Respiratory Therapy Technician</t>
  </si>
  <si>
    <t>An instructional program that prepares individuals to perform therapeutic and life-support procedures using respiratory equipment, under the supervision of a physician.  Includes instruction in administering inhalants via mist, mask, tent or other procedures; monitor heart-lung machines and other intensive care therapies; anesthesia; emergency procedures; equipment operation and maintenance; storage and safety methods; and record-keeping.</t>
  </si>
  <si>
    <t>510908</t>
  </si>
  <si>
    <t>51.0909</t>
  </si>
  <si>
    <t>Surgical/Operating Room Technician</t>
  </si>
  <si>
    <t>An instructional program that prepares individuals to perform general technical support tasks in the operating room before, during, and after surgery.  Includes instruction in pre operation patient and surgical team preparation, handling surgical instruments at tableside, supply inventory maintenance before and during operations, sterilization and cleaning of equipment, maintaining clean and sealed environments, operating room safety procedures, and record-keeping.</t>
  </si>
  <si>
    <t>510909</t>
  </si>
  <si>
    <t>51.0910</t>
  </si>
  <si>
    <t>Diagnostic Medical Sonography Technician</t>
  </si>
  <si>
    <t>An instructional program that prepares individuals to perform diagnostic and monitoring procedures using acoustic energy, under the supervision of a physician.  Includes instruction in patient preparation, ultrasound testing and examination procedures, sonogram evaluation, record keeping, and equipment operation and maintenance.</t>
  </si>
  <si>
    <t>510910</t>
  </si>
  <si>
    <t>51.0999</t>
  </si>
  <si>
    <t>Health &amp; Medical Diagnostic &amp; Treatment Services, Other</t>
  </si>
  <si>
    <t>Any instructional program in health and medical diagnostic and treatment services not described elsewhere in this group of instructional programs.</t>
  </si>
  <si>
    <t>510999</t>
  </si>
  <si>
    <t>51.1000</t>
  </si>
  <si>
    <t>Health &amp; Medical Laboratory Technologies</t>
  </si>
  <si>
    <t>A group of instructional programs that prepare individuals to perform diagnostic and analytical laboratory procedures that support medical research and practice.</t>
  </si>
  <si>
    <t>511000</t>
  </si>
  <si>
    <t>51.1001</t>
  </si>
  <si>
    <t>Blood Bank Technology/Technician</t>
  </si>
  <si>
    <t>An instructional program that prepares individuals to perform classification, analysis, and related tests on banked blood under the supervision of a pathologist, physician, or laboratory director.  Includes instruction in laboratory hematology; laboratory and blood bank procedures; blood donor selection; blood collection, classification, storage, and processing procedures; topological and compatibility tests; blood bank inventory and delivery procedures; record-keeping; and personnel and volunteer supervision.</t>
  </si>
  <si>
    <t>511001</t>
  </si>
  <si>
    <t>51.1002</t>
  </si>
  <si>
    <t>Cytotechnologist</t>
  </si>
  <si>
    <t>An instructional program that prepares individuals to perform oncological and related pathological analyses of human tissue samples, under the supervision of a pathologist.  Includes instruction in pathology laboratory procedures; equipment operation and maintenance; conducting Pap and other test procedures for cancer diagnosis; analytical procedures for other cell abnormalities; slide and tissue sample preparation; and record keeping.</t>
  </si>
  <si>
    <t>511002</t>
  </si>
  <si>
    <t>51.1003</t>
  </si>
  <si>
    <t>Hematology Technology/Technician</t>
  </si>
  <si>
    <t>An instructional program that prepares individuals to perform tests and analyses of patients' blood samples under the supervision of a hospital laboratory director or physician.  Includes instruction in laboratory procedures; laboratory hematology; conducting quantitative, qualitative, and coagulation tests on cellular and plasma blood components; equipment operation and maintenance, and record-keeping.</t>
  </si>
  <si>
    <t>511003</t>
  </si>
  <si>
    <t>51.1004</t>
  </si>
  <si>
    <t>Medical Laboratory Technician</t>
  </si>
  <si>
    <t>An instructional program that prepares individuals to perform general medical laboratory procedures and routines, under the supervision of a physician or laboratory director.  Includes instruction in medical laboratory procedures; equipment operation and maintenance; principles of different bacteriological, biological, and chemical test procedures; equipment and sample inventorying and storage; laboratory safety procedures; laboratory assistant supervision; and record-keeping.</t>
  </si>
  <si>
    <t>511004</t>
  </si>
  <si>
    <t>51.1005</t>
  </si>
  <si>
    <t>Medical Technology</t>
  </si>
  <si>
    <t>An instructional program that prepares individuals as independent laboratory scientists and laboratory supervisors in the analysis of human body fluids and tissues.  Includes instruction in clinical chemistry, clinical microbiology, clinical immunology, immunohematology, clinical hematology, chemical and physical analytic techniques, equipment technology, data and record systems maintenance and experiment design.  Also includes the preparation and interpretation of research and medical reports.</t>
  </si>
  <si>
    <t>511005</t>
  </si>
  <si>
    <t>51.1006</t>
  </si>
  <si>
    <t>Optometric/Ophthalmic Laboratory Technician</t>
  </si>
  <si>
    <t>An instructional program that prepares individuals to make prescription lenses and related visual aid equipment, under the supervision of an optician or optometrist.  Includes instruction in optical laboratory procedures; principles of vision optics; lens grinding and polishing; contact lens fabrication; glasses construction; equipment operation and maintenance; safety procedures; precision instrument work and testing; prescription interpretation; and record-keeping.</t>
  </si>
  <si>
    <t>511006</t>
  </si>
  <si>
    <t>51.1099</t>
  </si>
  <si>
    <t>Health &amp; Medical Laboratory Tech/Technicians, Other</t>
  </si>
  <si>
    <t>Any instructional program in health  and medical laboratory technologies not described elsewhere in this group of instructional programs.</t>
  </si>
  <si>
    <t>511099</t>
  </si>
  <si>
    <t>51.1100</t>
  </si>
  <si>
    <t>Health &amp; Medical Preparatory Programs</t>
  </si>
  <si>
    <t>A group of instructional programs that prepare individuals for admission to first professional programs in medical or other health fields.</t>
  </si>
  <si>
    <t>511100</t>
  </si>
  <si>
    <t>51.1101</t>
  </si>
  <si>
    <t>Pre-Dentistry Studies</t>
  </si>
  <si>
    <t>An instructional program that prepares individuals for admission to a first professional program in dentistry.</t>
  </si>
  <si>
    <t>511101</t>
  </si>
  <si>
    <t>51.1102</t>
  </si>
  <si>
    <t>Pre-Medicine Studies</t>
  </si>
  <si>
    <t>An instructional program that prepares individuals for admission to a first professional program in allopathic, osteopathic, or podiatric medicine.</t>
  </si>
  <si>
    <t>511102</t>
  </si>
  <si>
    <t>51.1103</t>
  </si>
  <si>
    <t>Pre-Pharmacy Studies</t>
  </si>
  <si>
    <t>An instructional program that prepares individuals for admission to a first professional program in pharmacy.</t>
  </si>
  <si>
    <t>511103</t>
  </si>
  <si>
    <t>51.1104</t>
  </si>
  <si>
    <t>Pre-Veterinary Studies</t>
  </si>
  <si>
    <t>An instructional program that prepares individuals for admission to a first professional program in veterinary medicine.</t>
  </si>
  <si>
    <t>511104</t>
  </si>
  <si>
    <t>51.1199</t>
  </si>
  <si>
    <t>Health &amp; Medical Preparatory Programs, Other</t>
  </si>
  <si>
    <t>Any instructional program in health and medical first-professional preparation not described elsewhere in this group of instructional programs.</t>
  </si>
  <si>
    <t>511199</t>
  </si>
  <si>
    <t>51.1200</t>
  </si>
  <si>
    <t>Medicine (M.D.)</t>
  </si>
  <si>
    <t>A group of instructional programs that prepare individuals for the independent professional practice of allopathic medicine.  Includes instruction in the principles and procedures used in the observation, diagnosis, care and treatment of illness, disease, injury, deformity, or other anomalies in humans; ethics and professional standards; and supervised clinical practice.</t>
  </si>
  <si>
    <t>511200</t>
  </si>
  <si>
    <t>51.1201</t>
  </si>
  <si>
    <t>An instructional program that prepares individuals for the independent professional practice of allopathic medicine.  Includes instruction in the principles and procedures used in the observation, diagnosis, care and treatment of illness, disease, injury, deformity, or other anomalies in humans; ethics and professional standards; and supervised clinical practice.</t>
  </si>
  <si>
    <t>511201</t>
  </si>
  <si>
    <t>51.1300</t>
  </si>
  <si>
    <t>Medical Basic Sciences</t>
  </si>
  <si>
    <t>A group of instructional programs that describe advanced research in the disciplines that support the clinical practice of medicine.</t>
  </si>
  <si>
    <t>511300</t>
  </si>
  <si>
    <t>51.1301</t>
  </si>
  <si>
    <t>Medical Anatomy</t>
  </si>
  <si>
    <t>An instructional program that describes advanced research, by medical graduates and others, on the structure, substructure and ultrastructure of the human body, and the relationship of anatomical research to the restoration and preservation of good health.</t>
  </si>
  <si>
    <t>511301</t>
  </si>
  <si>
    <t>51.1302</t>
  </si>
  <si>
    <t>Medical Biochemistry</t>
  </si>
  <si>
    <t>An instructional program that describes advanced research, by medical graduates and others, on the nature and chemical composition of the substances that make up the human body, the changes in these substances, and the understanding and treatment of disease processes.</t>
  </si>
  <si>
    <t>511302</t>
  </si>
  <si>
    <t>51.1303</t>
  </si>
  <si>
    <t>Medical Biomathematics &amp; Biometrics</t>
  </si>
  <si>
    <t>An instructional program that describes advanced research, by medical graduates and others, on the application of mathematical models and principles to the measurement and understanding of the human organism.</t>
  </si>
  <si>
    <t>511303</t>
  </si>
  <si>
    <t>51.1304</t>
  </si>
  <si>
    <t>Medical Physics/Biophysics</t>
  </si>
  <si>
    <t>An instructional program that describes advanced research, by medical graduates and others, on the mechanics, sensory aspects, bioelectric phenomena, muscle function, genetic and molecular fine structures, and membrane transportation mechanisms of the human body.</t>
  </si>
  <si>
    <t>511304</t>
  </si>
  <si>
    <t>51.1305</t>
  </si>
  <si>
    <t>Medical Cell Biology</t>
  </si>
  <si>
    <t>An instructional program that describes advanced research, by medical graduates and others, on the biological structure and function of human cells, including cellular mechanisms, cell to cell communication and the pathogenesis of disease in cells.</t>
  </si>
  <si>
    <t>511305</t>
  </si>
  <si>
    <t>51.1306</t>
  </si>
  <si>
    <t>Medical Genetics</t>
  </si>
  <si>
    <t>An instructional program that describes advanced research, by medical graduates and others, on the relationship between inherited traits and characteristics and human health conditions, including inherited metabolic diseases, environmental damage to genetic material, human genetic engineering, and cloning.</t>
  </si>
  <si>
    <t>511306</t>
  </si>
  <si>
    <t>51.1307</t>
  </si>
  <si>
    <t>Medical Immunology</t>
  </si>
  <si>
    <t>An instructional program that describes advanced research, by medical graduates and others, on the relation between immunological system functions and human health conditions, including immune response mechanisms, immunodeficiency, antibody definition and antibody production.</t>
  </si>
  <si>
    <t>511307</t>
  </si>
  <si>
    <t>51.1308</t>
  </si>
  <si>
    <t>Medical Microbiology</t>
  </si>
  <si>
    <t>An instructional program that describes advanced research, by medical graduates and others, on the nature and properties of harmful microorganisms and of the disease processes they induce in humans.</t>
  </si>
  <si>
    <t>511308</t>
  </si>
  <si>
    <t>51.1309</t>
  </si>
  <si>
    <t>Medical Molecular Biology</t>
  </si>
  <si>
    <t>An instructional program that describes advanced research, by medical graduates and others, on the application of molecular and macromolecular studies to the investigation of genetic, hormonal and disease problems in human organisms.</t>
  </si>
  <si>
    <t>511309</t>
  </si>
  <si>
    <t>51.1310</t>
  </si>
  <si>
    <t>Medical Neurobiology</t>
  </si>
  <si>
    <t>An instructional program that describes advanced research, by medical graduates and others, on the anatomy, physiology, biochemistry and molecular biology of the brain, nerve cells and nerve tissue and their relation to human behavior and health.</t>
  </si>
  <si>
    <t>511310</t>
  </si>
  <si>
    <t>51.1311</t>
  </si>
  <si>
    <t>Medical Nutrition</t>
  </si>
  <si>
    <t>An instructional program that describes advanced research, by medical graduates and others, on the chemical nature of food substances; the processes by which the human body ingests, digests, absorbs, transports, utilizes and excretes food and nutrients; and their relation to human behavior and health.</t>
  </si>
  <si>
    <t>511311</t>
  </si>
  <si>
    <t>51.1312</t>
  </si>
  <si>
    <t>Medical Pathology</t>
  </si>
  <si>
    <t>An instructional program that describes advanced research, by medical graduates and others, on the causes and effects of diseases and disease mechanisms in human beings.  Includes instruction in renal, cardiovascular, neuro-, pulmonary, bone, liver and gastrointestinal, surgical, autopsy, cellular, biochemical and immunopathology.</t>
  </si>
  <si>
    <t>511312</t>
  </si>
  <si>
    <t>51.1313</t>
  </si>
  <si>
    <t>Medical Physiology</t>
  </si>
  <si>
    <t>An instructional program that describes advanced research, by medical graduates and others, on the functions of the human body and its parts, and their relationship to the restoration and preservation of good health.  Includes instruction in cellular, cardiovascular, renal, neuro , endocrine, gastrointestinal, and respiratory physiology.</t>
  </si>
  <si>
    <t>511313</t>
  </si>
  <si>
    <t>51.1314</t>
  </si>
  <si>
    <t>Medical Toxicology</t>
  </si>
  <si>
    <t>An instructional program that describes advanced research, by medical graduates and others, on the nature and extent of adverse effects of synthetic and naturally occurring chemical substances on human beings.  Includes instruction in chemical mechanisms and the specialties of reproductive, developmental, genetic, forensic, inhalation and neurobehavioral toxicology.</t>
  </si>
  <si>
    <t>511314</t>
  </si>
  <si>
    <t>51.1399</t>
  </si>
  <si>
    <t>Medical Basic Sciences, Other</t>
  </si>
  <si>
    <t>Any instructional program in basic medical sciences not described elsewhere in this group of programs.</t>
  </si>
  <si>
    <t>511399</t>
  </si>
  <si>
    <t>51.1400</t>
  </si>
  <si>
    <t>Medical Clinical Sciences (M.S., Ph.D.)</t>
  </si>
  <si>
    <t>An instructional program that prepares individuals to apply technical knowledge and skills to the management of aviation industry operations and services.  Includes instruction in airport operations, ground support and flightline operations, passenger and cargo operations, flight safety and security operations, aviation industry regulation, and related business aspects of managing aviation enterprises.</t>
  </si>
  <si>
    <t>490104</t>
  </si>
  <si>
    <t>49.0105</t>
  </si>
  <si>
    <t>Air Traffic Controller</t>
  </si>
  <si>
    <t>An instructional program that prepares individuals to apply technical knowledge and skills to air 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 control center or control tower log books.</t>
  </si>
  <si>
    <t>490105</t>
  </si>
  <si>
    <t>49.0106</t>
  </si>
  <si>
    <t>Flight Attendant</t>
  </si>
  <si>
    <t>An instructional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 flight emergencies.</t>
  </si>
  <si>
    <t>490106</t>
  </si>
  <si>
    <t>49.0107</t>
  </si>
  <si>
    <t>Aircraft Pilot (Private)</t>
  </si>
  <si>
    <t>An instructional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t>
  </si>
  <si>
    <t>490107</t>
  </si>
  <si>
    <t>49.0199</t>
  </si>
  <si>
    <t>Air Transportation Workers, Other</t>
  </si>
  <si>
    <t>Any instructional program in aviation and air transportation services not described elsewhere in this group of instructional programs.</t>
  </si>
  <si>
    <t>490199</t>
  </si>
  <si>
    <t>49.0200</t>
  </si>
  <si>
    <t>Vehicle &amp; Equipment Operators</t>
  </si>
  <si>
    <t>A group of instructional programs that prepare individuals to apply technical knowledge and skills to operate commercial and construction vehicles and mobile equipment.</t>
  </si>
  <si>
    <t>490200</t>
  </si>
  <si>
    <t>49.0202</t>
  </si>
  <si>
    <t>Construction Equipment Operator</t>
  </si>
  <si>
    <t>An instructional program that prepares individuals to apply technical knowledge and skills to operate and maintain a variety of heavy equipment, such as a crawler tractors, motor graders and scrapers, and shovels, including dragline, hoe, and cranes.  Includes instruction in digging, ditching, sloping, stripping, grading, backfiling, clearing and excavating.</t>
  </si>
  <si>
    <t>490202</t>
  </si>
  <si>
    <t>49.0205</t>
  </si>
  <si>
    <t>Truck, Bus &amp; Other Commercial Vehicle Operator</t>
  </si>
  <si>
    <t>An instructional program that prepares individuals to apply technical knowledge and skills to drive trucks and buses, delivery vehicles, for hire vehicles and other commercial vehicles.  Includes instruction in operating gas, diesel, or electrically powered vehicles; loading and unloading cargo or passengers; reporting delays or accidents on the road; verifying load against shipping papers; arranging transportation for personnel; and keeping records of receipts and fares.</t>
  </si>
  <si>
    <t>490205</t>
  </si>
  <si>
    <t>49.0299</t>
  </si>
  <si>
    <t>Vehicle &amp; Equipment Operators, Other</t>
  </si>
  <si>
    <t>Any instructional program in vehicle and equipment operation not described elsewhere in this group of instructional programs.</t>
  </si>
  <si>
    <t>490299</t>
  </si>
  <si>
    <t>49.0300</t>
  </si>
  <si>
    <t>Water Transportation Workers</t>
  </si>
  <si>
    <t>A group of instructional programs that prepare individuals to apply technical knowledge and skills to perform tasks on or in the water, including diving, fishing, and ship operation and repair services.</t>
  </si>
  <si>
    <t>490300</t>
  </si>
  <si>
    <t>49.0303</t>
  </si>
  <si>
    <t>Fishing Technology/Commercial Fishing</t>
  </si>
  <si>
    <t>An instructional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</si>
  <si>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490303</t>
  </si>
  <si>
    <t>49.0304</t>
  </si>
  <si>
    <t>Diver (Professional)</t>
  </si>
  <si>
    <t>An instructional program that prepares individuals to apply technical knowledge and skills to function as professional deep water or scuba divers, diving instructors, or diving support personnel.  Includes instruction in the use of diving equipment and related specialized gear; diving safety procedures; operation and maintenance of underwater life support systems; underwater communication systems; decompression systems; underwater salvage; exploration, rescue, and photography; and installation of underwater mechanical systems and their maintenance, repair or demolition.</t>
  </si>
  <si>
    <t>490304</t>
  </si>
  <si>
    <t>49.0306</t>
  </si>
  <si>
    <t>Marine Maintenance &amp; Ship Repairer</t>
  </si>
  <si>
    <t>An instructional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</si>
  <si>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490306</t>
  </si>
  <si>
    <t>49.0309</t>
  </si>
  <si>
    <t>Marine Science/Merchant Marine Officer</t>
  </si>
  <si>
    <t>An instructional program that prepares individuals to serve as captains, executive officers, engineers and ranking mates on commercially licensed inland, coastal and ocean going vessels.  Includes instruction in maritime traditions and law; maritime policy; economics and management of commercial marine operations; basic naval architecture and engineering; shipboard power systems engineering; crew supervision; and administrative procedures.</t>
  </si>
  <si>
    <t>490309</t>
  </si>
  <si>
    <t>49.0399</t>
  </si>
  <si>
    <t>Water Transportation Workers, Other</t>
  </si>
  <si>
    <t>Any instructional program in water transportation not described elsewhere in this group of programs.</t>
  </si>
  <si>
    <t>490399</t>
  </si>
  <si>
    <t>49.9900</t>
  </si>
  <si>
    <t>Transportation &amp; Materials Moving Workers, Other</t>
  </si>
  <si>
    <t>Any instructional programs in transportation and materials moving not described elsewhere in this group of instructional programs.</t>
  </si>
  <si>
    <t>499900</t>
  </si>
  <si>
    <t>49.9999</t>
  </si>
  <si>
    <t>Any instructional program in transportation and materials moving not described elsewhere in this group of instructional programs.</t>
  </si>
  <si>
    <t>499999</t>
  </si>
  <si>
    <t>50</t>
  </si>
  <si>
    <t>50.0000</t>
  </si>
  <si>
    <t>Visual and Performing Arts</t>
  </si>
  <si>
    <t xml:space="preserve"> A summary of groups of in-structional programs that describe the creation and interpretation of works and performances that use auditory, kinesthetic, and visual phenomena to express ideas and emotions in various forms, subject to aesthetic criteria.</t>
  </si>
  <si>
    <t>500000</t>
  </si>
  <si>
    <t>50.0100</t>
  </si>
  <si>
    <t>Visual &amp; Performing Arts</t>
  </si>
  <si>
    <t>A group of instructional programs that describes an undifferentiated program in the visual and performing arts, and that may prepare individuals in any of the visual artistic media or performing disciplines.</t>
  </si>
  <si>
    <t>500100</t>
  </si>
  <si>
    <t>50.0101</t>
  </si>
  <si>
    <t>An instructional program that generally describes an undifferentiated program in the visual and performing arts, and that may prepare individuals in any of the visual artistic media or performing disciplines.</t>
  </si>
  <si>
    <t>500101</t>
  </si>
  <si>
    <t>50.0200</t>
  </si>
  <si>
    <t>Crafts, Folk Art &amp; Artisanry</t>
  </si>
  <si>
    <t>A group of instructional programs that describe the aesthetics, techniques, and creative processes for designing and fashioning objects in one or more of the handcraft or folk art traditions, and that prepares individuals to create in any of these media.</t>
  </si>
  <si>
    <t>500200</t>
  </si>
  <si>
    <t>50.0201</t>
  </si>
  <si>
    <t>An instructional program that describes the aesthetics, techniques, and creative processes for designing and fashioning objects in one or more of the handcraft or folk art traditions, and that prepares individuals to create in any of these media.</t>
  </si>
  <si>
    <t>500201</t>
  </si>
  <si>
    <t>50.0300</t>
  </si>
  <si>
    <t>Dance</t>
  </si>
  <si>
    <t>A group of instructional programs that prepares individuals to express ideas, feelings, and/or inner visions through the performance of one or more of the dance disciplines, including but not limited to ballet, modern, jazz, ethnic, and folk dance, and that describes the study and analysis of dance as a cultural phenomenon.  Includes instruction in choreography, labanotation, dance history and criticism, and dance production.</t>
  </si>
  <si>
    <t>500300</t>
  </si>
  <si>
    <t>50.0301</t>
  </si>
  <si>
    <t>An instructional program that prepares individuals to express ideas, feelings, and/or inner visions through the performance of one or more of the dance disciplines, including but not limited to ballet, modern, jazz, ethnic, and folk dance, and that describes the study and analysis of dance as a cultural phenomenon.  Includes instruction in choreography, labanotation, dance history and criticism, and dance production.</t>
  </si>
  <si>
    <t>500301</t>
  </si>
  <si>
    <t>50.0400</t>
  </si>
  <si>
    <t>Design &amp; Applied Arts</t>
  </si>
  <si>
    <t>A group of instructional programs in the applied visual arts that describes the general principles and techniques for effectively communicating ideas and information, and packaging products, to business and consumer audiences, and that may prepare individuals in any of the applied art media.</t>
  </si>
  <si>
    <t>500400</t>
  </si>
  <si>
    <t>50.0401</t>
  </si>
  <si>
    <t>Design &amp; Visual Communications</t>
  </si>
  <si>
    <t>An instructional program in the applied visual arts that describes the general principles and techniques for effectively communicating ideas and information, and packaging products, to business and consumer audiences, and that may prepare individuals in any of the applied art media.</t>
  </si>
  <si>
    <t>500401</t>
  </si>
  <si>
    <t>50.0402</t>
  </si>
  <si>
    <t>Graphic Design, Commercial Art &amp; Illustration</t>
  </si>
  <si>
    <t>An instructional program in the applied visual arts that prepares individuals to use artistic techniques to effectively communicate ideas and information to business and consumer audiences via illustrations and other forms of printed media.  Includes instruction in concept design, layout, paste-up, and techniques such as engraving, etching, silkscreen, lithography, offset, drawing and cartooning, painting, collage, and computer graphics.</t>
  </si>
  <si>
    <t>500402</t>
  </si>
  <si>
    <t>50.0404</t>
  </si>
  <si>
    <t>Industrial Design</t>
  </si>
  <si>
    <t>An instructional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media, prototype construction, design development and refinement, principles of cost-saving, and product structure and performance criteria relevant to aesthetic design parameters.</t>
  </si>
  <si>
    <t>500404</t>
  </si>
  <si>
    <t>50.0406</t>
  </si>
  <si>
    <t>Commercial Photography</t>
  </si>
  <si>
    <t>An instructional program in the applied visual arts that prepares individuals to use artistic techniques to effectively communicate ideas and information to business and consumer audiences, and recording events and people, via film, still and video photography.  Includes instruction in specialized camera and equipment operation and maintenance, applications to commercial and industrial needs, and photography business operations.</t>
  </si>
  <si>
    <t>500406</t>
  </si>
  <si>
    <t>50.0407</t>
  </si>
  <si>
    <t>Fashion Design &amp; Illustration</t>
  </si>
  <si>
    <t>An instructional program in the applied visual arts that prepares individuals to apply artistic principles and techniques to the professional design of commercial fashions, apparel, and accessories; the illustration of fashion concepts; and the management of fashion development projects.  Includes instruction in apparel design; accessory design; the design of mens', womens', and childrens' wear; flat pattern design; computer-assisted design; concept planning; designing in specific materials; labor and cost analysis; history of fashion; fabric art and printing; and the principles of management and operations in the fashion industry.</t>
  </si>
  <si>
    <t>500407</t>
  </si>
  <si>
    <t>50.0408</t>
  </si>
  <si>
    <t>Interior Design</t>
  </si>
  <si>
    <t>An instructional program in the applied visual arts that prepares individuals to apply artistic principles and techniques to the professional planning, designing, equipping, and furnishing residential and commercial interior spaces.  Includes instruction in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</si>
  <si>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500408</t>
  </si>
  <si>
    <t>50.0499</t>
  </si>
  <si>
    <t>Design &amp; Applied Arts, Other</t>
  </si>
  <si>
    <t>Any instructional program in design  and applied arts not described elsewhere in this group of instructional programs.</t>
  </si>
  <si>
    <t>500499</t>
  </si>
  <si>
    <t>50.0500</t>
  </si>
  <si>
    <t>Drama/Theater Arts &amp; Stagecraft</t>
  </si>
  <si>
    <t>A group of instructional programs that describe the study of drama and the theater, and the professional production and performance of dramatic works.</t>
  </si>
  <si>
    <t>500500</t>
  </si>
  <si>
    <t>50.0501</t>
  </si>
  <si>
    <t>Drama/Theater Arts, General</t>
  </si>
  <si>
    <t>An instructional program that generally describes the study of dramatic works and their performance.  Includes instruction in major works of dramatic literature, dramatic styles and types, and the principles of organizing and producing full productions.</t>
  </si>
  <si>
    <t>500501</t>
  </si>
  <si>
    <t>50.0502</t>
  </si>
  <si>
    <t>Technical Theater/Theater Design &amp; Stagecraft</t>
  </si>
  <si>
    <t>An instructional program that prepares individuals to apply artistic, technical and dramatic principles and techniques to the communication of dramatic information, ideas, moods, and feelings through technical theater methods.  Includes instruction in set design, lighting design, sound effects, theater acoustics, scene painting, property management, costume design, and technical direction and production.</t>
  </si>
  <si>
    <t>500502</t>
  </si>
  <si>
    <t>50.0503</t>
  </si>
  <si>
    <t>Acting &amp; Directing</t>
  </si>
  <si>
    <t>An instructional program that prepares individuals to communicate dramatic information, ideas, moods, and feelings through the achievement of naturalistic and believable behavior in imaginary circumstances; and to supervise dramatic performance.  Includes instruction in voice and acting speech, stage dialects, movement, improvisation, acting styles, theater history, rehearsal management, scene work, directing concepts, script interpretation, and actor coaching.</t>
  </si>
  <si>
    <t>500503</t>
  </si>
  <si>
    <t>50.0504</t>
  </si>
  <si>
    <t>Playwriting &amp; Screenwriting</t>
  </si>
  <si>
    <t>An instructional program that describes the principles and techniques for communicating dramatic information, ideas, moods, and feelings through the composition of creative written works for the theater and/or film.  Includes instruction in creative writing craft, scene writing, script development, stage and/or camera instructions, line and moment analysis, script reading, script editing, and the creation of full productions.</t>
  </si>
  <si>
    <t>500504</t>
  </si>
  <si>
    <t>50.0505</t>
  </si>
  <si>
    <t>Drama/Theater Literature, History &amp; Criticism</t>
  </si>
  <si>
    <t>An instructional program that describes the study of the history, literature, theory, and analysis of written plays, theatrical productions, and theater methods and organization.  Includes instruction in historical method; critical theory; literary analysis; the study of themes and archetypes in dramatic literature; the history of acting, directing, and technical theater; and the study of specific historical and cultural styles and traditions.</t>
  </si>
  <si>
    <t>500505</t>
  </si>
  <si>
    <t>50.0599</t>
  </si>
  <si>
    <t>Dramatic/Theater Arts &amp; Stagecraft, Other</t>
  </si>
  <si>
    <t>Any instructional program in dramatic/theater arts and stagecraft not described elsewhere in this group of instructional programs.</t>
  </si>
  <si>
    <t>500599</t>
  </si>
  <si>
    <t>50.0600</t>
  </si>
  <si>
    <t>Film/Video &amp; Photographic Arts</t>
  </si>
  <si>
    <t>A group of instructional programs in the visual arts that describes the study of the history, development, theory, and criticism of the film/video arts, as well as the basic principles of film making and film production.</t>
  </si>
  <si>
    <t>500600</t>
  </si>
  <si>
    <t>50.0601</t>
  </si>
  <si>
    <t>Film/Cinema Studies</t>
  </si>
  <si>
    <t>An instructional program in the visual arts that describes the study of the history, development, theory, and criticism of the film/video arts, as well as the basic principles of film making and film production.</t>
  </si>
  <si>
    <t>500601</t>
  </si>
  <si>
    <t>50.0602</t>
  </si>
  <si>
    <t>Film-Video Making/Cinematography &amp; Production</t>
  </si>
  <si>
    <t>An instructional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and the planning and management of film/video operations.</t>
  </si>
  <si>
    <t>500602</t>
  </si>
  <si>
    <t>50.0605</t>
  </si>
  <si>
    <t>Photography</t>
  </si>
  <si>
    <t>An instructional program that describes the principles and techniques of communicating information, ideas, moods, and feelings through the creation of images on photographic film or plates,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and applications to the photography of various subjects.</t>
  </si>
  <si>
    <t>500605</t>
  </si>
  <si>
    <t>50.0699</t>
  </si>
  <si>
    <t>Film/Video &amp; Photographic Arts, Other</t>
  </si>
  <si>
    <t>Any instructional program in film/video and photographic arts not described elsewhere in this group of instructional programs.</t>
  </si>
  <si>
    <t>500699</t>
  </si>
  <si>
    <t>50.0700</t>
  </si>
  <si>
    <t>Fine Arts &amp; Art Studies</t>
  </si>
  <si>
    <t>A group of instructional programs that prepare individuals as professional studio artists and arts managers, and that describe the study of art.</t>
  </si>
  <si>
    <t>500700</t>
  </si>
  <si>
    <t>50.0701</t>
  </si>
  <si>
    <t>Art, General</t>
  </si>
  <si>
    <t>An instructional program that generally describes art, including its development and practice.  Includes instruction in art appreciation, a basic knowledge of art history, fundamental principles of design and color, and an introduction to various media and studio techniques.</t>
  </si>
  <si>
    <t>500701</t>
  </si>
  <si>
    <t>50.0702</t>
  </si>
  <si>
    <t>Fine/Studio Arts</t>
  </si>
  <si>
    <t>An instructional program that prepares individuals to function as creative artists in the visual and plastic media.  Includes instruction in the traditional fine arts media (drawing, painting, sculpture, printmaking) and/or modern media (ceramics, textiles, intermedia, photography); theory of art; color theory; composition and perspective; anatomy; the techniques and procedures for maintaining equipment and managing a studio; and art portfolio marketing.</t>
  </si>
  <si>
    <t>500702</t>
  </si>
  <si>
    <t>50.0703</t>
  </si>
  <si>
    <t>Art History, Criticism &amp; Conservation</t>
  </si>
  <si>
    <t>An instructional program that describes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</si>
  <si>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500703</t>
  </si>
  <si>
    <t>50.0704</t>
  </si>
  <si>
    <t>Arts Management</t>
  </si>
  <si>
    <t>An instructional program that prepares individuals to organize and manage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</si>
  <si>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500704</t>
  </si>
  <si>
    <t>50.0705</t>
  </si>
  <si>
    <t>Drawing</t>
  </si>
  <si>
    <t>An instructional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</si>
  <si>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500705</t>
  </si>
  <si>
    <t>50.0706</t>
  </si>
  <si>
    <t>Intermedia</t>
  </si>
  <si>
    <t xml:space="preserve">An instructional program that prepares individuals creatively and technically to express emotions, ideas, or inner visions in either two or three dimensions, through simultaneous use of a variety of materials and media.  </t>
  </si>
  <si>
    <t>500706</t>
  </si>
  <si>
    <t>50.0708</t>
  </si>
  <si>
    <t>Painting</t>
  </si>
  <si>
    <t>An instructional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</si>
  <si>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500708</t>
  </si>
  <si>
    <t>50.0709</t>
  </si>
  <si>
    <t>Sculpture</t>
  </si>
  <si>
    <t>An instructional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modelling; and personal style development.</t>
  </si>
  <si>
    <t>500709</t>
  </si>
  <si>
    <t>50.0710</t>
  </si>
  <si>
    <t>Printmaking</t>
  </si>
  <si>
    <t>An instructional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</si>
  <si>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500710</t>
  </si>
  <si>
    <t>50.0711</t>
  </si>
  <si>
    <t>Ceramic Arts &amp; Ceramics</t>
  </si>
  <si>
    <t>An instructional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</si>
  <si>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500711</t>
  </si>
  <si>
    <t>50.0712</t>
  </si>
  <si>
    <t>Fiber, Textile &amp; Weaving Arts</t>
  </si>
  <si>
    <t>An instructional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</si>
  <si>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500712</t>
  </si>
  <si>
    <t>50.0713</t>
  </si>
  <si>
    <t>Metal &amp; Jewelry Arts</t>
  </si>
  <si>
    <t>An instructional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</si>
  <si>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500713</t>
  </si>
  <si>
    <t>50.0799</t>
  </si>
  <si>
    <t>Fine Arts &amp; Art Studies, Other</t>
  </si>
  <si>
    <t>Any instructional program in fine arts and art studies not described elsewhere in this group of instructional programs.</t>
  </si>
  <si>
    <t>500799</t>
  </si>
  <si>
    <t>50.0900</t>
  </si>
  <si>
    <t>A group of instructional programs that describe the study and appreciation of music, and the study of music performance.  Includes instruction in principles of harmony, musical notation, musical styles, the historical development of music, and the fundamentals of various musical instruments.</t>
  </si>
  <si>
    <t>500900</t>
  </si>
  <si>
    <t>50.0901</t>
  </si>
  <si>
    <t>Music, General</t>
  </si>
  <si>
    <t>An instructional program that generally describes the study and appreciation of music, and the study of music performance.  Includes instruction in principles of harmony, musical notation, musical styles, the historical development of music, and the fundamentals of various musical instruments.</t>
  </si>
  <si>
    <t>500901</t>
  </si>
  <si>
    <t>50.0902</t>
  </si>
  <si>
    <t>Music History &amp; Literature</t>
  </si>
  <si>
    <t>An instructional program that describes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</si>
  <si>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500902</t>
  </si>
  <si>
    <t>50.0903</t>
  </si>
  <si>
    <t>Music, General Performance</t>
  </si>
  <si>
    <t>An instructional program that generally prepares individuals to master musical instruments and performing art as solo and/or ensemble performers.  Includes instruction on one or more specific instruments.</t>
  </si>
  <si>
    <t>500903</t>
  </si>
  <si>
    <t>50.0904</t>
  </si>
  <si>
    <t>Music Theory &amp; Composition</t>
  </si>
  <si>
    <t>An instructional program that describes the study of the principles of sound manipulation as applied to the creation of music, and the techniques of creating and arranging music.  Includes instruction in aural theory, melody, counterpoint, complex harmony, modulation, chromaticism, improvisation, progressions, musical writing, instrumentation, orchestration, electronic and computer applications, studies of specific musical styles, and development of original creative ability.</t>
  </si>
  <si>
    <t>500904</t>
  </si>
  <si>
    <t>50.0905</t>
  </si>
  <si>
    <t>Musicology &amp; Ethnomusicology</t>
  </si>
  <si>
    <t>An instructional program that describes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</si>
  <si>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500905</t>
  </si>
  <si>
    <t>50.0906</t>
  </si>
  <si>
    <t>Music Conducting</t>
  </si>
  <si>
    <t>An instructional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</si>
  <si>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500906</t>
  </si>
  <si>
    <t>50.0907</t>
  </si>
  <si>
    <t>Music - Piano &amp; Organ Performance</t>
  </si>
  <si>
    <t>An instructional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</si>
  <si>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500907</t>
  </si>
  <si>
    <t>50.0908</t>
  </si>
  <si>
    <t>Music - Voice &amp; Choral/Opera Performance</t>
  </si>
  <si>
    <t>An instructional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</si>
  <si>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500908</t>
  </si>
  <si>
    <t>50.0909</t>
  </si>
  <si>
    <t>Music Business Management &amp; Merchandising</t>
  </si>
  <si>
    <t>An instructional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</si>
  <si>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500909</t>
  </si>
  <si>
    <t>50.0999</t>
  </si>
  <si>
    <t>Music, Other</t>
  </si>
  <si>
    <t>Any instructional program in music not described elsewhere in this group of instructional programs.</t>
  </si>
  <si>
    <t>500999</t>
  </si>
  <si>
    <t>50.9900</t>
  </si>
  <si>
    <t>Visual &amp; Performing Arts, Other</t>
  </si>
  <si>
    <t>Any instructional program in visual and performing arts not described elsewhere in this group of instructional programs.</t>
  </si>
  <si>
    <t>509900</t>
  </si>
  <si>
    <t>50.9999</t>
  </si>
  <si>
    <t>509999</t>
  </si>
  <si>
    <t>51</t>
  </si>
  <si>
    <t>51.0000</t>
  </si>
  <si>
    <t>Health Professions and Related Sciences</t>
  </si>
  <si>
    <t>A summary of groups of instructional programs that prepare individuals to provide health care, or related research and support services, to individuals or groups.</t>
  </si>
  <si>
    <t>510000</t>
  </si>
  <si>
    <t>51.0100</t>
  </si>
  <si>
    <t>Chiropractic (D.C., D.C.M.)</t>
  </si>
  <si>
    <t>A group of instructional programs that prepare individuals to be independent professional practitioners of chiropractic, either straight or progressive.  Includes instruction in chiropractic theory, spinal mechanics, spinal manipulation therapy, and radiologic diagnosis; and may also include principles of neurologic health, nutrition, hydrotherapy, diet and exercise therapy, clinic and practice management, applicable regulations, and patient counseling.</t>
  </si>
  <si>
    <t>510100</t>
  </si>
  <si>
    <t>51.0101</t>
  </si>
  <si>
    <t>An instructional program that prepares individuals to be independent professional practitioners of chiropractic, either straight or progressive.  Includes instruction in chiropractic theory, spinal mechanics, spinal manipulation therapy, and radiologic diagnosis; and may also include principles of neurologic health, nutrition, hydrotherapy, diet and exercise therapy, clinic and practice management, applicable regulations, and patient counseling.</t>
  </si>
  <si>
    <t>510101</t>
  </si>
  <si>
    <t>51.0200</t>
  </si>
  <si>
    <t>Communication Disorders Sciences &amp; Services</t>
  </si>
  <si>
    <t>A group of instructional programs that prepare individuals to perform research and/or health care services related to speech, hearing, and language problems.</t>
  </si>
  <si>
    <t>510200</t>
  </si>
  <si>
    <t>51.0201</t>
  </si>
  <si>
    <t>Communication Disorders, General</t>
  </si>
  <si>
    <t>An instructional program that generally describes the principles and practice of identifying and treating disorders of human speech and hearing, and related problems of social communication and health.  Includes instruction in developmental and acquired disorders, basic research and clinical methods, and prevention and treatment modalities.</t>
  </si>
  <si>
    <t>510201</t>
  </si>
  <si>
    <t>51.0202</t>
  </si>
  <si>
    <t>Audiology/Hearing Sciences</t>
  </si>
  <si>
    <t>46.0200</t>
  </si>
  <si>
    <t>Carpenters</t>
  </si>
  <si>
    <t>A group of instructional programs that prepare individuals to apply technical knowledge and skills to lay out, fabricate, erect, install, and repair wooden structures and fixtures, using hand and power tools.  Includes instruction in areas such as common systems of framing, construction materials, estimating, blueprint reading and finish carpentry techniques.</t>
  </si>
  <si>
    <t>460200</t>
  </si>
  <si>
    <t>46.0201</t>
  </si>
  <si>
    <t>Carpenter</t>
  </si>
  <si>
    <t>An instructional program that prepares individuals to apply technical knowledge and skills to lay out, fabricate, erect, install, and repair wooden structures and fixtures, using hand and power tools.  Includes instruction in areas such as common systems of framing, construction materials, estimating, blueprint reading and finish carpentry techniques.</t>
  </si>
  <si>
    <t>460201</t>
  </si>
  <si>
    <t>46.0300</t>
  </si>
  <si>
    <t>Electrical &amp; Power Transmission Installers</t>
  </si>
  <si>
    <t>A group of instructional programs that prepares individuals to apply technical knowledge and skills to install, operate, maintain, and repair residential, commercial, and industrial electrical systems, and the power lines that transmit electricity from its source of generation to its place of consumption.</t>
  </si>
  <si>
    <t>460300</t>
  </si>
  <si>
    <t>46.0301</t>
  </si>
  <si>
    <t>Electrical &amp; Power Transmission Installer, General</t>
  </si>
  <si>
    <t>An instructional program that prepares individuals to apply technical knowledge and skills to install, operate, maintain, and repair residential, commercial, and industrial electrical systems, and the power lines that transmit electricity from its source of generation to its place of consumption.</t>
  </si>
  <si>
    <t>460301</t>
  </si>
  <si>
    <t>46.0302</t>
  </si>
  <si>
    <t>Electrician</t>
  </si>
  <si>
    <t>An instructional program that prepares individuals to apply technical knowledge and skills to install, operate, maintain, and repair electric apparatus and systems such as residential, commercial, and industrial electric power wiring; and D.C. and A.C. motors, controls, and electrical distribution panels.  Includes instruction in the use of test equipment.</t>
  </si>
  <si>
    <t>460302</t>
  </si>
  <si>
    <t>46.0303</t>
  </si>
  <si>
    <t>Lineworker</t>
  </si>
  <si>
    <t>An instructional program that prepares individuals to apply technical knowledge and skills to install, operate, maintain and repair local, long  distance, and rural electric power cables and communication lines; erect and construct pole and tower lines; and install underground lines and cables.</t>
  </si>
  <si>
    <t>460303</t>
  </si>
  <si>
    <t>46.0399</t>
  </si>
  <si>
    <t>Electrical &amp; Power Transmission Installers, Other</t>
  </si>
  <si>
    <t>Any instructional program in electrical and power transmission installation not described elsewhere in this group of instructional programs.</t>
  </si>
  <si>
    <t>460399</t>
  </si>
  <si>
    <t>46.0400</t>
  </si>
  <si>
    <t>Construction &amp; Building Finishers &amp; Managers</t>
  </si>
  <si>
    <t>A group of instructional programs that prepare individuals to apply technical knowledge and skills to the finishing, inspection, and maintenance of structures and related properties.</t>
  </si>
  <si>
    <t>460400</t>
  </si>
  <si>
    <t>46.0401</t>
  </si>
  <si>
    <t>Building/Property Maintenance &amp; Manager</t>
  </si>
  <si>
    <t>An instructional program that prepares individuals to apply technical knowledge and skills in order to keep a building functioning, and to service a variety of types of structures including commercial and industrial buildings and mobile homes.  Includes instruction in the basic maintenance and repair skills required to service building air conditioning, heating, plumbing, electrical, major appliances and other mechanical systems.</t>
  </si>
  <si>
    <t>460401</t>
  </si>
  <si>
    <t>46.0403</t>
  </si>
  <si>
    <t>Construction/Building Inspector</t>
  </si>
  <si>
    <t>An instructional program that prepares individuals to apply technical knowledge and skills to inspect and oversee construction of buildings, dams, highways, and other structures, in order to ensure that procedures and materials comply with plans, specifications, codes and regulations.</t>
  </si>
  <si>
    <t>460403</t>
  </si>
  <si>
    <t>46.0408</t>
  </si>
  <si>
    <t>Painter &amp; Wall Coverer</t>
  </si>
  <si>
    <t>An instructional program that prepares individuals to apply technical knowledge and skills to finish exterior and interior surfaces by applying protective or decorative coating materials, such as paint, lacquer, and wallpaper.  Includes instruction in surface preparation; selecting, preparing, and applying paints and other coatings; hanging wallpaper; and equipment operation and maintenance.</t>
  </si>
  <si>
    <t>460408</t>
  </si>
  <si>
    <t>46.0499</t>
  </si>
  <si>
    <t>Construction &amp; Building Finishers &amp; Managers, Other</t>
  </si>
  <si>
    <t>Any instructional program in construction and building finishing and management not described elsewhere in this group of programs.</t>
  </si>
  <si>
    <t>460499</t>
  </si>
  <si>
    <t>46.0500</t>
  </si>
  <si>
    <t>Plumbers &amp; Pipefitters</t>
  </si>
  <si>
    <t>A group of instructional programs that prepare individuals to apply technical knowledge and skills to lay out, assemble, install, and maintain piping fixtures and piping systems for steam, hot water, heating, cooling, drainage, lubricating, sprinkling, and industrial processing systems.  Includes instruction in material selection and use of tools to cut, bend, join, and weld pipes.</t>
  </si>
  <si>
    <t>460500</t>
  </si>
  <si>
    <t>46.0501</t>
  </si>
  <si>
    <t>Plumber &amp; Pipefitter</t>
  </si>
  <si>
    <t>An instructional program that prepares individuals to apply technical knowledge and skills to lay out, assemble, install, and maintain piping fixtures and piping systems for steam, hot water, heating, cooling, drainage, lubricating, sprinkling, and industrial processing systems.  Includes instruction in material selection and use of tools to cut, bend, join, and weld pipes.</t>
  </si>
  <si>
    <t>460501</t>
  </si>
  <si>
    <t>46.9900</t>
  </si>
  <si>
    <t>Construction Trades, Other</t>
  </si>
  <si>
    <t>Any instructional program in construction trades not described elsewhere in this group of programs.</t>
  </si>
  <si>
    <t>469900</t>
  </si>
  <si>
    <t>46.9999</t>
  </si>
  <si>
    <t>469999</t>
  </si>
  <si>
    <t>47</t>
  </si>
  <si>
    <t>47.0000</t>
  </si>
  <si>
    <t>Mechanics and Repairers</t>
  </si>
  <si>
    <t>A summary of groups of instruc-tional programs that prepare individuals to apply technical knowledge and skills in the adjustment, maintenance, part replacement, and repair of tools, equip-ment, and machines.</t>
  </si>
  <si>
    <t>470000</t>
  </si>
  <si>
    <t>47.0100</t>
  </si>
  <si>
    <t>Electrical &amp; Electronics Equipment Installers &amp; Repairers</t>
  </si>
  <si>
    <t>A group of instructional programs that prepare individuals to apply technical knowledge and skills to operate, maintain, and repair electrical and electronic equipment.  Includes instruction in electrical circuitry, simple gearing, linkages and lubrication of machines and appliances, and the use of testing equipment.</t>
  </si>
  <si>
    <t>470100</t>
  </si>
  <si>
    <t>47.0101</t>
  </si>
  <si>
    <t>Electrical &amp; Electronics Equip Installer &amp; Repairer, General</t>
  </si>
  <si>
    <t>An instructional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</si>
  <si>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470101</t>
  </si>
  <si>
    <t>47.0102</t>
  </si>
  <si>
    <t>Business Machine Repairer</t>
  </si>
  <si>
    <t>An instructional program that prepares individuals to apply technical knowledge and skills to maintain and repair a wide variety of office machines such as electric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</si>
  <si>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470102</t>
  </si>
  <si>
    <t>47.0103</t>
  </si>
  <si>
    <t>Communications Systems Installer &amp; Repairer</t>
  </si>
  <si>
    <t>An instructional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</si>
  <si>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470103</t>
  </si>
  <si>
    <t>47.0104</t>
  </si>
  <si>
    <t>Computer Installer &amp; Repairer</t>
  </si>
  <si>
    <t>An instructional program that prepares individuals to apply technical knowledge and skills to assemble, install, operate, maintain, and repair computers and related instruments.  Includes instruction in power supplies, number systems,memory structure, buffers and registers, microprocessor design, peripheral equipment, programming, and networking.</t>
  </si>
  <si>
    <t>470104</t>
  </si>
  <si>
    <t>47.0105</t>
  </si>
  <si>
    <t>Industrial Electronics Installers &amp; Repairer</t>
  </si>
  <si>
    <t>An instructional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</si>
  <si>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470105</t>
  </si>
  <si>
    <t>47.0106</t>
  </si>
  <si>
    <t>Major Appliance Installer &amp; Repairer</t>
  </si>
  <si>
    <t>An instructional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</si>
  <si>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470106</t>
  </si>
  <si>
    <t>47.0199</t>
  </si>
  <si>
    <t>Electrical &amp; Electronics Equip Installers &amp; Repairers, Other</t>
  </si>
  <si>
    <t>Any instructional program in electrical and electronics equipment installation and repair not described elsewhere in this group of instructional programs.</t>
  </si>
  <si>
    <t>470199</t>
  </si>
  <si>
    <t>47.0200</t>
  </si>
  <si>
    <t>Heating, Air Conditioning, &amp; Refrig Mechanics &amp; Repairers</t>
  </si>
  <si>
    <t>A group of instructional programs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</si>
  <si>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470200</t>
  </si>
  <si>
    <t>47.0201</t>
  </si>
  <si>
    <t>Heating, Air Conditioning &amp; Refrig Mech &amp; Repairers, General</t>
  </si>
  <si>
    <t>An instructional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</si>
  <si>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470201</t>
  </si>
  <si>
    <t>47.0300</t>
  </si>
  <si>
    <t>Industrial Equipment Maintenance &amp; Repairers</t>
  </si>
  <si>
    <t>A group of instructional programs that prepare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</si>
  <si>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470300</t>
  </si>
  <si>
    <t>47.0302</t>
  </si>
  <si>
    <t>Heavy Equipment Maintenance &amp; Repairer</t>
  </si>
  <si>
    <t>An instructional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</si>
  <si>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470302</t>
  </si>
  <si>
    <t>47.0303</t>
  </si>
  <si>
    <t>Industrial Machinery Maintenance &amp; Repairer</t>
  </si>
  <si>
    <t>An instructional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 distribution systems.</t>
  </si>
  <si>
    <t>470303</t>
  </si>
  <si>
    <t>47.0399</t>
  </si>
  <si>
    <t>Industrial Equipment Maintenance &amp; Repairers, Other</t>
  </si>
  <si>
    <t>Any  instructional program in industrial equipment maintenance and repair not described elsewhere in this of instructional programs.</t>
  </si>
  <si>
    <t>470399</t>
  </si>
  <si>
    <t>47.0400</t>
  </si>
  <si>
    <t>Miscellaneous Mechanics &amp; Repairers</t>
  </si>
  <si>
    <t>A group of instructional programs that prepare individuals to apply technical knowledge and skills to repair and maintain a wide variety of items other than those described elsewhere in the  Mechanics and Repairers Series.</t>
  </si>
  <si>
    <t>470400</t>
  </si>
  <si>
    <t>47.0401</t>
  </si>
  <si>
    <t>Instrument Calibration &amp; Repairer</t>
  </si>
  <si>
    <t>An instructional program that prepares individuals to apply technical knowledge and skills to repair and maintain testing equipment, calibration equipment, instrumentation, meters, measuring devices, and control devices.</t>
  </si>
  <si>
    <t>470401</t>
  </si>
  <si>
    <t>47.0402</t>
  </si>
  <si>
    <t>Gunsmith</t>
  </si>
  <si>
    <t>An instructional program that prepares individuals to apply technical knowledge and skills to make, repair, maintain, and modify firearms according to blueprints or customer specifications, using specialized hand tools and machines.</t>
  </si>
  <si>
    <t>470402</t>
  </si>
  <si>
    <t>47.0403</t>
  </si>
  <si>
    <t>Locksmith &amp; Safe Repairer</t>
  </si>
  <si>
    <t>An instructional program that prepares individuals to apply technical knowledge and skills to make, repair, maintain, modify, and open locks; to make keys; to enter and change lock and safe combinations; and install and repair safes.</t>
  </si>
  <si>
    <t>470403</t>
  </si>
  <si>
    <t>47.0404</t>
  </si>
  <si>
    <t>Musical Instrument Repairer</t>
  </si>
  <si>
    <t>An instructional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</si>
  <si>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470404</t>
  </si>
  <si>
    <t>47.0408</t>
  </si>
  <si>
    <t>Watch, Clock &amp; Jewelry Repairer</t>
  </si>
  <si>
    <t>An instructional program that prepares individuals to apply technical knowledge and skills to make, repair,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</si>
  <si>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470408</t>
  </si>
  <si>
    <t>47.0499</t>
  </si>
  <si>
    <t>Miscellaneous Mechanics &amp; Repairers, Other</t>
  </si>
  <si>
    <t>Any instructional program in miscellaneous mechanics and repairers not described elsewhere in this group of instructional programs.</t>
  </si>
  <si>
    <t>470499</t>
  </si>
  <si>
    <t>47.0500</t>
  </si>
  <si>
    <t>Stationary Energy Sources Installers &amp; Operators</t>
  </si>
  <si>
    <t>A group of instructional programs that prepare individuals to install, operate, and maintain large power sources for such purposes as generating electricity, pumping, and heating.</t>
  </si>
  <si>
    <t>470500</t>
  </si>
  <si>
    <t>47.0501</t>
  </si>
  <si>
    <t>Stationary Energy Sources Installer &amp; Operator</t>
  </si>
  <si>
    <t>An instructional program that prepares individuals to apply technical knowledge and skills to install, repair, operate, and maintain large power sources for such purposes as generating electricity, pumping, and heating.</t>
  </si>
  <si>
    <t>470501</t>
  </si>
  <si>
    <t>47.0600</t>
  </si>
  <si>
    <t>Vehicle &amp; Mobile Equipment Mechanics &amp; Repairers</t>
  </si>
  <si>
    <t>A group of instructional programs that prepare individuals to apply technical knowledge and skills to maintain and repair aircraft, land vehicles, ships, construction equipment and portable power equipment.</t>
  </si>
  <si>
    <t>470600</t>
  </si>
  <si>
    <t>47.0603</t>
  </si>
  <si>
    <t>Auto/Automotive Body Repairer</t>
  </si>
  <si>
    <t>An instructional program that prepares individuals to apply technical knowledge and skills to repair, reconstruct and finish automobile bodies, fenders, and external features.  Includes instruction in all phases of body work preparation and finishing.</t>
  </si>
  <si>
    <t>470603</t>
  </si>
  <si>
    <t>47.0604</t>
  </si>
  <si>
    <t>Auto/Automotive Mechanic/Technician</t>
  </si>
  <si>
    <t>An instructional program that prepares individuals to apply technical knowledge and skills to repair, service, and maintain all types of automobiles, trucks, vans and buses.  Includes instruction in the diagnosis of malfunctions in and repair of engines; fuel, electrical, cooling, and brake systems; and drive train and suspension systems.</t>
  </si>
  <si>
    <t>470604</t>
  </si>
  <si>
    <t>47.0605</t>
  </si>
  <si>
    <t>Diesel Engine Mechanic &amp; Repairer</t>
  </si>
  <si>
    <t>An instructional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</si>
  <si>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470605</t>
  </si>
  <si>
    <t>47.0606</t>
  </si>
  <si>
    <t>Small Engine Mechanic &amp; Repairer</t>
  </si>
  <si>
    <t>An instructional program that prepares individuals to apply technical knowledge and skills to repair, service, and maintain small internal combustion engines used on portable power equipment such as lawnmowers, chain saws, rotary tillers, and snowmobiles.</t>
  </si>
  <si>
    <t>470606</t>
  </si>
  <si>
    <t>47.0607</t>
  </si>
  <si>
    <t>Aircraft Mechanic/Technician Airframe</t>
  </si>
  <si>
    <t>An instructional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</si>
  <si>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470607</t>
  </si>
  <si>
    <t>47.0608</t>
  </si>
  <si>
    <t>Aircraft Mechanic/Technician Powerplant</t>
  </si>
  <si>
    <t>An instructional program that prepares individuals to apply technical knowledge and skills to repair, service, and maintain all types of aircraft powerplants and related systems.  Instruction includes engine inspection and maintenance, lubrication and cooling, electrical and ignition systems, carburetion, fuels and fuel systems, propeller and fan assemblies.</t>
  </si>
  <si>
    <t>470608</t>
  </si>
  <si>
    <t>47.0609</t>
  </si>
  <si>
    <t>Aviation Systems &amp; Avionics Maintenance Tech/Technician</t>
  </si>
  <si>
    <t>An instructional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</si>
  <si>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470609</t>
  </si>
  <si>
    <t>47.0610</t>
  </si>
  <si>
    <t>Bicycle Mechanic &amp; Repairer</t>
  </si>
  <si>
    <t>An instructional program that prepares individuals to apply technical knowledge and skills to repair, service, and maintain bicycles and other human powered vehicles.  Includes instruction in lubrication, adjustments of moving parts, and wheel building.</t>
  </si>
  <si>
    <t>470610</t>
  </si>
  <si>
    <t>47.0611</t>
  </si>
  <si>
    <t>Motorcycle Mechanic &amp; Repairer</t>
  </si>
  <si>
    <t>An instructional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</si>
  <si>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470611</t>
  </si>
  <si>
    <t>47.0699</t>
  </si>
  <si>
    <t>Vehicle &amp; Mobile Equipment Mechanics &amp; Repairers, Other</t>
  </si>
  <si>
    <t>Any instructional program in vehicle and mobile equipment mechanics and repairers not described elsewhere in this group of programs.</t>
  </si>
  <si>
    <t>470699</t>
  </si>
  <si>
    <t>47.9900</t>
  </si>
  <si>
    <t>Mechanics &amp; Repairers, Other</t>
  </si>
  <si>
    <t>Any instructional program in mechanics and repairs not described elsewhere in this group of instructional programs.</t>
  </si>
  <si>
    <t>479900</t>
  </si>
  <si>
    <t>47.9999</t>
  </si>
  <si>
    <t>479999</t>
  </si>
  <si>
    <t>48</t>
  </si>
  <si>
    <t>48.0000</t>
  </si>
  <si>
    <t>Precision Production Trades</t>
  </si>
  <si>
    <t xml:space="preserve"> A summary of groups of instruction-al programs that prepare individuals to apply technical knowledge and skills to create products using techniques of precision craftsmanship or technical illustration.</t>
  </si>
  <si>
    <t>480000</t>
  </si>
  <si>
    <t>48.0100</t>
  </si>
  <si>
    <t>Drafting</t>
  </si>
  <si>
    <t>A group of instructional programs that prepare individuals to apply technical knowledge and skills to plan and prepare scale pictorial interpretations of engineering and design concepts.  Includes instruction in the use of precision drawing instruments, computer assisted design programs, sketching and illustration, and specification interpretation.</t>
  </si>
  <si>
    <t>480100</t>
  </si>
  <si>
    <t>48.0101</t>
  </si>
  <si>
    <t>Drafting, General</t>
  </si>
  <si>
    <t xml:space="preserve">An instructional program that generally prepares individuals to apply technical knowledge and skills to plan and prepare scale pictorial interpretations of engineering and design concepts.  Includes instruction in the use of precision drawing instruments, computer assisted design programs, sketching and illustration, and specification interpretation. </t>
  </si>
  <si>
    <t>480101</t>
  </si>
  <si>
    <t>48.0102</t>
  </si>
  <si>
    <t>Architectural Drafting</t>
  </si>
  <si>
    <t>An instructional program that prepares individuals to apply technical knowledge and skills to plan and prepare scale pictorial interpretations of plans and design concepts for buildings or other structures.  Includes instruction in creating layouts and designs, architectural blueprints and renderings, and in the use of computer assisted design programs.</t>
  </si>
  <si>
    <t>480102</t>
  </si>
  <si>
    <t>48.0103</t>
  </si>
  <si>
    <t>Civil/Structural Drafting</t>
  </si>
  <si>
    <t>An instructional program that prepares individuals to apply technical knowledge and skills to plan and prepare scale pictorial interpretations of plans and design concepts for construction projects, including topographical profiles, related maps and specifications sheets for use by civil engineers and other land use planning specialists.  Includes instruction in performing all stages of design illustration and interpretation from initial concept to prototype, and the use of computer assisted design programs.</t>
  </si>
  <si>
    <t>480103</t>
  </si>
  <si>
    <t>48.0104</t>
  </si>
  <si>
    <t>Electrical/Electronics Drafting</t>
  </si>
  <si>
    <t>An instructional program that prepares individuals to apply technical knowledge and skills to plan and prepare scale pictorial interpretations of plans and design concepts for wiring diagrams and schematics used by electrical/electronics engineers, electrical contractors and repairers to plan, install and modify electrical equipment and systems.  Includes instruction in performing all stages of design illustration and interpretation from initial concept to prototype, and the use of computer assisted design programs.</t>
  </si>
  <si>
    <t>480104</t>
  </si>
  <si>
    <t>48.0105</t>
  </si>
  <si>
    <t>Mechanical Drafting</t>
  </si>
  <si>
    <t>An instructional program that prepares individuals to apply technical knowledge and skills to plan and prepare scale pictorial interpretations of plans and design concepts for mechanical devices and machinery, including vehicles and other major systems.  Includes instruction in performing all stages of design illustration and interpretation from initial concept to prototype, and the use of computer assisted design programs.</t>
  </si>
  <si>
    <t>480105</t>
  </si>
  <si>
    <t>48.0199</t>
  </si>
  <si>
    <t>Drafting, Other</t>
  </si>
  <si>
    <t>Any instructional program in drafting not described elsewhere in this group of instructional programs.</t>
  </si>
  <si>
    <t>480199</t>
  </si>
  <si>
    <t>48.0200</t>
  </si>
  <si>
    <t>Graphic &amp; Printing Equipment Operators</t>
  </si>
  <si>
    <t>A group of instructional programs that prepares individuals to apply technical knowledge and skills to plan,  prepare and execute commercial and industrial visual image and print products using mechanical, electronic, and digital graphic and printing equipment.</t>
  </si>
  <si>
    <t>480200</t>
  </si>
  <si>
    <t>48.0201</t>
  </si>
  <si>
    <t>Graphic &amp; Printing Equipment Operator, General</t>
  </si>
  <si>
    <t>An instructional program that generally prepares individuals to apply technical knowledge and skills to plan,  prepare and execute commercial and industrial visual image and print products using mechanical, electronic, and digital graphic and printing equipment.</t>
  </si>
  <si>
    <t>480201</t>
  </si>
  <si>
    <t>48.0205</t>
  </si>
  <si>
    <t>Mechanical Typesetter &amp; Composer</t>
  </si>
  <si>
    <t>An instructional program that prepares individuals to apply technical knowledge and skills to lay out, compose, and make up typesetting and typecast, by hand and by machine.</t>
  </si>
  <si>
    <t>480205</t>
  </si>
  <si>
    <t>48.0206</t>
  </si>
  <si>
    <t>Lithographer &amp; Platemaker</t>
  </si>
  <si>
    <t>An instructional program that prepares individuals to apply technical knowledge and skills to make prints from chemically prepared stone or metal plane surfaces.  Includes instruction in platemaking, stripping, lithographic photography, and related processes.</t>
  </si>
  <si>
    <t>480206</t>
  </si>
  <si>
    <t>48.0208</t>
  </si>
  <si>
    <t>Printing Press Operator</t>
  </si>
  <si>
    <t>An instructional program that prepares individuals to apply technical knowledge and skills to make ready, operate, and maintain printing presses.</t>
  </si>
  <si>
    <t>480208</t>
  </si>
  <si>
    <t>48.0211</t>
  </si>
  <si>
    <t>Computer Typography &amp; Composition Equipment Operator</t>
  </si>
  <si>
    <t>An instructional program that prepares individuals to apply technical knowledge and skills to design and execute page formats, layouts and text composition, and to make typographical selections using computer graphics and other computer assisted design programs.</t>
  </si>
  <si>
    <t>480211</t>
  </si>
  <si>
    <t>48.0212</t>
  </si>
  <si>
    <t>Desktop Publishing Equipment Operator</t>
  </si>
  <si>
    <t>An instructional program that prepares individuals to apply technical knowledge and skills to plan and execute entire publication tasks using desktop publishing equipment and software, including designing, printing and binding.</t>
  </si>
  <si>
    <t>480212</t>
  </si>
  <si>
    <t>48.0299</t>
  </si>
  <si>
    <t>Graphic &amp; Printing Equipment Operators, Other</t>
  </si>
  <si>
    <t>Any instructional program in graphic and printing equipment operation not described elsewhere in this group of instructional programs.</t>
  </si>
  <si>
    <t>480299</t>
  </si>
  <si>
    <t>48.0300</t>
  </si>
  <si>
    <t>Leatherworkers &amp; Upholsterers</t>
  </si>
  <si>
    <t>A group of instructional programs that prepare individuals to apply technical knowledge and skills to fabricate and repair all types of upholstery and leather goods.</t>
  </si>
  <si>
    <t>480300</t>
  </si>
  <si>
    <t>48.0303</t>
  </si>
  <si>
    <t>Upholsterers</t>
  </si>
  <si>
    <t>An instructional program that prepares individuals to apply technical knowledge and skills to install springs, filling, padding, covering and finishing on items such as furniture, automobile seats, caskets, mattresses, and bedsprings.</t>
  </si>
  <si>
    <t>480303</t>
  </si>
  <si>
    <t>48.0304</t>
  </si>
  <si>
    <t>Shoe, Boot &amp; Leather Repairer</t>
  </si>
  <si>
    <t>An instructional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</si>
  <si>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480304</t>
  </si>
  <si>
    <t>48.0399</t>
  </si>
  <si>
    <t>Leatherworkers &amp; Upholsterers, Other</t>
  </si>
  <si>
    <t>Any instructional program in leatherworking and upholstering not described elsewhere in this group of instructional programs.</t>
  </si>
  <si>
    <t>480399</t>
  </si>
  <si>
    <t>48.0500</t>
  </si>
  <si>
    <t>Precision Metal Workers</t>
  </si>
  <si>
    <t>An instructional program that prepares individuals to apply technical knowledge and skills to plan, manufacture, assemble, test, and repair parts, mechanisms, machines, and structures in which materials are cast, formed, shaped, molded, heat treated, cut, twisted, pressed, fused, stamped or worked.</t>
  </si>
  <si>
    <t>480500</t>
  </si>
  <si>
    <t>48.0501</t>
  </si>
  <si>
    <t>Machinist/Machine Technologist</t>
  </si>
  <si>
    <t>480501</t>
  </si>
  <si>
    <t>48.0503</t>
  </si>
  <si>
    <t>Machine Shop Assistant</t>
  </si>
  <si>
    <t>An instructional program that prepares individuals to apply technical knowledge and skills to fabricate and modify metal parts in support of other manufacturing, repair or design activities, or as an independent business.</t>
  </si>
  <si>
    <t>480503</t>
  </si>
  <si>
    <t>48.0506</t>
  </si>
  <si>
    <t>Sheet Metal Worker</t>
  </si>
  <si>
    <t>An instructional program that prepares individuals to apply technical knowledge and skills to form, shape, bend and fold extruded metals, including the creation of new products, using hand tools and machines such as cornice brakes, forming rolls, and squaring shears.</t>
  </si>
  <si>
    <t>480506</t>
  </si>
  <si>
    <t>48.0507</t>
  </si>
  <si>
    <t>Tool &amp; Die Maker/Technologist</t>
  </si>
  <si>
    <t>An instructional program that prepares individuals to apply technical knowledge and skills to operate machine tools used in the forming of metal components, as well as the fabrication of special tools, dies, jigs and fixtures used in cutting, working and finishing metal components.</t>
  </si>
  <si>
    <t>480507</t>
  </si>
  <si>
    <t>48.0508</t>
  </si>
  <si>
    <t>Welder/Welding Technologist</t>
  </si>
  <si>
    <t>An instructional program that prepares individuals to apply technical knowledge and skills to unite or separate metal parts by heating, using a variety of techniques and equipment, such as brazing, arc, gas and laser operations.</t>
  </si>
  <si>
    <t>480508</t>
  </si>
  <si>
    <t>48.0599</t>
  </si>
  <si>
    <t>Precision Metal Workers, Other</t>
  </si>
  <si>
    <t>Any instructional program in precision metal work not described elsewhere in this group of instructional programs.</t>
  </si>
  <si>
    <t>480599</t>
  </si>
  <si>
    <t>48.0700</t>
  </si>
  <si>
    <t>Woodworkers</t>
  </si>
  <si>
    <t>A group of instructional programs that prepare individuals to apply technical knowledge and skills to lay out, shape, assemble, finish and repair articles made of wood.</t>
  </si>
  <si>
    <t>480700</t>
  </si>
  <si>
    <t>48.0701</t>
  </si>
  <si>
    <t>Woodworker, General</t>
  </si>
  <si>
    <t>An instructional program that prepares individuals to apply technical knowledge and skills to lay out and shape stock; assemble wooden articles or subassemblies; mark, bind, saw, carve, and sand wooden products; repair wooden articles, and use a variety of hand and power tools.</t>
  </si>
  <si>
    <t>480701</t>
  </si>
  <si>
    <t>48.0702</t>
  </si>
  <si>
    <t>Furniture Designer &amp; Maker</t>
  </si>
  <si>
    <t>An instructional program that prepares individuals to apply technical knowledge and skills to prepare and execute furniture design projects; assemble and finish furniture articles or subassemblies; repair furniture; and use a variety of hand and power tools.</t>
  </si>
  <si>
    <t>480702</t>
  </si>
  <si>
    <t>48.0703</t>
  </si>
  <si>
    <t>Cabinet Maker &amp; Millworker</t>
  </si>
  <si>
    <t>An instructional program that prepares individuals to apply technical knowledge and skills to set up, operate and repair industrial woodworking machinery, and to use such machinery to design and fabricate wooden components and complete articles.</t>
  </si>
  <si>
    <t>480703</t>
  </si>
  <si>
    <t>48.0799</t>
  </si>
  <si>
    <t>Woodworkers, Other</t>
  </si>
  <si>
    <t>Any instructional program in woodworking not described elsewhere in this group of instructional programs.</t>
  </si>
  <si>
    <t>480799</t>
  </si>
  <si>
    <t>48.9900</t>
  </si>
  <si>
    <t>Precision Production Trades, Other</t>
  </si>
  <si>
    <t>Any instructional programs in precision production not described elsewhere in this group of instructional programs.</t>
  </si>
  <si>
    <t>489900</t>
  </si>
  <si>
    <t>48.9999</t>
  </si>
  <si>
    <t>489999</t>
  </si>
  <si>
    <t>49</t>
  </si>
  <si>
    <t>49.0000</t>
  </si>
  <si>
    <t>Transporation and Material Moving Workers</t>
  </si>
  <si>
    <t>A summary of groups of instructional programs that prepare individuals to apply technical knowledge and skills to perform tasks and services that facilitate the movement of people or materials.</t>
  </si>
  <si>
    <t>490000</t>
  </si>
  <si>
    <t>49.0100</t>
  </si>
  <si>
    <t>Air Transportation Workers</t>
  </si>
  <si>
    <t>A group of instructional programs that prepare individuals  to apply technical knowledge and skills to provide in flight, ground and administrative services to the aviation industry.</t>
  </si>
  <si>
    <t>490100</t>
  </si>
  <si>
    <t>49.0101</t>
  </si>
  <si>
    <t>Aviation &amp; Airway Science</t>
  </si>
  <si>
    <t>An instructional program that generally describes the study of aviation and the aviation industry, including in-flight and ground support operations.  Includes instruction in the technical, business, and general aspects of air transportation systems.</t>
  </si>
  <si>
    <t>490101</t>
  </si>
  <si>
    <t>49.0102</t>
  </si>
  <si>
    <t>Aircraft Pilot &amp; Navigator (Professional)</t>
  </si>
  <si>
    <t>An instructional program that prepares individuals to apply technical knowledge and skills to the flying and/or navigation commercial passenger and cargo, agricultural, public service, corporate and rescue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sit for the FAA commercial aircrew examinations.</t>
  </si>
  <si>
    <t>490102</t>
  </si>
  <si>
    <t>49.0104</t>
  </si>
  <si>
    <t>Aviation Management</t>
  </si>
  <si>
    <t>420000</t>
  </si>
  <si>
    <t>42.0100</t>
  </si>
  <si>
    <t>Psychology, General</t>
  </si>
  <si>
    <t>A group of instructional programs that describes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</si>
  <si>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420100</t>
  </si>
  <si>
    <t>42.0101</t>
  </si>
  <si>
    <t>An instructional program that generally describes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</si>
  <si>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420101</t>
  </si>
  <si>
    <t>42.0200</t>
  </si>
  <si>
    <t>Clinical Psychology</t>
  </si>
  <si>
    <t>A group of instructional programs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</si>
  <si>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420200</t>
  </si>
  <si>
    <t>42.0201</t>
  </si>
  <si>
    <t>An instructional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</si>
  <si>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420201</t>
  </si>
  <si>
    <t>43.0103</t>
  </si>
  <si>
    <t>Criminal Justice/Law Enforcement Administration</t>
  </si>
  <si>
    <t>An instructional program that prepares individuals to apply the theories and practices of criminal justice to structuring, managing, directing, and controlling criminal justice agencies, including police departments, sheriff's departments, law enforcement divisions and units, and private protective services.</t>
  </si>
  <si>
    <t>430103</t>
  </si>
  <si>
    <t>43.0104</t>
  </si>
  <si>
    <t>Criminal Justice Studies</t>
  </si>
  <si>
    <t>An instructional program that describes the study of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</si>
  <si>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430104</t>
  </si>
  <si>
    <t>43.0106</t>
  </si>
  <si>
    <t>Forensic Technology/Technician</t>
  </si>
  <si>
    <t>An instructional program that prepares individuals to conduct crime scene and laboratory analyses and evaluations of evidentiary materials, including human remains, under the supervision of a pathologist, forensic administrator or other law enforcement personnel.  Includes instruction in principles of pathology, laboratory technology and procedures, dusting and fingerprinting, reconstructive analysis and related skills.</t>
  </si>
  <si>
    <t>430106</t>
  </si>
  <si>
    <t>43.0107</t>
  </si>
  <si>
    <t>Law Enforcement/Police Science</t>
  </si>
  <si>
    <t>An instructional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</si>
  <si>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430107</t>
  </si>
  <si>
    <t>43.0109</t>
  </si>
  <si>
    <t>Security &amp; Loss Prevention Services</t>
  </si>
  <si>
    <t>An instructional program that prepares individuals to perform routine inspection, patrol and crime prevention services for private clients.  Includes instruction in the provision of personal protection as well as property security.</t>
  </si>
  <si>
    <t>430109</t>
  </si>
  <si>
    <t>43.0199</t>
  </si>
  <si>
    <t>Corrections &amp; Criminal Justice, Other</t>
  </si>
  <si>
    <t>Any instructional program in corrections and criminal justice not described elsewhere in this group of programs.</t>
  </si>
  <si>
    <t>430199</t>
  </si>
  <si>
    <t>43.0200</t>
  </si>
  <si>
    <t>Fire Protection</t>
  </si>
  <si>
    <t>A group of instructional programs that prepare individuals to perform firefighting and related services.</t>
  </si>
  <si>
    <t>430200</t>
  </si>
  <si>
    <t>43.0201</t>
  </si>
  <si>
    <t>Fire Protection &amp; Safety Technology/Technician</t>
  </si>
  <si>
    <t>An instructional program that prepares individuals to apply a knowledge of fire prevention and control skills to problems of reducing fire risk, loss limitation, supervising substance removal, conducting fire investigations, and advising on matters of safety procedures and fire prevention policy.</t>
  </si>
  <si>
    <t>430201</t>
  </si>
  <si>
    <t>43.0202</t>
  </si>
  <si>
    <t>Fire Services Administration</t>
  </si>
  <si>
    <t>An instructional program that prepares individuals to structure, manage, direct, and control fire departments, fire prevention services, fire inspection and investigation offices, and ancillary rescue services.</t>
  </si>
  <si>
    <t>430202</t>
  </si>
  <si>
    <t>43.0203</t>
  </si>
  <si>
    <t>Fire Science/Firefighting</t>
  </si>
  <si>
    <t>An instructional program that prepares individuals to perform the duties of fire fighters.  Includes instruction in firefighting equipment operation and maintenance, principles of fire science and combustible substances, methods of controlling different types of fires, hazardous material handling and control, fire rescue procedures, public relations, and applicable laws and regulations.</t>
  </si>
  <si>
    <t>430203</t>
  </si>
  <si>
    <t>43.0299</t>
  </si>
  <si>
    <t>Fire Protection, Other</t>
  </si>
  <si>
    <t>Any instructional program in fire protection not described elsewhere in this group of instructional programs.</t>
  </si>
  <si>
    <t>430299</t>
  </si>
  <si>
    <t>43.9900</t>
  </si>
  <si>
    <t>Protective Services, Other</t>
  </si>
  <si>
    <t>Any instructional programs in protective services not described elsewhere in this group of instructional programs.</t>
  </si>
  <si>
    <t>439900</t>
  </si>
  <si>
    <t>43.9999</t>
  </si>
  <si>
    <t>Any instructional program in protective services not described elsewhere in this group of instructional programs.</t>
  </si>
  <si>
    <t>439999</t>
  </si>
  <si>
    <t>44</t>
  </si>
  <si>
    <t>44.0000</t>
  </si>
  <si>
    <t>Public Administration and Services</t>
  </si>
  <si>
    <t>A summary of groups of instructional programs that prepare individuals to analyze, manage, and deliver public programs and services.</t>
  </si>
  <si>
    <t>440000</t>
  </si>
  <si>
    <t>44.0200</t>
  </si>
  <si>
    <t>Community Organization, Resources &amp; Services</t>
  </si>
  <si>
    <t>A group of instructional programs that describes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</si>
  <si>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440200</t>
  </si>
  <si>
    <t>44.0201</t>
  </si>
  <si>
    <t>An instructional program that describes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</si>
  <si>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440201</t>
  </si>
  <si>
    <t>44.0400</t>
  </si>
  <si>
    <t>Public Administration</t>
  </si>
  <si>
    <t>A group of instructional programs that prepares individuals to serve as managers in the executive arm of local, state, and Federal government; and that describes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</si>
  <si>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440400</t>
  </si>
  <si>
    <t>44.0401</t>
  </si>
  <si>
    <t>An instructional program that prepares individuals to serve as managers in the executive arm of local, state, and Federal government; and that describes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</si>
  <si>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440401</t>
  </si>
  <si>
    <t>44.0500</t>
  </si>
  <si>
    <t>Public Policy Analysis</t>
  </si>
  <si>
    <t>A group of instructional programs that describes the systematic analysis of public policy issues and decision processes.  Includes instruction in the role of economic and political factors in public decision-making and policy formulation; microeconomic analysis of policy issues; resource allocation and decision modelling; cost/benefit analysis; statistical methods; and applications to specific public policy topics.</t>
  </si>
  <si>
    <t>440500</t>
  </si>
  <si>
    <t>44.0501</t>
  </si>
  <si>
    <t>An instructional program that describes the systematic analysis of public policy issues and decision processes.  Includes instruction in the role of economic and political factors in public decision-making and policy formulation; microeconomic analysis of policy issues; resource allocation and decision modelling; cost/benefit analysis; statistical methods; and applications to specific public policy topics.</t>
  </si>
  <si>
    <t>440501</t>
  </si>
  <si>
    <t>44.0700</t>
  </si>
  <si>
    <t>Social Work</t>
  </si>
  <si>
    <t>A group of instructional programs that prepares individuals for the professional practice of social welfare administration and counseling, and that describes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</si>
  <si>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440700</t>
  </si>
  <si>
    <t>44.0701</t>
  </si>
  <si>
    <t>An instructional program that prepares individuals for the professional practice of social welfare administration and counseling, and that describes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</si>
  <si>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440701</t>
  </si>
  <si>
    <t>44.9900</t>
  </si>
  <si>
    <t>Public Administration &amp; Services, Other</t>
  </si>
  <si>
    <t>Any instructional programs in public administration and services not described elsewhere in this group of programs.</t>
  </si>
  <si>
    <t>449900</t>
  </si>
  <si>
    <t>44.9999</t>
  </si>
  <si>
    <t>Any instructional program in public administration and services not described elsewhere in this group of programs.</t>
  </si>
  <si>
    <t>449999</t>
  </si>
  <si>
    <t>45</t>
  </si>
  <si>
    <t>45.0000</t>
  </si>
  <si>
    <t>Social Sciences and History</t>
  </si>
  <si>
    <t>A summary of groups of instructional programs that describe the systematic study of social systems, social institutions, and social behavior, as well as the study of the human past.</t>
  </si>
  <si>
    <t>450000</t>
  </si>
  <si>
    <t>45.0100</t>
  </si>
  <si>
    <t>Social Sciences, General</t>
  </si>
  <si>
    <t>A group of instructional programs that generally describes the study of human social behavior and social institutions using any of the methodologies common to the social sciences and/or history, or an undifferentiated program of study in the social sciences.</t>
  </si>
  <si>
    <t>450100</t>
  </si>
  <si>
    <t>45.0101</t>
  </si>
  <si>
    <t>An instructional program that generally describes the study of human social behavior and social institutions using any of the methodologies common to the social sciences and/or history, or an undifferentiated program of study in the social sciences.</t>
  </si>
  <si>
    <t>450101</t>
  </si>
  <si>
    <t>45.0200</t>
  </si>
  <si>
    <t>Anthropology</t>
  </si>
  <si>
    <t>A group of instructional programs that describes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</si>
  <si>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450200</t>
  </si>
  <si>
    <t>45.0201</t>
  </si>
  <si>
    <t>An instructional program that describes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</si>
  <si>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450201</t>
  </si>
  <si>
    <t>45.0300</t>
  </si>
  <si>
    <t>Archeology</t>
  </si>
  <si>
    <t>A group of instructional programs that describes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</si>
  <si>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450300</t>
  </si>
  <si>
    <t>45.0301</t>
  </si>
  <si>
    <t>An instructional program that describes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</si>
  <si>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450301</t>
  </si>
  <si>
    <t>45.0400</t>
  </si>
  <si>
    <t>Criminology</t>
  </si>
  <si>
    <t>A group of instructional programs that describes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</si>
  <si>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450400</t>
  </si>
  <si>
    <t>45.0401</t>
  </si>
  <si>
    <t>An instructional program that describes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</si>
  <si>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450401</t>
  </si>
  <si>
    <t>45.0500</t>
  </si>
  <si>
    <t>Demography &amp; Population Studies</t>
  </si>
  <si>
    <t>A group of instructional programs that describes the systematic study of population models and population phenomena, and related problems of social structure and behavior.  Includes instruction in population growth, spatial distribution, mortality and fertility factors, migration, dynamic population modelling, population estimation and projection, mathematical and statistical analysis of population data, population policy studies, and applications to problems in economics and government planning.</t>
  </si>
  <si>
    <t>450500</t>
  </si>
  <si>
    <t>45.0501</t>
  </si>
  <si>
    <t>An instructional program that describes the systematic study of population models and population phenomena, and related problems of social structure and behavior.  Includes instruction in population growth, spatial distribution, mortality and fertility factors, migration, dynamic population modelling, population estimation and projection, mathematical and statistical analysis of population data, population policy studies, and applications to problems in economics and government planning.</t>
  </si>
  <si>
    <t>450501</t>
  </si>
  <si>
    <t>45.0600</t>
  </si>
  <si>
    <t>Economics</t>
  </si>
  <si>
    <t>A group of instructional programs that describes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</si>
  <si>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450600</t>
  </si>
  <si>
    <t>45.0601</t>
  </si>
  <si>
    <t>Economics, General</t>
  </si>
  <si>
    <t>An instructional program that generally describes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</si>
  <si>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450601</t>
  </si>
  <si>
    <t>45.0602</t>
  </si>
  <si>
    <t>Applied &amp; Resource Economics</t>
  </si>
  <si>
    <t>An instructional program that describes the application of economic principles and analytical techniques to the study of particular industries, activities, or the exploitation of particular resources.  Includes instruction in economic theory; microeconomic analysis and modelling of specific industries, commodities; the economic consequences of resource allocation decisions; regulatory and consumer factors; and the technical aspects of specific subjects as they relate to economic analysis.</t>
  </si>
  <si>
    <t>450602</t>
  </si>
  <si>
    <t>45.0603</t>
  </si>
  <si>
    <t>Econometrics &amp; Quantitative Economics</t>
  </si>
  <si>
    <t>An instructional program that describes the systematic mathematical and statistical analysis of economic phenomena and problems.  Includes instruction in economic statistics, optimization theory,  cost/benefit analysis, price theory, economic modelling, and economic forecasting and evaluation.</t>
  </si>
  <si>
    <t>450603</t>
  </si>
  <si>
    <t>45.0604</t>
  </si>
  <si>
    <t>Development Economics &amp; International Development</t>
  </si>
  <si>
    <t>An instructional program that describes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</si>
  <si>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450604</t>
  </si>
  <si>
    <t>45.0605</t>
  </si>
  <si>
    <t>International Economics</t>
  </si>
  <si>
    <t>An instructional program that describes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</si>
  <si>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450605</t>
  </si>
  <si>
    <t>45.0699</t>
  </si>
  <si>
    <t>Economics, Other</t>
  </si>
  <si>
    <t>Any instructional program in economics not described elsewhere in this group of programs.</t>
  </si>
  <si>
    <t>450699</t>
  </si>
  <si>
    <t>45.0700</t>
  </si>
  <si>
    <t>Geography</t>
  </si>
  <si>
    <t>A group of instructional programs that describes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 use planning, development studies, and analyses of specific countries, regions, and resources.</t>
  </si>
  <si>
    <t>450700</t>
  </si>
  <si>
    <t>45.0701</t>
  </si>
  <si>
    <t>An instructional program that describes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 use planning, development studies, and analyses of specific countries, regions, and resources.</t>
  </si>
  <si>
    <t>450701</t>
  </si>
  <si>
    <t>45.0702</t>
  </si>
  <si>
    <t>Cartography</t>
  </si>
  <si>
    <t>An instructional program that describes the systematic study of map-making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</si>
  <si>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450702</t>
  </si>
  <si>
    <t>45.0800</t>
  </si>
  <si>
    <t>History</t>
  </si>
  <si>
    <t>A group of instructional programs that describe the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</si>
  <si>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450800</t>
  </si>
  <si>
    <t>45.0801</t>
  </si>
  <si>
    <t>History, General</t>
  </si>
  <si>
    <t>An instructional program that generally describes the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</si>
  <si>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450801</t>
  </si>
  <si>
    <t>45.0802</t>
  </si>
  <si>
    <t>American (United States) History</t>
  </si>
  <si>
    <t>An instructional program that describes the study of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</si>
  <si>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450802</t>
  </si>
  <si>
    <t>45.0803</t>
  </si>
  <si>
    <t>European History</t>
  </si>
  <si>
    <t>An instructional program that describes the study of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</si>
  <si>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450803</t>
  </si>
  <si>
    <t>45.0804</t>
  </si>
  <si>
    <t>History &amp; Philosophy of Science</t>
  </si>
  <si>
    <t>An instructional program that describes the study of the historical evolution of scientific theories and science applications and technologies, as well as the philosophy of science and its historical socio economic context.  Include instruction in the concepts and methods of philosophical inquiry, historiography of science, and research methods in the history of the scientific and engineering disciplines, including mathematics.</t>
  </si>
  <si>
    <t>450804</t>
  </si>
  <si>
    <t>45.0805</t>
  </si>
  <si>
    <t>Public/Applied History &amp; Archival Administration</t>
  </si>
  <si>
    <t>An instructional program that describes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organizations, government agencies, foundations, and records facilities.</t>
  </si>
  <si>
    <t>450805</t>
  </si>
  <si>
    <t>45.0899</t>
  </si>
  <si>
    <t>History, Other</t>
  </si>
  <si>
    <t>Any instructional program in history not described elsewhere in this group of programs.</t>
  </si>
  <si>
    <t>450899</t>
  </si>
  <si>
    <t>45.0900</t>
  </si>
  <si>
    <t>International Relations &amp; Affairs</t>
  </si>
  <si>
    <t>A group of instructional programs that describe the systematic study of international politics and institutions, and the conduct of diplomacy and foreign policy.  Includes instruction in international relations theory, foreign policy analysis, national security and strategic studies, international law and organization, the comparative study of specific countries and regions, and the theory and practice of diplomacy.</t>
  </si>
  <si>
    <t>450900</t>
  </si>
  <si>
    <t>45.0901</t>
  </si>
  <si>
    <t>An instructional program that describes the systematic study of international politics and institutions, and the conduct of diplomacy and foreign policy.  Includes instruction in international relations theory, foreign policy analysis, national security and strategic studies, international law and organization, the comparative study of specific countries and regions, and the theory and practice of diplomacy.</t>
  </si>
  <si>
    <t>450901</t>
  </si>
  <si>
    <t>45.1000</t>
  </si>
  <si>
    <t>Political Science &amp; Government</t>
  </si>
  <si>
    <t>A group of instructional programs that describe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</si>
  <si>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451000</t>
  </si>
  <si>
    <t>45.1001</t>
  </si>
  <si>
    <t>Political Science &amp; Government, General</t>
  </si>
  <si>
    <t>An instructional program that describes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</si>
  <si>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451001</t>
  </si>
  <si>
    <t>45.1002</t>
  </si>
  <si>
    <t>American Government &amp; Politics (United States)</t>
  </si>
  <si>
    <t>An instructional program that describes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</si>
  <si>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451002</t>
  </si>
  <si>
    <t>45.1003</t>
  </si>
  <si>
    <t>Political Science &amp; Government, Other</t>
  </si>
  <si>
    <t>Any instructional program in political science and government not described elsewhere in this group of programs.</t>
  </si>
  <si>
    <t>451003</t>
  </si>
  <si>
    <t>45.1100</t>
  </si>
  <si>
    <t>Sociology</t>
  </si>
  <si>
    <t>A group of instructional programs that describe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</si>
  <si>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451100</t>
  </si>
  <si>
    <t>45.1101</t>
  </si>
  <si>
    <t>An instructional program that describes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</si>
  <si>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451101</t>
  </si>
  <si>
    <t>45.1200</t>
  </si>
  <si>
    <t>Urban Studies/Affairs</t>
  </si>
  <si>
    <t>A group of instructional programs that describes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</si>
  <si>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451200</t>
  </si>
  <si>
    <t>45.1201</t>
  </si>
  <si>
    <t>An instructional program that describes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</si>
  <si>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451201</t>
  </si>
  <si>
    <t>45.9900</t>
  </si>
  <si>
    <t>Social Sciences &amp; History, Other</t>
  </si>
  <si>
    <t>Any instructional programs in social sciences not described elsewhere in this group of instructional programs.</t>
  </si>
  <si>
    <t>459900</t>
  </si>
  <si>
    <t>45.9999</t>
  </si>
  <si>
    <t>Social Sciences, Other</t>
  </si>
  <si>
    <t>Any instructional program in social sciences not described elsewhere in this group of instructional programs.</t>
  </si>
  <si>
    <t>459999</t>
  </si>
  <si>
    <t>46</t>
  </si>
  <si>
    <t>46.0000</t>
  </si>
  <si>
    <t>Construction Trades</t>
  </si>
  <si>
    <t xml:space="preserve"> A summary of groups of instruction-al programs that prepare individuals to apply technical knowledge and skills in the building, inspecting, and maintaining of structures and related properties.</t>
  </si>
  <si>
    <t>460000</t>
  </si>
  <si>
    <t>46.0100</t>
  </si>
  <si>
    <t>Masons &amp; Tile Setters</t>
  </si>
  <si>
    <t>A group of instructional programs that prepare individuals to apply technical knowledge and skills in the laying and/or setting of brick, concrete block, hard tile, marble and related materials, using trowels, levels, hammers, chisels, and other hand tools.</t>
  </si>
  <si>
    <t>460100</t>
  </si>
  <si>
    <t>46.0101</t>
  </si>
  <si>
    <t>Mason &amp; Tile Setter</t>
  </si>
  <si>
    <t>An instructional program that prepares individuals to apply technical knowledge and skills in the laying and/or setting of brick, concrete block, hard tile, marble and related materials, using trowels, levels, hammers, chisels, and other hand tools.</t>
  </si>
  <si>
    <t>460101</t>
  </si>
  <si>
    <t>An instructional program that describes the study of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</si>
  <si>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380201</t>
  </si>
  <si>
    <t>38.9900</t>
  </si>
  <si>
    <t>Philosophy &amp; Religion, Other</t>
  </si>
  <si>
    <t>Any instructional programs in philosophy and religion not described elsewhere in this group of programs.</t>
  </si>
  <si>
    <t>389900</t>
  </si>
  <si>
    <t>38.9999</t>
  </si>
  <si>
    <t>Any instructional program in philosophy and religion not described elsewhere in this group of programs.</t>
  </si>
  <si>
    <t>389999</t>
  </si>
  <si>
    <t>39</t>
  </si>
  <si>
    <t>39.0000</t>
  </si>
  <si>
    <t>Theological Studies and Religious Vocations</t>
  </si>
  <si>
    <t>A summary of groups of instructional programs that describe the study of religious beliefs, doctrines, and practices from the intramural standpoint of a particular faith; and that prepare individuals for the professional practice of religious vocations.</t>
  </si>
  <si>
    <t>390000</t>
  </si>
  <si>
    <t>39.0100</t>
  </si>
  <si>
    <t>Biblical &amp; Other Theological Languages &amp; Literatures</t>
  </si>
  <si>
    <t>A group of instructional programs that describes the study of liturgical, scriptural and historical languages and literatures used by Christianity, Judaism, and other major faiths as vehicles for communicating doctrine, forms of worship, rules, and traditions.  Includes instruction in translation techniques, textual analysis and criticism, the study and preservation of ancient manuscripts, and studies of specific languages such as Hebrew, Koine Greek, Biblical Aramaic, and others.</t>
  </si>
  <si>
    <t>390100</t>
  </si>
  <si>
    <t>39.0101</t>
  </si>
  <si>
    <t>An instructional program that describes the study of liturgical, scriptural and historical languages and literatures used by Christianity, Judaism, and other major faiths as vehicles for communicating doctrine, forms of worship, rules, and traditions.  Includes instruction in translation techniques, textual analysis and criticism, the study and preservation of ancient manuscripts, and studies of specific languages such as Hebrew, Koine Greek, Biblical Aramaic, and others.</t>
  </si>
  <si>
    <t>390101</t>
  </si>
  <si>
    <t>39.0200</t>
  </si>
  <si>
    <t>Bible/Biblical Studies</t>
  </si>
  <si>
    <t>A group of instructional programs that describes the study of the Bible and its component books from the standpoint of the Christian or Jewish faiths, with an emphasis on understanding and interpreting the theological, doctrinal, and ethical messages contained within it.  May include preparation for applying these studies in various church related vocations.</t>
  </si>
  <si>
    <t>390200</t>
  </si>
  <si>
    <t>39.0201</t>
  </si>
  <si>
    <t>An instructional program that describes the study of the Bible and its component books from the standpoint of the Christian or Jewish faiths, with an emphasis on understanding and interpreting the theological, doctrinal, and ethical messages contained within it.  May include preparation for applying these studies in various church related vocations.</t>
  </si>
  <si>
    <t>390201</t>
  </si>
  <si>
    <t>39.0300</t>
  </si>
  <si>
    <t>Missions/Missionary Studies &amp; Misology</t>
  </si>
  <si>
    <t>A group of instructional programs that describes the theory and practice of Christian or other religious outreach, social service and proselytization, and that prepares individuals for mission vocations.</t>
  </si>
  <si>
    <t>390300</t>
  </si>
  <si>
    <t>39.0301</t>
  </si>
  <si>
    <t>An instructional program that describes the theory and practice of Christian or other religious outreach, social service and proselytization, and that prepares individuals for mission vocations.</t>
  </si>
  <si>
    <t>390301</t>
  </si>
  <si>
    <t>39.0400</t>
  </si>
  <si>
    <t>Religious Education</t>
  </si>
  <si>
    <t>A group of instructional programs that describes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</si>
  <si>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390400</t>
  </si>
  <si>
    <t>39.0401</t>
  </si>
  <si>
    <t>An instructional program that describes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</si>
  <si>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390401</t>
  </si>
  <si>
    <t>39.0500</t>
  </si>
  <si>
    <t>Religious/Sacred Music</t>
  </si>
  <si>
    <t>A group of instructional programs that describes the history, theory, composition, and performance of music for religious or sacred purposes, and that prepares individuals for religious musical vocations such as choir directors, Cantors, organists, and chanters.</t>
  </si>
  <si>
    <t>390500</t>
  </si>
  <si>
    <t>39.0501</t>
  </si>
  <si>
    <t>An instructional program that describes the history, theory, composition, and performance of music for religious or sacred purposes, and that prepares individuals for religious musical vocations such as choir directors, Cantors, organists, and chanters.</t>
  </si>
  <si>
    <t>390501</t>
  </si>
  <si>
    <t>39.0600</t>
  </si>
  <si>
    <t>Theological &amp; Ministerial Studies</t>
  </si>
  <si>
    <t>A group of instructional programs that prepare individuals for the professional study and practice of theology and ministry.</t>
  </si>
  <si>
    <t>390600</t>
  </si>
  <si>
    <t>39.0601</t>
  </si>
  <si>
    <t>Theology/Theological Studies</t>
  </si>
  <si>
    <t>An instructional program that describes the study of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</si>
  <si>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390601</t>
  </si>
  <si>
    <t>39.0602</t>
  </si>
  <si>
    <t>Divinity/Ministry (B.D., M.Div.)</t>
  </si>
  <si>
    <t>An instructional program that prepares individuals for ordination as ministers or priests in any of the Christian religious traditions.  Includes instruction in the theology and polity of a particular church, liturgy, principles of pastoral ministry, homiletics, basic church/parish organization and management, and related studies.</t>
  </si>
  <si>
    <t>390602</t>
  </si>
  <si>
    <t>39.0603</t>
  </si>
  <si>
    <t>Rabbinical &amp; Talmudic Studies (M.H.L./Rav)</t>
  </si>
  <si>
    <t>An instructional program that prepares individuals for ordination as Rabbis in the Orthodox, Conservative and Reformed Jewish traditions; and that describes the specialized devotional study of Jewish law and sacred writings.</t>
  </si>
  <si>
    <t>390603</t>
  </si>
  <si>
    <t>39.0604</t>
  </si>
  <si>
    <t>Pre-Theology/Pre-Ministerial Studies</t>
  </si>
  <si>
    <t>An instructional program that prepares individuals to enter a seminary or other program leading to religious ordination, or a related religious vocation.</t>
  </si>
  <si>
    <t>390604</t>
  </si>
  <si>
    <t>39.0699</t>
  </si>
  <si>
    <t>Theological &amp; Ministerial Studies, Other</t>
  </si>
  <si>
    <t>An instructional program in theological and ministerial studies not described elsewhere in this group of programs.</t>
  </si>
  <si>
    <t>390699</t>
  </si>
  <si>
    <t>39.0700</t>
  </si>
  <si>
    <t>Pastoral Counseling &amp; Specialized Ministries</t>
  </si>
  <si>
    <t>A group of instructional programs that prepares ordained ministers, priests and rabbis, and other religious vocations, in the principles and methods of pastoral practice in such areas as clinical pastoral counseling, marriage and family therapy, youth ministry, outreach and evangelism, ministry to special populations, advanced leadership and management skills, and other studies.</t>
  </si>
  <si>
    <t>390700</t>
  </si>
  <si>
    <t>39.0701</t>
  </si>
  <si>
    <t>An instructional program that prepares ordained ministers, priests and rabbis, and other religious vocations, in the principles and methods of pastoral practice in such areas as clinical pastoral counseling, marriage and family therapy, youth ministry, outreach and evangelism, ministry to special populations, advanced leadership and management skills, and other studies.</t>
  </si>
  <si>
    <t>390701</t>
  </si>
  <si>
    <t>39.9900</t>
  </si>
  <si>
    <t>Theological Studies &amp; Religious Vocations, Other</t>
  </si>
  <si>
    <t>Any instructional programs in theological studies and religious vocations not described elsewhere in this group of programs.</t>
  </si>
  <si>
    <t>399900</t>
  </si>
  <si>
    <t>39.9999</t>
  </si>
  <si>
    <t>Any instructional program in theological studies and religious vocations not described elsewhere in this group of programs.</t>
  </si>
  <si>
    <t>399999</t>
  </si>
  <si>
    <t>40</t>
  </si>
  <si>
    <t>40.0000</t>
  </si>
  <si>
    <t>Physical Sciences</t>
  </si>
  <si>
    <t>A summary of groups of instructional programs that describe the scientific study of inanimate objects, processes of matter and energy, and associated phenomena.</t>
  </si>
  <si>
    <t>400000</t>
  </si>
  <si>
    <t>40.0100</t>
  </si>
  <si>
    <t>Physical Sciences, General</t>
  </si>
  <si>
    <t>A group of instructional programs that describes the major topics, concepts, processes, and interrelationships of physical phenomena as studied in any combination of physical science disciplines.</t>
  </si>
  <si>
    <t>400100</t>
  </si>
  <si>
    <t>40.0101</t>
  </si>
  <si>
    <t>An instructional program that generally describes the major topics, concepts, processes, and interrelationships of physical phenomena as studied in any combination of physical science disciplines.</t>
  </si>
  <si>
    <t>400101</t>
  </si>
  <si>
    <t>40.0200</t>
  </si>
  <si>
    <t>Astronomy</t>
  </si>
  <si>
    <t>A group of instructional programs that describes the scientific study of matter and energy in the universe, using observational techniques such as spectroscopy, photometry, interferometry, radio astronomy and optical astronomy.  Includes instruction in celestial mechanics, cosmology, and stellar physics; and applications to research on lunar, planetary, solar, stellar, and galactic phenomena.</t>
  </si>
  <si>
    <t>400200</t>
  </si>
  <si>
    <t>40.0201</t>
  </si>
  <si>
    <t>An instructional program that describes the scientific study of matter and energy in the universe, using observational techniques such as spectroscopy, photometry, interferometry, radio astronomy and optical astronomy.  Includes instruction in celestial mechanics, cosmology, and stellar physics; and applications to research on lunar, planetary, solar, stellar, and galactic phenomena.</t>
  </si>
  <si>
    <t>400201</t>
  </si>
  <si>
    <t>40.0300</t>
  </si>
  <si>
    <t>Astrophysics</t>
  </si>
  <si>
    <t>A group of instructional programs that describes the scientific and mathematical study of the behavior of astronomical phenomena and related physico-chemical interactions, and the experimental laboratory simulation of these phenomena.  Includes instruction in cosmology, plasma kinetics, stellar physics, convolution and nonequilibrium radiation transfer theory, non-Euclidian geometries, mathematical modelling, galactic structure theory, and relativistic astronomy.</t>
  </si>
  <si>
    <t>400300</t>
  </si>
  <si>
    <t>40.0301</t>
  </si>
  <si>
    <t>An instructional program that describes the scientific and mathematical study of the behavior of astronomical phenomena and related physico-chemical interactions, and the experimental laboratory simulation of these phenomena.  Includes instruction in cosmology, plasma kinetics, stellar physics, convolution and nonequilibrium radiation transfer theory, non-Euclidian geometries, mathematical modelling, galactic structure theory, and relativistic astronomy.</t>
  </si>
  <si>
    <t>400301</t>
  </si>
  <si>
    <t>40.0400</t>
  </si>
  <si>
    <t>Atmospheric Sciences &amp; Meteorology</t>
  </si>
  <si>
    <t>A group of instructional programs that describes the scientific study of the composition and behavior of the atmospheric envelopes surrounding the earth and other planets, the effect of earth's atmosphere on terrestrial weather, and related problems of environment and climate.  Includes instruction in atmospheric chemistry and physics, atmospheric dynamics, climatology and climate change, weather simulation, weather forecasting, climate modelling and mathematical theory; and studies of specific phenomena such as clouds, weather systems, storms, and precipitation patterns.</t>
  </si>
  <si>
    <t>400400</t>
  </si>
  <si>
    <t>40.0401</t>
  </si>
  <si>
    <t>An instructional program that describes the scientific study of the composition and behavior of the atmospheric envelopes surrounding the earth and other planets, the effect of earth's atmosphere on terrestrial weather, and related problems of environment and climate.  Includes instruction in atmospheric chemistry and physics, atmospheric dynamics, climatology and climate change, weather simulation, weather forecasting, climate modelling and mathematical theory; and studies of specific phenomena such as clouds, weather systems, storms, and precipitation patterns.</t>
  </si>
  <si>
    <t>400401</t>
  </si>
  <si>
    <t>40.0500</t>
  </si>
  <si>
    <t>Chemistry</t>
  </si>
  <si>
    <t>A group of instructional programs that describes the scientific study of the composition and behavior of matter, including its micro  and macro structure, the processes of chemical change, and the theoretical description and laboratory simulation of these phenomena.</t>
  </si>
  <si>
    <t>400500</t>
  </si>
  <si>
    <t>40.0501</t>
  </si>
  <si>
    <t>Chemistry, General</t>
  </si>
  <si>
    <t>A group of instructional programs that generally describes the scientific study of the composition and behavior of matter, including its micro  and macro structure, the processes of chemical change, and the theoretical description and laboratory simulation of these phenomena.</t>
  </si>
  <si>
    <t>400501</t>
  </si>
  <si>
    <t>40.0502</t>
  </si>
  <si>
    <t>Analytical Chemistry</t>
  </si>
  <si>
    <t>An instructional program that describes the scientific study of techniques for analyzing and describing matter, including its precise composition and the interrelationships of constituent elements and compounds.  Includes instruction in spectroscopy, chromatography, atomic absorption, photometry, chemical modelling, mathematical analysis, laboratory analysis procedures and equipment maintenance, and applications to specific research, industrial and health problems.</t>
  </si>
  <si>
    <t>400502</t>
  </si>
  <si>
    <t>40.0503</t>
  </si>
  <si>
    <t>Inorganic Chemistry</t>
  </si>
  <si>
    <t>An instructional program that describes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</si>
  <si>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400503</t>
  </si>
  <si>
    <t>40.0504</t>
  </si>
  <si>
    <t>Organic Chemistry</t>
  </si>
  <si>
    <t>An instructional program that describes the scientific study of the properties and behavior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</si>
  <si>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400504</t>
  </si>
  <si>
    <t>40.0505</t>
  </si>
  <si>
    <t>Medicinal/Pharmaceutical Chemistry</t>
  </si>
  <si>
    <t>An instructional program that describes the scientific study of the structural and reactive properties of natural and synthetic compounds intended for applications to human or animal medicine, pharmaceutical industrial uses, or treatment of plant disease.  Includes instruction in molecular synthesis, drug design, properties of natural organic compounds, cosmetic chemistry, chemical manufacturing systems, drug behavior and host metabolism, and specific applications to health and industrial problems.</t>
  </si>
  <si>
    <t>400505</t>
  </si>
  <si>
    <t>40.0506</t>
  </si>
  <si>
    <t>Physical &amp; Theoretical Chemistry</t>
  </si>
  <si>
    <t>An instructional program that describes the scientific study of the theoretical properties of matter, and the relation of physical forces and phenomena to the chemical structure and behavior of molecules and other compounds.  Includes instruction in reaction theory, calculation of potential molecular properties and behavior, computer simulation of structures and actions, transition theory, statistical mechanics, phase studies, quantum chemistry, and the study of surface properties.</t>
  </si>
  <si>
    <t>400506</t>
  </si>
  <si>
    <t>40.0507</t>
  </si>
  <si>
    <t>Polymer Chemistry</t>
  </si>
  <si>
    <t>An instructional program that describes the scientific study of synthesized macromolecule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</si>
  <si>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400507</t>
  </si>
  <si>
    <t>40.0599</t>
  </si>
  <si>
    <t>Chemistry, Other</t>
  </si>
  <si>
    <t>Any instructional program in chemistry not described elsewhere in this group of instructional programs.</t>
  </si>
  <si>
    <t>400599</t>
  </si>
  <si>
    <t>40.0600</t>
  </si>
  <si>
    <t>Geological &amp; Related Sciences</t>
  </si>
  <si>
    <t>A group of instructional programs that describe the natural history and physical properties of the earth.</t>
  </si>
  <si>
    <t>400600</t>
  </si>
  <si>
    <t>40.0601</t>
  </si>
  <si>
    <t>Geology</t>
  </si>
  <si>
    <t>An instructional program that describes the scientific study of the earth; the forces acting upon it; and the behavior of the solids, liquids and gases comprising it.  Includes instruction in historical geology, geomorphology, sedimentology, the chemistry of rocks and soils, stratigraphy, mineralogy, petrology, geostatistics, volcanology, glaciology, geophysical principles, and applications to research and industrial problems.</t>
  </si>
  <si>
    <t>400601</t>
  </si>
  <si>
    <t>40.0602</t>
  </si>
  <si>
    <t>Geochemistry</t>
  </si>
  <si>
    <t>An instructional program that describes the scientific study of the chemical properties and behavior of the silicates and other substances forming, and formed by geomorphological processes of the earth and other planets.  Includes instruction in chemical thermodynamics, equilibria in silicate systems, atomic bonding, isotopic fractionation, geochemical modelling, specimen analysis, and studies of specific organic and inorganic substances.</t>
  </si>
  <si>
    <t>400602</t>
  </si>
  <si>
    <t>40.0603</t>
  </si>
  <si>
    <t>Geophysics &amp; Seismology</t>
  </si>
  <si>
    <t>An instructional program that describes the scientific study of the physics of solids and its application to the study of the earth and other planets.  Includes instruction in gravimetric, seismology, earthquake forecasting, magnetrometry, electrical properties of solid bodies, plate tectonics, thermodynamics, remote sensing, and laboratory simulations of geological processes.</t>
  </si>
  <si>
    <t>400603</t>
  </si>
  <si>
    <t>40.0604</t>
  </si>
  <si>
    <t>Paleontology</t>
  </si>
  <si>
    <t>An instructional program that describes the scientific study of extinct life forms and associated fossil remains, and the reconstruction and analysis of ancient life forms, ecosystems, and geologic processes.  Includes instruction in sedimentation and fossilization processes, fossil chemistry, evolutionary biology and paleobiology, field research methods, and laboratory research and conservation methods; as well as studies of specific subjects such as paleoecology, paleoclimatology, trace fossils, micropaleontology, invertebrate paleontology, vertebrate paleontology, paleobotany, and paleoceanography.</t>
  </si>
  <si>
    <t>400604</t>
  </si>
  <si>
    <t>40.0699</t>
  </si>
  <si>
    <t>Geological &amp; Related Sciences, Other</t>
  </si>
  <si>
    <t>Any instructional program in geological and related sciences not described elsewhere in this group of programs.</t>
  </si>
  <si>
    <t>400699</t>
  </si>
  <si>
    <t>40.0700</t>
  </si>
  <si>
    <t>Miscellaneous Physical Sciences</t>
  </si>
  <si>
    <t>A group of instructional programs that describe specialized areas of the physical sciences not in the other physical sciences groupings.</t>
  </si>
  <si>
    <t>400700</t>
  </si>
  <si>
    <t>40.0701</t>
  </si>
  <si>
    <t>Metallurgy</t>
  </si>
  <si>
    <t>An instructional program that describes the scientific study of the chemical and physical properties of metals and related compounds in their solid, liquid, and gaseous states, together with applications to industrial problems.  Includes instruction in X-Ray diffraction, metallurgical microscopy, solid-state chemistry, thermodynamics of solids and solutions, crystallography, surface physics, molecular bonding, electrodynamics of metals, elasticity and mechanical properties, and processing behavior.</t>
  </si>
  <si>
    <t>400701</t>
  </si>
  <si>
    <t>40.0702</t>
  </si>
  <si>
    <t>Oceanography</t>
  </si>
  <si>
    <t>An instructional program that describes the scientific study of the oceans and associated phenomena, including the land/water and water/atmosphere boundaries.  Includes instruction in physical oceanography, marine chemistry, marine geology, and biological oceanography; and applications to specific research problems such as coastal erosion, seawater corrosion and reactive behavior, seafloor volcanism, underwater acoustics and optics, oceanic environments and conservation, and global climate change.</t>
  </si>
  <si>
    <t>400702</t>
  </si>
  <si>
    <t>40.0703</t>
  </si>
  <si>
    <t>Earth &amp; Planetary Sciences</t>
  </si>
  <si>
    <t>An instructional program that describes the scientific study of the earth and other planets as comprehensive physical systems incorporating solid, liquid, gas, and radiation constituents, as well as exhibiting interactions with other systems.  Includes instruction in planetary evolution, gravitational physics, atmospheric evolution, volcanism and crustal movement studies, organic systems and ecologies, orbital mechanics, radiation physics, and the study of planetary and satellite systems.</t>
  </si>
  <si>
    <t>400703</t>
  </si>
  <si>
    <t>40.0800</t>
  </si>
  <si>
    <t>Physics</t>
  </si>
  <si>
    <t>A group of instructional programs that describes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</si>
  <si>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400800</t>
  </si>
  <si>
    <t>40.0801</t>
  </si>
  <si>
    <t>Physics, General</t>
  </si>
  <si>
    <t>An instructional program that generally describes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</si>
  <si>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400801</t>
  </si>
  <si>
    <t>40.0802</t>
  </si>
  <si>
    <t>Chemical &amp; Atomic/Molecular Physics</t>
  </si>
  <si>
    <t>An instructional program that describes the scientific study of the behavior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</si>
  <si>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400802</t>
  </si>
  <si>
    <t>40.0804</t>
  </si>
  <si>
    <t>Elementary Particle Physics</t>
  </si>
  <si>
    <t>An instructional program that describes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</si>
  <si>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400804</t>
  </si>
  <si>
    <t>40.0805</t>
  </si>
  <si>
    <t>Plasma &amp; High-Temperature Physics</t>
  </si>
  <si>
    <t>An instructional program that describes the scientific study of the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modelling, and research equipment operation and maintenance.</t>
  </si>
  <si>
    <t>400805</t>
  </si>
  <si>
    <t>40.0806</t>
  </si>
  <si>
    <t>Nuclear Physics</t>
  </si>
  <si>
    <t>An instructional program that describes the scientific study of the properties and behavior of atomic nuclei instruction in nuclear reaction theory, quantum mechanics, energy conservation, nuclear fission and fusion, strong and weak atomic forces, nuclear modelling, nuclear decay, nucleon scattering, pairing, photon and electron reactions, statistical methods, and research equipment operation and maintenance.</t>
  </si>
  <si>
    <t>400806</t>
  </si>
  <si>
    <t>40.0807</t>
  </si>
  <si>
    <t>Optics</t>
  </si>
  <si>
    <t>An instructional program that describes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coherence and chaotic light, non-linear optics, harmonic generation, optical systems theory, and applications to engineering problems.</t>
  </si>
  <si>
    <t>400807</t>
  </si>
  <si>
    <t>40.0808</t>
  </si>
  <si>
    <t>Solid State &amp; Low-Temperature Physics</t>
  </si>
  <si>
    <t>An instructional program that describes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modelling, and research equipment operation and maintenance.</t>
  </si>
  <si>
    <t>400808</t>
  </si>
  <si>
    <t>40.0809</t>
  </si>
  <si>
    <t>Acoustics</t>
  </si>
  <si>
    <t>An instructional program that describes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</si>
  <si>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400809</t>
  </si>
  <si>
    <t>40.0810</t>
  </si>
  <si>
    <t>Theoretical &amp; Mathematical Physics</t>
  </si>
  <si>
    <t>An instructional program that describes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</si>
  <si>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400810</t>
  </si>
  <si>
    <t>40.0899</t>
  </si>
  <si>
    <t>Physics, Other</t>
  </si>
  <si>
    <t>Any instructional program in physics not described elsewhere in this group of instructional programs.</t>
  </si>
  <si>
    <t>400899</t>
  </si>
  <si>
    <t>40.9900</t>
  </si>
  <si>
    <t>Physical Sciences, Other</t>
  </si>
  <si>
    <t>Any instructional program in physical sciences not described elsewhere in this group of programs.</t>
  </si>
  <si>
    <t>409900</t>
  </si>
  <si>
    <t>40.9999</t>
  </si>
  <si>
    <t>409999</t>
  </si>
  <si>
    <t>41</t>
  </si>
  <si>
    <t>41.0000</t>
  </si>
  <si>
    <t>Science Technologies</t>
  </si>
  <si>
    <t>A summary of groups of instruction-al programs that prepare individuals to apply scientific principles and technical skills in support of scientific research and development.</t>
  </si>
  <si>
    <t>410000</t>
  </si>
  <si>
    <t>41.0100</t>
  </si>
  <si>
    <t>Biological Technologies</t>
  </si>
  <si>
    <t>A group of instructional programs that prepares individuals to apply scientific principles and technical skills in support of biologists in research and industrial settings.  Includes instruction in field research and laboratory methods.</t>
  </si>
  <si>
    <t>410100</t>
  </si>
  <si>
    <t>41.0101</t>
  </si>
  <si>
    <t>Biological Technology/Technician</t>
  </si>
  <si>
    <t>An instructional program that prepares individuals to apply scientific principles and technical skills in support of biologists in research and industrial settings.  Includes instruction in field research and laboratory methods.</t>
  </si>
  <si>
    <t>410101</t>
  </si>
  <si>
    <t>41.0200</t>
  </si>
  <si>
    <t>Nuclear &amp; Industrial Radiologic Technologies</t>
  </si>
  <si>
    <t>A group of instructional programs that prepare individuals to apply scientific principles and technical skills in support of design, testing and operational procedures related to the industrial use of radioisotopes and nuclear energy.</t>
  </si>
  <si>
    <t>410200</t>
  </si>
  <si>
    <t>41.0204</t>
  </si>
  <si>
    <t>Industrial Radiologic Technology/Technician</t>
  </si>
  <si>
    <t>An instructional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thicknesses.</t>
  </si>
  <si>
    <t>410204</t>
  </si>
  <si>
    <t>41.0205</t>
  </si>
  <si>
    <t>Nuclear/Nuclear Power Technology/Technician</t>
  </si>
  <si>
    <t>An instructional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</si>
  <si>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410205</t>
  </si>
  <si>
    <t>41.0299</t>
  </si>
  <si>
    <t>Nuclear &amp; Industrial Radiologic Tech/Technicians, Other</t>
  </si>
  <si>
    <t>Any instructional program in nuclear and industrial radiologic technologies not described elsewhere in this group of instructional programs.</t>
  </si>
  <si>
    <t>410299</t>
  </si>
  <si>
    <t>41.0300</t>
  </si>
  <si>
    <t>Physical Science Technologies</t>
  </si>
  <si>
    <t>A group of instructional programs that prepare individuals to apply scientific principles and technical skills in support of physical science research and development projects.</t>
  </si>
  <si>
    <t>410300</t>
  </si>
  <si>
    <t>41.0301</t>
  </si>
  <si>
    <t>Chemical Technology/Technician</t>
  </si>
  <si>
    <t>An instructional program that prepares individuals to apply scientific principles and technical skills in support of chemical research and  industrial operations.  Includes instruction in laboratory research methods, industrial processing methods and equipment, and instrumentation and test equipment operation and maintenance.</t>
  </si>
  <si>
    <t>410301</t>
  </si>
  <si>
    <t>41.0399</t>
  </si>
  <si>
    <t>Physical Science Technologies/Technicians, Other</t>
  </si>
  <si>
    <t>Any instructional program in physical science technologies not described elsewhere in this group of programs.</t>
  </si>
  <si>
    <t>410399</t>
  </si>
  <si>
    <t>41.9900</t>
  </si>
  <si>
    <t>Science Technologies, Other</t>
  </si>
  <si>
    <t>Any instructional program in science technologies not described elsewhere in this group of instructional programs.</t>
  </si>
  <si>
    <t>419900</t>
  </si>
  <si>
    <t>41.9999</t>
  </si>
  <si>
    <t>Science Technologies/Technicians, Other</t>
  </si>
  <si>
    <t>419999</t>
  </si>
  <si>
    <t>42.0000</t>
  </si>
  <si>
    <t>Psychology</t>
  </si>
  <si>
    <t>A summary of groups of instructional programs that describe the scientific study of the behavior of individuals, independently or collectively, and the physical and environmental bases of mental, emotional and neurolog-ical activity.</t>
  </si>
  <si>
    <t>An instructional program that describes the application of statistical methods and techniques to the study of living organisms and biological systems.  Includes instruction in experimental design and data analysis, projection methods, descriptive statistics, and specific applications to biological subdisciplines.</t>
  </si>
  <si>
    <t>260615</t>
  </si>
  <si>
    <t>26.0616</t>
  </si>
  <si>
    <t>Biotechnology Research</t>
  </si>
  <si>
    <t>An instructional program that describes the application of the biological sciences to the development of medical and industrial products and processes, and the methods and equipment used in these procedures.  Includes instruction in genetic engineering, cell technology, protein synthesis, applied biology, artificial enzyme production, biomaterial development, and drug therapy mechanisms.</t>
  </si>
  <si>
    <t>260616</t>
  </si>
  <si>
    <t>26.0617</t>
  </si>
  <si>
    <t>Evolutionary Biology</t>
  </si>
  <si>
    <t>An instructional program that describes the scientific study of the generation of organismic traits and of shared traits across taxonomic classifications, and the refinement of related theory and experimental methods.  Includes instruction in the process of heredity, genetic mutation and variation, phenotype determination, ecological determinants of species survival and adaptation, population genetics, taxonomic classification, developmental biology, and paleontology.</t>
  </si>
  <si>
    <t>260617</t>
  </si>
  <si>
    <t>26.0618</t>
  </si>
  <si>
    <t>Biological Immunology</t>
  </si>
  <si>
    <t>An instructional program that describes the scientific study of organismic responses to, and defenses against, invasive foreign substances and parasitical life forms.  Includes instruction in the anatomy and physiology of immune systems, autoimmune responses, disease response mechanisms and triggers, antigen receptors, membrane transfer, the histocompatibility complex, immunogenetics, immunochemistry, and immune system regulation.</t>
  </si>
  <si>
    <t>260618</t>
  </si>
  <si>
    <t>26.0619</t>
  </si>
  <si>
    <t>Virology</t>
  </si>
  <si>
    <t>An instructional program that describes the scientific study of viruses, a group of parasitical subcellular biologic entities.   Includes instruction in viral classification, genetic effects of viral infestations, viral genome and phonemes, viruses as cancer agents, viral applications in genetic research and engineering, and the development of antiviral drugs and other therapies.</t>
  </si>
  <si>
    <t>260619</t>
  </si>
  <si>
    <t>26.0699</t>
  </si>
  <si>
    <t>Miscellaneous Biological Specializations, Other</t>
  </si>
  <si>
    <t>Any instructional program in miscellaneous biological specializations, not described elsewhere in this groups of instructional programs .</t>
  </si>
  <si>
    <t>260699</t>
  </si>
  <si>
    <t>26.0700</t>
  </si>
  <si>
    <t>Zoology</t>
  </si>
  <si>
    <t>A group of instructional programs that describe the scientific study of animals, including their structure, reproduction, growth, heredity, evolution, behavior, and distribution.</t>
  </si>
  <si>
    <t>260700</t>
  </si>
  <si>
    <t>26.0701</t>
  </si>
  <si>
    <t>Zoology, General</t>
  </si>
  <si>
    <t>An instructional program that generally describes the scientific study of animals, including their structure, reproduction, growth, heredity, evolution, behavior, and distribution.</t>
  </si>
  <si>
    <t>260701</t>
  </si>
  <si>
    <t>26.0702</t>
  </si>
  <si>
    <t>Entomology</t>
  </si>
  <si>
    <t>An instructional program that describes the scientific study of insects, including life cycle, morphology, physiology, ecology, taxonomy, population dynamics, genetics, and ecosystem relations.  Includes instruction in the biological and chemical control of insects, and the development of insecticide agents.</t>
  </si>
  <si>
    <t>260702</t>
  </si>
  <si>
    <t>26.0704</t>
  </si>
  <si>
    <t>Pathology, Human &amp; Animal</t>
  </si>
  <si>
    <t>An instructional program that describes the scientific study of the nature, causes, and development of human and animal diseases, and the mechanisms of disease infestation and transfer.  Includes instruction in human and animal pathobiology, disease morphology, disease biochemistry, physiology of disease and cell injury, and immunopathology.</t>
  </si>
  <si>
    <t>260704</t>
  </si>
  <si>
    <t>26.0705</t>
  </si>
  <si>
    <t>Pharmacology, Human &amp; Animal</t>
  </si>
  <si>
    <t>An instructional program that describes the scientific study of the therapeutic and toxic effects of drugs on living tissues and entire organisms.  Includes instruction in pharmacodynamic behavior, drug metabolism, chemical pharmacology, the physiological effects of chemical substances on human beings and animals, therapeutic applications, chemical profile analysis, and rational drug design.</t>
  </si>
  <si>
    <t>260705</t>
  </si>
  <si>
    <t>26.0706</t>
  </si>
  <si>
    <t>Physiology, Human &amp; Animal</t>
  </si>
  <si>
    <t>An instructional program that describes the scientific study of organismic and systemic function and behavior in humans and animals, including processes such as respiration, circulation, digestion, excretion, and reproduction.</t>
  </si>
  <si>
    <t>260706</t>
  </si>
  <si>
    <t>26.0799</t>
  </si>
  <si>
    <t>Zoology, Other</t>
  </si>
  <si>
    <t>Any instructional program in zoology not described elsewhere in this group of instructional programs.</t>
  </si>
  <si>
    <t>260799</t>
  </si>
  <si>
    <t>26.9900</t>
  </si>
  <si>
    <t>Biological Sciences/Life Sciences, Other</t>
  </si>
  <si>
    <t>Any instructional program in biological sciences not described elsewhere in this group of instructional programs.</t>
  </si>
  <si>
    <t>269900</t>
  </si>
  <si>
    <t>26.9999</t>
  </si>
  <si>
    <t>269999</t>
  </si>
  <si>
    <t>27</t>
  </si>
  <si>
    <t>27.0000</t>
  </si>
  <si>
    <t>Mathematics</t>
  </si>
  <si>
    <t>A summary of groups of instructional pro-grams that describe the systematic study of logical symbolic language and its applications.</t>
  </si>
  <si>
    <t>270000</t>
  </si>
  <si>
    <t>27.0100</t>
  </si>
  <si>
    <t>A group of instructional programs that describes the rigorous analysis of quantities, magnitudes, forms, and their relationships, using symbolic logic and language.  Includes instruction in algebra, calculus, functional analysis, geometry, number theory, logic, topology and other mathematical specializations.</t>
  </si>
  <si>
    <t>270100</t>
  </si>
  <si>
    <t>27.0101</t>
  </si>
  <si>
    <t>An instructional program that describes the rigorous analysis of quantities, magnitudes, forms, and their relationships, using symbolic logic and language.  Includes instruction in algebra, calculus, functional analysis, geometry, number theory, logic, topology and other mathematical specializations.</t>
  </si>
  <si>
    <t>270101</t>
  </si>
  <si>
    <t>27.0300</t>
  </si>
  <si>
    <t>Applied Mathematics</t>
  </si>
  <si>
    <t>A group of instructional programs that describes the application of mathematical principles to the solution of functional area problems, using the knowledge base of the subject or field for which the analytical procedures are being developed.  Includes instruction in computer-assisted mathematical analysis and the development of tailored algorithms for solving specific research problems.</t>
  </si>
  <si>
    <t>270300</t>
  </si>
  <si>
    <t>27.0301</t>
  </si>
  <si>
    <t>Applied Mathematics, General</t>
  </si>
  <si>
    <t xml:space="preserve">An instructional program that describes the application of mathematical principles to the solution of functional area problems, using the knowledge base of the subject or field for which the analytical procedures are being developed.  Includes instruction in computer-assisted mathematical analysis and the development of tailored algorithms for solving specific research problems.  </t>
  </si>
  <si>
    <t>270301</t>
  </si>
  <si>
    <t>27.0302</t>
  </si>
  <si>
    <t>Operations Research</t>
  </si>
  <si>
    <t>An instructional program that describes the development and application of complex mathematical or simulation models to solve problems involving  operational systems, where the system concerned is subject to human intervention.  Includes instruction in advanced multivariate analysis, application of judgement and statistical tests, optimization theory and techniques, resource allocation theory, mathematical modelling, control theory, statistical analysis, and applications to specific research problems.</t>
  </si>
  <si>
    <t>270302</t>
  </si>
  <si>
    <t>27.0399</t>
  </si>
  <si>
    <t>Applied Mathematics, Other</t>
  </si>
  <si>
    <t>Any instructional programs in applied mathematics not described elsewhere in this group of instructional programs.</t>
  </si>
  <si>
    <t>270399</t>
  </si>
  <si>
    <t>27.0500</t>
  </si>
  <si>
    <t>Mathematical Statistics</t>
  </si>
  <si>
    <t>A group of instructional programs that describes the mathematical theory and proofs forming the basis of probability and inference, and their applications to the collection, analysis and description of data.  Includes instruction in statistical theory, experimental analysis, sampling techniques, survey research, projections, and related evaluations of numerical data.</t>
  </si>
  <si>
    <t>270500</t>
  </si>
  <si>
    <t>27.0501</t>
  </si>
  <si>
    <t>An instructional program that describes the mathematical theory and proofs forming the basis of probability and inference, and their applications to the collection, analysis and description of data.  Includes instruction in statistical theory, experimental analysis, sampling techniques, survey research, projections, and related evaluations of numerical data.</t>
  </si>
  <si>
    <t>270501</t>
  </si>
  <si>
    <t>27.9900</t>
  </si>
  <si>
    <t>Mathematics, Other</t>
  </si>
  <si>
    <t>Any instructional programs in mathematics not described elsewhere in this group of instructional programs.</t>
  </si>
  <si>
    <t>279900</t>
  </si>
  <si>
    <t>27.9999</t>
  </si>
  <si>
    <t>Any instructional program in mathematics not described elsewhere in this group of instructional programs.</t>
  </si>
  <si>
    <t>279999</t>
  </si>
  <si>
    <t>28</t>
  </si>
  <si>
    <t>28.0000</t>
  </si>
  <si>
    <t>Reserve Officers' Training Corps (R.O.T.C.)</t>
  </si>
  <si>
    <t>A summary of groups of instructional programs preparing individuals for entry into the armed forces of the United States as cadets or commissioned officers.</t>
  </si>
  <si>
    <t>280000</t>
  </si>
  <si>
    <t>28.0100</t>
  </si>
  <si>
    <t>Air Force Reserve Officers' Training Corps (R.O.T.C)</t>
  </si>
  <si>
    <t>A group of instructional programs that prepare individuals for commissioning as reserve or active duty officers in the United States Air Force, or for entry into an approved senior A.F.R.O.T.C. commissioning program.</t>
  </si>
  <si>
    <t>280100</t>
  </si>
  <si>
    <t>28.0101</t>
  </si>
  <si>
    <t>Air Force R.O.T.C./Air Science</t>
  </si>
  <si>
    <t>An instructional program that prepares individuals for commissioning as reserve or active duty officers in the United States Air Force, or for entry into an approved senior A.F.R.O.T.C. commissioning program.</t>
  </si>
  <si>
    <t>280101</t>
  </si>
  <si>
    <t>28.0300</t>
  </si>
  <si>
    <t>Army Reserve Officers' Training Corps (R.O.T.C)</t>
  </si>
  <si>
    <t>A group of instructional programs that prepare individuals for commissioning as reserve or active duty officers in the United States Army, or for entry into an approved senior A.R.O.T.C. commissioning program.</t>
  </si>
  <si>
    <t>280300</t>
  </si>
  <si>
    <t>28.0301</t>
  </si>
  <si>
    <t>Army R.O.T.C./Military Science</t>
  </si>
  <si>
    <t>An instructional program that prepares individuals for commissioning as reserve or active duty officers in the United States Army, or for entry into an approved senior A.R.O.T.C. commissioning program.</t>
  </si>
  <si>
    <t>280301</t>
  </si>
  <si>
    <t>28.0400</t>
  </si>
  <si>
    <t>Navy/Marine Corps Reserve Officers' Training Corps (ROTC)</t>
  </si>
  <si>
    <t>A group of instructional programs that prepare individuals for commissioning as reserve or active duty officers in the United States Navy or Marine Corps, or for entry into an approved senior N.R.O.T.C. commissioning program.</t>
  </si>
  <si>
    <t>280400</t>
  </si>
  <si>
    <t>28.0401</t>
  </si>
  <si>
    <t>Navy/Marine Corps R.O.T.C./Naval Science</t>
  </si>
  <si>
    <t>An instructional program that prepares individuals for commissioning as reserve or active duty officers in the United States Navy or Marine Corps, or for entry into an approved senior N.R.O.T.C. commissioning program.</t>
  </si>
  <si>
    <t>280401</t>
  </si>
  <si>
    <t>30.1500</t>
  </si>
  <si>
    <t>Science, Technology &amp; Society</t>
  </si>
  <si>
    <t>A group of instructional programs that describes the contemporary social and public policy ramifications of science and technology, the interrelationship of science and engineering with the public policy process, and the social and ethical dimensions of scientific and technological enterprises.</t>
  </si>
  <si>
    <t>301500</t>
  </si>
  <si>
    <t>30.1501</t>
  </si>
  <si>
    <t>An instructional program that describes the contemporary social and public policy ramifications of science and technology, the interrelationship of science and engineering with the public policy process, and the social and ethical dimensions of scientific and technological enterprises.</t>
  </si>
  <si>
    <t>301501</t>
  </si>
  <si>
    <t>30.9900</t>
  </si>
  <si>
    <t>Multi/Interdisciplinary Studies, Other</t>
  </si>
  <si>
    <t>Any instructional program in multi/interdisciplinary studies not described elsewhere in this group of programs.</t>
  </si>
  <si>
    <t>309900</t>
  </si>
  <si>
    <t>30.9999</t>
  </si>
  <si>
    <t>309999</t>
  </si>
  <si>
    <t>31</t>
  </si>
  <si>
    <t>31.0000</t>
  </si>
  <si>
    <t>Parks, Recreation, Leisure and Fitness Studies</t>
  </si>
  <si>
    <t>A summary of groups of instruction-al programs that describe the principles and practices of managing parks and other recreational and fitness facilities; providing recreational, leisure and fitness services; and the study of human fitness.</t>
  </si>
  <si>
    <t>310000</t>
  </si>
  <si>
    <t>31.0100</t>
  </si>
  <si>
    <t>Parks, Recreation &amp; Leisure Studies</t>
  </si>
  <si>
    <t>A group of instructional programs that describes the study of the principles underlying recreational and leisure activities, and the practices involved in providing indoor and outdoor recreational facilities and services for the general public.</t>
  </si>
  <si>
    <t>310100</t>
  </si>
  <si>
    <t>31.0101</t>
  </si>
  <si>
    <t>An instructional program that describes the study of the principles underlying recreational and leisure activities, and the practices involved in providing indoor and outdoor recreational facilities and services for the general public.</t>
  </si>
  <si>
    <t>310101</t>
  </si>
  <si>
    <t>31.0300</t>
  </si>
  <si>
    <t>Parks, Recreation &amp; Leisure Facilities Management</t>
  </si>
  <si>
    <t>A group of instructional programs that prepares individuals to develop and manage park facilities and other indoor and outdoor recreation and leisure facilities.  Includes instruction in supervising support personnel, health and safety standards, public relations, and basic business and marketing principles.</t>
  </si>
  <si>
    <t>310300</t>
  </si>
  <si>
    <t>31.0301</t>
  </si>
  <si>
    <t>An instructional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</si>
  <si>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310301</t>
  </si>
  <si>
    <t>31.0500</t>
  </si>
  <si>
    <t>Health &amp; Physical Education/Fitness</t>
  </si>
  <si>
    <t>A group of instructional programs that describe the study of human physiology and behavior as applied to sports, and the leadership and management of physical fitness and sports services.</t>
  </si>
  <si>
    <t>310500</t>
  </si>
  <si>
    <t>31.0501</t>
  </si>
  <si>
    <t>Health &amp; Physical Education, General</t>
  </si>
  <si>
    <t>An instructional program that generally describes the study and practice of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</si>
  <si>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310501</t>
  </si>
  <si>
    <t>31.0502</t>
  </si>
  <si>
    <t>Adapted Physical Education/Therapeutic Recreation</t>
  </si>
  <si>
    <t>An instructional program that describes the provision of physical education and fitness instruction and therapy to children and adults with special learning needs, disabilities, or diagnosed medical conditions, and that prepares individuals to provide and supervise appropriate activities for such persons.  Includes instruction in the planning and administration of adapted and therapeutic fitness programs; the supervision of special fitness and rehabilitative students and clients; student and patient counseling and referral; record-keeping; and applicable legal and administrative regulations.</t>
  </si>
  <si>
    <t>310502</t>
  </si>
  <si>
    <t>31.0503</t>
  </si>
  <si>
    <t>Athletic Training &amp; Sports Medicine</t>
  </si>
  <si>
    <t>An instructional program that prepares individuals to prevent and treat athletic injuries, to perform related rehabilitative therapy, and to manage the provision of health and treatment services to athletes.  Includes instruction in basic sports medicine, dietetics, movement and motivation sciences, administering preventive and treatment remedies, equipment maintenance, clinic management, and patient education and counseling.</t>
  </si>
  <si>
    <t>310503</t>
  </si>
  <si>
    <t>31.0504</t>
  </si>
  <si>
    <t>Sport &amp; Fitness Administration/Management</t>
  </si>
  <si>
    <t>An instructional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</si>
  <si>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310504</t>
  </si>
  <si>
    <t>31.0505</t>
  </si>
  <si>
    <t>Exercise Sciences/Physiology &amp; Movement Studies</t>
  </si>
  <si>
    <t>An instructional program that describes the scientific study of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t>
  </si>
  <si>
    <t>310505</t>
  </si>
  <si>
    <t>31.0506</t>
  </si>
  <si>
    <t>Socio-Psychological Sports Studies</t>
  </si>
  <si>
    <t>An instructional program that describes the scientific study of human motivation as applied to athletic performance, and the related social and cultural factors affecting the organization and behavior of sports and participants.  Includes instruction in sports psychology, sociology of sports, studies of sports and coaching theory, motivational research, and the psychological aspects of motor behavior.</t>
  </si>
  <si>
    <t>310506</t>
  </si>
  <si>
    <t>31.0599</t>
  </si>
  <si>
    <t>Health &amp; Physical Education/Fitness, Other</t>
  </si>
  <si>
    <t>Any instructional program in health and physical education/fitness not described elsewhere in this program.</t>
  </si>
  <si>
    <t>310599</t>
  </si>
  <si>
    <t>31.9900</t>
  </si>
  <si>
    <t>Parks, Recreation, Leisure &amp; Fitness Studies, Other</t>
  </si>
  <si>
    <t>Any instructional programs in parks, recreation, leisure and fitness studies not described elsewhere in this program.</t>
  </si>
  <si>
    <t>319900</t>
  </si>
  <si>
    <t>31.9999</t>
  </si>
  <si>
    <t>Any instructional program in parks, recreation, leisure and fitness studies not described elsewhere in this program.</t>
  </si>
  <si>
    <t>319999</t>
  </si>
  <si>
    <t>32</t>
  </si>
  <si>
    <t>32.0000</t>
  </si>
  <si>
    <t>Basic Skills</t>
  </si>
  <si>
    <t>A summary of groups of instructional pro-grams that describe fundamental knowledge and skills that individuals need in order to function productively in society.</t>
  </si>
  <si>
    <t>320000</t>
  </si>
  <si>
    <t>32.0100</t>
  </si>
  <si>
    <t>A group of instructional programs that describes fundamental knowledge and skills that individuals need in order to function productively in society.</t>
  </si>
  <si>
    <t>320100</t>
  </si>
  <si>
    <t>32.0101</t>
  </si>
  <si>
    <t>Basic Skills, General</t>
  </si>
  <si>
    <t>An instructional program that generally describes fundamental knowledge and skills that individuals need in order to function productively in society.</t>
  </si>
  <si>
    <t>320101</t>
  </si>
  <si>
    <t>32.0104</t>
  </si>
  <si>
    <t>Computational Skills</t>
  </si>
  <si>
    <t>An instructional program that describes the development of computing and other mathematical reasoning abilities.</t>
  </si>
  <si>
    <t>320104</t>
  </si>
  <si>
    <t>32.0105</t>
  </si>
  <si>
    <t>Job-Seeking/Changing Skills</t>
  </si>
  <si>
    <t>An instructional program that describes the development of skills related to job searches and self marketing.  Includes instruction in assessing one's own capabilities and skills;  filling out an application; and handling an interview.</t>
  </si>
  <si>
    <t>320105</t>
  </si>
  <si>
    <t>32.0107</t>
  </si>
  <si>
    <t>Career Exploration/Awareness Skills</t>
  </si>
  <si>
    <t>An instructional program that describes the linkage between individual capabilities and needs and the job market.  Includes instruction in the variety and scope of available employment, how to access job information, and techniques of self analysis.</t>
  </si>
  <si>
    <t>320107</t>
  </si>
  <si>
    <t>32.0108</t>
  </si>
  <si>
    <t>Reading, Literacy &amp; Communication Skills</t>
  </si>
  <si>
    <t>An instructional program that describes the development of reading, writing, and speaking abilities that are needed to perform day to day tasks.  Includes instruction in the use of basic communication skills to develop and transmit ideas and thoughts.</t>
  </si>
  <si>
    <t>320108</t>
  </si>
  <si>
    <t>32.0199</t>
  </si>
  <si>
    <t>Basic Skills, Other</t>
  </si>
  <si>
    <t>Any instructional program in basic skills not described elsewhere in this group of instructional programs.</t>
  </si>
  <si>
    <t>320199</t>
  </si>
  <si>
    <t>33</t>
  </si>
  <si>
    <t>33.0000</t>
  </si>
  <si>
    <t>Citizenship Activities</t>
  </si>
  <si>
    <t>A summary of groups of instruc-tional programs that prepare individuals for citizenship, and describe how citizens may engage in civic activities.</t>
  </si>
  <si>
    <t>330000</t>
  </si>
  <si>
    <t>33.0100</t>
  </si>
  <si>
    <t>An instructional program that generally prepares individuals for citizenship, and describes how citizens may engage in civic activities.</t>
  </si>
  <si>
    <t>330100</t>
  </si>
  <si>
    <t>33.0101</t>
  </si>
  <si>
    <t>Citizenship Activities, General</t>
  </si>
  <si>
    <t>330101</t>
  </si>
  <si>
    <t>33.0102</t>
  </si>
  <si>
    <t>American Citizenship Education</t>
  </si>
  <si>
    <t>An instructional program that prepares individuals to take the oath of United States citizenship and to exercise the attendant rights and responsibilities of citizenship.</t>
  </si>
  <si>
    <t>330102</t>
  </si>
  <si>
    <t>33.0103</t>
  </si>
  <si>
    <t>Community Awareness</t>
  </si>
  <si>
    <t>An instructional program that describes local government and history, current issues, and how individuals can keep abreast of important issues that may affect them.</t>
  </si>
  <si>
    <t>330103</t>
  </si>
  <si>
    <t>33.0104</t>
  </si>
  <si>
    <t>Community Involvement</t>
  </si>
  <si>
    <t>An instructional program that describes how individuals may become actively involved in the social, economic and political issues and events affecting them; and the roles and methods that are available to influence community life and public policy.</t>
  </si>
  <si>
    <t>330104</t>
  </si>
  <si>
    <t>33.0199</t>
  </si>
  <si>
    <t>Citizenship Activities, Other</t>
  </si>
  <si>
    <t>Any instructional program in citizenship activities not described elsewhere in this group of instructional programs.</t>
  </si>
  <si>
    <t>330199</t>
  </si>
  <si>
    <t>34</t>
  </si>
  <si>
    <t>34.0000</t>
  </si>
  <si>
    <t>Health-Related Knowledge and Skills</t>
  </si>
  <si>
    <t>A summary of groups of instructional programs that describe the promotion of personal and family health.</t>
  </si>
  <si>
    <t>340000</t>
  </si>
  <si>
    <t>34.0100</t>
  </si>
  <si>
    <t>Health-Related Knowledge &amp; Skills</t>
  </si>
  <si>
    <t>A group of instructional programs that describe the promotion of personal and family health.</t>
  </si>
  <si>
    <t>340100</t>
  </si>
  <si>
    <t>34.0102</t>
  </si>
  <si>
    <t>Birthing &amp; Parenting Knowledge &amp; Skills</t>
  </si>
  <si>
    <t>An instructional program that describes all facets of the mother's and father's roles in family planning, prenatal preparation and care, the birthing experience, post natal care and the raising of children.</t>
  </si>
  <si>
    <t>340102</t>
  </si>
  <si>
    <t>34.0103</t>
  </si>
  <si>
    <t>Personal Health Improvement &amp; Maintenance</t>
  </si>
  <si>
    <t>An instructional program that describes the principles, techniques, and methods by which individuals can maintain or improve their overall physical and emotional well being, as well as work on specific areas of personal health.</t>
  </si>
  <si>
    <t>340103</t>
  </si>
  <si>
    <t>34.0104</t>
  </si>
  <si>
    <t>Addiction Prevention &amp; Treatment</t>
  </si>
  <si>
    <t>An instructional program that describes how individuals can avoid addictive substances and behaviors; the methods by which individuals can be treated for various addictions and related behavior problems; and the knowledge and coping skills needed by relatives and associates of addicted individuals.</t>
  </si>
  <si>
    <t>340104</t>
  </si>
  <si>
    <t>34.0199</t>
  </si>
  <si>
    <t>Health-Related Knowledge &amp; Skills, Other</t>
  </si>
  <si>
    <t>Any instructional program in health related knowledge and skills not described above.</t>
  </si>
  <si>
    <t>340199</t>
  </si>
  <si>
    <t>35</t>
  </si>
  <si>
    <t>35.0000</t>
  </si>
  <si>
    <t>Interpersonal and Social Skills</t>
  </si>
  <si>
    <t>A summary of groups of instructional programs that describe how to effectively  interact with others in private, social and business settings.</t>
  </si>
  <si>
    <t>350000</t>
  </si>
  <si>
    <t>35.0100</t>
  </si>
  <si>
    <t>Interpersonal &amp; Social Skills</t>
  </si>
  <si>
    <t>A group of instructional programs that describes how to effectively interact with others in private, social and business settings.</t>
  </si>
  <si>
    <t>350100</t>
  </si>
  <si>
    <t>35.0101</t>
  </si>
  <si>
    <t>Interpersonal &amp; Social Skills, General</t>
  </si>
  <si>
    <t>An instructional program that generally describes how to effectively interact with others in private, social and business settings.</t>
  </si>
  <si>
    <t>350101</t>
  </si>
  <si>
    <t>35.0102</t>
  </si>
  <si>
    <t>Interpersonal Relationships Skills</t>
  </si>
  <si>
    <t>An instructional program that describes how to increase one's ability to establish and maintain mutually satisfactory ties with other human beings.</t>
  </si>
  <si>
    <t>350102</t>
  </si>
  <si>
    <t>35.0103</t>
  </si>
  <si>
    <t>Business &amp; Social Skills</t>
  </si>
  <si>
    <t>An instructional program that describes how to increase one's ability to function effectively in social and business settings where interpersonal communication is required.</t>
  </si>
  <si>
    <t>350103</t>
  </si>
  <si>
    <t>35.0199</t>
  </si>
  <si>
    <t>Interpersonal Social Skills, Other</t>
  </si>
  <si>
    <t>Any instructional program in interpersonal social skills not described elsewhere in this group of programs.</t>
  </si>
  <si>
    <t>350199</t>
  </si>
  <si>
    <t>36</t>
  </si>
  <si>
    <t>36.0000</t>
  </si>
  <si>
    <t>Leisure and Recreational Activities</t>
  </si>
  <si>
    <t>A summary of groups of instructional programs that describe the development of an appreciation for and competency in recreational and leisure-related activities.</t>
  </si>
  <si>
    <t>360000</t>
  </si>
  <si>
    <t>36.0100</t>
  </si>
  <si>
    <t>Leisure &amp; Recreational Activities</t>
  </si>
  <si>
    <t>A group of instructional programs that describe the development of an appreciation for and competency in recreational and leisure related activities.</t>
  </si>
  <si>
    <t>360100</t>
  </si>
  <si>
    <t>36.0101</t>
  </si>
  <si>
    <t>Leisure &amp; Recreational Activities, General</t>
  </si>
  <si>
    <t>An instructional program that generally describes the development of an appreciation for and competency in recreational and leisure related activities.</t>
  </si>
  <si>
    <t>360101</t>
  </si>
  <si>
    <t>36.0102</t>
  </si>
  <si>
    <t>Handicrafts &amp; Model-Making</t>
  </si>
  <si>
    <t>An instructional program that describes the fashioning of objects of decoration, utility or representation from various materials, including related matters of research, tool use and appreciation.</t>
  </si>
  <si>
    <t>360102</t>
  </si>
  <si>
    <t>36.0103</t>
  </si>
  <si>
    <t>Board, Card &amp; Role-Playing Games</t>
  </si>
  <si>
    <t>An instructional program that describes the rules and techniques of participation and skill building in competitive activities of skill or chance, such as board games, card games or role playing activities.</t>
  </si>
  <si>
    <t>360103</t>
  </si>
  <si>
    <t>36.0105</t>
  </si>
  <si>
    <t>Home Maintenance &amp; Improvement</t>
  </si>
  <si>
    <t>An instructional program that describes the knowledge and skills associated with maintaining living space and related equipment and furnishings, as well as do it yourself repairs and improvement projects of varying complexity.</t>
  </si>
  <si>
    <t>360105</t>
  </si>
  <si>
    <t>36.0106</t>
  </si>
  <si>
    <t>Nature Appreciation</t>
  </si>
  <si>
    <t>An instructional program that describes how to increase one's understanding and knowledge of the natural environment in which we live, as well as techniques of wildlife observation and management.</t>
  </si>
  <si>
    <t>360106</t>
  </si>
  <si>
    <t>36.0107</t>
  </si>
  <si>
    <t>Pet Ownership &amp; Care</t>
  </si>
  <si>
    <t>An instructional program that describes how to increase one's ability to care for domesticated animals kept for pleasure or work.</t>
  </si>
  <si>
    <t>360107</t>
  </si>
  <si>
    <t>36.0108</t>
  </si>
  <si>
    <t>Sports &amp; Exercise</t>
  </si>
  <si>
    <t>An instructional program that describes the rules and techniques of participation and skill building in competitive physical activities, as well as non competitive physical fitness programs.</t>
  </si>
  <si>
    <t>360108</t>
  </si>
  <si>
    <t>36.0109</t>
  </si>
  <si>
    <t>Travel &amp; Exploration</t>
  </si>
  <si>
    <t>An instructional program that describes particular geographic areas or phenomena, and provides opportunities for organized trips or tours, including related knowledge and skills.</t>
  </si>
  <si>
    <t>360109</t>
  </si>
  <si>
    <t>36.0110</t>
  </si>
  <si>
    <t>Art</t>
  </si>
  <si>
    <t>An instructional program that describes the techniques and methods of creative self expression in visual or plastic media, such as painting or sculpture.</t>
  </si>
  <si>
    <t>360110</t>
  </si>
  <si>
    <t>36.0111</t>
  </si>
  <si>
    <t>Collecting</t>
  </si>
  <si>
    <t>An instructional program that describes the knowledge and techniques necessary for acquiring and maintaining personal collections of objects, such as autographs, stamps, models, specimens, vehicles and antiques.</t>
  </si>
  <si>
    <t>360111</t>
  </si>
  <si>
    <t>36.0112</t>
  </si>
  <si>
    <t>Cooking &amp; Other Domestic Skills</t>
  </si>
  <si>
    <t>An instructional program that describes the knowledge and skills related to food buying and preparation, home decoration, sewing and other domestic activities, either as hobbies or as routine tasks.</t>
  </si>
  <si>
    <t>360112</t>
  </si>
  <si>
    <t>36.0113</t>
  </si>
  <si>
    <t>Computer Games &amp; Programming Skills</t>
  </si>
  <si>
    <t>An instructional program that describes the knowledge and skills associated with creating, acquiring, maintaining and using computer hardware and software, as well as the playing of computer based games.</t>
  </si>
  <si>
    <t>360113</t>
  </si>
  <si>
    <t>36.0114</t>
  </si>
  <si>
    <t>Dancing</t>
  </si>
  <si>
    <t>An instructional program that describes the knowledge and skills related to recreational dance, such as square dancing, ballroom dancing, classical or modern dance.</t>
  </si>
  <si>
    <t>360114</t>
  </si>
  <si>
    <t>36.0115</t>
  </si>
  <si>
    <t>Music</t>
  </si>
  <si>
    <t>An instructional program that describes the knowledge and skills associated with personal music appreciation, the playing of a musical instrument, singing or recreational composition.</t>
  </si>
  <si>
    <t>360115</t>
  </si>
  <si>
    <t>36.0116</t>
  </si>
  <si>
    <t>Reading</t>
  </si>
  <si>
    <t>An instructional program that describes the activity of reading for pleasure, either alone or as part of a group experience.</t>
  </si>
  <si>
    <t>360116</t>
  </si>
  <si>
    <t>36.0117</t>
  </si>
  <si>
    <t>Theater</t>
  </si>
  <si>
    <t>An instructional program that describes the knowledge and skills associated with participation in amateur theatrical productions, drama appreciation, and writing amateur plays.</t>
  </si>
  <si>
    <t>360117</t>
  </si>
  <si>
    <t>36.0118</t>
  </si>
  <si>
    <t>Writing</t>
  </si>
  <si>
    <t>An instructional program that describes the knowledge and skills related to creative writing and poetry composition for pleasure or profit, including methods of publication.</t>
  </si>
  <si>
    <t>360118</t>
  </si>
  <si>
    <t>36.0199</t>
  </si>
  <si>
    <t>Leisure &amp; Recreational Activities, Other</t>
  </si>
  <si>
    <t>Any instructional program in leisure and recreational activities not described elsewhere in this program.</t>
  </si>
  <si>
    <t>360199</t>
  </si>
  <si>
    <t>37</t>
  </si>
  <si>
    <t>37.0000</t>
  </si>
  <si>
    <t>Personal Awareness and Self-Improvement</t>
  </si>
  <si>
    <t>A summary of groups of instructional programs that describe how to devel-op improved self-awareness, avoid stressful behavior and improve decision-making skills.</t>
  </si>
  <si>
    <t>370000</t>
  </si>
  <si>
    <t>37.0100</t>
  </si>
  <si>
    <t>Personal Awareness &amp; Self-Improvement</t>
  </si>
  <si>
    <t>A group of instructional programs that describe how to develop improved self awareness, avoid stressful behavior and improve decision making skills.</t>
  </si>
  <si>
    <t>370100</t>
  </si>
  <si>
    <t>37.0101</t>
  </si>
  <si>
    <t>Self-Awareness &amp; Personal Assessment</t>
  </si>
  <si>
    <t>An instructional program that describes how to be aware of one's feelings, to use methods of assessing one's personal attributes and to be aware of how others perceive oneself.</t>
  </si>
  <si>
    <t>370101</t>
  </si>
  <si>
    <t>37.0102</t>
  </si>
  <si>
    <t>Stress Management &amp; Coping Skills</t>
  </si>
  <si>
    <t>An instructional program that describes the knowledge and skills useful in avoiding stressful situations and managing them when they occur, including dealing with complex and long term stressful relationships.</t>
  </si>
  <si>
    <t>370102</t>
  </si>
  <si>
    <t>37.0103</t>
  </si>
  <si>
    <t>Personal Decision-Making Skills</t>
  </si>
  <si>
    <t>An instructional program that describes how to develop individuals' abilities to assess decisions affecting their lives and to make life choices consistent with needs and beliefs.</t>
  </si>
  <si>
    <t>370103</t>
  </si>
  <si>
    <t>37.0104</t>
  </si>
  <si>
    <t>Self-Esteem &amp; Values Clarification</t>
  </si>
  <si>
    <t>An instructional program that describes the development of personal philosophies and ideas of self worth, and how to apply such knowledge and skills in everyday circumstances.</t>
  </si>
  <si>
    <t>370104</t>
  </si>
  <si>
    <t>37.0199</t>
  </si>
  <si>
    <t>Personal Awareness &amp; Self-Improvement, Other</t>
  </si>
  <si>
    <t>Any instructional program in personnel awareness and self improvement not described elsewhere in this group of programs.</t>
  </si>
  <si>
    <t>370199</t>
  </si>
  <si>
    <t>38</t>
  </si>
  <si>
    <t>38.0000</t>
  </si>
  <si>
    <t>Philosophy and Religion</t>
  </si>
  <si>
    <t>A summary of groups of instruc-tional programs that describe the study of modes, methods and types of logical inquiry; and the study of organized systems of belief and related practices.</t>
  </si>
  <si>
    <t>380000</t>
  </si>
  <si>
    <t>38.0100</t>
  </si>
  <si>
    <t>Philosophy</t>
  </si>
  <si>
    <t>A group of instructional programs that describes the study of ideas and their logical structure, including arguments and investigations about abstract and real phenomena.  Includes instruction in logic, ethics, aesthetics, epistemology, metaphysics, symbolism, history of philosophy, and applications to the theoretical foundations and methods of other disciplines.</t>
  </si>
  <si>
    <t>380100</t>
  </si>
  <si>
    <t>38.0101</t>
  </si>
  <si>
    <t>An instructional program that describes the study of ideas and their logical structure, including arguments and investigations about abstract and real phenomena.  Includes instruction in logic, ethics, aesthetics, epistemology, metaphysics, symbolism, history of philosophy, and applications to the theoretical foundations and methods of other disciplines.</t>
  </si>
  <si>
    <t>380101</t>
  </si>
  <si>
    <t>38.0200</t>
  </si>
  <si>
    <t>Religion/Religious Studies</t>
  </si>
  <si>
    <t>A group of instructional programs that describes the study of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</si>
  <si>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380200</t>
  </si>
  <si>
    <t>38.0201</t>
  </si>
  <si>
    <t>A group of instructional programs that prepares individuals in managerial, production, and service skills used in governmental, commercial, or independently owned institutional food establishments and related food industry occupations. Includes instruction in planning, selecting, storing, purchasing, preparing, and serving food and food products; basic nutrition, sanitation, and food safety; the use and care of commercial equipment; serving techniques; and the operation of institutional food establishments.</t>
  </si>
  <si>
    <t>200400</t>
  </si>
  <si>
    <t>20.0401</t>
  </si>
  <si>
    <t xml:space="preserve"> An instruction-al program that generally prepares individuals in managerial, produc-tion, and service skills used in governmental, commercial, or inde-pendently owned institutional food establishments and related food industry occupations. Includes instruction in planning, selecting, storing, purchasing, preparing, and serving food and food products; basic nutrition, sanitation, and food safety; the use and care of commercial equipment; serving techniques; and the operation of institutional food establishments.</t>
  </si>
  <si>
    <t>200401</t>
  </si>
  <si>
    <t>20.0404</t>
  </si>
  <si>
    <t>Dietician Assistant</t>
  </si>
  <si>
    <t>An instructional program that prepares individuals to assist registered dieticians in planning, preparing and serving meals to individuals with specific dietary needs. Includes instruction in equipment use, food preparation, diet regulations, food handling, safety and sanitary standards and administrative techniques and procedures.</t>
  </si>
  <si>
    <t>200404</t>
  </si>
  <si>
    <t>20.0405</t>
  </si>
  <si>
    <t>Food Catering</t>
  </si>
  <si>
    <t>An instructional program that prepares individuals to book, plan and manage the preparation food and services for special occasions.  Includes instruction in arranging for equipment, decorations, entertainment, and transportation of food and equipment to the site of the event.</t>
  </si>
  <si>
    <t>200405</t>
  </si>
  <si>
    <t>20.0409</t>
  </si>
  <si>
    <t>Institutional Food Services Administrator</t>
  </si>
  <si>
    <t>An instructional program that prepares individuals to manage and supervise institutional food service operations, including school food services and other government regulated food service operations.  Includes instruction in management, purchasing and storage, food preparation, staff supervision, diet and menu planning, and sanitation and safety.</t>
  </si>
  <si>
    <t>200409</t>
  </si>
  <si>
    <t>20.0499</t>
  </si>
  <si>
    <t>Any instructional program in institutional food preparation, administration and related services not described elsewhere in this group of instructional programs.</t>
  </si>
  <si>
    <t>200499</t>
  </si>
  <si>
    <t>20.0500</t>
  </si>
  <si>
    <t>Home Furnishings &amp; Equipment Installers &amp; Consultants</t>
  </si>
  <si>
    <t>A group of instructional programs that prepares individuals to assist in the entire spectrum of home furnishings and decorations.  Includes instruction in selecting, purchasing, designing, and decorating; home furnishings and equipment; floral design; accessory construction; textiles; and upholstery.</t>
  </si>
  <si>
    <t>200500</t>
  </si>
  <si>
    <t>20.0501</t>
  </si>
  <si>
    <t>An instructional program that generally prepares individuals to assist in the entire spectrum of home furnishings and decorations.  Includes instruction in selecting, purchasing, designing, and decorating; home furnishings and equipment; floral design; accessory construction; textiles; and upholstery.</t>
  </si>
  <si>
    <t>200501</t>
  </si>
  <si>
    <t>20.0502</t>
  </si>
  <si>
    <t>Window Treatment Maker &amp; Installer</t>
  </si>
  <si>
    <t>An instructional program that prepares individuals to design, construct and/or install custom window treatments in residential and commercial facilities.  Includes instruction in selecting textiles, fabrics and finishes; selecting appropriate types of window treatments; and constructing and installing of these treatments.</t>
  </si>
  <si>
    <t>200502</t>
  </si>
  <si>
    <t>20.0599</t>
  </si>
  <si>
    <t>Any instructional program in home furnishings anprepares individuals for occupations relating to commercial housekeeping and cleaning operations; and for providing housekeeping services to paying clients and to homebound individuals.  d equipment management, production and services not described elsewhere in this group of instructional programs.</t>
  </si>
  <si>
    <t>200599</t>
  </si>
  <si>
    <t>20.0600</t>
  </si>
  <si>
    <t>Custodial, Housekeeping &amp; Home Services Workers &amp; Managers</t>
  </si>
  <si>
    <t>A group of instructional programs that generally prepares individuals for occupations relating to commercial housekeeping and cleaning operations; and for providing housekeeping services to paying clients and to homebound individuals.</t>
  </si>
  <si>
    <t>200600</t>
  </si>
  <si>
    <t>20.0601</t>
  </si>
  <si>
    <t>Custodial, Housekeeping &amp; Home Srv Workers &amp; Managers, Gen</t>
  </si>
  <si>
    <t>An instructional program that generally prepares individuals for occupations relating to commercial housekeeping and cleaning operations; and for providing housekeeping services to paying clients and to homebound individuals.</t>
  </si>
  <si>
    <t>200601</t>
  </si>
  <si>
    <t>20.0602</t>
  </si>
  <si>
    <t>Elder Care Provider/Companion</t>
  </si>
  <si>
    <t>An instructional program that prepares individuals to assist elderly individuals in managing their personal and social needs, and their business affairs; to assist the elderly in the maintenance of independent living arrangements; and to promote the well being of the elderly.</t>
  </si>
  <si>
    <t>200602</t>
  </si>
  <si>
    <t>20.0604</t>
  </si>
  <si>
    <t>Custodian/Caretaker</t>
  </si>
  <si>
    <t>An instructional program that prepares individuals to clean and care for buildings, including their fixtures, furnishings, floor surfaces, and wall coverings.  Includes instruction in equipment operation and maintenance, chemical and non chemical cleaning operations, sanitation, safety, staff supervision and the management of custodial businesses and services.</t>
  </si>
  <si>
    <t>200604</t>
  </si>
  <si>
    <t>20.0605</t>
  </si>
  <si>
    <t>Executive Housekeeper</t>
  </si>
  <si>
    <t>An instructional program that prepares individuals to provide comprehensive cleaning and housekeeping services for institutions and to supervise and manage such services.  Includes instruction in floor maintenance and care; walls, woodwork, and window cleaning; furnishings and equipment maintenance; laundry and linen services; supply ordering and storage; and record keeping.</t>
  </si>
  <si>
    <t>200605</t>
  </si>
  <si>
    <t>20.0606</t>
  </si>
  <si>
    <t>Homemaker's Aide</t>
  </si>
  <si>
    <t>An instructional program that prepares individuals to assist homemakers in the management and operation of the home, including child and convalescent care, cleaning and maintenance, supplies purchasing and food preparation.</t>
  </si>
  <si>
    <t>200606</t>
  </si>
  <si>
    <t>20.0699</t>
  </si>
  <si>
    <t>Custodial, Housekeeping &amp; Home Srv Workers &amp; Manager,Other</t>
  </si>
  <si>
    <t>Any instructional program in institutional, home management, and supporting programs not described elsewhere in this group of instructional programs.</t>
  </si>
  <si>
    <t>200699</t>
  </si>
  <si>
    <t>20.9900</t>
  </si>
  <si>
    <t>Vocational Home Economics, Other</t>
  </si>
  <si>
    <t>Any instructional programs in vocational home economics not described elsewhere in this group of instructional programs.</t>
  </si>
  <si>
    <t>209900</t>
  </si>
  <si>
    <t>20.9999</t>
  </si>
  <si>
    <t>Any instructional program in vocational home economics not described elsewhere in this group of instructional programs.</t>
  </si>
  <si>
    <t>209999</t>
  </si>
  <si>
    <t>21</t>
  </si>
  <si>
    <t>21.0000</t>
  </si>
  <si>
    <t>Technology Education/Industrial Arts</t>
  </si>
  <si>
    <t>A summary of groups of instructional programs that provide individuals with knowledge and competencies pertaining to aspects of industry and technology, including a variety of learning experiences, and that assist individuals in making informed and meaningful occupational choices as well as preparation for entry into occupational training or education programs.</t>
  </si>
  <si>
    <t>210000</t>
  </si>
  <si>
    <t>21.0100</t>
  </si>
  <si>
    <t>A group of instructional programs that describe the concepts, processes and systems that are uniquely technological, such as:  the evolution, utilization and significance of technology as related to industry; and its organization, personnel, systems, techniques, resources and products.  Includes instruction in technological literacy, basic applied science, specific technologies and their applications, and related methods of research and experimentation.</t>
  </si>
  <si>
    <t>210100</t>
  </si>
  <si>
    <t>21.0101</t>
  </si>
  <si>
    <t>An instructional program that describes the concepts, processes and systems that are uniquely technological, such as:  the evolution, utilization and significance of technology as related to industry; and its organization, personnel, systems, techniques, resources and products.  Includes instruction in technological literacy, basic applied science, specific technologies and their applications, and related methods of research and experimentation.</t>
  </si>
  <si>
    <t>210101</t>
  </si>
  <si>
    <t>22</t>
  </si>
  <si>
    <t>22.0000</t>
  </si>
  <si>
    <t>Law and Legal Studies</t>
  </si>
  <si>
    <t>A summary of groups of instructional programs that describe the theory, history and application of the rules of conduct by which societal relations are formally structured and adjudicated.</t>
  </si>
  <si>
    <t>220000</t>
  </si>
  <si>
    <t>22.0100</t>
  </si>
  <si>
    <t>Law &amp; Legal Studies</t>
  </si>
  <si>
    <t>A group of instructional programs that describe the theory, history and application of the rules of conduct by which societal relations are formally structured and adjudicated.</t>
  </si>
  <si>
    <t>220100</t>
  </si>
  <si>
    <t>22.0101</t>
  </si>
  <si>
    <t>Law (L.L.B., J.D.)</t>
  </si>
  <si>
    <t>An instructional program that prepares individuals for the independent professional practice of law and for advanced research in jurisprudence.  Includes instruction in the theory and practice of the legal system, including the statutory, administrative and judicial components of civil and criminal law.</t>
  </si>
  <si>
    <t>220101</t>
  </si>
  <si>
    <t>22.0102</t>
  </si>
  <si>
    <t>Pre-Law Studies</t>
  </si>
  <si>
    <t>An instructional program that prepares individuals for admission to a first professional program in law.</t>
  </si>
  <si>
    <t>220102</t>
  </si>
  <si>
    <t>22.0103</t>
  </si>
  <si>
    <t>Paralegal/Legal Assistant</t>
  </si>
  <si>
    <t>An instructional program that prepares individuals to perform research, drafting, investigatory, record keeping and related administrative functions under the supervision of an attorney.  Includes instruction in legal research, drafting legal documents, appraising, pleading, courthouse procedures and legal specializations.</t>
  </si>
  <si>
    <t>220103</t>
  </si>
  <si>
    <t>22.0104</t>
  </si>
  <si>
    <t>Juridical Science/Legal Specialization (LLM, MCL, JSD,SJD)</t>
  </si>
  <si>
    <t>An instructional program that prepares attorneys and law school graduates for advanced technical specialization in legal research and practice in law, including such specializations as Tax Law, International Law, Comparative Law, Admiralty, Patents, Contracts, and others.</t>
  </si>
  <si>
    <t>220104</t>
  </si>
  <si>
    <t>22.0199</t>
  </si>
  <si>
    <t>Law &amp; Legal Studies, Other</t>
  </si>
  <si>
    <t>Any instructional program in law and legal studies not described elsewhere in this group of instructional programs.</t>
  </si>
  <si>
    <t>220199</t>
  </si>
  <si>
    <t>23</t>
  </si>
  <si>
    <t>23.0000</t>
  </si>
  <si>
    <t>English Language and Literature/Letters</t>
  </si>
  <si>
    <t>A summary of groups of instructional programs that describe the struc-ture and use of the English language and dialects, speech, writing, and various aspects of the literatures and cultures of the English-speaking peoples.</t>
  </si>
  <si>
    <t>230000</t>
  </si>
  <si>
    <t>23.0100</t>
  </si>
  <si>
    <t>English Language &amp; Literature, General</t>
  </si>
  <si>
    <t>A group of instructional programs that describes the English language, including its history, structure and related communications skills; and the literature and culture of English speaking peoples.</t>
  </si>
  <si>
    <t>230100</t>
  </si>
  <si>
    <t>23.0101</t>
  </si>
  <si>
    <t>An instructional program that generally describes the English language, including its history, structure and related communications skills; and the literature and culture of English speaking peoples.</t>
  </si>
  <si>
    <t>230101</t>
  </si>
  <si>
    <t>23.0300</t>
  </si>
  <si>
    <t>Comparative Literature</t>
  </si>
  <si>
    <t>A group of instructional programs that describes the study of the literatures of different societies and linguistic groups in comparative perspective, including analyses of cross-cultural influences, national literary styles, the influence of translation, and the shared international literary heritage.  Includes instruction in the study of literatures in the original languages as well as in English translation.</t>
  </si>
  <si>
    <t>230300</t>
  </si>
  <si>
    <t>23.0301</t>
  </si>
  <si>
    <t>An instructional program that describes the study of the literatures of different societies and linguistic groups in comparative perspective, including analyses of cross-cultural influences, national literary styles, the influence of translation, and the shared international literary heritage.  Includes instruction in the study of literatures in the original languages as well as in English translation.</t>
  </si>
  <si>
    <t>230301</t>
  </si>
  <si>
    <t>23.0400</t>
  </si>
  <si>
    <t>English Composition</t>
  </si>
  <si>
    <t>A group of instructional programs that describes the principles of English vocabulary, grammar, morphology, syntax and semantics; and techniques of selecting, developing, arranging, combining and expressing ideas in appropriate written forms.</t>
  </si>
  <si>
    <t>230400</t>
  </si>
  <si>
    <t>23.0401</t>
  </si>
  <si>
    <t>An instructional program that describes the principles of English vocabulary, grammar, morphology, syntax and semantics; and techniques of selecting, developing, arranging, combining and expressing ideas in appropriate written forms.</t>
  </si>
  <si>
    <t>230401</t>
  </si>
  <si>
    <t>23.0500</t>
  </si>
  <si>
    <t>English Creative Writing</t>
  </si>
  <si>
    <t>A group of instructional programs that describes the process and techniques of original composition in various literary forms such as the short story, poetry, the novel, and others.  Includes instruction in technical and editorial skills, criticism, and the marketing of finished manuscripts.</t>
  </si>
  <si>
    <t>230500</t>
  </si>
  <si>
    <t>23.0501</t>
  </si>
  <si>
    <t>An instructional program that describes the process and techniques of original composition in various literary forms such as the short story, poetry, the novel, and others.  Includes instruction in technical and editorial skills, criticism, and the marketing of finished manuscripts.</t>
  </si>
  <si>
    <t>230501</t>
  </si>
  <si>
    <t>23.0700</t>
  </si>
  <si>
    <t>American Literature (United States)</t>
  </si>
  <si>
    <t>A group of instructional programs that describes the study of the literature and literary development, both formal and folkloric, of the United States from the Colonial Era to the present.  Includes instruction in period and genre studies, author studies, literary criticism, and regional and oral traditions.</t>
  </si>
  <si>
    <t>230700</t>
  </si>
  <si>
    <t>23.0701</t>
  </si>
  <si>
    <t>An instructional program that describes the study of the literature and literary development, both formal and folkloric, of the United States from the Colonial Era to the present.  Includes instruction in period and genre studies, author studies, literary criticism, and regional and oral traditions.</t>
  </si>
  <si>
    <t>230701</t>
  </si>
  <si>
    <t>23.0800</t>
  </si>
  <si>
    <t>English Literature (British &amp; Commonwealth)</t>
  </si>
  <si>
    <t>A group of instructional programs that describes the study of the literatures and literary developments of the English-speaking peoples of the British Isles and the British Commonwealth, from the origins of English to the present.  Includes instruction in period and genre studies, author studies, country and regional specializations, literary criticism, and the study of folkloric traditions.</t>
  </si>
  <si>
    <t>230800</t>
  </si>
  <si>
    <t>23.0801</t>
  </si>
  <si>
    <t>An instructional program that describes the study of the literatures and literary developments of the English-speaking peoples of the British Isles and the British Commonwealth, from the origins of English to the present.  Includes instruction in period and genre studies, author studies, country and regional specializations, literary criticism, and the study of folkloric traditions.</t>
  </si>
  <si>
    <t>230801</t>
  </si>
  <si>
    <t>23.1000</t>
  </si>
  <si>
    <t>Speech &amp; Rhetorical Studies</t>
  </si>
  <si>
    <t>A group of instructional programs that describes the study of human interpersonal communication from the scientific/behavioral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</si>
  <si>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231000</t>
  </si>
  <si>
    <t>23.1001</t>
  </si>
  <si>
    <t>An instructional program that describes the study of human interpersonal communication from the scientific/behavioral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</si>
  <si>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231001</t>
  </si>
  <si>
    <t>23.1100</t>
  </si>
  <si>
    <t>English Technical &amp; Business Writing</t>
  </si>
  <si>
    <t>A group of instructional programs that describes the theory, methods, and skills needed for writing and editing scientific, technical and business papers and monographs.</t>
  </si>
  <si>
    <t>231100</t>
  </si>
  <si>
    <t>23.1101</t>
  </si>
  <si>
    <t>An instructional program that describes the theory, methods, and skills needed for writing and editing scientific, technical and business papers and monographs.</t>
  </si>
  <si>
    <t>231101</t>
  </si>
  <si>
    <t>23.9900</t>
  </si>
  <si>
    <t>English Language &amp; Literature/Letters, Other</t>
  </si>
  <si>
    <t>Any instructional programs in English language and literature not described elsewhere in this group of instructional programs.</t>
  </si>
  <si>
    <t>239900</t>
  </si>
  <si>
    <t>23.9999</t>
  </si>
  <si>
    <t>Any instructional program in English language and literature not described elsewhere in this group of instructional programs.</t>
  </si>
  <si>
    <t>239999</t>
  </si>
  <si>
    <t>24</t>
  </si>
  <si>
    <t>24.0000</t>
  </si>
  <si>
    <t>Liberal Arts and Studies, General Sciences and Humanities</t>
  </si>
  <si>
    <t>A summary of groups of instructional pro-grams that describe general programs and independent or individualized studies in the liberal arts sub-jects, the humanities disciplines and the general curriculum.</t>
  </si>
  <si>
    <t>240000</t>
  </si>
  <si>
    <t>24.0100</t>
  </si>
  <si>
    <t>Liberal Arts &amp; Sciences, General Studies &amp; Humanities</t>
  </si>
  <si>
    <t>A group of instructional programs that describes a structured combination of the arts, biological and physical sciences, social sciences, and humanities, emphasizing breadth of study.  Includes instruction in either independently designed, individualized, or regular programs.</t>
  </si>
  <si>
    <t>240100</t>
  </si>
  <si>
    <t>24.0101</t>
  </si>
  <si>
    <t>Liberal Arts &amp; Sciences/Liberal Studies</t>
  </si>
  <si>
    <t>An instructional program that describes a structured combination of the arts, biological and physical sciences, social sciences, and humanities, emphasizing breadth of study.  Includes instruction in either independently designed, individualized, or regular programs.</t>
  </si>
  <si>
    <t>240101</t>
  </si>
  <si>
    <t>24.0102</t>
  </si>
  <si>
    <t>General Studies</t>
  </si>
  <si>
    <t>An instructional program that describes either undifferentiated study for traditional students or continuing education opportunities for adult learners.</t>
  </si>
  <si>
    <t>240102</t>
  </si>
  <si>
    <t>24.0103</t>
  </si>
  <si>
    <t>Humanities/Humanistic Studies</t>
  </si>
  <si>
    <t>An instructional program that describes combined studies and research in the humanities subjects as distinguished from the social and physical sciences, emphasizing languages, literatures, art, music, philosophy and religion.</t>
  </si>
  <si>
    <t>240103</t>
  </si>
  <si>
    <t>24.0199</t>
  </si>
  <si>
    <t>Liberal Arts &amp; Sci, General Studies &amp; Humanities, Other</t>
  </si>
  <si>
    <t>Any instructional program in liberal arts and sciences, general studies and humanities not described elsewhere in this group of instructional programs.</t>
  </si>
  <si>
    <t>240199</t>
  </si>
  <si>
    <t>25</t>
  </si>
  <si>
    <t>25.0000</t>
  </si>
  <si>
    <t>Library Science</t>
  </si>
  <si>
    <t>A summary of groups of instruc-tional programs that describe the knowledge and skills required to manage and/or maintain libraries and related information and record systems, collections and facilities for research and general use.</t>
  </si>
  <si>
    <t>250000</t>
  </si>
  <si>
    <t>25.0100</t>
  </si>
  <si>
    <t>Library Science/Librarianship</t>
  </si>
  <si>
    <t>A group of instructional programs that describes the knowledge and skills required to develop, organize, store, retrieve, administer, and facilitate the use of collections of information in such formats as books, documents, manuscripts, machine readable data bases, filmed and recorded materials, and that prepares individuals for professional service as librarians and information consultants.</t>
  </si>
  <si>
    <t>250100</t>
  </si>
  <si>
    <t>25.0101</t>
  </si>
  <si>
    <t>An instructional program that describes the knowledge and skills required to develop, organize, store, retrieve, administer, and facilitate the use of collections of information in such formats as books, documents, manuscripts, machine readable data bases, filmed and recorded materials, and that prepares individuals for professional service as librarians and information consultants.</t>
  </si>
  <si>
    <t>250101</t>
  </si>
  <si>
    <t>25.0300</t>
  </si>
  <si>
    <t>Library Assistant</t>
  </si>
  <si>
    <t>A group of instructional programs that prepares individuals to assist professional librarians. Includes instruction in principles, systems, processes, and procedures of library operation; library resources and services; processes of acquisition, cataloging, storage, and display systems; discovery and retrieval of requested materials; management of books, periodicals, and other documents.</t>
  </si>
  <si>
    <t>250300</t>
  </si>
  <si>
    <t>25.0301</t>
  </si>
  <si>
    <t>An instructional program that prepares individuals to assist professional librarians. Includes instruction in principles, systems, processes, and procedures of library operation; library resources and services; processes of acquisition, cataloging, storage, and display systems; discovery and retrieval of requested materials; management of books, periodicals, and other documents.</t>
  </si>
  <si>
    <t>250301</t>
  </si>
  <si>
    <t>25.9900</t>
  </si>
  <si>
    <t>Library Science, Other</t>
  </si>
  <si>
    <t>Any instructional program in library science not described elsehwere in this group of instructional programs.</t>
  </si>
  <si>
    <t>259900</t>
  </si>
  <si>
    <t>25.9999</t>
  </si>
  <si>
    <t>259999</t>
  </si>
  <si>
    <t>26</t>
  </si>
  <si>
    <t>26.0000</t>
  </si>
  <si>
    <t>Biological Science/Life Sciences</t>
  </si>
  <si>
    <t>A summary of groups of instructional programs that describe the scientific study of living organisms and their systems.</t>
  </si>
  <si>
    <t>260000</t>
  </si>
  <si>
    <t>26.0100</t>
  </si>
  <si>
    <t>Biology, General</t>
  </si>
  <si>
    <t>A group of instructional programs that describes the scientific study of the structure, function, reproduction, growth, heredity, evolution, behavior and distribution of living organisms, and their relations to their natural environments.</t>
  </si>
  <si>
    <t>260100</t>
  </si>
  <si>
    <t>26.0101</t>
  </si>
  <si>
    <t>An instructional program that generally describes the scientific study of the structure, function, reproduction, growth, heredity, evolution, behavior and distribution of living organisms, and their relations to their natural environments.</t>
  </si>
  <si>
    <t>260101</t>
  </si>
  <si>
    <t>26.0200</t>
  </si>
  <si>
    <t>Biochemistry &amp; Biophysics</t>
  </si>
  <si>
    <t>A group of instructional programs that describes the chemical processes of living organisms.  Includes instruction in the chemical mechanisms of genetic information storage and transmission; the chemistry of cell components; blood chemistry; the chemistry of biological systems and biological products; and the chemistry of life processes such as respiration, digestion and reproduction.</t>
  </si>
  <si>
    <t>260200</t>
  </si>
  <si>
    <t>26.0202</t>
  </si>
  <si>
    <t>Biochemistry</t>
  </si>
  <si>
    <t>An instructional program that describes the chemical processes of living organisms.  Includes instruction in the chemical mechanisms of genetic information storage and transmission; the chemistry of cell components; blood chemistry; the chemistry of biological systems and biological products; and the chemistry of life processes such as respiration, digestion and reproduction.</t>
  </si>
  <si>
    <t>260202</t>
  </si>
  <si>
    <t>26.0203</t>
  </si>
  <si>
    <t>Biophysics</t>
  </si>
  <si>
    <t>An instructional program that describes the application of physics principles to the study of living cells and organisms, including structures and fine structures, bioelectric phenomena, radiation effects, molecular behavior, photosynthesis, membranes, organic thermodynamics, and quantitative analysis and modelling.</t>
  </si>
  <si>
    <t>260203</t>
  </si>
  <si>
    <t>26.0300</t>
  </si>
  <si>
    <t>Botany</t>
  </si>
  <si>
    <t>A group of instructional programs that describes the scientific study of plants, related bacteria, fungi, and algae life forms.  Includes instruction in the classification, structure, function, reproduction, growth, heredity, evolution, and the pathology of plant life, with particular attention to basic processes such as photosynthesis, plant biochemistry and plant ecosystems.</t>
  </si>
  <si>
    <t>260300</t>
  </si>
  <si>
    <t>26.0301</t>
  </si>
  <si>
    <t>Botany, General</t>
  </si>
  <si>
    <t>An instructional program that generally describes the scientific study of plants, related bacteria, fungi, and algae life forms.  Includes instruction in the classification, structure, function, reproduction, growth, heredity, evolution, and the pathology of plant life, with particular attention to basic processes such as photosynthesis, plant biochemistry and plant ecosystems.</t>
  </si>
  <si>
    <t>260301</t>
  </si>
  <si>
    <t>26.0305</t>
  </si>
  <si>
    <t>Plant Pathology</t>
  </si>
  <si>
    <t>An instructional program that describes the nature, causes, development and treatment of plant diseases.  Includes instruction in the nature and behavior of disease causal agents, including other life forms and non-biological factors; the study of chemistry and physics of basic pathogens; disease host behaviors; and the development and analysis of disease control and treatment agents.</t>
  </si>
  <si>
    <t>260305</t>
  </si>
  <si>
    <t>26.0307</t>
  </si>
  <si>
    <t>Plant Physiology</t>
  </si>
  <si>
    <t>An instructional program that describes the scientific study of plant functions and life processes, including such metabolic processes as photosynthesis, respiration, assimilation, and transpiration; and plant systems, including movement, reproduction, digestion and anatomical system functions.</t>
  </si>
  <si>
    <t>260307</t>
  </si>
  <si>
    <t>26.0399</t>
  </si>
  <si>
    <t>Botany, Other</t>
  </si>
  <si>
    <t>Any instructional program in botany not described elsewhere in this program.</t>
  </si>
  <si>
    <t>260399</t>
  </si>
  <si>
    <t>26.0400</t>
  </si>
  <si>
    <t>Cell &amp; Molecular Biology</t>
  </si>
  <si>
    <t>A group of instructional programs that describe the cell as a unit of organization in plans and animals, and the molecular structure and processes of living organisms.</t>
  </si>
  <si>
    <t>260400</t>
  </si>
  <si>
    <t>26.0401</t>
  </si>
  <si>
    <t>Cell Biology</t>
  </si>
  <si>
    <t>An instructional program that describes the scientific study of the cell as a biological system in plants and animals.  Includes instruction in cellular structure and function, biosynthesis, enzyme production, cell communication and nutrition, chromosome organization and function, cell life cycles, and cell pathology.</t>
  </si>
  <si>
    <t>260401</t>
  </si>
  <si>
    <t>26.0402</t>
  </si>
  <si>
    <t>Molecular Biology</t>
  </si>
  <si>
    <t>An instructional program that describes the scientific study of the molecular structures and processes that underlay the storage and transmission of genetic information, of energy storage and transfer, of hormone generation, and of basic life process such as development, growth and aging.</t>
  </si>
  <si>
    <t>260402</t>
  </si>
  <si>
    <t>26.0499</t>
  </si>
  <si>
    <t>Cell &amp; Molecular Biology, Other</t>
  </si>
  <si>
    <t>Any instructional program in cell and molecular biology not described elsewhere in this group of programs.</t>
  </si>
  <si>
    <t>260499</t>
  </si>
  <si>
    <t>26.0500</t>
  </si>
  <si>
    <t>Microbiology/Bacteriology</t>
  </si>
  <si>
    <t>A group of instructional programs that describes the scientific study of microorganisms, including bacteria and viruses, as distinguished from the cellular components of larger organisms.  Includes instruction in the ecological behavior of microorganisms, their anatomy and physiology, pathogenesis, and microbe evolution and mutation.</t>
  </si>
  <si>
    <t>260500</t>
  </si>
  <si>
    <t>26.0501</t>
  </si>
  <si>
    <t>An instructional program that describes the scientific study of microorganisms, including bacteria and viruses, as distinguished from the cellular components of larger organisms.  Includes instruction in the ecological behavior of microorganisms, their anatomy and physiology, pathogenesis, and microbe evolution and mutation.</t>
  </si>
  <si>
    <t>260501</t>
  </si>
  <si>
    <t>26.0600</t>
  </si>
  <si>
    <t>Miscellaneous Biological Specializations</t>
  </si>
  <si>
    <t>A group of instructional programs that describe specialized areas of the biological sciences not pertaining exclusively to botany, zoology, microbiology, cell and molecular biology, or related physical sciences.</t>
  </si>
  <si>
    <t>260600</t>
  </si>
  <si>
    <t>26.0601</t>
  </si>
  <si>
    <t>Anatomy</t>
  </si>
  <si>
    <t>An instructional program that describes the scientific study of the structure and function of living organisms, tissues, organs, and systems.  Includes instruction in gross anatomy, histology, ultrastructure, neuroanatomy, microscopy, dissection, electrical and atomic analytical methods, and quantification methods.</t>
  </si>
  <si>
    <t>260601</t>
  </si>
  <si>
    <t>26.0603</t>
  </si>
  <si>
    <t>Ecology</t>
  </si>
  <si>
    <t>An instructional program that describes the scientific study of ecological systems and the physical interactions among system components.  Includes instruction in population biology, large and small ecosystems, environmental factors affecting organisms, evolution and extinction, and symbiotic relationships.</t>
  </si>
  <si>
    <t>260603</t>
  </si>
  <si>
    <t>26.0607</t>
  </si>
  <si>
    <t>Marine/Aquatic Biology</t>
  </si>
  <si>
    <t>An instructional program that describes the scientific study of marine organisms and their environments.  Includes instruction in freshwater and saltwater organisms, physiological and anatomical marine adaptations, ocean and freshwater ecologies, marine microbiology, marine mammalogy, ichthyology, marine botany, and biochemical products of marine life used by humans.</t>
  </si>
  <si>
    <t>260607</t>
  </si>
  <si>
    <t>26.0608</t>
  </si>
  <si>
    <t>Neuroscience</t>
  </si>
  <si>
    <t>An instructional program that describes the scientific study of the anatomy, physiology, biophysics,  biochemistry, molecular biology and behavior roles of neuron cells and biological nervous systems.  Includes instruction in neurological signalling, neuroanatomy and brain research, neuropharmacology, and neuropsychological research.</t>
  </si>
  <si>
    <t>260608</t>
  </si>
  <si>
    <t>26.0609</t>
  </si>
  <si>
    <t>Nutritional Sciences</t>
  </si>
  <si>
    <t>An instructional program that describes the scientific study of the biological processes by which organisms ingest, digest and use the chemical compounds vital to survival, and which cannot be synthesized by the organism itself.  Includes instruction in nutritional biochemistry and biophysics, anatomy and physiology of digestive systems, environmental and behavioral aspects of nutrition, and studies of the nutritional problems of specific organisms.</t>
  </si>
  <si>
    <t>260609</t>
  </si>
  <si>
    <t>26.0610</t>
  </si>
  <si>
    <t>Parasitology</t>
  </si>
  <si>
    <t>An instructional program that describes the scientific study of organisms living on or within biological hosts, their behavioral interactions with host organisms, and defenses against parasitical infestations.  Includes instruction in parasitical evolution and community behavior, parasite metabolism, immunization processes, drug development, and drug reactions.</t>
  </si>
  <si>
    <t>260610</t>
  </si>
  <si>
    <t>26.0611</t>
  </si>
  <si>
    <t>Radiation Biology/Radiobiology</t>
  </si>
  <si>
    <t>An instructional program that describes scientific study of the effects of radiation on organisms and biological systems.  Includes instruction in particle physics, ionization, biophysics of radiation perturbations, cellular and organismic repair systems, genetic and pathological effects of radiation, and the measurement of radiation dosages.</t>
  </si>
  <si>
    <t>260611</t>
  </si>
  <si>
    <t>26.0612</t>
  </si>
  <si>
    <t>Toxicology</t>
  </si>
  <si>
    <t>An instructional program that describes the scientific study of the nature, source, effects, identification and characteristics of poisons, toxic substances, and exogenous chemical agents and their effect on biological organisms.  Includes instruction in environmental biology, chemico-physiological mechanisms, genetic toxicology, studies of specific organisms and habitats, and the development of toxic defenses and antidotes.</t>
  </si>
  <si>
    <t>260612</t>
  </si>
  <si>
    <t>26.0613</t>
  </si>
  <si>
    <t>Genetics, Plant &amp; Animal</t>
  </si>
  <si>
    <t>An instructional program that describes the scientific study of biological inheritance and variation in organisms, and the mechanisms of gene behavior.  Includes instruction in molecular genetics, mutation, gene expression, specification, cloning, the study of inherited diseases and disorders, breeding, genetic biochemistry and biophysics, gene transference, and gene modification.</t>
  </si>
  <si>
    <t>260613</t>
  </si>
  <si>
    <t>26.0614</t>
  </si>
  <si>
    <t>Biometrics</t>
  </si>
  <si>
    <t>An instructional program that describes quantitative measurement methods in the biological and related sciences; the development of biometrics solutions to specific research problems; and related computer applications.  Includes instruction in algebraic analysis, matrix algebra, computer methods, and applications to specific biological subdisciplines.</t>
  </si>
  <si>
    <t>260614</t>
  </si>
  <si>
    <t>26.0615</t>
  </si>
  <si>
    <t>Biostatistics</t>
  </si>
  <si>
    <t>A group of instructional programs that prepare individuals to apply basic principles of engineering and technical skills in support of engineers and other professionals engaged in locating and extracting mineral and petroleum resources.</t>
  </si>
  <si>
    <t>150900</t>
  </si>
  <si>
    <t>15.0901</t>
  </si>
  <si>
    <t>Mining Technology/Technician</t>
  </si>
  <si>
    <t>An instructional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</si>
  <si>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150901</t>
  </si>
  <si>
    <t>15.0903</t>
  </si>
  <si>
    <t>Petroleum Technology/Technician</t>
  </si>
  <si>
    <t>An instructional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</si>
  <si>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150903</t>
  </si>
  <si>
    <t>15.0999</t>
  </si>
  <si>
    <t>Mining &amp; Petroleum Technologies/Technicians, Other</t>
  </si>
  <si>
    <t>Any instructional program in mining and petroleum engineering related technologies not described elsewhere in this group of programs.</t>
  </si>
  <si>
    <t>150999</t>
  </si>
  <si>
    <t>15.1000</t>
  </si>
  <si>
    <t>Construction/Building Technology</t>
  </si>
  <si>
    <t>A group of instructional programs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</si>
  <si>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151000</t>
  </si>
  <si>
    <t>15.1001</t>
  </si>
  <si>
    <t>Construction/Building Technology/Technician</t>
  </si>
  <si>
    <t>An instructional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</si>
  <si>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151001</t>
  </si>
  <si>
    <t>15.1100</t>
  </si>
  <si>
    <t>Miscellaneous Engineering-Related Technologies</t>
  </si>
  <si>
    <t>A group of instructional programs that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</si>
  <si>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151100</t>
  </si>
  <si>
    <t>15.1101</t>
  </si>
  <si>
    <t>Engineering Technology/Technician, General</t>
  </si>
  <si>
    <t>An instructional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</si>
  <si>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151101</t>
  </si>
  <si>
    <t>15.1102</t>
  </si>
  <si>
    <t>Surveying</t>
  </si>
  <si>
    <t>An instructional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</si>
  <si>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151102</t>
  </si>
  <si>
    <t>15.1103</t>
  </si>
  <si>
    <t>Hydraulics Technology/Technician</t>
  </si>
  <si>
    <t>An instructional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</si>
  <si>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151103</t>
  </si>
  <si>
    <t>15.9900</t>
  </si>
  <si>
    <t>Engineering-Related Technologies, Other</t>
  </si>
  <si>
    <t>A group of instructional programs in engineering-related technologies not described elsewhere in this group of programs.</t>
  </si>
  <si>
    <t>159900</t>
  </si>
  <si>
    <t>15.9999</t>
  </si>
  <si>
    <t>Engineering-Related Technologies/Technicians, Other</t>
  </si>
  <si>
    <t>Any instructional programs in engineering-related technologies not described elsewhere in this group of programs.</t>
  </si>
  <si>
    <t>159999</t>
  </si>
  <si>
    <t>16</t>
  </si>
  <si>
    <t>16.0000</t>
  </si>
  <si>
    <t>Foreign Languages and Literatures</t>
  </si>
  <si>
    <t>A summary of groups of instructional programs that describe the study of languages other than English, and the study of related aspects of foreign literatures and cultures.</t>
  </si>
  <si>
    <t>160000</t>
  </si>
  <si>
    <t>16.0100</t>
  </si>
  <si>
    <t>Foreign Languages &amp; Literatures</t>
  </si>
  <si>
    <t>A group of instructional programs that describes an undifferentiated program in foreign languages and literatures.</t>
  </si>
  <si>
    <t>160100</t>
  </si>
  <si>
    <t>16.0101</t>
  </si>
  <si>
    <t>Foreign Languages &amp; Literatures, General</t>
  </si>
  <si>
    <t>An instructional program that describes an undifferentiated program in foreign languages and literatures.</t>
  </si>
  <si>
    <t>160101</t>
  </si>
  <si>
    <t>16.0102</t>
  </si>
  <si>
    <t>Linguistics</t>
  </si>
  <si>
    <t>An instructional program that describes the scientific and scholarly study of language and the relationships among languages.  Includes instruction in psycholinguistics, anthropological linguistics, historical linguistics, mathematical linguistics, grammatical theory, philosophy of language, philology, sociolinguistics, language and culture studies, and the study of written scripts and their evolution.</t>
  </si>
  <si>
    <t>160102</t>
  </si>
  <si>
    <t>16.0103</t>
  </si>
  <si>
    <t>Foreign Language Interpretation &amp; Translation</t>
  </si>
  <si>
    <t>An instructional program that prepares individuals to translate written documents, or to consecutively or simultaneously interpret oral communications.  Includes instruction in translating and/or interpreting from a specific foreign language into English, from English into another specific language, or between two foreign languages.</t>
  </si>
  <si>
    <t>160103</t>
  </si>
  <si>
    <t>16.0300</t>
  </si>
  <si>
    <t>East &amp; Southeast Asian Languages &amp; Literatures</t>
  </si>
  <si>
    <t>A group of instructional programs that describe the study of the languages, literatures, and cultures of East and Southeast Asian peoples.</t>
  </si>
  <si>
    <t>160300</t>
  </si>
  <si>
    <t>16.0301</t>
  </si>
  <si>
    <t>Chinese Language &amp; Literature</t>
  </si>
  <si>
    <t>An instructional program that describes the study of the language, literature, and culture of Chinese speaking peoples, including dialects such as Cantonese, Taiwanese, and Mandarin.</t>
  </si>
  <si>
    <t>160301</t>
  </si>
  <si>
    <t>16.0302</t>
  </si>
  <si>
    <t>Japanese Language &amp; Literature</t>
  </si>
  <si>
    <t>An instructional program that describes the study of the language, literature, and culture of Japanese speaking peoples.</t>
  </si>
  <si>
    <t>160302</t>
  </si>
  <si>
    <t>16.0399</t>
  </si>
  <si>
    <t>East &amp; Southeast Asian Languages &amp; Literatures, Other</t>
  </si>
  <si>
    <t>Any instructional program in East and Southeast Asian languages and literatures not described above, such as Korean, Tibetan, Mongolian, Tagalog, Thai, Lao, Vietnamese, Cambodian, Indonesian/Malay, Burmese or others.</t>
  </si>
  <si>
    <t>160399</t>
  </si>
  <si>
    <t>16.0400</t>
  </si>
  <si>
    <t>East European Languages &amp; Literatures</t>
  </si>
  <si>
    <t>A group of instructional programs that describe the study of the languages, literatures, and cultures of the peoples of Eastern Europe, including Russia, the Baltic Coast, Middle Europe, and the Balkans.</t>
  </si>
  <si>
    <t>160400</t>
  </si>
  <si>
    <t>16.0402</t>
  </si>
  <si>
    <t>Russian Language &amp; Literature</t>
  </si>
  <si>
    <t>An instructional program that describes the study of the language, literature, and culture of Russian speaking peoples.</t>
  </si>
  <si>
    <t>160402</t>
  </si>
  <si>
    <t>16.0403</t>
  </si>
  <si>
    <t>Slavic Languages &amp; Literatures (Other than Russian)</t>
  </si>
  <si>
    <t>An instructional program that describes the study of one or more of the languages, literatures and cultures of the non-Russian Slavic peoples, including such languages as Byelorussian, Bulgarian, Czech, Polish, Serbo Croatian, Old Slavonic and Ukrainian.</t>
  </si>
  <si>
    <t>160403</t>
  </si>
  <si>
    <t>16.0406</t>
  </si>
  <si>
    <t>160406</t>
  </si>
  <si>
    <t>16.0499</t>
  </si>
  <si>
    <t>East European Languages &amp; Literatures, Other</t>
  </si>
  <si>
    <t>Any instructional program in East European languages and literatures not described elsewhere in this group of instructional programs, such as Finnish, Hungarian, Estonian, Latvian and Lithuanian.</t>
  </si>
  <si>
    <t>160499</t>
  </si>
  <si>
    <t>16.0500</t>
  </si>
  <si>
    <t>Germanic Languages &amp; Literatures</t>
  </si>
  <si>
    <t>A group of instructional programs that describe the study of the languages, literatures, and cultures of peoples speaking  Germanic languages other than English.</t>
  </si>
  <si>
    <t>160500</t>
  </si>
  <si>
    <t>16.0501</t>
  </si>
  <si>
    <t>German Language &amp; Literature</t>
  </si>
  <si>
    <t>An instructional program that describes the study of the language, literature, and culture of German speaking peoples, including related dialects such as Low German, Swiss German, and Old or Middle German.</t>
  </si>
  <si>
    <t>160501</t>
  </si>
  <si>
    <t>16.0502</t>
  </si>
  <si>
    <t>Scandinavian Languages &amp; Literatures</t>
  </si>
  <si>
    <t>An instructional program that describes the study of the languages, literatures, and cultures of the Scandinavian peoples, including Danish, Icelandic, Norwegian, Swedish, and Old Norse.</t>
  </si>
  <si>
    <t>160502</t>
  </si>
  <si>
    <t>16.0599</t>
  </si>
  <si>
    <t>Germanic Languages &amp; Literatures, Other</t>
  </si>
  <si>
    <t>Any instructional program in Germanic languages and literatures not described elsewhere in this group of instructional programs, such as Yiddish, Dutch, Flemish, Old German, Frisian, Gothic and Saxon.</t>
  </si>
  <si>
    <t>160599</t>
  </si>
  <si>
    <t>16.0600</t>
  </si>
  <si>
    <t>Greek Language &amp; Literature (Modern)</t>
  </si>
  <si>
    <t>A group of instructional programs that describe the study of the language, literature, and culture of Greek speaking peoples.</t>
  </si>
  <si>
    <t>160600</t>
  </si>
  <si>
    <t>16.0601</t>
  </si>
  <si>
    <t>An instructional program that describes the study of the language, literature, and culture of modern Greece, generally comprising the period from the fall of Byzantium in 1453 to the present.</t>
  </si>
  <si>
    <t>160601</t>
  </si>
  <si>
    <t>16.0700</t>
  </si>
  <si>
    <t>South Asian Languages &amp; Literatures</t>
  </si>
  <si>
    <t>A group of instructional programs that describes the study of the languages, literatures and cultures of peoples of South Asia, including such languages as Hindi, Urdu, Bengali, Punjabi, and the Dravidian group, and ancestral languages such as Sanskrit, Pali and Bactrian.</t>
  </si>
  <si>
    <t>160700</t>
  </si>
  <si>
    <t>16.0703</t>
  </si>
  <si>
    <t>An instructional program that describes the study of the languages, literatures and cultures of peoples of South Asia, including such languages as Hindi, Urdu, Bengali, Punjabi, and the Dravidian group, and ancestral languages such as Sanskrit, Pali and Bactrian.</t>
  </si>
  <si>
    <t>160703</t>
  </si>
  <si>
    <t>16.0900</t>
  </si>
  <si>
    <t>Romance Languages &amp; Literatures</t>
  </si>
  <si>
    <t>A group of instructional programs that describe the languages, literatures, and cultures of peoples speaking languages descended from Latin dialects and their modern derivatives.</t>
  </si>
  <si>
    <t>160900</t>
  </si>
  <si>
    <t>16.0901</t>
  </si>
  <si>
    <t>French Language &amp; Literature</t>
  </si>
  <si>
    <t>An instructional program that describes the study of the language, literature, and culture of French speaking peoples, including related languages and dialects such as Creole, Provencal and Walloon.</t>
  </si>
  <si>
    <t>160901</t>
  </si>
  <si>
    <t>16.0902</t>
  </si>
  <si>
    <t>Italian Language &amp; Literature</t>
  </si>
  <si>
    <t>An instructional program that describes the study of the language, literature, and culture of Italian speaking peoples, including dialects and related languages such as Sicilian, Friulian and Sardinian.</t>
  </si>
  <si>
    <t>160902</t>
  </si>
  <si>
    <t>16.0904</t>
  </si>
  <si>
    <t>Portuguese Language &amp; Literature</t>
  </si>
  <si>
    <t>An instructional program that describes the study of the language, literature, and culture of Portuguese speaking peoples, including the Luso Brazilian and African dialects.</t>
  </si>
  <si>
    <t>160904</t>
  </si>
  <si>
    <t>16.0905</t>
  </si>
  <si>
    <t>Spanish Language &amp; Literature</t>
  </si>
  <si>
    <t>An instructional program that describes the study of the language, literature, and culture of Spanish speaking peoples, including related or derived dialects and languages such as Catalan, Castillan, and various Latin American dialects.</t>
  </si>
  <si>
    <t>160905</t>
  </si>
  <si>
    <t>16.0999</t>
  </si>
  <si>
    <t>Romance Languages &amp; Literatures, Other</t>
  </si>
  <si>
    <t>Any instructional program in Romance languages not described elsewhere in this group of instructional programs, such as Romanian and Rhaeto Romansch.</t>
  </si>
  <si>
    <t>160999</t>
  </si>
  <si>
    <t>16.1100</t>
  </si>
  <si>
    <t>Middle Eastern Languages &amp; Literatures</t>
  </si>
  <si>
    <t>A group of instructional programs that describes the languages, literatures, and cultures of peoples of the Middle East, including Turkey, the Arabian Peninsula, Iran, the Fertile Crescent and Semitic North Africa.</t>
  </si>
  <si>
    <t>161100</t>
  </si>
  <si>
    <t>16.1101</t>
  </si>
  <si>
    <t>Arabic Language &amp; Literature</t>
  </si>
  <si>
    <t>An instructional program that describes the study of the language, literature, and culture of Arabic speaking peoples, including Classical, Modern Standard, and related dialects and derivatives.</t>
  </si>
  <si>
    <t>161101</t>
  </si>
  <si>
    <t>16.1102</t>
  </si>
  <si>
    <t>Hebrew Language &amp; Literature</t>
  </si>
  <si>
    <t>An instructional program that describes the study of the language, literature, and culture of Hebrew speaking peoples, including promodern and modern Hebrew dialects and derivatives.</t>
  </si>
  <si>
    <t>161102</t>
  </si>
  <si>
    <t>16.1199</t>
  </si>
  <si>
    <t>Middle Eastern Languages &amp; Literatures, Other</t>
  </si>
  <si>
    <t>Any instructional program in Middle Eastern languages and literatures not described elsewhere in this group of instructional programs, including such languages as Farsi (Iranian), Turkish, Berber and Armenian.</t>
  </si>
  <si>
    <t>161199</t>
  </si>
  <si>
    <t>16.1200</t>
  </si>
  <si>
    <t>Classical &amp; Ancient Near Eastern Languages &amp; Literatures</t>
  </si>
  <si>
    <t>A group of instructional programs that describe the study of the languages, literatures and cultures of the Greek- and Latin-speaking peoples of the ancient and Medieval West, and of the peoples of the Pre-Islamic Near East.</t>
  </si>
  <si>
    <t>161200</t>
  </si>
  <si>
    <t>16.1201</t>
  </si>
  <si>
    <t>Classics &amp; Classical Languages &amp; Literatures</t>
  </si>
  <si>
    <t>An instructional program that describes the study of the languages, literatures and general civilization of the classical Greco Roman world, including both ancient Greek and Latin, and related studies.</t>
  </si>
  <si>
    <t>161201</t>
  </si>
  <si>
    <t>16.1202</t>
  </si>
  <si>
    <t>Greek Language &amp; Literature (Ancient &amp; Medieval)</t>
  </si>
  <si>
    <t>An instructional program that describes the study of the language, literature and culture of the ancient and Medieval Greeks, including Archaic Greece, Classical Greece, the Hellenistic World, Byzantium, and related studies.</t>
  </si>
  <si>
    <t>161202</t>
  </si>
  <si>
    <t>16.1203</t>
  </si>
  <si>
    <t>Latin Language &amp; Literature (Ancient &amp; Medieval)</t>
  </si>
  <si>
    <t>An instructional program that describes the study of the language, literature and culture of the ancient and Medieval Latin speaking peoples, including Classical Roman Latin, related ancient Italic dialects and languages, Medieval Latin and derivatives, and related studies.</t>
  </si>
  <si>
    <t>161203</t>
  </si>
  <si>
    <t>16.1299</t>
  </si>
  <si>
    <t>Classical &amp; Ancient Near Eastern Languages &amp; Lit, Other</t>
  </si>
  <si>
    <t>Any instructional program in Classical and ancient Near Eastern languages and literatures not described above, such as Ancient Egyptian/Egyptology, Coptic, Avestan (Old Persian), Akkadian, Aramaic, Ugaritic, Syriac, Phoenician, Hittite and Hurrian, Sumerian, Luwian, Yemeni, Elamite, Cretan, and Urartian.</t>
  </si>
  <si>
    <t>161299</t>
  </si>
  <si>
    <t>16.9900</t>
  </si>
  <si>
    <t>Foreign Languages &amp; Literatures, Other</t>
  </si>
  <si>
    <t>Any instructional program in foreign languages and literatures not described elsewhere in this group of instructional programs, including language groups and individual languages such as the non-Semitic African languages, Native American languages, the Celtic languages, Pacific language groups, the Ural Altaic languages, Basque, and others.</t>
  </si>
  <si>
    <t>169900</t>
  </si>
  <si>
    <t>16.9999</t>
  </si>
  <si>
    <t>169999</t>
  </si>
  <si>
    <t>19.0000</t>
  </si>
  <si>
    <t>A summary of groups of instructional programs that describe the relationship of the physi-cal, social, emotional, and intellectual environments to the development of individuals, homes and families, and the effects of these factors on society and the workplace.</t>
  </si>
  <si>
    <t>190000</t>
  </si>
  <si>
    <t>19.0100</t>
  </si>
  <si>
    <t>A group of instructional programs that describes the study of the relationship between the physical, social, emotional, and intellectual environment and the health and wellness of individuals and families.</t>
  </si>
  <si>
    <t>190100</t>
  </si>
  <si>
    <t>19.0703</t>
  </si>
  <si>
    <t>Family &amp; Marriage Counseling</t>
  </si>
  <si>
    <t>An instructional program that describes the study of the factors affecting marital relationships, parent child relationships, and the functioning of the family as a whole; the study of separation, divorce and remarriage, death, exceptional children, and health and wellness; and the application of therapeutic intervention strategies in appropriate situations.</t>
  </si>
  <si>
    <t>190703</t>
  </si>
  <si>
    <t>19.0704</t>
  </si>
  <si>
    <t>Family Life &amp; Relations Studies</t>
  </si>
  <si>
    <t>An instructional program that describes the study of the family unit as it evolves across the lives of its members, with emphasis on identifying and analyzing family structures, family member roles and functions, family interactions, and family conflicts.</t>
  </si>
  <si>
    <t>190704</t>
  </si>
  <si>
    <t>19.0705</t>
  </si>
  <si>
    <t>Gerontological Services</t>
  </si>
  <si>
    <t>An instructional program that describes the study of the characteristics, attitudes, behavior and needs of older people in family settings, and the methods of organizing services for them.  Includes instruction in providing dependent care; serving the physical, social, economic, and psychological needs and concerns of the elderly; related legislation; and community resources.</t>
  </si>
  <si>
    <t>190705</t>
  </si>
  <si>
    <t>19.0706</t>
  </si>
  <si>
    <t>Child Growth, Care &amp; Development Studies</t>
  </si>
  <si>
    <t>An instructional program that describes the study of the intellectual, social, emotional and physical growth of children from birth through adolescence, and the administration and supervision of services to children and their families.  Includes instruction in providing dependent care; related social, behavioral and biological sciences; and management theory and practice.</t>
  </si>
  <si>
    <t>190706</t>
  </si>
  <si>
    <t>19.0799</t>
  </si>
  <si>
    <t>Individual &amp; Family Development Studies, Other</t>
  </si>
  <si>
    <t>Any instructional program in individual and family development studies not described elsewhere in this group of instructional programs.</t>
  </si>
  <si>
    <t>190799</t>
  </si>
  <si>
    <t>19.0900</t>
  </si>
  <si>
    <t>Clothing/Apparel &amp; Textile Studies</t>
  </si>
  <si>
    <t>A group of instructional programs that describes the study of contemporary and historical ways of meeting psychological, sociological, economic, and physiological needs relative to clothing and textile products, including techniques of design, production, distribution, marketing and consumption.</t>
  </si>
  <si>
    <t>190900</t>
  </si>
  <si>
    <t>19.0901</t>
  </si>
  <si>
    <t>An instructional program that describes the study of contemporary and historical ways of meeting psychological, sociological, economic, and physiological needs relative to clothing and textile products, including techniques of design, production, distribution, marketing and consumption.</t>
  </si>
  <si>
    <t>190901</t>
  </si>
  <si>
    <t>19.9900</t>
  </si>
  <si>
    <t>Home Economics, Other</t>
  </si>
  <si>
    <t>Any instructional programs in home economics not described elsewhere in this group of instructional programs.</t>
  </si>
  <si>
    <t>199900</t>
  </si>
  <si>
    <t>19.9999</t>
  </si>
  <si>
    <t>Any instructional program in home economics not described elsewhere in this group of instructional programs.</t>
  </si>
  <si>
    <t>199999</t>
  </si>
  <si>
    <t>20</t>
  </si>
  <si>
    <t>20.0000</t>
  </si>
  <si>
    <t>Vocational Home Economics</t>
  </si>
  <si>
    <t>A summary of groups of in-structional programs that describe competencies in home economics which prepare individuals for the occupation of homemaking, for paid employ-ment, and for organizing and managing business undertakings and services.</t>
  </si>
  <si>
    <t>200000</t>
  </si>
  <si>
    <t>20.0100</t>
  </si>
  <si>
    <t>Consumer &amp; Homemaking Education</t>
  </si>
  <si>
    <t>A group of instructional programs that prepares individuals at all education levels for the occupation of homemaking, emphasizing the acquisition of knowledge and the comprehension of attitudes, standards, values and skills relevant to individual and family life.  These programs prepare individuals for the multiple roles of homemaker and wage earner.</t>
  </si>
  <si>
    <t>200100</t>
  </si>
  <si>
    <t>20.0101</t>
  </si>
  <si>
    <t>Comprehensive Consumer &amp; Homemaking Education</t>
  </si>
  <si>
    <t>An instructional program that generally prepares individuals for the occupation of homemaking, emphasizing the acquisition of knowledge and the development of attitudes, standards, values, and skills relevant to individual and family life and nurturing.  Includes instruction in consumer education, food and nutrition, family living and parenthood education, child growth and development, housing and home management (including resource management), and clothing and textiles.  Also, prepares individuals for balancing work and family roles and enhancing employability skills.</t>
  </si>
  <si>
    <t>200101</t>
  </si>
  <si>
    <t>20.0102</t>
  </si>
  <si>
    <t>Child Development, Care &amp; Guidance</t>
  </si>
  <si>
    <t>An instructional program that prepares individuals to understand children's physical, mental, emotional, and social growth and development.  Includes instruction child care and guidance and actual experience in supervising children.</t>
  </si>
  <si>
    <t>200102</t>
  </si>
  <si>
    <t>20.0103</t>
  </si>
  <si>
    <t>Clothing &amp; Textiles</t>
  </si>
  <si>
    <t>An instructional program that prepares individuals to understand the social, psychological, and physiological aspects of clothing and textiles; the nature, acquisition, and use of clothing and textile products; the selection, construction, maintenance, and alteration of clothing and textile products; and the effect of consumer choices on the individual and family as well as the clothing and textile industry.</t>
  </si>
  <si>
    <t>200103</t>
  </si>
  <si>
    <t>20.0104</t>
  </si>
  <si>
    <t>Consumer Education</t>
  </si>
  <si>
    <t>An instructional program that prepares individuals to understand the values, needs, wants, goals, and resources that enable youth and adults to make rational decisions that contribute to family stability and quality of life.  Includes instruction in budgeting and spending plans, use of credit, savings, investments, taxes, consumer buying, and consumer rights and responsibilities.</t>
  </si>
  <si>
    <t>200104</t>
  </si>
  <si>
    <t>20.0105</t>
  </si>
  <si>
    <t>Exploratory Homemaking</t>
  </si>
  <si>
    <t>An instructional program that provides individuals the opportunity to explore home economics subject matter areas.  Includes instruction in the development of positive self concepts; understanding personal growth and development; and relationships with peers and family members in becoming contributing members in the home, school, and community.</t>
  </si>
  <si>
    <t>200105</t>
  </si>
  <si>
    <t>20.0106</t>
  </si>
  <si>
    <t>Family/Individual Health</t>
  </si>
  <si>
    <t>An instructional program that prepares individuals to understand the related aspects of health and wellness with special emphasis on nutrition, emotional health and physical health; the relationship of the health of an individual to the wellness of the family; the prevention of illness; and the basic care of the ill and convalescent in the home, including the elderly, the young child, and the handicapped.</t>
  </si>
  <si>
    <t>200106</t>
  </si>
  <si>
    <t>20.0107</t>
  </si>
  <si>
    <t>Family Living &amp; Parenthood</t>
  </si>
  <si>
    <t>An instructional program that prepares individuals to understand the nature, function, and significance of human relationships within the family/individual units.  Includes instruction in the concepts and principles related to various family living conditions, including abuse prevention; the establishment and maintenance of relationships; the preparation for marriage, parenthood, and family life; and the socialization and developmental needs of individuals.</t>
  </si>
  <si>
    <t>200107</t>
  </si>
  <si>
    <t>20.0108</t>
  </si>
  <si>
    <t>Food &amp; Nutrition</t>
  </si>
  <si>
    <t>An instructional program that prepares individuals to understand the principles of nutrition; the relationship of nutrition to health and wellness; the selection, preparation, and care of food; meal management to meet individual and family food needs and patterns of living; food economics and ecology; optimal use of the food dollar; understanding and promoting nutritional knowledge; and the application of related math and science skills.</t>
  </si>
  <si>
    <t>200108</t>
  </si>
  <si>
    <t>20.0109</t>
  </si>
  <si>
    <t>Home Management</t>
  </si>
  <si>
    <t>An instructional program that prepares individuals to understand the establishment and maintenance of a satisfying home and family life, including decision making regarding human and non human resources.  Includes instruction in the societal and economic influences on individual and family management; values, goals and standards; family economics; the impact of new technologies on life and work; and the organization of activities in the home as a means of successfully balancing work and family roles.</t>
  </si>
  <si>
    <t>200109</t>
  </si>
  <si>
    <t>20.0110</t>
  </si>
  <si>
    <t>Housing, Home Furnishing &amp; Equipment</t>
  </si>
  <si>
    <t>An instructional program that prepares individuals to understand the physical, psychological, and social influences pertaining to the complex housing decisions required for a desirable living environment.  Includes instruction in the human and environmental factors influencing the form and use of housing; the varied types of housing; costs, exterior and interior design; home furnishing and equipment; and the selection, use and care of available resources for achieving improved living space to meet individual and family needs.</t>
  </si>
  <si>
    <t>200110</t>
  </si>
  <si>
    <t>20.0199</t>
  </si>
  <si>
    <t>Consumer &amp; Homemaking Education, Other</t>
  </si>
  <si>
    <t>Any instructional program in consumer and homemaking education not described elsewhere in this group of instructional programs.</t>
  </si>
  <si>
    <t>200199</t>
  </si>
  <si>
    <t>20.0200</t>
  </si>
  <si>
    <t>Child Care &amp; Guidance Workers &amp; Managers</t>
  </si>
  <si>
    <t>A group of instructional programs that prepares individuals for occupations in child care and guidance in institutional and residential family settings, often under the supervision of professional personnel.  Includes instruction in child growth and development; nutrition; recreation, play and learning activities planning and supervision; child abuse and neglect prevention; parent child relationships; and applicable legal and administrative requirements.</t>
  </si>
  <si>
    <t>200200</t>
  </si>
  <si>
    <t>20.0201</t>
  </si>
  <si>
    <t>Child Care &amp; Guidance Workers &amp; Managers, General</t>
  </si>
  <si>
    <t>An instructional program that generally prepares individuals for occupations in child care and guidance in institutional and residential family settings, often under the supervision of professional personnel.  Includes instruction in child growth and development; nutrition; recreation, play and learning activities planning and supervision; child abuse and neglect prevention; parent child relationships; and applicable legal and administrative requirements.</t>
  </si>
  <si>
    <t>200201</t>
  </si>
  <si>
    <t>20.0202</t>
  </si>
  <si>
    <t>Child Care Provider/Assistant</t>
  </si>
  <si>
    <t>An instructional program that prepares individuals to be primary providers of home , family , residential  or institutionally based child care services.  Includes instruction in planning, organizing and conducting meaningful play and learning activities; child monitoring and supervision; record-keeping; and referral procedures.</t>
  </si>
  <si>
    <t>200202</t>
  </si>
  <si>
    <t>20.0203</t>
  </si>
  <si>
    <t>Child Care Services Manager</t>
  </si>
  <si>
    <t>An instructional program that prepares individuals to develop and manage effective child care programs and facilities.  Includes instruction in the management of financial operations; selecting and developing facilities; selecting staff and staffing patterns; providing for staff development opportunities; developing a total program for children; and working with parents, community organizations and others concerned with children.</t>
  </si>
  <si>
    <t>200203</t>
  </si>
  <si>
    <t>20.0299</t>
  </si>
  <si>
    <t>Child Care &amp; Guidance Workers &amp; Managers, Other</t>
  </si>
  <si>
    <t>Any instructional program in child care and guidance management and services not described elsehwere in this group of instructional programs.</t>
  </si>
  <si>
    <t>200299</t>
  </si>
  <si>
    <t>20.0300</t>
  </si>
  <si>
    <t>Clothing, Apparel &amp; Textile Workers &amp; Managers</t>
  </si>
  <si>
    <t>A group of instructional programs that prepares individuals for occupations concerned with the entire spectrum of clothing, apparel, and textiles management, production, and services, including but not limited to construction; fabric and fabric care; pattern design; principles in clothing construction and selection; fitting and alterations of ready to wear garments; custom tailoring; clothing maintenance; and textiles testing.</t>
  </si>
  <si>
    <t>200300</t>
  </si>
  <si>
    <t>20.0301</t>
  </si>
  <si>
    <t>Clothing, Apparel &amp; Textile Workers &amp; Managers, General</t>
  </si>
  <si>
    <t>An instructional program that generally prepares individuals for occupations concerned with the entire spectrum of clothing, apparel, and textiles management, production, and services, including but not limited to construction; fabric and fabric care; pattern design; principles in clothing construction and selection; fitting and alterations of ready to wear garments; custom tailoring; clothing maintenance; and textiles testing.</t>
  </si>
  <si>
    <t>200301</t>
  </si>
  <si>
    <t>20.0303</t>
  </si>
  <si>
    <t>Commercial Garment &amp; Apparel Worker</t>
  </si>
  <si>
    <t>An instructional program that prepares individuals to construct ready to wear garments and apparel. Includes instruction in developing and preparing patterns for standardized sizes; selecting appropriate fabric; cutting of fabric with commercial cutting equipment; stitching fabric on commercial power sewing equipment; applying finishes and notions to garments and apparel; and pressing and packing garments or apparel.</t>
  </si>
  <si>
    <t>200303</t>
  </si>
  <si>
    <t>20.0305</t>
  </si>
  <si>
    <t>Custom Tailor</t>
  </si>
  <si>
    <t>An instructional program that prepares individuals to design, construct, alter, and repair men's, women's and children's garments and apparel. Includes instruction in tailoring design, fabric selection, customizing to customer specifications; taking measurements and fitting; preparing patterns; cutting, sewing, altering, refitting and adjusting; operation of hand and power equipment; and pressing and smoothing seams.</t>
  </si>
  <si>
    <t>200305</t>
  </si>
  <si>
    <t>20.0306</t>
  </si>
  <si>
    <t>Fashion &amp; Fabric Consultant</t>
  </si>
  <si>
    <t>An instructional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</si>
  <si>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200306</t>
  </si>
  <si>
    <t>20.0309</t>
  </si>
  <si>
    <t>Drycleaner &amp; Launderer</t>
  </si>
  <si>
    <t>An instructional program that prepares individuals to perform clothing and apparel cleaning services and to operate and manage laundry and drycleaning facilities.  Includes instruction in routine clothing repairs, fabric identification, spot removing and special cleaning, dyeing and bleaching, ironing and pressing, equipment operation and maintenance, and business management.</t>
  </si>
  <si>
    <t>200309</t>
  </si>
  <si>
    <t>20.0399</t>
  </si>
  <si>
    <t>Clothing, Apparel &amp; Textile Workers &amp; Managers, Other</t>
  </si>
  <si>
    <t>Any instructional program in clothing, apparel, and textiles management, production, and services not described elsewhere in this group of instructional programs.</t>
  </si>
  <si>
    <t>200399</t>
  </si>
  <si>
    <t>20.0400</t>
  </si>
  <si>
    <t>Institutional Food Workers &amp; Administrators</t>
  </si>
  <si>
    <t>A group of instructional programs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</si>
  <si>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142100</t>
  </si>
  <si>
    <t>14.2101</t>
  </si>
  <si>
    <t>An instructional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</si>
  <si>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142101</t>
  </si>
  <si>
    <t>14.2200</t>
  </si>
  <si>
    <t>Naval Architecture &amp; Marine Engineering</t>
  </si>
  <si>
    <t>A group of instructional programs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communications and sensing, environmental hazards and factors, and specific use requirements.</t>
  </si>
  <si>
    <t>142200</t>
  </si>
  <si>
    <t>14.2201</t>
  </si>
  <si>
    <t>An instructional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communications and sensing, environmental hazards and factors, and specific use requirements.</t>
  </si>
  <si>
    <t>142201</t>
  </si>
  <si>
    <t>14.2300</t>
  </si>
  <si>
    <t>Nuclear Engineering</t>
  </si>
  <si>
    <t>A group of instructional programs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</si>
  <si>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142300</t>
  </si>
  <si>
    <t>14.2301</t>
  </si>
  <si>
    <t>An instructional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</si>
  <si>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142301</t>
  </si>
  <si>
    <t>14.2400</t>
  </si>
  <si>
    <t>Ocean Engineering</t>
  </si>
  <si>
    <t>A group of instructional programs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</si>
  <si>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142400</t>
  </si>
  <si>
    <t>14.2401</t>
  </si>
  <si>
    <t>An instructional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</si>
  <si>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142401</t>
  </si>
  <si>
    <t>14.2500</t>
  </si>
  <si>
    <t>Petroleum Engineering</t>
  </si>
  <si>
    <t>A group of instructional programs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</si>
  <si>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142500</t>
  </si>
  <si>
    <t>14.2501</t>
  </si>
  <si>
    <t>An instructional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</si>
  <si>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142501</t>
  </si>
  <si>
    <t>14.2700</t>
  </si>
  <si>
    <t>Systems Engineering</t>
  </si>
  <si>
    <t>A group of instructional programs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</si>
  <si>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142700</t>
  </si>
  <si>
    <t>14.2701</t>
  </si>
  <si>
    <t>An instructional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</si>
  <si>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142701</t>
  </si>
  <si>
    <t>14.2800</t>
  </si>
  <si>
    <t>Textile Sciences &amp; Engineering</t>
  </si>
  <si>
    <t>A group of instructional programs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</si>
  <si>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142800</t>
  </si>
  <si>
    <t>14.2801</t>
  </si>
  <si>
    <t>An instructional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</si>
  <si>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142801</t>
  </si>
  <si>
    <t>14.2900</t>
  </si>
  <si>
    <t>Engineering Design</t>
  </si>
  <si>
    <t>A group of instructional programs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t>
  </si>
  <si>
    <t>142900</t>
  </si>
  <si>
    <t>14.2901</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</si>
  <si>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t>
  </si>
  <si>
    <t>142901</t>
  </si>
  <si>
    <t>14.3000</t>
  </si>
  <si>
    <t>Engineering/Industrial Management</t>
  </si>
  <si>
    <t>A group of instructional programs that describes the application of engineering principles to the planning and operational management of enterprises and organizations, including budgeting, costing, quality control, efficient resource allocation and utilization, product production and distribution, human resource management, systems and plant maintenance, scheduling, storage and security, organization planning, acquisitions, and logistics.</t>
  </si>
  <si>
    <t>143000</t>
  </si>
  <si>
    <t>14.3001</t>
  </si>
  <si>
    <t>An instructional program that describes the application of engineering principles to the planning and operational management of enterprises and organizations, including budgeting, costing, quality control, efficient resource allocation and utilization, product production and distribution, human resource management, systems and plant maintenance, scheduling, storage and security, organization planning, acquisitions, and logistics.</t>
  </si>
  <si>
    <t>143001</t>
  </si>
  <si>
    <t>14.3100</t>
  </si>
  <si>
    <t>Materials Science</t>
  </si>
  <si>
    <t>A group of instructional programs that describes the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</si>
  <si>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143100</t>
  </si>
  <si>
    <t>14.3101</t>
  </si>
  <si>
    <t>An instructional program that generally describes the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</si>
  <si>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143101</t>
  </si>
  <si>
    <t>14.3200</t>
  </si>
  <si>
    <t>Polymer/Plastics Engineering</t>
  </si>
  <si>
    <t>A group of instructional programs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</si>
  <si>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143200</t>
  </si>
  <si>
    <t>14.3201</t>
  </si>
  <si>
    <t>An instructional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</si>
  <si>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143201</t>
  </si>
  <si>
    <t>14.9900</t>
  </si>
  <si>
    <t>Engineering, Other</t>
  </si>
  <si>
    <t>Any instructional programs in engineering not described elsewhere in this group of programs.</t>
  </si>
  <si>
    <t>149900</t>
  </si>
  <si>
    <t>14.9999</t>
  </si>
  <si>
    <t>Any instructional program in engineering not described elsewhere in this group of programs.</t>
  </si>
  <si>
    <t>149999</t>
  </si>
  <si>
    <t>15</t>
  </si>
  <si>
    <t>15.0000</t>
  </si>
  <si>
    <t>Engineering-Related Technologies</t>
  </si>
  <si>
    <t xml:space="preserve"> A summary of groups of instructional programs that prepare individuals to apply basic engineering principles and technical skills in support of engineering and related projects.</t>
  </si>
  <si>
    <t>150000</t>
  </si>
  <si>
    <t>15.0100</t>
  </si>
  <si>
    <t>Architectural Engineering Technology</t>
  </si>
  <si>
    <t>A group of instructional programs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</si>
  <si>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150100</t>
  </si>
  <si>
    <t>15.0101</t>
  </si>
  <si>
    <t>Architectural Engineering Technology/Technician</t>
  </si>
  <si>
    <t>An instructional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</si>
  <si>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150101</t>
  </si>
  <si>
    <t>15.0200</t>
  </si>
  <si>
    <t>Civil Engineering/Civil Technology</t>
  </si>
  <si>
    <t>A group of instructional programs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</si>
  <si>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150200</t>
  </si>
  <si>
    <t>15.0201</t>
  </si>
  <si>
    <t>Civil Engineering/Civil Technology/Technician</t>
  </si>
  <si>
    <t>An instructional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</si>
  <si>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150201</t>
  </si>
  <si>
    <t>15.0300</t>
  </si>
  <si>
    <t>Electrical &amp; Electronic Engineering-Related Technology</t>
  </si>
  <si>
    <t>A group of instructional programs that prepare individuals to apply basic engineering principles and technical skills in support of engineering, research and industrial applications of electricity, lasers, and computers.</t>
  </si>
  <si>
    <t>150300</t>
  </si>
  <si>
    <t>15.0301</t>
  </si>
  <si>
    <t>Computer Engineering Technology/Technician</t>
  </si>
  <si>
    <t>An instructional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</si>
  <si>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150301</t>
  </si>
  <si>
    <t>15.0303</t>
  </si>
  <si>
    <t>Electrical, Electronic &amp; Comm Engineering Tech/Technician</t>
  </si>
  <si>
    <t>An instructional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</si>
  <si>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150303</t>
  </si>
  <si>
    <t>15.0304</t>
  </si>
  <si>
    <t>Laser &amp; Optical Technology/Technician</t>
  </si>
  <si>
    <t>An instructional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</si>
  <si>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150304</t>
  </si>
  <si>
    <t>15.0399</t>
  </si>
  <si>
    <t>Electrical &amp; Electronic Engr-Related Tech/Technician,Other</t>
  </si>
  <si>
    <t>Any instructional program in electrical and electronic engineering related technologies not described elsewhere in this group of instructional programs.</t>
  </si>
  <si>
    <t>150399</t>
  </si>
  <si>
    <t>15.0400</t>
  </si>
  <si>
    <t>Electromechanical Instrumentation &amp; Maintenance Technology</t>
  </si>
  <si>
    <t>A group of instructional programs that prepare individuals to apply basic engineering and technical skills in support of engineers and other professionals engaged in developing and using industrial systems relying on electrical power.</t>
  </si>
  <si>
    <t>150400</t>
  </si>
  <si>
    <t>15.0401</t>
  </si>
  <si>
    <t>Biomedical Engineering-Related Technology/Technician</t>
  </si>
  <si>
    <t>An instructional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</si>
  <si>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150401</t>
  </si>
  <si>
    <t>15.0402</t>
  </si>
  <si>
    <t>Computer Maintenance Technology/Technician</t>
  </si>
  <si>
    <t>An instructional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</si>
  <si>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150402</t>
  </si>
  <si>
    <t>15.0403</t>
  </si>
  <si>
    <t>Electromechanical Technology/Technician</t>
  </si>
  <si>
    <t>An instructional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</si>
  <si>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150403</t>
  </si>
  <si>
    <t>15.0404</t>
  </si>
  <si>
    <t>Instrumentation Technology/Technician</t>
  </si>
  <si>
    <t>An instructional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</si>
  <si>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150404</t>
  </si>
  <si>
    <t>15.0405</t>
  </si>
  <si>
    <t>Robotics Technology/Technician</t>
  </si>
  <si>
    <t>An instructional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</si>
  <si>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150405</t>
  </si>
  <si>
    <t>15.0499</t>
  </si>
  <si>
    <t>Electromechanic &amp; Instrumentation &amp; Maint Tech/Technicians</t>
  </si>
  <si>
    <t>Any instructional program in electromechanical instrumentation and maintenance technologies not described elsehwere in this group of instructional programs.</t>
  </si>
  <si>
    <t>150499</t>
  </si>
  <si>
    <t>15.0500</t>
  </si>
  <si>
    <t>Environmental Control Technologies</t>
  </si>
  <si>
    <t>A group of instructional programs that prepare individuals to apply basic engineering principles and technical skills in support of engineers and other professionals engaged in environmental protection and the development of environmental systems.</t>
  </si>
  <si>
    <t>150500</t>
  </si>
  <si>
    <t>15.0501</t>
  </si>
  <si>
    <t>Heating, Air Conditioning &amp; Refrigeration Tech/Technicians</t>
  </si>
  <si>
    <t>An instructional program that prepares individuals to apply basic engineering principles and technical skills in support of engineers and other professionals engaged in developing and using air conditioning, refrigeration, and heating systems.  Includes instruction in principles of heating and cooling technology, design and operational testing, inspection and maintenance procedures, installation and operation procedures, and report preparation.</t>
  </si>
  <si>
    <t>150501</t>
  </si>
  <si>
    <t>15.0503</t>
  </si>
  <si>
    <t>Energy Management &amp; Systems Technology/Technician</t>
  </si>
  <si>
    <t>An instructional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</si>
  <si>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150503</t>
  </si>
  <si>
    <t>15.0505</t>
  </si>
  <si>
    <t>Solar Technology/Technician</t>
  </si>
  <si>
    <t>An instructional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</si>
  <si>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150505</t>
  </si>
  <si>
    <t>15.0506</t>
  </si>
  <si>
    <t>Water Quality &amp; Wastewater Treatment Technology/Technician</t>
  </si>
  <si>
    <t>An instructional program that prepares individuals to apply basic engineering principles and technical skills in support of engineers and other professionals engaged in developing and using water storage, water power, and wastewater treatment systems.  Includes instruction in water storage, power and/or treatment systems and equipment; appropriate testing and inspection procedures; appropriate system maintenance procedures; and report preparation.</t>
  </si>
  <si>
    <t>150506</t>
  </si>
  <si>
    <t>15.0507</t>
  </si>
  <si>
    <t>Environmental &amp; Pollution Control Technology/Technician</t>
  </si>
  <si>
    <t>An instructional program that prepares individuals to apply basic engineering principles and technical skills in support of engineers and other professionals engaged in developing and using indoor and outdoor environmental pollution control systems, and in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</si>
  <si>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150507</t>
  </si>
  <si>
    <t>15.0599</t>
  </si>
  <si>
    <t>Environmental Control Technologies/Technicians, Other</t>
  </si>
  <si>
    <t>Any instructional program in environmental control technologies not described elsewhere in this group of instructional programs.</t>
  </si>
  <si>
    <t>150599</t>
  </si>
  <si>
    <t>15.0600</t>
  </si>
  <si>
    <t>Industrial Production Technologies</t>
  </si>
  <si>
    <t>A group of instructional programs that prepare individuals to apply basic engineering principles and technical skills in support of engineers and other professionals engaged in developing and using industrial processes.</t>
  </si>
  <si>
    <t>150600</t>
  </si>
  <si>
    <t>15.0603</t>
  </si>
  <si>
    <t>Industrial/Manufacturing Technology/Technician</t>
  </si>
  <si>
    <t>An instructional program that prepares individuals to apply basic engineering principles and technical skills in support of engineers and other professionals engaged in developing and using industrial manufacturing systems and processes.  Includes instruction in design and prototype testing, instrument calibration, operational and maintenance procedures, operational diagnosis and repair, applications to specific systems and products, and report preparation.</t>
  </si>
  <si>
    <t>150603</t>
  </si>
  <si>
    <t>15.0607</t>
  </si>
  <si>
    <t>Plastics Technology/Technician</t>
  </si>
  <si>
    <t>An instructional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</si>
  <si>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150607</t>
  </si>
  <si>
    <t>15.0611</t>
  </si>
  <si>
    <t>Metallurgical Technology/Technician</t>
  </si>
  <si>
    <t>An instructional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</si>
  <si>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150611</t>
  </si>
  <si>
    <t>15.0699</t>
  </si>
  <si>
    <t>Industrial Production Technologies/Technicians, Other</t>
  </si>
  <si>
    <t>Any instructional program in industrial production technologies not described elsewhere in this group of instructional programs.</t>
  </si>
  <si>
    <t>150699</t>
  </si>
  <si>
    <t>15.0700</t>
  </si>
  <si>
    <t>Quality Control &amp; Safety Technologies</t>
  </si>
  <si>
    <t>A group of instructional programs that prepare individuals to apply basic engineering principles and technical skills in support of engineers and other professionals engaged in monitoring product quality and the health and safety of the work place.</t>
  </si>
  <si>
    <t>150700</t>
  </si>
  <si>
    <t>15.0701</t>
  </si>
  <si>
    <t>Occupational Safety &amp; Health Technology/Technician</t>
  </si>
  <si>
    <t>An instructional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</si>
  <si>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150701</t>
  </si>
  <si>
    <t>15.0702</t>
  </si>
  <si>
    <t>Quality Control Technology/Technician</t>
  </si>
  <si>
    <t>An instructional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</si>
  <si>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150702</t>
  </si>
  <si>
    <t>15.0799</t>
  </si>
  <si>
    <t>Quality Control &amp; Safety Technologies/Technicians, Other</t>
  </si>
  <si>
    <t>Any instructional program in quality control and safety technologies not described elsewhere in this group of instructional programs.</t>
  </si>
  <si>
    <t>150799</t>
  </si>
  <si>
    <t>15.0800</t>
  </si>
  <si>
    <t>Mechanical Engineering-Related Technologies</t>
  </si>
  <si>
    <t>A group of instructional programs that prepare individuals to apply basic engineering principles and technical skills in support of engineers and other professionals engaged in developing mechanical systems.</t>
  </si>
  <si>
    <t>150800</t>
  </si>
  <si>
    <t>15.0801</t>
  </si>
  <si>
    <t>Aeronautical &amp; Aerospace Engineering Technology/Technician</t>
  </si>
  <si>
    <t>An instructional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</si>
  <si>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150801</t>
  </si>
  <si>
    <t>15.0803</t>
  </si>
  <si>
    <t>Automotive Engineering Technology/Technician</t>
  </si>
  <si>
    <t>An instructional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</si>
  <si>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150803</t>
  </si>
  <si>
    <t>15.0805</t>
  </si>
  <si>
    <t>Mechanical Engineering/Mechanical Technology/Technician</t>
  </si>
  <si>
    <t>An instructional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 testing procedures, test equipment operation and maintenance, and report preparation.</t>
  </si>
  <si>
    <t>150805</t>
  </si>
  <si>
    <t>15.0899</t>
  </si>
  <si>
    <t>Mechanical Engineering-Related Techl/Technicians, Other</t>
  </si>
  <si>
    <t>Any instructional program in mechanical engineering related technologies not described elsewhere in this group of instructional programs.</t>
  </si>
  <si>
    <t>150899</t>
  </si>
  <si>
    <t>15.0900</t>
  </si>
  <si>
    <t>Mining &amp; Petroleum Technologies</t>
  </si>
  <si>
    <t>A group of instructional programs that prepares individuals to teach at various educational levels.</t>
  </si>
  <si>
    <t>131200</t>
  </si>
  <si>
    <t>13.1201</t>
  </si>
  <si>
    <t>Adult &amp; Continuing Teacher Education</t>
  </si>
  <si>
    <t>An instructional program that prepares individuals to teach adult students in various settings, including basic and remedial education programs, continuing education programs, and programs designed to develop or upgrade specific employment-related knowledge and skills.</t>
  </si>
  <si>
    <t>131201</t>
  </si>
  <si>
    <t>13.1202</t>
  </si>
  <si>
    <t>Elementary Teacher Education</t>
  </si>
  <si>
    <t>An instructional program that prepares individuals to teach students in the elementary grades, which may include kindergarten through grade eight, depending on the school system or state regulations.  Includes preparation to teach all elementary education subject matter.</t>
  </si>
  <si>
    <t>131202</t>
  </si>
  <si>
    <t>13.1203</t>
  </si>
  <si>
    <t>Junior High/Intermediate/Middle School Teacher Education</t>
  </si>
  <si>
    <t>An instructional program that prepares individuals to teach students in the middle, intermediate or junior high grades, which may include grades four through nine, depending on the school system or state regulations.  May include preparation to teach a comprehensive curriculum or specific subject matter.</t>
  </si>
  <si>
    <t>131203</t>
  </si>
  <si>
    <t>13.1204</t>
  </si>
  <si>
    <t>Pre-Elementary/Early Childhood/Kindergarten Teacher Educ</t>
  </si>
  <si>
    <t>An instructional program that prepares individuals to teach students ranging in age from infancy through eight years (grade three), depending on the school system or state regulations.  Includes preparation to teach all relevant subject matter.</t>
  </si>
  <si>
    <t>131204</t>
  </si>
  <si>
    <t>13.1205</t>
  </si>
  <si>
    <t>Secondary Teacher Education</t>
  </si>
  <si>
    <t>An instructional program that prepares individuals to teach students in the secondary grades, which may include grades seven through twelve, depending on the school system or state regulations.  May include preparation to teach a comprehensive curriculum or specific subject matter.</t>
  </si>
  <si>
    <t>131205</t>
  </si>
  <si>
    <t>13.1206</t>
  </si>
  <si>
    <t>Teacher Education, Multiple Levels</t>
  </si>
  <si>
    <t>An instructional program that prepares individuals to teach students at more than one educational level, such as a combined program in elementary/secondary, early childhood/elementary, elementary/middle school, or junior high/high school teacher education.</t>
  </si>
  <si>
    <t>131206</t>
  </si>
  <si>
    <t>13.1299</t>
  </si>
  <si>
    <t>General Teacher Education, Other</t>
  </si>
  <si>
    <t>Any instructional program in general teacher education not described elsewhere in this group of instructional programs.</t>
  </si>
  <si>
    <t>131299</t>
  </si>
  <si>
    <t>13.1300</t>
  </si>
  <si>
    <t>Teacher Education, Specific Academic &amp; Vocational Programs</t>
  </si>
  <si>
    <t>A group of instructional programs that prepare individuals to teach subject matter in specific academic and vocational programs at various educational levels.</t>
  </si>
  <si>
    <t>131300</t>
  </si>
  <si>
    <t>13.1301</t>
  </si>
  <si>
    <t>Agricultural Teacher Education (Vocational)</t>
  </si>
  <si>
    <t>An instructional program that prepares individuals to teach vocational agricultural programs at various educational levels.</t>
  </si>
  <si>
    <t>131301</t>
  </si>
  <si>
    <t>13.1302</t>
  </si>
  <si>
    <t>Art Teacher Education</t>
  </si>
  <si>
    <t>An instructional program that prepares individuals to teach art and art appreciation programs at various educational levels.</t>
  </si>
  <si>
    <t>131302</t>
  </si>
  <si>
    <t>13.1303</t>
  </si>
  <si>
    <t>Business Teacher Education (Vocational)</t>
  </si>
  <si>
    <t>An instructional program that prepares individuals to teach vocational business programs at various educational levels.</t>
  </si>
  <si>
    <t>131303</t>
  </si>
  <si>
    <t>13.1304</t>
  </si>
  <si>
    <t>Driver &amp; Safety Teacher Education</t>
  </si>
  <si>
    <t>An instructional program that prepares individuals to teach driver and safety education programs at various educational levels.</t>
  </si>
  <si>
    <t>131304</t>
  </si>
  <si>
    <t>13.1305</t>
  </si>
  <si>
    <t>English Teacher Education</t>
  </si>
  <si>
    <t>An instructional program that prepares individuals to teach English grammar, composition and literature programs at various educational levels.</t>
  </si>
  <si>
    <t>131305</t>
  </si>
  <si>
    <t>13.1306</t>
  </si>
  <si>
    <t>Foreign Languages Teacher Education</t>
  </si>
  <si>
    <t>An instructional program that prepares individuals to teach foreign languages programs at various educational levels.</t>
  </si>
  <si>
    <t>131306</t>
  </si>
  <si>
    <t>13.1307</t>
  </si>
  <si>
    <t>Health Teacher Education</t>
  </si>
  <si>
    <t>An instructional program that prepares individuals to teach health education programs at various educational levels.</t>
  </si>
  <si>
    <t>131307</t>
  </si>
  <si>
    <t>13.1308</t>
  </si>
  <si>
    <t>Home Economics Teacher Education (Vocational)</t>
  </si>
  <si>
    <t>An instructional program that prepares individuals to teach vocational home economics programs at various educational levels.</t>
  </si>
  <si>
    <t>131308</t>
  </si>
  <si>
    <t>13.1309</t>
  </si>
  <si>
    <t>Technology Teacher Educ/Industrial Arts Teacher Educ</t>
  </si>
  <si>
    <t>An instructional program that prepares individuals to teach technology education/industrial arts programs at various educational levels.</t>
  </si>
  <si>
    <t>131309</t>
  </si>
  <si>
    <t>13.1310</t>
  </si>
  <si>
    <t>Marketing Operations &amp; Marketing and Distrib Teacher Ed</t>
  </si>
  <si>
    <t>An instructional program that prepares individuals to teach vocational marketing operations/marketing and distributive education programs at various educational levels.</t>
  </si>
  <si>
    <t>131310</t>
  </si>
  <si>
    <t>13.1311</t>
  </si>
  <si>
    <t>Mathematics Teacher Education</t>
  </si>
  <si>
    <t>An instructional program that prepares individuals to teach mathematics programs at various educational levels.</t>
  </si>
  <si>
    <t>131311</t>
  </si>
  <si>
    <t>13.1312</t>
  </si>
  <si>
    <t>Music Teacher Education</t>
  </si>
  <si>
    <t>An instructional program that prepares individuals to teach music and music appreciation programs at various educational levels.</t>
  </si>
  <si>
    <t>131312</t>
  </si>
  <si>
    <t>13.1314</t>
  </si>
  <si>
    <t>Physical Education Teaching &amp; Coaching</t>
  </si>
  <si>
    <t>An instructional program that prepares individuals to teach physical education programs and/or to coach sports at various educational levels.</t>
  </si>
  <si>
    <t>131314</t>
  </si>
  <si>
    <t>13.1315</t>
  </si>
  <si>
    <t>Reading Teacher Education</t>
  </si>
  <si>
    <t>An instructional program that prepares individuals to diagnose reading difficulties and to teach reading programs at various educational levels.</t>
  </si>
  <si>
    <t>131315</t>
  </si>
  <si>
    <t>13.1316</t>
  </si>
  <si>
    <t>Science Teacher Education, General</t>
  </si>
  <si>
    <t>An instructional program that prepares individuals to teach general science programs, or a combination of the biological and physical science subject matter areas, at various educational levels.</t>
  </si>
  <si>
    <t>131316</t>
  </si>
  <si>
    <t>13.1317</t>
  </si>
  <si>
    <t>Social Science Teacher Education</t>
  </si>
  <si>
    <t>An instructional program that prepares individuals to teach specific social sciences subjects and programs at various educational levels.</t>
  </si>
  <si>
    <t>131317</t>
  </si>
  <si>
    <t>13.1318</t>
  </si>
  <si>
    <t>Social Studies Teacher Education</t>
  </si>
  <si>
    <t>An instructional program that prepares individuals to teach general social studies programs at various educational levels.</t>
  </si>
  <si>
    <t>131318</t>
  </si>
  <si>
    <t>13.1319</t>
  </si>
  <si>
    <t>Technical Teacher Education (Vocational)</t>
  </si>
  <si>
    <t>An instructional program that prepares individuals to teach specific vocational technical education programs at various educational levels.</t>
  </si>
  <si>
    <t>131319</t>
  </si>
  <si>
    <t>13.1320</t>
  </si>
  <si>
    <t>Trade &amp; Industrial Teacher Education (Vocational)</t>
  </si>
  <si>
    <t>An instructional program that prepares individuals to teach specific vocational trades and industries programs at various educational levels.</t>
  </si>
  <si>
    <t>131320</t>
  </si>
  <si>
    <t>13.1321</t>
  </si>
  <si>
    <t>Computer Teacher Education</t>
  </si>
  <si>
    <t>An instructional program that prepares individuals to teach computer education programs at various educational levels.</t>
  </si>
  <si>
    <t>131321</t>
  </si>
  <si>
    <t>13.1322</t>
  </si>
  <si>
    <t>Biology Teacher Education</t>
  </si>
  <si>
    <t>An instructional program that prepares individuals to teach biology programs at various educational levels.</t>
  </si>
  <si>
    <t>131322</t>
  </si>
  <si>
    <t>13.1323</t>
  </si>
  <si>
    <t>Chemistry Teacher Education</t>
  </si>
  <si>
    <t>An instructional program that prepares individuals to teach chemistry programs at various educational levels.</t>
  </si>
  <si>
    <t>131323</t>
  </si>
  <si>
    <t>13.1324</t>
  </si>
  <si>
    <t>Drama &amp; Dance Teacher Education</t>
  </si>
  <si>
    <t>An instructional program that prepares individuals to teach drama and/or dance programs at various educational levels.</t>
  </si>
  <si>
    <t>131324</t>
  </si>
  <si>
    <t>13.1325</t>
  </si>
  <si>
    <t>French Language Teacher Education</t>
  </si>
  <si>
    <t>An instructional program that prepares individuals to teach French language programs at various educational levels.</t>
  </si>
  <si>
    <t>131325</t>
  </si>
  <si>
    <t>13.1326</t>
  </si>
  <si>
    <t>German Language Teacher Education</t>
  </si>
  <si>
    <t>An instructional program that prepares individuals to teach German language programs at various educational levels.</t>
  </si>
  <si>
    <t>131326</t>
  </si>
  <si>
    <t>13.1327</t>
  </si>
  <si>
    <t>Health Occupations Teacher Education (Vocational)</t>
  </si>
  <si>
    <t>An instructional program that prepares individuals to teach specific vocational health occupations programs at various educational levels.</t>
  </si>
  <si>
    <t>131327</t>
  </si>
  <si>
    <t>13.1328</t>
  </si>
  <si>
    <t>History Teacher Education</t>
  </si>
  <si>
    <t>An instructional program that prepares individuals to teach history programs at various educational levels.</t>
  </si>
  <si>
    <t>131328</t>
  </si>
  <si>
    <t>13.1329</t>
  </si>
  <si>
    <t>Physics Teacher Education</t>
  </si>
  <si>
    <t>An instructional program that prepares individuals to teach physics programs at various educational levels.</t>
  </si>
  <si>
    <t>131329</t>
  </si>
  <si>
    <t>13.1330</t>
  </si>
  <si>
    <t>Spanish Language Teacher Education</t>
  </si>
  <si>
    <t>An instructional program that prepares individuals to teach Spanish language programs at various educational levels.</t>
  </si>
  <si>
    <t>131330</t>
  </si>
  <si>
    <t>13.1331</t>
  </si>
  <si>
    <t>Speech Teacher Education</t>
  </si>
  <si>
    <t>An instructional program that prepares individuals to teach speech and language arts programs at various educational levels.</t>
  </si>
  <si>
    <t>131331</t>
  </si>
  <si>
    <t>13.1399</t>
  </si>
  <si>
    <t>Teacher Ed, Specific Academic &amp; Vocational Programs, Other</t>
  </si>
  <si>
    <t>Any instructional program in teacher education, specific academic and vocational programs not described elsewhere in this group of instructional programs.</t>
  </si>
  <si>
    <t>131399</t>
  </si>
  <si>
    <t>13.1400</t>
  </si>
  <si>
    <t>Teaching English as a Second Language/Foreign Language</t>
  </si>
  <si>
    <t>A group of instructional programs that describes the principles and practice of teaching English to students who are not proficient in it or who do not speak, read or write English, and that may prepare individuals to function as teachers and administrators in such programs.</t>
  </si>
  <si>
    <t>131400</t>
  </si>
  <si>
    <t>13.1401</t>
  </si>
  <si>
    <t>An instructional program that describes the principles and practice of teaching English to students who are not proficient in it or who do not speak, read or write English, and that may prepare individuals to function as teachers and administrators in such programs.</t>
  </si>
  <si>
    <t>131401</t>
  </si>
  <si>
    <t>13.1500</t>
  </si>
  <si>
    <t>Teacher Assistant/Aide</t>
  </si>
  <si>
    <t>A group of instructional programs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</si>
  <si>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131500</t>
  </si>
  <si>
    <t>13.1501</t>
  </si>
  <si>
    <t>An instructional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</si>
  <si>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131501</t>
  </si>
  <si>
    <t>13.9900</t>
  </si>
  <si>
    <t>Education, Other</t>
  </si>
  <si>
    <t>Any instructional programs in education not described elsehwere in this group of instructional programs.</t>
  </si>
  <si>
    <t>139900</t>
  </si>
  <si>
    <t>13.9999</t>
  </si>
  <si>
    <t>Any instructional program in education not described elsehwere in this group of instructional programs.</t>
  </si>
  <si>
    <t>139999</t>
  </si>
  <si>
    <t>14</t>
  </si>
  <si>
    <t>14.0000</t>
  </si>
  <si>
    <t>Engineering</t>
  </si>
  <si>
    <t>A summary of groups of instructional pro-grams that prepares individuals to apply mathematical and scientific principles to the solution of practical problems for the benefit of society.</t>
  </si>
  <si>
    <t>140000</t>
  </si>
  <si>
    <t>14.0100</t>
  </si>
  <si>
    <t>Engineering, General</t>
  </si>
  <si>
    <t>A group of instructional programs that prepares individuals to apply mathematical and scientific principles to solve a wide variety of practical problems in industry, social organization, public works, and commerce.</t>
  </si>
  <si>
    <t>140100</t>
  </si>
  <si>
    <t>14.0101</t>
  </si>
  <si>
    <t>An instructional program that generally prepares individuals to apply mathematical and scientific principles to solve a wide variety of practical problems in industry, social organization, public works, and commerce.</t>
  </si>
  <si>
    <t>140101</t>
  </si>
  <si>
    <t>14.0200</t>
  </si>
  <si>
    <t>Aerospace, Aeronautical &amp; Astronautical Engineering</t>
  </si>
  <si>
    <t>A group of instructional programs that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</si>
  <si>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140200</t>
  </si>
  <si>
    <t>14.0201</t>
  </si>
  <si>
    <t>An instructional program that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</si>
  <si>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140201</t>
  </si>
  <si>
    <t>14.0300</t>
  </si>
  <si>
    <t>Agricultural Engineering</t>
  </si>
  <si>
    <t>A group of instructional programs that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</si>
  <si>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140300</t>
  </si>
  <si>
    <t>14.0301</t>
  </si>
  <si>
    <t>An instructional program that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</si>
  <si>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140301</t>
  </si>
  <si>
    <t>14.0400</t>
  </si>
  <si>
    <t>Architectural Engineering</t>
  </si>
  <si>
    <t>A group of instructional programs that prepares individuals to apply mathematical and scientific principles to the design, development and operational evaluation of materials, systems, and methods used to construct and equip buildings intended for human habitation or other purposes.</t>
  </si>
  <si>
    <t>140400</t>
  </si>
  <si>
    <t>14.0401</t>
  </si>
  <si>
    <t>An instructional program that prepares individuals to apply mathematical and scientific principles to the design, development and operational evaluation of materials, systems, and methods used to construct and equip buildings intended for human habitation or other purposes.</t>
  </si>
  <si>
    <t>140401</t>
  </si>
  <si>
    <t>14.0500</t>
  </si>
  <si>
    <t>Bioengineering &amp; Biomedical Engineering</t>
  </si>
  <si>
    <t>A group of instructional programs that prepares individuals to apply mathematical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</si>
  <si>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140500</t>
  </si>
  <si>
    <t>14.0501</t>
  </si>
  <si>
    <t>An instructional program that prepares individuals to apply mathematical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</si>
  <si>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140501</t>
  </si>
  <si>
    <t>14.0600</t>
  </si>
  <si>
    <t>Ceramic Sciences &amp; Engineering</t>
  </si>
  <si>
    <t>A group of instructional programs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</si>
  <si>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140600</t>
  </si>
  <si>
    <t>14.0601</t>
  </si>
  <si>
    <t>An instructional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</si>
  <si>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140601</t>
  </si>
  <si>
    <t>14.0700</t>
  </si>
  <si>
    <t>Chemical Engineering</t>
  </si>
  <si>
    <t>A group of instructional programs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</si>
  <si>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140700</t>
  </si>
  <si>
    <t>14.0701</t>
  </si>
  <si>
    <t>An instructional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</si>
  <si>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140701</t>
  </si>
  <si>
    <t>14.0800</t>
  </si>
  <si>
    <t>Civil Engineering</t>
  </si>
  <si>
    <t>A group of instructional programs that prepares individuals to apply mathematical and scientific principles to the design, development and operational evaluation of structural, load-bearing, material moving, transportation, water resource, and material control systems; and related equipment and environmental safety measures.</t>
  </si>
  <si>
    <t>140800</t>
  </si>
  <si>
    <t>14.0801</t>
  </si>
  <si>
    <t>Civil Engineering, General</t>
  </si>
  <si>
    <t>An instructional program that generally prepares individuals to apply mathematical and scientific principles to the design, development and operational evaluation of structural, load-bearing, material moving, transportation, water resource, and material control systems; and related equipment and environmental safety measures.</t>
  </si>
  <si>
    <t>140801</t>
  </si>
  <si>
    <t>14.0802</t>
  </si>
  <si>
    <t>Geotechnical Engineering</t>
  </si>
  <si>
    <t>An instructional program that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stabilization, land fills, structural use and environmental stabilization of wastes and by-products, underground construction, and groundwater and hazardous material containment.</t>
  </si>
  <si>
    <t>140802</t>
  </si>
  <si>
    <t>14.0803</t>
  </si>
  <si>
    <t>Structural Engineering</t>
  </si>
  <si>
    <t>An instructional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aging, failure, fabrication, safety, and natural hazards.</t>
  </si>
  <si>
    <t>140803</t>
  </si>
  <si>
    <t>14.0804</t>
  </si>
  <si>
    <t>Transportation &amp; Highway Engineering</t>
  </si>
  <si>
    <t>An instructional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</si>
  <si>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140804</t>
  </si>
  <si>
    <t>14.0805</t>
  </si>
  <si>
    <t>Water Resources Engineering</t>
  </si>
  <si>
    <t>An instructional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</si>
  <si>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140805</t>
  </si>
  <si>
    <t>14.0899</t>
  </si>
  <si>
    <t>Civil Engineering, Other</t>
  </si>
  <si>
    <t>Any instructional program in civil engineering not described elsewhere in this group of instructional programs.</t>
  </si>
  <si>
    <t>140899</t>
  </si>
  <si>
    <t>14.0900</t>
  </si>
  <si>
    <t>Computer Engineering</t>
  </si>
  <si>
    <t>A group of instructional programs that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</si>
  <si>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140900</t>
  </si>
  <si>
    <t>14.0901</t>
  </si>
  <si>
    <t>An instructional program that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</si>
  <si>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140901</t>
  </si>
  <si>
    <t>14.1000</t>
  </si>
  <si>
    <t>Electrical, Electronics &amp; Communications Engineering</t>
  </si>
  <si>
    <t>A group of instructional programs that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superconduction, wave propagation, energy storage and retrieval, and reception and amplification.</t>
  </si>
  <si>
    <t>141000</t>
  </si>
  <si>
    <t>14.1001</t>
  </si>
  <si>
    <t>An instructional program that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superconduction, wave propagation, energy storage and retrieval, and reception and amplification.</t>
  </si>
  <si>
    <t>141001</t>
  </si>
  <si>
    <t>14.1100</t>
  </si>
  <si>
    <t>Engineering Mechanics</t>
  </si>
  <si>
    <t>A group of instructional programs that describes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</si>
  <si>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141100</t>
  </si>
  <si>
    <t>14.1101</t>
  </si>
  <si>
    <t>An instructional program that generally describes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</si>
  <si>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141101</t>
  </si>
  <si>
    <t>14.1200</t>
  </si>
  <si>
    <t>Engineering Physics</t>
  </si>
  <si>
    <t>A group of instructional programs that describes the application of the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</si>
  <si>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141200</t>
  </si>
  <si>
    <t>14.1201</t>
  </si>
  <si>
    <t>An instructional program that generally describes the application of the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</si>
  <si>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141201</t>
  </si>
  <si>
    <t>14.1300</t>
  </si>
  <si>
    <t>Engineering Science</t>
  </si>
  <si>
    <t>A group of instructional programs that describes the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</si>
  <si>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141300</t>
  </si>
  <si>
    <t>14.1301</t>
  </si>
  <si>
    <t>An instructional program that generally describes the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</si>
  <si>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141301</t>
  </si>
  <si>
    <t>14.1400</t>
  </si>
  <si>
    <t>Environmental/Environmental Health Engineering</t>
  </si>
  <si>
    <t>A group of instructional programs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</si>
  <si>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141400</t>
  </si>
  <si>
    <t>14.1401</t>
  </si>
  <si>
    <t>An instructional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</si>
  <si>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141401</t>
  </si>
  <si>
    <t>14.1500</t>
  </si>
  <si>
    <t>Geological Engineering</t>
  </si>
  <si>
    <t>A group of instructional programs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</si>
  <si>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141500</t>
  </si>
  <si>
    <t>14.1501</t>
  </si>
  <si>
    <t>An instructional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</si>
  <si>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141501</t>
  </si>
  <si>
    <t>14.1600</t>
  </si>
  <si>
    <t>Geophysical Engineering</t>
  </si>
  <si>
    <t>A group of instructional programs that prepares individuals to apply mathematical, geophysical and planetary principles to the analysis and evaluation of engineering problems, including gravitational and magnetic forces, time and space factors, celestial mass and motion, and their relation to questions of control, movement, function and design in earthbound and space systems.</t>
  </si>
  <si>
    <t>141600</t>
  </si>
  <si>
    <t>14.1601</t>
  </si>
  <si>
    <t>An instructional program that prepares individuals to apply mathematical, geophysical and planetary principles to the analysis and evaluation of engineering problems, including gravitational and magnetic forces, time and space factors, celestial mass and motion, and their relation to questions of control, movement, function and design in earthbound and space systems.</t>
  </si>
  <si>
    <t>141601</t>
  </si>
  <si>
    <t>14.1700</t>
  </si>
  <si>
    <t>Industrial/Manufacturing Engineering</t>
  </si>
  <si>
    <t>A group of instructional programs that prepares individuals to apply mathematical and scientific principles to the design, development and operational evaluation of integrated systems for managing industrial production processes, including the optimization of human work factors, efficiency engineering, logistics and material flow, just-in-time manufacturing, industrial quality control, automation, cost analysis, and production coordination.</t>
  </si>
  <si>
    <t>141700</t>
  </si>
  <si>
    <t>14.1701</t>
  </si>
  <si>
    <t>An instructional program that prepares individuals to apply mathematical and scientific principles to the design, development and operational evaluation of integrated systems for managing industrial production processes, including the optimization of human work factors, efficiency engineering, logistics and material flow, just-in-time manufacturing, industrial quality control, automation, cost analysis, and production coordination.</t>
  </si>
  <si>
    <t>141701</t>
  </si>
  <si>
    <t>14.1800</t>
  </si>
  <si>
    <t>Materials Engineering</t>
  </si>
  <si>
    <t>A group of instructional programs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</si>
  <si>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141800</t>
  </si>
  <si>
    <t>14.1801</t>
  </si>
  <si>
    <t>An instructional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</si>
  <si>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141801</t>
  </si>
  <si>
    <t>14.1900</t>
  </si>
  <si>
    <t>Mechanical Engineering</t>
  </si>
  <si>
    <t>A group of instructional programs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</si>
  <si>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141900</t>
  </si>
  <si>
    <t>14.1901</t>
  </si>
  <si>
    <t>An instructional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</si>
  <si>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141901</t>
  </si>
  <si>
    <t>14.2000</t>
  </si>
  <si>
    <t>Metallurgical Engineering</t>
  </si>
  <si>
    <t>A group of instructional programs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</si>
  <si>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142000</t>
  </si>
  <si>
    <t>14.2001</t>
  </si>
  <si>
    <t>An instructional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</si>
  <si>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142001</t>
  </si>
  <si>
    <t>14.2100</t>
  </si>
  <si>
    <t>Mining &amp; Mineral Engineering</t>
  </si>
  <si>
    <t>A group of instructional programs that describe the principles and procedures for conducting and supervising law enforcement, corrections, and security services.</t>
  </si>
  <si>
    <t>430100</t>
  </si>
  <si>
    <t>43.0102</t>
  </si>
  <si>
    <t>Corrections/Correctional Administration</t>
  </si>
  <si>
    <t>An instructional program that prepares individuals to apply the theories, principles, and techniques of correctional science to the development, administration and implementation of procedures for the incarceration, supervision, and rehabilitation of legal offenders.</t>
  </si>
  <si>
    <t>430102</t>
  </si>
  <si>
    <t>12.0402</t>
  </si>
  <si>
    <t>Barber/Hairstylist</t>
  </si>
  <si>
    <t>An instructional program that prepares individuals to cut and care for hair and perform facial shaves, with emphasis on hygiene, sanitation, customer relations and barbershop management.</t>
  </si>
  <si>
    <t>120402</t>
  </si>
  <si>
    <t>12.0403</t>
  </si>
  <si>
    <t>Cosmetologist</t>
  </si>
  <si>
    <t>An instructional program that prepares individuals to care for and beautify hair, care for complexions and perform manicures, and sell cosmetics in commercial or other beauty establishments, or independently.  Includes instruction in hygiene, sanitation, customer relations, and salon management.  May also include training and supervising assistants.</t>
  </si>
  <si>
    <t>120403</t>
  </si>
  <si>
    <t>12.0404</t>
  </si>
  <si>
    <t>Electrolysis Technician</t>
  </si>
  <si>
    <t>An instructional program that prepares individuals to operate specialized equipment for removing scalp hair, whiskers, body hair, warts, moles, and birthmarks from individuals.  Includes instruction in equipment use and maintenance, applications to specific treatments, and customer relations.</t>
  </si>
  <si>
    <t>120404</t>
  </si>
  <si>
    <t>12.0405</t>
  </si>
  <si>
    <t>Massage</t>
  </si>
  <si>
    <t>An instructional program that prepares individuals to administer systematic friction, stroking, tapping, slapping and manipulative movements to the human body for therapeutic or relaxation purposes, either independently or under clinical supervision.  Includes instruction in any of the various massage disciplines, basic health and first aid principles, customer/patient relations, and applications to specific therapeutic conditions and problems.</t>
  </si>
  <si>
    <t>120405</t>
  </si>
  <si>
    <t>12.0406</t>
  </si>
  <si>
    <t>Make-up Artist</t>
  </si>
  <si>
    <t>An instructional program that prepares individuals to apply cosmetics, cosmetic devices, masks and other materials to the human face and body, to enhance or alter appearance.  Includes instruction in specific treatments such as facials, manicures, waxings, pedicures, and others; related techniques and equipment; applications to specific purposes such as acting, television broadcasting, and private cosmetic services; and customer/client relations.</t>
  </si>
  <si>
    <t>120406</t>
  </si>
  <si>
    <t>12.0499</t>
  </si>
  <si>
    <t>Cosmetic Services, Other</t>
  </si>
  <si>
    <t>Any instructional programs in cosmetic services not described elsehwere in this group of instructional programs.</t>
  </si>
  <si>
    <t>120499</t>
  </si>
  <si>
    <t>12.0500</t>
  </si>
  <si>
    <t>Culinary Arts &amp; Related Services</t>
  </si>
  <si>
    <t>A group of instructional programs that prepare individuals to provide professional food and beverage services in restaurants, bars and other commercial establishments.</t>
  </si>
  <si>
    <t>120500</t>
  </si>
  <si>
    <t>12.0501</t>
  </si>
  <si>
    <t>Baker/Pastry Chef</t>
  </si>
  <si>
    <t>An instructional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</si>
  <si>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120501</t>
  </si>
  <si>
    <t>12.0502</t>
  </si>
  <si>
    <t>Bartender/Mixologist</t>
  </si>
  <si>
    <t>An instructional program that prepares individuals to mix and serve alcoholic and nonalcoholic drinks to patrons of bars or other commercial establishments.  Includes instruction in standard recipes, cleanliness and safety standards, legal requirements of alcoholic beverage service, and customer relations.</t>
  </si>
  <si>
    <t>120502</t>
  </si>
  <si>
    <t>12.0503</t>
  </si>
  <si>
    <t>Culinary Arts/Chef Training</t>
  </si>
  <si>
    <t>An instructional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</si>
  <si>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120503</t>
  </si>
  <si>
    <t>12.0504</t>
  </si>
  <si>
    <t>Food &amp; Beverage/Restaurant Operations Manager</t>
  </si>
  <si>
    <t>An instructional program that prepares individuals to manage and supervise food and beverage service operations, including catering services, banquet management, and executive chef positions.  Includes instruction in food and beverage cost control, food and beverage purchasing and storage, restaurant and food services operation, personnel supervision and management, menu planning and event coordination, and the principles of general hospitality industry management and operations.</t>
  </si>
  <si>
    <t>120504</t>
  </si>
  <si>
    <t>12.0505</t>
  </si>
  <si>
    <t>Kitchen Personnel/Cook &amp; Assistant Training</t>
  </si>
  <si>
    <t>An instructional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</si>
  <si>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120505</t>
  </si>
  <si>
    <t>12.0506</t>
  </si>
  <si>
    <t>Meatcutter</t>
  </si>
  <si>
    <t>An instructional program that prepares individuals to apply technical knowledge and skills to cut, trim, and prepare carcasses and portions of meat for sale in wholesale, retail, or food service establishments.  Includes instruction in the use of meat cutting tools; identification of and cutting techniques for different cuts of meat; dressing poultry; processing fish; counter display; and refrigeration and sanitation.</t>
  </si>
  <si>
    <t>120506</t>
  </si>
  <si>
    <t>12.0507</t>
  </si>
  <si>
    <t>Waiter/Waitress &amp; Dining Room Manager</t>
  </si>
  <si>
    <t>An instructional program that prepares individuals to serve food to customers in formal or informal settings.  Includes instruction in formal rules of serving etiquette, table and counter service, dining room operations and procedures, service personnel supervision and management, food and beverage preparation and presentation, communication skills, business math and procedures, and sanitation.</t>
  </si>
  <si>
    <t>120507</t>
  </si>
  <si>
    <t>12.0599</t>
  </si>
  <si>
    <t>Culinary Arts &amp; Related Service, Other</t>
  </si>
  <si>
    <t>Any instructional program in culinary arts and related services not described in this group of programs.</t>
  </si>
  <si>
    <t>120599</t>
  </si>
  <si>
    <t>12.9900</t>
  </si>
  <si>
    <t>Personal &amp; Miscellaneous Services, Other</t>
  </si>
  <si>
    <t>Any instructional program in personal and miscellaneous services not described elsewhere in this group of instructional programs.</t>
  </si>
  <si>
    <t>129900</t>
  </si>
  <si>
    <t>12.9999</t>
  </si>
  <si>
    <t>129999</t>
  </si>
  <si>
    <t>13</t>
  </si>
  <si>
    <t>13.0000</t>
  </si>
  <si>
    <t>Education</t>
  </si>
  <si>
    <t>A summary of groups of instructional programs that describe the theory and practice of learning and teaching, and related research, administrative and support services.</t>
  </si>
  <si>
    <t>130000</t>
  </si>
  <si>
    <t>13.0100</t>
  </si>
  <si>
    <t>Education, General</t>
  </si>
  <si>
    <t>A group of instructional programs that describes the theory and practice of learning and teaching; the basic principles of educational psychology; the art of teaching; the planning and administration of educational activities; and the social foundations of education.</t>
  </si>
  <si>
    <t>130100</t>
  </si>
  <si>
    <t>13.0101</t>
  </si>
  <si>
    <t>An instructional program that generally describes the theory and practice of learning and teaching; the basic principles of educational psychology; the art of teaching; the planning and administration of educational activities; and the social foundations of education.</t>
  </si>
  <si>
    <t>130101</t>
  </si>
  <si>
    <t>13.0200</t>
  </si>
  <si>
    <t>Bilingual/Bicultural Education</t>
  </si>
  <si>
    <t>A group of instructional programs that describes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</si>
  <si>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130200</t>
  </si>
  <si>
    <t>13.0201</t>
  </si>
  <si>
    <t>An instructional program that describes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</si>
  <si>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130201</t>
  </si>
  <si>
    <t>13.0300</t>
  </si>
  <si>
    <t>Curriculum &amp; Instruction</t>
  </si>
  <si>
    <t>A group of instructional programs that describes the study of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subject-matter, programs or educational levels.</t>
  </si>
  <si>
    <t>130300</t>
  </si>
  <si>
    <t>13.0301</t>
  </si>
  <si>
    <t>An instructional program that describes the study of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subject-matter, programs or educational levels.</t>
  </si>
  <si>
    <t>130301</t>
  </si>
  <si>
    <t>13.0400</t>
  </si>
  <si>
    <t>Education Administration &amp; Supervision</t>
  </si>
  <si>
    <t>A group of instructional programs that describes the study of the principles and techniques of administering a wide variety of schools and other educational organizations and facilities, supervising educational personnel at the school or staff level, and that may prepare individuals as general administrators and supervisors.</t>
  </si>
  <si>
    <t>130400</t>
  </si>
  <si>
    <t>13.0401</t>
  </si>
  <si>
    <t>Education Administration &amp; Supervision, General</t>
  </si>
  <si>
    <t>An instructional program that generally describes the study of the principles and techniques of administering a wide variety of schools and other educational organizations and facilities, supervising educational personnel at the school or staff level, and that may prepare individuals as general administrators and supervisors.</t>
  </si>
  <si>
    <t>130401</t>
  </si>
  <si>
    <t>13.0402</t>
  </si>
  <si>
    <t>Administration of Special Education</t>
  </si>
  <si>
    <t>An instructional program that describes the principles and techniques of administering educational facilities and programs provided for children or adults with special learning needs, and that prepares individuals to serve as administrators of such programs.  Includes instruction in special education principles, program and facilities planning, personnel management, community and client relations, budgeting and administration, professional standards, and applicable laws and policies.</t>
  </si>
  <si>
    <t>130402</t>
  </si>
  <si>
    <t>13.0403</t>
  </si>
  <si>
    <t>Adult &amp; Continuing Education Administration</t>
  </si>
  <si>
    <t>An instructional program that describes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</si>
  <si>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130403</t>
  </si>
  <si>
    <t>13.0404</t>
  </si>
  <si>
    <t>Educational Supervision</t>
  </si>
  <si>
    <t>An instructional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</si>
  <si>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130404</t>
  </si>
  <si>
    <t>13.0405</t>
  </si>
  <si>
    <t>Elementary, Middle &amp; Secondary Education Administration</t>
  </si>
  <si>
    <t>An instructional program that describes the principles and techniques of elementary, middle or secondary school principalship, and that prepares individuals to serve as principals and other administrative personnel for elementary, middle or secondary education programs and facilities.  Includes instruction in elementary, middle or secondary-level education, program and facilities planning, personnel management, community and client relations, budgeting and administration, professional standards, and applicable laws and policies.</t>
  </si>
  <si>
    <t>130405</t>
  </si>
  <si>
    <t>13.0406</t>
  </si>
  <si>
    <t>Higher Education Administration</t>
  </si>
  <si>
    <t>An instructional program that describes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</si>
  <si>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130406</t>
  </si>
  <si>
    <t>13.0407</t>
  </si>
  <si>
    <t>Community &amp; Junior College Administration</t>
  </si>
  <si>
    <t>An instructional program that describes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</si>
  <si>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130407</t>
  </si>
  <si>
    <t>13.0499</t>
  </si>
  <si>
    <t>Education Administration &amp; Supervision, Other</t>
  </si>
  <si>
    <t>Any instructional program in education administration and supervision not described elsewhere in this group of instructional programs.</t>
  </si>
  <si>
    <t>130499</t>
  </si>
  <si>
    <t>13.0500</t>
  </si>
  <si>
    <t>Educational/Instructional Media Design</t>
  </si>
  <si>
    <t>A group of instructional programs that describes the principles and techniques of creating instructional materials and related educational resources in various media or combinations, such as film, video, recording, text, art, software, and three-dimensional objects, and that prepares individuals to function as instructional media designers.  Includes instruction in the techniques specific to creating in various media; the behavioral principles applicable to using various media in learning and teaching; the design, testing and production of instructional materials; and the management of educational/instructional media facilities and programs.</t>
  </si>
  <si>
    <t>130500</t>
  </si>
  <si>
    <t>13.0501</t>
  </si>
  <si>
    <t>An instructional program that describes the principles and techniques of creating instructional materials and related educational resources in various media or combinations, such as film, video, recording, text, art, software, and three-dimensional objects, and that prepares individuals to function as instructional media designers.  Includes instruction in the techniques specific to creating in various media; the behavioral principles applicable to using various media in learning and teaching; the design, testing and production of instructional materials; and the management of educational/instructional media facilities and programs.</t>
  </si>
  <si>
    <t>130501</t>
  </si>
  <si>
    <t>13.0600</t>
  </si>
  <si>
    <t>Educational Evaluation, Research &amp; Statistics</t>
  </si>
  <si>
    <t>A group of instructional programs that describe the application of analytical and evaluation methodologies to educational problems and settings.</t>
  </si>
  <si>
    <t>130600</t>
  </si>
  <si>
    <t>13.0601</t>
  </si>
  <si>
    <t>Educational Evaluation &amp; Research</t>
  </si>
  <si>
    <t>An instructional program that describes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</si>
  <si>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130601</t>
  </si>
  <si>
    <t>13.0603</t>
  </si>
  <si>
    <t>Educational Statistics &amp; Research Methods</t>
  </si>
  <si>
    <t>An instructional program that describes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</si>
  <si>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130603</t>
  </si>
  <si>
    <t>13.0604</t>
  </si>
  <si>
    <t>Educational Assessment, Testing &amp; Measurement</t>
  </si>
  <si>
    <t>An instructional program that describes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</si>
  <si>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130604</t>
  </si>
  <si>
    <t>13.0699</t>
  </si>
  <si>
    <t>Educational Evaluation, Research &amp; Statistics, Other</t>
  </si>
  <si>
    <t>Any instructional program in educational evaluation, research and statistics not described elsewhere in this group of programs.</t>
  </si>
  <si>
    <t>130699</t>
  </si>
  <si>
    <t>13.0700</t>
  </si>
  <si>
    <t>International &amp; Comparative Education</t>
  </si>
  <si>
    <t>A group of instructional programs that describes the study of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</si>
  <si>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130700</t>
  </si>
  <si>
    <t>13.0701</t>
  </si>
  <si>
    <t>An instructional program that describes the study of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</si>
  <si>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130701</t>
  </si>
  <si>
    <t>13.0800</t>
  </si>
  <si>
    <t>Educational Psychology</t>
  </si>
  <si>
    <t>A group of instructional programs that describes the application of psychology to the study of the behavior of individuals in the roles of teacher and learner, the nature and effects of learning environments, and the psychological effects of methods, resources, organization and non school experience on the educational process.  Includes instruction in learning theory, human growth and development, research methods, and psychological evaluation.</t>
  </si>
  <si>
    <t>130800</t>
  </si>
  <si>
    <t>13.0802</t>
  </si>
  <si>
    <t>An instructional program that describes the application of psychology to the study of the behavior of individuals in the roles of teacher and learner, the nature and effects of learning environments, and the psychological effects of methods, resources, organization and non school experience on the educational process.  Includes instruction in learning theory, human growth and development, research methods, and psychological evaluation.</t>
  </si>
  <si>
    <t>130802</t>
  </si>
  <si>
    <t>13.0900</t>
  </si>
  <si>
    <t>Social &amp; Philosophical Foundations of Education</t>
  </si>
  <si>
    <t>A group of instructional programs that describes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</si>
  <si>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130900</t>
  </si>
  <si>
    <t>13.0901</t>
  </si>
  <si>
    <t>An instructional program that describes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</si>
  <si>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130901</t>
  </si>
  <si>
    <t>13.1000</t>
  </si>
  <si>
    <t>Special Education</t>
  </si>
  <si>
    <t>An instructional program that generally describes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</si>
  <si>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131000</t>
  </si>
  <si>
    <t>13.1001</t>
  </si>
  <si>
    <t>Special Education, General</t>
  </si>
  <si>
    <t>A group of instructional programs that describes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</si>
  <si>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131001</t>
  </si>
  <si>
    <t>13.1003</t>
  </si>
  <si>
    <t>Education of the Deaf &amp; Hearing Impaired</t>
  </si>
  <si>
    <t>An instructional program that describes the study and design of educational services for children or adults with hearing impairments which adversely affect their educational performance, and that may prepare individuals to teach such students.  Includes instruction in identifying hearing-impaired students, developing individual education plans, teaching and supervising hearing-impaired students, counseling, and applicable laws and policies.</t>
  </si>
  <si>
    <t>131003</t>
  </si>
  <si>
    <t>13.1004</t>
  </si>
  <si>
    <t>Education of the Gifted &amp; Talented</t>
  </si>
  <si>
    <t>An instructional program that describes the study and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</si>
  <si>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131004</t>
  </si>
  <si>
    <t>13.1005</t>
  </si>
  <si>
    <t>Education of the Emotionally Handicapped</t>
  </si>
  <si>
    <t>An instructional program that describes the study and design of educational services for children or adults with emotional conditions which adversely affect their educational performance, and that may prepare individuals to teach such students.  Includes instruction in identifying emotionally disturbed students, developing individual education plans, teaching and supervising emotionally disturbed students, counseling, and applicable laws and policies.</t>
  </si>
  <si>
    <t>131005</t>
  </si>
  <si>
    <t>13.1006</t>
  </si>
  <si>
    <t>Education of the Mentally Handicapped</t>
  </si>
  <si>
    <t>An instructional program that describes the study and design of educational services for children or adults with mental disabilities which adversely affect their educational performance, and that may prepare individuals to teach such students.  Includes instruction in identifying mentally handicapped students, developing individual education plans, teaching and supervising mentally handicapped students, counseling, and applicable laws and policies.</t>
  </si>
  <si>
    <t>131006</t>
  </si>
  <si>
    <t>13.1007</t>
  </si>
  <si>
    <t>Education of the Multiple Handicapped</t>
  </si>
  <si>
    <t>An instructional program that describes the study and design of educational services for children or adults with multiple disabilities which adversely affect their educational performance, and that may prepare individuals to teach such students.  Includes instruction in identifying multiple handicapped students, developing individual education plans, teaching and supervising multiple handicapped students, counseling, and applicable laws and policies.</t>
  </si>
  <si>
    <t>131007</t>
  </si>
  <si>
    <t>13.1008</t>
  </si>
  <si>
    <t>Education of the Physically Handicapped</t>
  </si>
  <si>
    <t>An instructional program that describes the study and design of educational services for children or adults with physical disabilities which adversely affect their educational performance, and that may prepare individuals to teach such students.  Includes instruction in identifying physically disabled students, developing individual education plans, teaching and supervising physically disabled students, counseling, and applicable laws and policies.</t>
  </si>
  <si>
    <t>131008</t>
  </si>
  <si>
    <t>13.1009</t>
  </si>
  <si>
    <t>Education of the Blind &amp; Visually Handicapped</t>
  </si>
  <si>
    <t>An instructional program that describes the study and design of educational services for children or adults with visual disabilities which adversely affect their educational performance, and that may prepare individuals to teach such students.  Includes instruction in identifying visually handicapped students, developing individual education plans, teaching and supervising blind or visually handicapped students, counseling, and applicable laws and policies.</t>
  </si>
  <si>
    <t>131009</t>
  </si>
  <si>
    <t>13.1011</t>
  </si>
  <si>
    <t>Education of the Specific Learning Disabled</t>
  </si>
  <si>
    <t>An instructional program that describes the study and design of educational services for children or adults with specific learning disabilities which adversely affect their educational performance, and that may prepare individuals to teach such students.  Includes instruction in identifying specific learning disabled students, developing individual education plans, teaching and supervising students with specific learning disabilities students, counseling, and applicable laws and policies.</t>
  </si>
  <si>
    <t>131011</t>
  </si>
  <si>
    <t>13.1012</t>
  </si>
  <si>
    <t>Education of the Speech Impaired</t>
  </si>
  <si>
    <t>An instructional program that describes the study and design of educational services for children or adults with speech impairments which adversely affect their educational performance, and that may prepare individuals to teach such students.  Includes instruction in identifying speech impaired students, developing individual education plans, teaching and supervising students with speech disabilities, counseling, and applicable laws and policies.</t>
  </si>
  <si>
    <t>131012</t>
  </si>
  <si>
    <t>13.1013</t>
  </si>
  <si>
    <t>Education of the Autistic</t>
  </si>
  <si>
    <t>An instructional program that describes the study and design of educational services for children or adults that are autistic, and that prepares individuals to teach such students.  Includes instruction in identifying students with autism, developing individual education plans, teaching and supervising autistic students, counseling, and applicable laws and policies.</t>
  </si>
  <si>
    <t>131013</t>
  </si>
  <si>
    <t>13.1099</t>
  </si>
  <si>
    <t>Special Education, Other</t>
  </si>
  <si>
    <t>Any instructional program in special education not described elsewhere in this group of instructional programs.</t>
  </si>
  <si>
    <t>131099</t>
  </si>
  <si>
    <t>13.1100</t>
  </si>
  <si>
    <t>Student Counseling &amp; Personnel Services</t>
  </si>
  <si>
    <t>A group of instructional programs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</si>
  <si>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131100</t>
  </si>
  <si>
    <t>13.1101</t>
  </si>
  <si>
    <t>Counselor Education/Student Counseling &amp; Guidance Services</t>
  </si>
  <si>
    <t>An instructional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</si>
  <si>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131101</t>
  </si>
  <si>
    <t>13.1102</t>
  </si>
  <si>
    <t>College/Postsec Student Counseling &amp; Personnel Services</t>
  </si>
  <si>
    <t>An instructional program that describes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</si>
  <si>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131102</t>
  </si>
  <si>
    <t>13.1200</t>
  </si>
  <si>
    <t>General Teacher Education</t>
  </si>
  <si>
    <t>A group of instructional programs that describes the scientific and mathematical study of the algorithms used in designing and building computers, and their application to the development and design of actual computing systems.  Includes instruction in computer architecture, assembly and programming languages, numerical and computational analysis, computer systems theory, artificial intelligence and cybernetics, and simulation and modelling.</t>
  </si>
  <si>
    <t>110700</t>
  </si>
  <si>
    <t>11.0701</t>
  </si>
  <si>
    <t>An instructional program that describes the scientific and mathematical study of the algorithms used in designing and building computers, and their application to the development and design of actual computing systems.  Includes instruction in computer architecture, assembly and programming languages, numerical and computational analysis, computer systems theory, artificial intelligence and cybernetics, and simulation and modelling.</t>
  </si>
  <si>
    <t>110701</t>
  </si>
  <si>
    <t>11.9900</t>
  </si>
  <si>
    <t>Computer &amp; Information Sciences, Other</t>
  </si>
  <si>
    <t>Any instructional programs in computer and information sciences not described elsewhere in this group of instructional programs.</t>
  </si>
  <si>
    <t>119900</t>
  </si>
  <si>
    <t>11.9999</t>
  </si>
  <si>
    <t>Any instructional program in computer and information sciences not described elsewhere in this group of instructional programs.</t>
  </si>
  <si>
    <t>119999</t>
  </si>
  <si>
    <t>12</t>
  </si>
  <si>
    <t>12.0000</t>
  </si>
  <si>
    <t>Personal and Miscellaneous Services</t>
  </si>
  <si>
    <t>A summary of in-structional programs that prepare individuals to provide a variety of services to individual consumers as well as to organizations such as businesses and industries.</t>
  </si>
  <si>
    <t>120000</t>
  </si>
  <si>
    <t>12.0200</t>
  </si>
  <si>
    <t>Gaming &amp; Sports Officiating Services</t>
  </si>
  <si>
    <t>A group of instructional programs that prepare individuals to conduct and supervise gaming operations, and officiate at sports events.</t>
  </si>
  <si>
    <t>120200</t>
  </si>
  <si>
    <t>12.0203</t>
  </si>
  <si>
    <t>Card Dealer</t>
  </si>
  <si>
    <t>An instructional program that prepares individuals to operate card games, perform card tricks, and manage table gaming operations at casinos, night clubs, and other establishments.  Includes instruction in the rules and procedures of specific games, and customer relations.</t>
  </si>
  <si>
    <t>120203</t>
  </si>
  <si>
    <t>12.0204</t>
  </si>
  <si>
    <t>Umpires &amp; Other Sport Officials</t>
  </si>
  <si>
    <t>An instructional program that prepares individuals to serve as umpires, judges, and other officials for athletic events and specific sports at the school, college, amateur, and professional levels.  Includes instruction in the rules and procedures of specific sports, public relations, and related duties.</t>
  </si>
  <si>
    <t>120204</t>
  </si>
  <si>
    <t>12.0299</t>
  </si>
  <si>
    <t>Gaming &amp; Sports Officiating Services, Other</t>
  </si>
  <si>
    <t>Any instructional program in gaming and sports officiating services not described elsewhere in this group of instructional programs.</t>
  </si>
  <si>
    <t>120299</t>
  </si>
  <si>
    <t>12.0300</t>
  </si>
  <si>
    <t>Funeral Services &amp; Mortuary Science</t>
  </si>
  <si>
    <t>A group of instructional programs that prepares individuals to perform and supervise the embalming and cremation of human corpses, to provide funeral and burial services, and to sell funerary equipment to the public.  Includes instruction in applicable anatomical, cosmetic and technical procedures; facilities and equipment management; equipment and services marketing; legal requirements; and professional standards.</t>
  </si>
  <si>
    <t>120300</t>
  </si>
  <si>
    <t>12.0301</t>
  </si>
  <si>
    <t>An instructional program that prepares individuals to perform and supervise the embalming and cremation of human corpses, to provide funeral and burial services, and to sell funerary equipment to the public.  Includes instruction in applicable anatomical, cosmetic and technical procedures; facilities and equipment management; equipment and services marketing; legal requirements; and professional standards.</t>
  </si>
  <si>
    <t>120301</t>
  </si>
  <si>
    <t>12.0400</t>
  </si>
  <si>
    <t>Cosmetic Services</t>
  </si>
  <si>
    <t>A group of instructional programs that prepares individuals to render a variety of beauty and grooming services to the general public.</t>
  </si>
  <si>
    <t>120400</t>
  </si>
  <si>
    <t>12.0401</t>
  </si>
  <si>
    <t>Cosmetic Services, General</t>
  </si>
  <si>
    <t>An instructional program that generally prepares individuals to render a variety of beauty and grooming services to the general public.</t>
  </si>
  <si>
    <t>120401</t>
  </si>
  <si>
    <t>19</t>
  </si>
  <si>
    <t>19.0101</t>
  </si>
  <si>
    <t>Home Economics, General</t>
  </si>
  <si>
    <t>An instructional program that generally describes the study of the relationship between the physical, social, emotional, and intellectual environment and the health and wellness of individuals and families.</t>
  </si>
  <si>
    <t>190101</t>
  </si>
  <si>
    <t>19.0200</t>
  </si>
  <si>
    <t>Home Economics Business Services</t>
  </si>
  <si>
    <t>A group of instructional programs that describes the relationship between the economic environment and the home and family, including instruction in consumption theory and practices, production and distribution of goods and services, and resource uses as these pertain to family resource management and the consumer in the economic system.</t>
  </si>
  <si>
    <t>190200</t>
  </si>
  <si>
    <t>19.0201</t>
  </si>
  <si>
    <t>Business Home Economics</t>
  </si>
  <si>
    <t>An instructional program that describes the relationship between the economic environment and the home and family, including instruction in consumption theory and practices, production and distribution of goods and services, and resource uses as these pertain to family resource management and the consumer in the economic system.</t>
  </si>
  <si>
    <t>190201</t>
  </si>
  <si>
    <t>19.0202</t>
  </si>
  <si>
    <t>Home Economics Communications</t>
  </si>
  <si>
    <t>An instructional program that describes the communication of home economics subject matter and information to a variety of audiences through print and/or non print media.  Includes instruction in the management of home economics related communications services and materials.</t>
  </si>
  <si>
    <t>190202</t>
  </si>
  <si>
    <t>19.0300</t>
  </si>
  <si>
    <t>Family &amp; Community Studies</t>
  </si>
  <si>
    <t>A group of instructional programs that describes the study of the cultural, social, and technological influences on families in changing societies, including family programs and support services.</t>
  </si>
  <si>
    <t>190300</t>
  </si>
  <si>
    <t>19.0301</t>
  </si>
  <si>
    <t>An instructional program that describes the study of the cultural, social, and technological influences on families in changing societies, including family programs and support services.</t>
  </si>
  <si>
    <t>190301</t>
  </si>
  <si>
    <t>19.0400</t>
  </si>
  <si>
    <t>Family/Consumer Resource Management</t>
  </si>
  <si>
    <t>A group of instructional programs that describes the concepts, skills and processes through which decisions about the use and management of resources are made at the individual and family levels, as well as research on general consumer behavior.</t>
  </si>
  <si>
    <t>190400</t>
  </si>
  <si>
    <t>19.0401</t>
  </si>
  <si>
    <t>Family Resource Management Studies</t>
  </si>
  <si>
    <t>An instructional program that describes the study of the processes used by families and households in balancing needs and wants and in maximizing the use of available resources.  Includes instruction in human behavior, management theory, household planning, financial instruments and planning, and family resource consultative services.</t>
  </si>
  <si>
    <t>190401</t>
  </si>
  <si>
    <t>19.0402</t>
  </si>
  <si>
    <t>Consumer Economics &amp; Science</t>
  </si>
  <si>
    <t>An instructional program that describes the systematic study of the concepts and skills pertaining to consumer behavior in relation to the social, political and economic components of market environments; and strategies and methods for responding to identified problems.  Includes instruction in consumer activities and behavior which affect the individual, the family, society and the workplace.</t>
  </si>
  <si>
    <t>190402</t>
  </si>
  <si>
    <t>19.0499</t>
  </si>
  <si>
    <t>Family/Consumer Resource Management, Other</t>
  </si>
  <si>
    <t>An instructional program in family/consumer resource management not described elsewhere in this group of instructional programs.</t>
  </si>
  <si>
    <t>190499</t>
  </si>
  <si>
    <t>19.0500</t>
  </si>
  <si>
    <t>Foods &amp; Nutrition Studies</t>
  </si>
  <si>
    <t>A group of instructional programs that generally describes the study of the role of food and nutrition in individual and family health and wellness, and in the study of food production, preparation and service operations. Includes instruction in food product consumption, nutritional care and education, and the organization and administration of food systems.</t>
  </si>
  <si>
    <t>190500</t>
  </si>
  <si>
    <t>19.0501</t>
  </si>
  <si>
    <t>Foods &amp; Nutrition Studies, General</t>
  </si>
  <si>
    <t>An instructional program that generally describes the study of the role of food and nutrition in individual and family health and wellness, and in the study of food production, preparation and service operations. Includes instruction in food product consumption, nutritional care and education, and the organization and administration of food systems.</t>
  </si>
  <si>
    <t>190501</t>
  </si>
  <si>
    <t>19.0502</t>
  </si>
  <si>
    <t>Foods &amp; Nutrition Science</t>
  </si>
  <si>
    <t>An instructional program that describes the scientific study of the chemical, physical and sensory properties of human food; food preservation and safety; nutritional quality; food processing and preparation; food use and diet applications; and food related logistics management and marketing.</t>
  </si>
  <si>
    <t>190502</t>
  </si>
  <si>
    <t>19.0503</t>
  </si>
  <si>
    <t>Dietetics/Human Nutritional Services</t>
  </si>
  <si>
    <t>An instructional program that describes the provision of nutritional services, menu planning and diet consultation for individuals, families and institutions.  Includes instruction in planning and directing food service activities, diet and nutrition analysis and plan formulation, food preparation management, client education and related services.</t>
  </si>
  <si>
    <t>190503</t>
  </si>
  <si>
    <t>19.0505</t>
  </si>
  <si>
    <t>Food Systems Administration</t>
  </si>
  <si>
    <t>An instructional program that describes the principles and practices relating to the administration of institutional food service systems.  Includes instruction in service design and organization, resource acquisition and management, personnel resources management and human behavior, and consumer economics.</t>
  </si>
  <si>
    <t>190505</t>
  </si>
  <si>
    <t>19.0599</t>
  </si>
  <si>
    <t>Foods &amp; Nutrition Studies, Other</t>
  </si>
  <si>
    <t>Any instructional program in foods and nutrition studies not described elsewhere in this group of instructional programs.</t>
  </si>
  <si>
    <t>190599</t>
  </si>
  <si>
    <t>19.0600</t>
  </si>
  <si>
    <t>Housing Studies</t>
  </si>
  <si>
    <t>A group of instructional programs that describes the study of the behavioral, social, economic, functional and aesthetic aspects of housing and other environments.  Includes instruction in planning, designing, furnishing, and equipping households, and the behavioral, developmental, public policy, and cultural issues related to households.</t>
  </si>
  <si>
    <t>190600</t>
  </si>
  <si>
    <t>19.0601</t>
  </si>
  <si>
    <t>Housing Studies, General</t>
  </si>
  <si>
    <t>An instructional program that generally describes the study of the behavioral, social, economic, functional and aesthetic aspects of housing and other environments.  Includes instruction in planning, designing, furnishing, and equipping households, and the behavioral, developmental, public policy, and cultural issues related to households.</t>
  </si>
  <si>
    <t>190601</t>
  </si>
  <si>
    <t>19.0603</t>
  </si>
  <si>
    <t>Interior Environments</t>
  </si>
  <si>
    <t>An instructional program that describes the planning and analysis of interior home environments relative to function and quality as related to individual, family and social development and behavior.  Includes instruction in the design of environments and interiors, space utilization, furnishing and equipment -- from the standpoint of enhancing habitability and the quality of life and work.</t>
  </si>
  <si>
    <t>190603</t>
  </si>
  <si>
    <t>19.0699</t>
  </si>
  <si>
    <t>Housing Studies, Other</t>
  </si>
  <si>
    <t>Any instructional program in housing studies not described elsewehere in this group of instructional programs.</t>
  </si>
  <si>
    <t>190699</t>
  </si>
  <si>
    <t>19.0700</t>
  </si>
  <si>
    <t>Individual &amp; Family Development Studies</t>
  </si>
  <si>
    <t>A group of instructional programs that generally describes the study of the developmental and behavioral characteristics of the individual, within the context of the family, across the life span.</t>
  </si>
  <si>
    <t>190700</t>
  </si>
  <si>
    <t>19.0701</t>
  </si>
  <si>
    <t>Individual &amp; Family Development Studies, General</t>
  </si>
  <si>
    <t xml:space="preserve">An instructional program that generally describes the study of the developmental and behavioral characteristics of the individual, within the context of the family, across the life span. </t>
  </si>
  <si>
    <t>190701</t>
  </si>
  <si>
    <t>29</t>
  </si>
  <si>
    <t>29.0000</t>
  </si>
  <si>
    <t>Military Technologies</t>
  </si>
  <si>
    <t xml:space="preserve"> A summary of groups of instruc-tional programs that prepare individuals in specialized and advanced subject matter for the armed services and related national security organizations.</t>
  </si>
  <si>
    <t>290000</t>
  </si>
  <si>
    <t>29.0100</t>
  </si>
  <si>
    <t>A group of instructional programs that prepares individuals to undertake advanced and specialized leadership and technical responsibilities for the armed services and related national security organizations.  Includes instruction in such areas as weapons systems and technology, communications, intelligence, management, logistics, and strategy.</t>
  </si>
  <si>
    <t>290100</t>
  </si>
  <si>
    <t>29.0101</t>
  </si>
  <si>
    <t>An instructional program that prepares individuals to undertake advanced and specialized leadership and technical responsibilities for the armed services and related national security organizations.  Includes instruction in such areas as weapons systems and technology, communications, intelligence, management, logistics, and strategy.</t>
  </si>
  <si>
    <t>290101</t>
  </si>
  <si>
    <t>30</t>
  </si>
  <si>
    <t>30.0000</t>
  </si>
  <si>
    <t>Multi/Interdisciplinary Studies</t>
  </si>
  <si>
    <t>A summary of groups of instructional programs, the components of which derive from two or more separate instructional programs.</t>
  </si>
  <si>
    <t>300000</t>
  </si>
  <si>
    <t>30.0100</t>
  </si>
  <si>
    <t>Biological &amp; Physical Sciences</t>
  </si>
  <si>
    <t>A group of instructional programs that describes either a general synthesis of one or more of the biological and physical sciences, or a specialization which draws from the biological and physical sciences.</t>
  </si>
  <si>
    <t>300100</t>
  </si>
  <si>
    <t>30.0101</t>
  </si>
  <si>
    <t>An instructional program that describes either a general synthesis of one or more of the biological and physical sciences, or a specialization which draws from the biological and physical sciences.</t>
  </si>
  <si>
    <t>300101</t>
  </si>
  <si>
    <t>30.0500</t>
  </si>
  <si>
    <t>Peace &amp; Conflict Studies</t>
  </si>
  <si>
    <t>A group of instructional programs that describes the study of the origins, resolution and prevention of international and inter group conflicts.  Includes instruction in peace research methods and related social scientific and psychological knowledge bases.</t>
  </si>
  <si>
    <t>300500</t>
  </si>
  <si>
    <t>30.0501</t>
  </si>
  <si>
    <t>An instructional program that describes the study of the origins, resolution and prevention of international and inter group conflicts.  Includes instruction in peace research methods and related social scientific and psychological knowledge bases.</t>
  </si>
  <si>
    <t>300501</t>
  </si>
  <si>
    <t>30.0600</t>
  </si>
  <si>
    <t>Systems Science &amp; Theory</t>
  </si>
  <si>
    <t>A group of instructional programs that describes a multidisciplinary approach to the analysis and solution of complex problems, requiring a combined approach using data and models from the natural, social, technological, behavioral and life sciences, and other specialized fields.</t>
  </si>
  <si>
    <t>300600</t>
  </si>
  <si>
    <t>30.0601</t>
  </si>
  <si>
    <t>An instructional program that describes a multidisciplinary approach to the analysis and solution of complex problems, requiring a combined approach using data and models from the natural, social, technological, behavioral and life sciences, and other specialized fields.</t>
  </si>
  <si>
    <t>300601</t>
  </si>
  <si>
    <t>30.0800</t>
  </si>
  <si>
    <t>Mathematics &amp; Computer Science</t>
  </si>
  <si>
    <t>A group of instructional programs that describes a general synthesis of mathematics and computer science or a specialization which draws from mathematics and computer science.</t>
  </si>
  <si>
    <t>300800</t>
  </si>
  <si>
    <t>30.0801</t>
  </si>
  <si>
    <t>An instructional program that describes a general synthesis of mathematics and computer science or a specialization which draws from mathematics and computer science.</t>
  </si>
  <si>
    <t>300801</t>
  </si>
  <si>
    <t>30.1000</t>
  </si>
  <si>
    <t>Biopsychology</t>
  </si>
  <si>
    <t>A group of instructional programs that describes the study of the biological linkages to psychological phenomena, especially the linkages between biochemical and biophysical activity and the functioning of the central nervous system.</t>
  </si>
  <si>
    <t>301000</t>
  </si>
  <si>
    <t>30.1001</t>
  </si>
  <si>
    <t>An instructional program that describes the study of the biological linkages to psychological phenomena, especially the linkages between biochemical and biophysical activity and the functioning of the central nervous system.</t>
  </si>
  <si>
    <t>301001</t>
  </si>
  <si>
    <t>30.1100</t>
  </si>
  <si>
    <t>Gerontology</t>
  </si>
  <si>
    <t>A group of instructional programs that describes the study of the human aging process and aged human populations, using the knowledge and methodologies of the social sciences, psychology and the biological and health sciences.</t>
  </si>
  <si>
    <t>301100</t>
  </si>
  <si>
    <t>30.1101</t>
  </si>
  <si>
    <t>An instructional program that describes the study of the human aging process and aged human populations, using the knowledge and methodologies of the social sciences, psychology and the biological and health sciences.</t>
  </si>
  <si>
    <t>301101</t>
  </si>
  <si>
    <t>30.1200</t>
  </si>
  <si>
    <t>Historic Preservation,Conservation &amp; Architectural History</t>
  </si>
  <si>
    <t>A group of instructional programs that describes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</si>
  <si>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301200</t>
  </si>
  <si>
    <t>30.1201</t>
  </si>
  <si>
    <t>An instructional program that describes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</si>
  <si>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301201</t>
  </si>
  <si>
    <t>30.1300</t>
  </si>
  <si>
    <t>Medieval &amp; Renaissance Studies</t>
  </si>
  <si>
    <t>A group of instructional programs that describes the study of the Medieval and Renaissance periods in European and circum-Mediterranean history from the perspective of various disciplines in the humanities and social sciences, including history and archeology, as well as studies of period art and music.</t>
  </si>
  <si>
    <t>301300</t>
  </si>
  <si>
    <t>30.1301</t>
  </si>
  <si>
    <t>An instructional program that describes the study of the Medieval and Renaissance periods in European and circum-Mediterranean history from the perspective of various disciplines in the humanities and social sciences, including history and archeology, as well as studies of period art and music.</t>
  </si>
  <si>
    <t>301301</t>
  </si>
  <si>
    <t>30.1400</t>
  </si>
  <si>
    <t>Museology/Museum Studies</t>
  </si>
  <si>
    <t>A group of instructional programs that describes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</si>
  <si>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301400</t>
  </si>
  <si>
    <t>30.1401</t>
  </si>
  <si>
    <t>An instructional program that describes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</si>
  <si>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301401</t>
  </si>
  <si>
    <t>42</t>
  </si>
  <si>
    <t>42.0300</t>
  </si>
  <si>
    <t>Cognitive Psychology &amp; Psycholinguistics</t>
  </si>
  <si>
    <t>A group of instructional programs that describes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</si>
  <si>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420300</t>
  </si>
  <si>
    <t>42.0301</t>
  </si>
  <si>
    <t>An instructional program that describes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</si>
  <si>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420301</t>
  </si>
  <si>
    <t>42.0400</t>
  </si>
  <si>
    <t>Community Psychology</t>
  </si>
  <si>
    <t>A group of instructional programs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</si>
  <si>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420400</t>
  </si>
  <si>
    <t>42.0401</t>
  </si>
  <si>
    <t>An instructional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</si>
  <si>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420401</t>
  </si>
  <si>
    <t>42.0600</t>
  </si>
  <si>
    <t>Counseling Psychology</t>
  </si>
  <si>
    <t>A group of instructional programs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</si>
  <si>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420600</t>
  </si>
  <si>
    <t>42.0601</t>
  </si>
  <si>
    <t>An instructional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</si>
  <si>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420601</t>
  </si>
  <si>
    <t>42.0700</t>
  </si>
  <si>
    <t>Developmental &amp; Child Psychology</t>
  </si>
  <si>
    <t>A group of instructional programs that that describes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</si>
  <si>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420700</t>
  </si>
  <si>
    <t>42.0701</t>
  </si>
  <si>
    <t>An  instructional program that describes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</si>
  <si>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420701</t>
  </si>
  <si>
    <t>42.0800</t>
  </si>
  <si>
    <t>Experimental Psychology</t>
  </si>
  <si>
    <t>A group of instructional programs that describes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</si>
  <si>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420800</t>
  </si>
  <si>
    <t>42.0801</t>
  </si>
  <si>
    <t>An instructional program that describes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</si>
  <si>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420801</t>
  </si>
  <si>
    <t>42.0900</t>
  </si>
  <si>
    <t>Industrial &amp; Organizational Psychology</t>
  </si>
  <si>
    <t>A group of instructional programs that describes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</si>
  <si>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420900</t>
  </si>
  <si>
    <t>42.0901</t>
  </si>
  <si>
    <t>An instructional program that describes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</si>
  <si>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420901</t>
  </si>
  <si>
    <t>42.1100</t>
  </si>
  <si>
    <t>Physiological Psychology/Psychobiology</t>
  </si>
  <si>
    <t>A group of instructional programs that describes the scientific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</si>
  <si>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421100</t>
  </si>
  <si>
    <t>42.1101</t>
  </si>
  <si>
    <t>An instructional program that describes the scientific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</si>
  <si>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421101</t>
  </si>
  <si>
    <t>42.1600</t>
  </si>
  <si>
    <t>Social Psychology</t>
  </si>
  <si>
    <t>A group of instructional programs that describes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</si>
  <si>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421600</t>
  </si>
  <si>
    <t>42.1601</t>
  </si>
  <si>
    <t>An instructional program that describes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</si>
  <si>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421601</t>
  </si>
  <si>
    <t>42.1700</t>
  </si>
  <si>
    <t>School Psychology</t>
  </si>
  <si>
    <t>A group of instructional programs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</si>
  <si>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421700</t>
  </si>
  <si>
    <t>42.1701</t>
  </si>
  <si>
    <t>An instructional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</si>
  <si>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421701</t>
  </si>
  <si>
    <t>42.9900</t>
  </si>
  <si>
    <t>Psychology, Other</t>
  </si>
  <si>
    <t>Any instructional programs in psychology not described elsewhere in these group of programs.</t>
  </si>
  <si>
    <t>429900</t>
  </si>
  <si>
    <t>42.9999</t>
  </si>
  <si>
    <t>Any instructional program in psychology not described elsewhere in these group of programs.</t>
  </si>
  <si>
    <t>429999</t>
  </si>
  <si>
    <t>43</t>
  </si>
  <si>
    <t>43.0000</t>
  </si>
  <si>
    <t>Protective Services</t>
  </si>
  <si>
    <t>A summary of groups of instruction-al programs that describe the principles and procedures for providing police, fire, and other safety services, and for managing penal institutions.</t>
  </si>
  <si>
    <t>430000</t>
  </si>
  <si>
    <t>43.0100</t>
  </si>
  <si>
    <t>Criminal Justice &amp; Corrections</t>
  </si>
  <si>
    <t>An instructional program that prepares individuals for the independent professional practice of interior architecture -- the processes and techniques of designing living, work and leisure indoor environments as integral components of a building system.  Includes instruction in building design and structural systems, heating and cooling systems, safety and health standards, and interior design principles and standards.</t>
  </si>
  <si>
    <t>040501</t>
  </si>
  <si>
    <t>04.0600</t>
  </si>
  <si>
    <t>Landscape Architecture</t>
  </si>
  <si>
    <t>A group of instructional programs that prepares individuals for the independent professional practice of landscape architecture.  Includes instruction in site planning, site analysis, site engineering, environmental impact, garden and landscape art and design, horticulture, and applicable regulations.</t>
  </si>
  <si>
    <t>040600</t>
  </si>
  <si>
    <t>04.0601</t>
  </si>
  <si>
    <t>An instructional program that prepares individuals for the independent professional practice of landscape architecture.  Includes instruction in site planning, site analysis, site engineering, environmental impact, garden and landscape art and design, horticulture, and applicable regulations.</t>
  </si>
  <si>
    <t>040601</t>
  </si>
  <si>
    <t>04.0700</t>
  </si>
  <si>
    <t>Architectural Urban Design &amp; Planning</t>
  </si>
  <si>
    <t>A group of instructional programs that prepares individuals for the independent professional practice of urban systems design and planning -- the processes and techniques of designing and modifying the physical elements constituting built urban environments.  Includes instruction in regional and community site planning, architecture, systems planning, transportation and logistics design, human services planning, legal codes and zoning development, and related economic and policy issues.</t>
  </si>
  <si>
    <t>040700</t>
  </si>
  <si>
    <t>04.0701</t>
  </si>
  <si>
    <t>An instructional program that prepares individuals for the independent professional practice of urban systems design and planning -- the processes and techniques of designing and modifying the physical elements constituting built urban environments.  Includes instruction in regional and community site planning, architecture, systems planning, transportation and logistics design, human services planning, legal codes and zoning development, and related economic and policy issues.</t>
  </si>
  <si>
    <t>040701</t>
  </si>
  <si>
    <t>04.9900</t>
  </si>
  <si>
    <t>Architecture &amp; Related Programs, Other</t>
  </si>
  <si>
    <t>Any instructional programs in architecture and related programs not described elsewhere in this group of instructional programs.</t>
  </si>
  <si>
    <t>049900</t>
  </si>
  <si>
    <t>04.9999</t>
  </si>
  <si>
    <t>Any instructional program in architecture and related programs not described elsewhere in this group of instructional programs.</t>
  </si>
  <si>
    <t>049999</t>
  </si>
  <si>
    <t>05</t>
  </si>
  <si>
    <t>05.0000</t>
  </si>
  <si>
    <t>Area, Ethnic and Cultural Studies</t>
  </si>
  <si>
    <t>A summary of groups of instructional programs that describe the history, society, politics, culture, and economics of a partic-ular geographic region, or a particular subset of the population sharing common characteristics, traits and customs.</t>
  </si>
  <si>
    <t>050000</t>
  </si>
  <si>
    <t>05.0100</t>
  </si>
  <si>
    <t>Area Studies</t>
  </si>
  <si>
    <t>A group of instructional programs that describe the history, society, politics, culture, and economics of a particular geographic region.</t>
  </si>
  <si>
    <t>050100</t>
  </si>
  <si>
    <t>05.0101</t>
  </si>
  <si>
    <t>African Studies</t>
  </si>
  <si>
    <t>An instructional program that describes the history, society, politics, culture, and economics of Africa, with emphasis on societies south of the Sahara.</t>
  </si>
  <si>
    <t>050101</t>
  </si>
  <si>
    <t>05.0102</t>
  </si>
  <si>
    <t>American Studies/Civilization</t>
  </si>
  <si>
    <t>An instructional program that describes the history, society, politics, culture, and economics of the United States of America and its regions such as Appalachia, New England, the South, the West, and others.</t>
  </si>
  <si>
    <t>050102</t>
  </si>
  <si>
    <t>05.0103</t>
  </si>
  <si>
    <t>Asian Studies</t>
  </si>
  <si>
    <t>An instructional program that describes the general history, society, politics, culture, and economics of the continent of Asia and its borderlands, including related island groups.</t>
  </si>
  <si>
    <t>050103</t>
  </si>
  <si>
    <t>05.0104</t>
  </si>
  <si>
    <t>East Asian Studies</t>
  </si>
  <si>
    <t>An instructional program that describes the history, society, politics, culture, and economics of East Asia, including China, Japan, Korea, Mongolia and Eastern Central Asia, Taiwan and Tibet.</t>
  </si>
  <si>
    <t>050104</t>
  </si>
  <si>
    <t>05.0105</t>
  </si>
  <si>
    <t>Eastern European Area Studies</t>
  </si>
  <si>
    <t>An instructional program that describes the history, society, politics, culture, and economics of Eastern Europe, including the Balkans, Czechoslovakia, Hungary, Poland, Romania, the European portions of the U.S.S.R. and its constituent republics, and the region of Germany comprising the former East Germany.</t>
  </si>
  <si>
    <t>050105</t>
  </si>
  <si>
    <t>05.0106</t>
  </si>
  <si>
    <t>European Studies</t>
  </si>
  <si>
    <t>An instructional program that describes the general history, society, politics, culture, and economics of the European Continent and its borderlands.</t>
  </si>
  <si>
    <t>050106</t>
  </si>
  <si>
    <t>05.0107</t>
  </si>
  <si>
    <t>Latin American Studies</t>
  </si>
  <si>
    <t>An instructional program that describes the history, society, politics, culture, and economics of Mexico, the Caribbean, Central and South America.</t>
  </si>
  <si>
    <t>050107</t>
  </si>
  <si>
    <t>05.0108</t>
  </si>
  <si>
    <t>Middle Eastern Studies</t>
  </si>
  <si>
    <t>An instructional program that describes the history, society, politics, culture, and economics of the Fertile Crescent, Arabic speaking North Africa, Anatolia, the Caucasus, Iran, the Arabian Peninsula, and the Indo Soviet borderlands of Central Asia.</t>
  </si>
  <si>
    <t>050108</t>
  </si>
  <si>
    <t>05.0109</t>
  </si>
  <si>
    <t>Pacific Area Studies</t>
  </si>
  <si>
    <t>An instructional program that describes the history, society, politics, culture, and economics of Australia, New Zealand and the Pacific Islands; excluding the Philippines, Taiwan and Japan.</t>
  </si>
  <si>
    <t>050109</t>
  </si>
  <si>
    <t>05.0110</t>
  </si>
  <si>
    <t>Russian &amp; Slavic Area Studies</t>
  </si>
  <si>
    <t>An instructional program that describes the history, society, politics, culture, and economics of the Slavic peoples of Europe, including Russia.</t>
  </si>
  <si>
    <t>050110</t>
  </si>
  <si>
    <t>05.0111</t>
  </si>
  <si>
    <t>Scandinavian Area Studies</t>
  </si>
  <si>
    <t>An instructional program that describes the history, society, politics, culture, and economics of Northern Europe and the Baltic, including Denmark, Finland, Iceland, Norway and Sweden.</t>
  </si>
  <si>
    <t>050111</t>
  </si>
  <si>
    <t>05.0112</t>
  </si>
  <si>
    <t>South Asian Studies</t>
  </si>
  <si>
    <t>An instructional program that describes the history, society, politics, culture, and economics of the peoples of the Indian Subcontinent and the Indian Ocean, including Bangladesh, Bhutan, India, Nepal, Pakistan, Sri Lanka, and the Maldive Islands.</t>
  </si>
  <si>
    <t>050112</t>
  </si>
  <si>
    <t>05.0113</t>
  </si>
  <si>
    <t>Southeast Asian Studies</t>
  </si>
  <si>
    <t>An instructional program that describes the history, society, politics, culture, and economics of the Southeast Asian Peninsula and the Indonesian and Philippine Archipelagoes, including Burma, Cambodia, Indonesia, Laos, Malaysia, The Philippines, Singapore, Thailand and Vietnam.</t>
  </si>
  <si>
    <t>050113</t>
  </si>
  <si>
    <t>05.0114</t>
  </si>
  <si>
    <t>Western European Studies</t>
  </si>
  <si>
    <t>An instructional program that describes the history, society, politics, culture and economics of the Western European peoples, including the Alpine region, the British Isles, France, the Iberian Peninsula, Italy, the Low Countries, and Germany.</t>
  </si>
  <si>
    <t>050114</t>
  </si>
  <si>
    <t>05.0115</t>
  </si>
  <si>
    <t>Canadian Studies</t>
  </si>
  <si>
    <t>An instructional program that describes the history, society, politics, culture and economics of Canada, including the English  and French speaking peoples.</t>
  </si>
  <si>
    <t>050115</t>
  </si>
  <si>
    <t>05.0199</t>
  </si>
  <si>
    <t>Area Studies, Other</t>
  </si>
  <si>
    <t>Any instructional program in area studies not described elsewhere in this group of instructional programs.</t>
  </si>
  <si>
    <t>050199</t>
  </si>
  <si>
    <t>05.0200</t>
  </si>
  <si>
    <t>Ethnic &amp; Cultural Studies</t>
  </si>
  <si>
    <t>A group of instructional programs that describe the history, society, politics, culture, and economics of subsets of the population sharing common racial characteristics or common traits and customs.</t>
  </si>
  <si>
    <t>050200</t>
  </si>
  <si>
    <t>05.0201</t>
  </si>
  <si>
    <t>Afro-American (Black) Studies</t>
  </si>
  <si>
    <t>An instructional program that describes the history, society, politics, culture, and economics of the black populations of the Western Hemisphere, with emphasis on the United States and the Caribbean.</t>
  </si>
  <si>
    <t>050201</t>
  </si>
  <si>
    <t>05.0202</t>
  </si>
  <si>
    <t>American Indian/Native American Studies</t>
  </si>
  <si>
    <t>An instructional program that describes the history, society, politics, culture, and economics of the original inhabitants of the Western Hemisphere, including American Indians, Aleuts and Eskimos.</t>
  </si>
  <si>
    <t>050202</t>
  </si>
  <si>
    <t>05.0203</t>
  </si>
  <si>
    <t>Hispanic-American Studies</t>
  </si>
  <si>
    <t>An instructional program that describes the history, society, politics, culture and economics of Hispanic Americans in the United States, including Mexican-Americans, Puerto Ricans, Cuban-Americans, and others.</t>
  </si>
  <si>
    <t>050203</t>
  </si>
  <si>
    <t>05.0204</t>
  </si>
  <si>
    <t>Islamic Studies</t>
  </si>
  <si>
    <t>An instructional program that describes the history, traditions, literature, society, politics, culture and economics of the Islamic peoples.</t>
  </si>
  <si>
    <t>050204</t>
  </si>
  <si>
    <t>05.0205</t>
  </si>
  <si>
    <t>Jewish/Judaic Studies</t>
  </si>
  <si>
    <t>An instructional program that describes the history, traditions, literature, society, politics, culture, and economics of the Jewish people.</t>
  </si>
  <si>
    <t>050205</t>
  </si>
  <si>
    <t>05.0206</t>
  </si>
  <si>
    <t>Asian-American Studies</t>
  </si>
  <si>
    <t>An instructional program that describes the history, society, politics, culture and economics of Asian Americans in the United States including immigrants and their descendants from East Asia, South Asia, and Southeast Asia.</t>
  </si>
  <si>
    <t>050206</t>
  </si>
  <si>
    <t>05.0207</t>
  </si>
  <si>
    <t>Women's Studies</t>
  </si>
  <si>
    <t>An instructional program that describes the history, society, politics, culture, and economics of women as individuals and social actors.  Includes instruction in feminist theory and perspectives, as well as other approaches and methods.</t>
  </si>
  <si>
    <t>050207</t>
  </si>
  <si>
    <t>05.0299</t>
  </si>
  <si>
    <t>Ethnic &amp; Cultural Studies, Other</t>
  </si>
  <si>
    <t>Any instructional program in ethnic and cultural studies not described elsewhere in this group of instructional programs.</t>
  </si>
  <si>
    <t>050299</t>
  </si>
  <si>
    <t>05.9900</t>
  </si>
  <si>
    <t>Area, Ethnic &amp; Cultural Studies, Other</t>
  </si>
  <si>
    <t>Any instructional program in area, ethnic and cultural studies not described elsewhere in this group of instructional programs.</t>
  </si>
  <si>
    <t>059900</t>
  </si>
  <si>
    <t>05.9999</t>
  </si>
  <si>
    <t>059999</t>
  </si>
  <si>
    <t>08</t>
  </si>
  <si>
    <t>08.0000</t>
  </si>
  <si>
    <t>Marketing Operations/Marketing and Distribution</t>
  </si>
  <si>
    <t>A summary of groups of instruction-al programs that prepare individuals to plan and execute, at the operational or direct sales level, the promotion and distribution of ideas, goods and services in order to create exchanges that satisfy individual and organizational objectives.</t>
  </si>
  <si>
    <t>080000</t>
  </si>
  <si>
    <t>08.0100</t>
  </si>
  <si>
    <t>Apparel &amp; Accessories Marketing Operations</t>
  </si>
  <si>
    <t>A group of instructional programs that prepares individuals to perform marketing tasks specifically applicable to all segments of the apparel and fashion industry.</t>
  </si>
  <si>
    <t>080100</t>
  </si>
  <si>
    <t>08.0101</t>
  </si>
  <si>
    <t>Apparel &amp; Accessories Marketing Operations, General</t>
  </si>
  <si>
    <t>An instructional program that generally prepares individuals to perform marketing tasks specifically applicable to all segments of the apparel and fashion industry.</t>
  </si>
  <si>
    <t>080101</t>
  </si>
  <si>
    <t>08.0102</t>
  </si>
  <si>
    <t>Fashion Merchandising</t>
  </si>
  <si>
    <t>An instructional program that prepares individuals to perform wholesaling tasks specifically applicable to promoting product lines to the retail segment of the apparel and fashion industry.</t>
  </si>
  <si>
    <t>080102</t>
  </si>
  <si>
    <t>08.0103</t>
  </si>
  <si>
    <t>Fashion Modeling</t>
  </si>
  <si>
    <t>An instructional program that prepares individuals to model (i.e., display) clothing or clothing related articles for designers, buyers, salespeople, and potential customers.</t>
  </si>
  <si>
    <t>080103</t>
  </si>
  <si>
    <t>08.0199</t>
  </si>
  <si>
    <t>Apparel &amp; Accessories Marketing Operations, Other</t>
  </si>
  <si>
    <t>Any instructional program in apparel and accessories marketing operations not described elsewhere in this group of instructional programs.</t>
  </si>
  <si>
    <t>080199</t>
  </si>
  <si>
    <t>08.0200</t>
  </si>
  <si>
    <t>Business &amp; Personal Services Marketing Operations</t>
  </si>
  <si>
    <t>A group of instructional programs that prepare individuals to apply marketing concepts in the delivery of services to business or for personal consumption.</t>
  </si>
  <si>
    <t>080200</t>
  </si>
  <si>
    <t>08.0204</t>
  </si>
  <si>
    <t>Business Services Marketing Operations</t>
  </si>
  <si>
    <t>An instructional program that prepares individuals to perform marketing tasks specifically applicable to business community services.</t>
  </si>
  <si>
    <t>080204</t>
  </si>
  <si>
    <t>08.0205</t>
  </si>
  <si>
    <t>Personal Services Marketing Operations</t>
  </si>
  <si>
    <t>An instructional program that prepares individuals to perform marketing tasks specifically applicable to personal services.</t>
  </si>
  <si>
    <t>080205</t>
  </si>
  <si>
    <t>08.0299</t>
  </si>
  <si>
    <t>Business &amp; Personal Services Marketing Operations, Other</t>
  </si>
  <si>
    <t>Any instructional program in business or personal services marketing operations not described elsewhere in this group of instructional programs.</t>
  </si>
  <si>
    <t>080299</t>
  </si>
  <si>
    <t>08.0300</t>
  </si>
  <si>
    <t>Entrepreneurship</t>
  </si>
  <si>
    <t>A group of instructional programs that prepares individuals to perform marketing tasks specifically applicable to developing business enterprises.</t>
  </si>
  <si>
    <t>080300</t>
  </si>
  <si>
    <t>08.0301</t>
  </si>
  <si>
    <t>An instructional program that prepares individuals to perform marketing tasks specifically applicable to developing business enterprises.</t>
  </si>
  <si>
    <t>080301</t>
  </si>
  <si>
    <t>08.0400</t>
  </si>
  <si>
    <t>Financial Services Marketing Operations</t>
  </si>
  <si>
    <t>A group of instructional programs that that prepares individuals to perform marketing tasks specifically applicable to banks, credit unions, and other financial institutions.</t>
  </si>
  <si>
    <t>080400</t>
  </si>
  <si>
    <t>08.0401</t>
  </si>
  <si>
    <t>An instructional program that prepares individuals to perform marketing tasks specifically applicable to banks, credit unions, and other financial institutions.</t>
  </si>
  <si>
    <t>080401</t>
  </si>
  <si>
    <t>08.0500</t>
  </si>
  <si>
    <t>Floristry Marketing Operations</t>
  </si>
  <si>
    <t>A group of instructional programs that prepares individual to perform marketing tasks specifically applicable to the floristry industry.</t>
  </si>
  <si>
    <t>080500</t>
  </si>
  <si>
    <t>08.0503</t>
  </si>
  <si>
    <t>An instructional program that prepares individual to perform marketing tasks specifically applicable to the floristry industry.</t>
  </si>
  <si>
    <t>080503</t>
  </si>
  <si>
    <t>08.0600</t>
  </si>
  <si>
    <t>Food Products Retailing &amp; Wholesaling Operations</t>
  </si>
  <si>
    <t>A group of instructional programs that prepares individuals to perform marketing tasks specifically applicable to food supplies and grocery wholesaling and retailing.</t>
  </si>
  <si>
    <t>080600</t>
  </si>
  <si>
    <t>08.0601</t>
  </si>
  <si>
    <t>An instructional program that prepares individuals to perform marketing tasks specifically applicable to food supplies and grocery wholesaling and retailing.</t>
  </si>
  <si>
    <t>080601</t>
  </si>
  <si>
    <t>08.0700</t>
  </si>
  <si>
    <t>General Retailing &amp; Wholesaling Operations &amp; Skills</t>
  </si>
  <si>
    <t>A group of instructional programs that prepares individuals to sell articles at an auction to the highest bidder.</t>
  </si>
  <si>
    <t>080700</t>
  </si>
  <si>
    <t>08.0701</t>
  </si>
  <si>
    <t>Auctioneering</t>
  </si>
  <si>
    <t>An instructional program that prepares individuals to sell articles at an auction to the highest bidder.</t>
  </si>
  <si>
    <t>080701</t>
  </si>
  <si>
    <t>08.0704</t>
  </si>
  <si>
    <t>General Buying Operations</t>
  </si>
  <si>
    <t>An instructional program that prepares individuals to perform marketing tasks specifically applicable to obtaining goods and services for a business.</t>
  </si>
  <si>
    <t>080704</t>
  </si>
  <si>
    <t>08.0705</t>
  </si>
  <si>
    <t>General Retailing Operations</t>
  </si>
  <si>
    <t>An instructional program that prepares individuals to perform marketing tasks specifically applicable to retail operations in a wide variety of settings.</t>
  </si>
  <si>
    <t>080705</t>
  </si>
  <si>
    <t>08.0706</t>
  </si>
  <si>
    <t>General Selling Skills &amp; Sales Operations</t>
  </si>
  <si>
    <t>An instructional program that prepares individuals to perform the techniques of direct consumer persuasion, involving planned, personalized communications, as agents for a wide variety of industries and product types.</t>
  </si>
  <si>
    <t>080706</t>
  </si>
  <si>
    <t>08.0708</t>
  </si>
  <si>
    <t>General Marketing Operations</t>
  </si>
  <si>
    <t>An instructional program that prepares individuals to perform various marketing tasks applicable to a wide variety of industries and commercial settings.</t>
  </si>
  <si>
    <t>080708</t>
  </si>
  <si>
    <t>08.0709</t>
  </si>
  <si>
    <t>General Distribution Operations</t>
  </si>
  <si>
    <t>An instructional program that prepares individuals to perform marketing tasks specifically applicable to storing and shipping commodities, either for businesses or retail consumers.</t>
  </si>
  <si>
    <t>080709</t>
  </si>
  <si>
    <t>08.0799</t>
  </si>
  <si>
    <t>General Retailing &amp; Wholesaling Operations &amp; Skills, Other</t>
  </si>
  <si>
    <t>Any instructional program in miscellaneous marketing operations skills not described elsewhere in this group of instructional programs.</t>
  </si>
  <si>
    <t>080799</t>
  </si>
  <si>
    <t>08.0800</t>
  </si>
  <si>
    <t>Home &amp; Office Products Marketing Operations</t>
  </si>
  <si>
    <t>An instructional program that prepares individuals to perform marketing tasks at all levels relating to the sales of either home or office products.</t>
  </si>
  <si>
    <t>080800</t>
  </si>
  <si>
    <t>08.0809</t>
  </si>
  <si>
    <t>Home Products Marketing Operations</t>
  </si>
  <si>
    <t>An instructional program that prepares individuals to perform marketing tasks specifically applicable to hardware, building materials and equipment, and household supplies.</t>
  </si>
  <si>
    <t>080809</t>
  </si>
  <si>
    <t>08.0810</t>
  </si>
  <si>
    <t>Office Products Marketing Operations</t>
  </si>
  <si>
    <t>An instructional program that prepares individuals to perform marketing tasks specifically applicable to business equipment and supplies.</t>
  </si>
  <si>
    <t>080810</t>
  </si>
  <si>
    <t>08.0899</t>
  </si>
  <si>
    <t>Home &amp; Office Products Marketing Operations, Other</t>
  </si>
  <si>
    <t>Any instructional program in home and offices products marketing operations not described elsewhere in this group of instructional programs.</t>
  </si>
  <si>
    <t>080899</t>
  </si>
  <si>
    <t>08.0900</t>
  </si>
  <si>
    <t>Hospitality &amp; Recreation Marketing Operations</t>
  </si>
  <si>
    <t>A group of instructional program that prepares individuals to perform marketing tasks applicable to a wide variety of hospitality and leisure industry settings.</t>
  </si>
  <si>
    <t>080900</t>
  </si>
  <si>
    <t>08.0901</t>
  </si>
  <si>
    <t>Hospitality &amp; Recreation Marketing Operations, General</t>
  </si>
  <si>
    <t>An instructional program that generally prepares individuals to perform marketing tasks applicable to a wide variety of hospitality and leisure industry settings.</t>
  </si>
  <si>
    <t>080901</t>
  </si>
  <si>
    <t>08.0902</t>
  </si>
  <si>
    <t>Hotel/Motel Services Marketing Operations</t>
  </si>
  <si>
    <t>An instructional program that prepares individuals to perform marketing tasks specifically applicable to hotels and motels.</t>
  </si>
  <si>
    <t>080902</t>
  </si>
  <si>
    <t>08.0903</t>
  </si>
  <si>
    <t>Recreation Products/Services Marketing Operations</t>
  </si>
  <si>
    <t>An instructional program that prepares individuals to perform marketing tasks specifically applicable to the retail sports and recreation equipment and supplies industry.</t>
  </si>
  <si>
    <t>080903</t>
  </si>
  <si>
    <t>08.0906</t>
  </si>
  <si>
    <t>Food Sales Operations</t>
  </si>
  <si>
    <t>An instructional program that prepares individuals to perform marketing tasks specifically applicable to the ready to eat food and beverage industry.</t>
  </si>
  <si>
    <t>080906</t>
  </si>
  <si>
    <t>08.0999</t>
  </si>
  <si>
    <t>Hospitality &amp; Recreation Marketing Operations, Other</t>
  </si>
  <si>
    <t>Any instructional program in hospitality and recreation marketing operations not described elsewhere in this group of instructional programs.</t>
  </si>
  <si>
    <t>080999</t>
  </si>
  <si>
    <t>08.1000</t>
  </si>
  <si>
    <t>Insurance Marketing Operations</t>
  </si>
  <si>
    <t>A instructional program that prepares individuals that prepares individuals to perform marketing tasks specifically applicable to the insurance industry.</t>
  </si>
  <si>
    <t>081000</t>
  </si>
  <si>
    <t>08.1001</t>
  </si>
  <si>
    <t>An instructional program that prepares individuals to perform marketing tasks specifically applicable to the insurance industry.</t>
  </si>
  <si>
    <t>081001</t>
  </si>
  <si>
    <t>08.1100</t>
  </si>
  <si>
    <t>Tourism &amp; Travel Services Marketing Operations</t>
  </si>
  <si>
    <t>A group of instructional programs that prepare individuals to perform marketing operations tasks in various travel and tourism settings.</t>
  </si>
  <si>
    <t>081100</t>
  </si>
  <si>
    <t>08.1104</t>
  </si>
  <si>
    <t>Tourism Promotion Operations</t>
  </si>
  <si>
    <t>An instructional program that prepares individuals to perform marketing tasks specifically applicable to the tourism promotion industry.</t>
  </si>
  <si>
    <t>081104</t>
  </si>
  <si>
    <t>08.1105</t>
  </si>
  <si>
    <t>Travel Services Marketing Operations</t>
  </si>
  <si>
    <t>An instructional program that prepares individuals to perform marketing tasks specifically applicable to the travel industry.</t>
  </si>
  <si>
    <t>081105</t>
  </si>
  <si>
    <t>08.1199</t>
  </si>
  <si>
    <t>Tourism &amp; Travel Services Marketing Operations, Other</t>
  </si>
  <si>
    <t>Any instruction in tourism and travel services marketing operations not described elsewhere in this group of programs.</t>
  </si>
  <si>
    <t>081199</t>
  </si>
  <si>
    <t>08.1200</t>
  </si>
  <si>
    <t>Vehicle &amp; Petroleum Products Marketing Operations</t>
  </si>
  <si>
    <t>A group of instructional program that prepares individuals to perform marketing tasks applicable to the vehicular sales and retail petroleum industries.</t>
  </si>
  <si>
    <t>081200</t>
  </si>
  <si>
    <t>08.1203</t>
  </si>
  <si>
    <t>Vehicle Parts &amp; Accessories Marketing Operations</t>
  </si>
  <si>
    <t>An instructional program that prepares individuals to perform marketing tasks specifically applicable to the retail vehicular parts and accessories industry.</t>
  </si>
  <si>
    <t>081203</t>
  </si>
  <si>
    <t>08.1208</t>
  </si>
  <si>
    <t>Vehicle Marketing Operations</t>
  </si>
  <si>
    <t>An instructional program that prepares individuals to perform marketing tasks specifically applicable to the retail vehicle sales industry.</t>
  </si>
  <si>
    <t>081208</t>
  </si>
  <si>
    <t>08.1209</t>
  </si>
  <si>
    <t>Petroleum Products Retailing Operations</t>
  </si>
  <si>
    <t>An instructional program that prepares individuals to perform marketing tasks specifically applicable to the retail petroleum products and service industry.</t>
  </si>
  <si>
    <t>081209</t>
  </si>
  <si>
    <t>08.1299</t>
  </si>
  <si>
    <t>Vehicle &amp; Petroleum Products Marketing Operations, Other</t>
  </si>
  <si>
    <t>Any instructional program in vehicle and petroleum products marketing operations not described elsewhere in this group of programs.</t>
  </si>
  <si>
    <t>081299</t>
  </si>
  <si>
    <t>08.1300</t>
  </si>
  <si>
    <t>Health Products &amp; Services Marketing Operations</t>
  </si>
  <si>
    <t>A group of instructional programs that prepare individuals to market health products and services.</t>
  </si>
  <si>
    <t>081300</t>
  </si>
  <si>
    <t>08.1301</t>
  </si>
  <si>
    <t>An instructional program that prepares individuals to perform marketing tasks specifically applicable to the health care supplies and services industry.</t>
  </si>
  <si>
    <t>081301</t>
  </si>
  <si>
    <t>08.9900</t>
  </si>
  <si>
    <t>Marketing Operations/Marketing &amp; Distribution, Other</t>
  </si>
  <si>
    <t>Any instructional program in marketing operations/marketing and distribution not described elsewhere in this group of instructional programs.</t>
  </si>
  <si>
    <t>089900</t>
  </si>
  <si>
    <t>08.9999</t>
  </si>
  <si>
    <t>089999</t>
  </si>
  <si>
    <t>09</t>
  </si>
  <si>
    <t>09.0000</t>
  </si>
  <si>
    <t>Communications</t>
  </si>
  <si>
    <t>A summary of groups of instructional programs that describe the creation, transmission and eval-uation of messages.</t>
  </si>
  <si>
    <t>090000</t>
  </si>
  <si>
    <t>09.0100</t>
  </si>
  <si>
    <t>Communications, General</t>
  </si>
  <si>
    <t>A group of instructional programs that describes the creation, transmission and evaluation of messages at all levels, for commercial or non-commercial purposes, and that may prepare individuals to apply principles of communications to work in specific media.  Includes instruction in modes and behavioral aspects of human communications, and the formal means by which society organizes communications.</t>
  </si>
  <si>
    <t>090100</t>
  </si>
  <si>
    <t>09.0101</t>
  </si>
  <si>
    <t>An instructional program that generally describes the creation, transmission and evaluation of messages at all levels, for commercial or non-commercial purposes, and that may prepare individuals to apply principles of communications to work in specific media.  Includes instruction in modes and behavioral aspects of human communications, and the formal means by which society organizes communications.</t>
  </si>
  <si>
    <t>090101</t>
  </si>
  <si>
    <t>09.0200</t>
  </si>
  <si>
    <t>Advertising</t>
  </si>
  <si>
    <t>A group of instructional programs that describes the creation, execution, transmission, and evaluation of commercial messages concerned with the promotion and sale of products and services, and that prepares individuals to function as advertising assistants, technicians, managers and executives.  Includes instruction in advertising theory; marketing strategy; advertising copy/art, layout and production methods; and media relations.</t>
  </si>
  <si>
    <t>090200</t>
  </si>
  <si>
    <t>09.0201</t>
  </si>
  <si>
    <t>An instructional program that describes the creation, execution, transmission, and evaluation of commercial messages concerned with the promotion and sale of products and services, and that prepares individuals to function as advertising assistants, technicians, managers and executives.  Includes instruction in advertising theory; marketing strategy; advertising copy/art, layout and production methods; and media relations.</t>
  </si>
  <si>
    <t>090201</t>
  </si>
  <si>
    <t>09.0400</t>
  </si>
  <si>
    <t>Journalism &amp; Mass Communications</t>
  </si>
  <si>
    <t>A group of instructional programs that describe the study of news production in various media, and the study of the provision of entertainment and information communications to mass audiences.</t>
  </si>
  <si>
    <t>090400</t>
  </si>
  <si>
    <t>09.0401</t>
  </si>
  <si>
    <t>Journalism</t>
  </si>
  <si>
    <t>An instructional program that describes the methods and techniques for gathering, processing and delivering news, and that prepares individuals to be professional print journalists.  Includes instruction in news writing and editing, reporting, journalism law and policy, professional standards and ethics, and journalism history and research.</t>
  </si>
  <si>
    <t>090401</t>
  </si>
  <si>
    <t>09.0402</t>
  </si>
  <si>
    <t>Broadcast Journalism</t>
  </si>
  <si>
    <t>An instructional program that describes the methods and techniques by which radio and television news programs are produced and delivered, and that prepares individuals to be professional broadcast journalists.  Includes instruction in principles of broadcast technology; program design and production; broadcast editing; on- and off-camera procedures and techniques; and broadcast media law and policy.</t>
  </si>
  <si>
    <t>090402</t>
  </si>
  <si>
    <t>09.0403</t>
  </si>
  <si>
    <t>Mass Communications</t>
  </si>
  <si>
    <t>An instructional program that describes the study of the media by which entertainment and information messages are delivered, and the social effects of such messages.  Includes instruction in communications theory; communications laws and policies; international communications media; propaganda and political communications; social issues in entertainment and mass communications; and the study of specific media and media organizations.</t>
  </si>
  <si>
    <t>090403</t>
  </si>
  <si>
    <t>09.0499</t>
  </si>
  <si>
    <t>Journalism &amp; Mass Communications, Other</t>
  </si>
  <si>
    <t>Any instructional program in journalism and mass communications not described elsewhere in this group of instructional programs.</t>
  </si>
  <si>
    <t>090499</t>
  </si>
  <si>
    <t>09.0500</t>
  </si>
  <si>
    <t>Public Relations &amp; Organizational Communications</t>
  </si>
  <si>
    <t>A group of instructional programs that describes the methods and techniques for communicating image-oriented corporate and sponsor messages to various audiences, for promoting client interests, and for managing client-media relations, and that prepares individuals to perform public relations and related services.</t>
  </si>
  <si>
    <t>090500</t>
  </si>
  <si>
    <t>09.0501</t>
  </si>
  <si>
    <t>A instructional program that describes the methods and techniques for communicating image-oriented corporate and sponsor messages to various audiences, for promoting client interests, and for managing client-media relations, and that prepares individuals to perform public relations and related services.</t>
  </si>
  <si>
    <t>090501</t>
  </si>
  <si>
    <t>09.0700</t>
  </si>
  <si>
    <t>Radio &amp; Television Broadcasting</t>
  </si>
  <si>
    <t>A group of instructional programs that describes the methods and techniques used to plan, produce and direct entertainment and informational programs and short subjects in the broadcast media, and that prepares individuals to function as professional announcers, directors and producers.  Includes instruction in scheduling; film and tape editing; on- and off-camera/microphone procedures and techniques; sound mixing; studio direction; personnel and facilities management; and broadcast law, policies and code regulations.</t>
  </si>
  <si>
    <t>090700</t>
  </si>
  <si>
    <t>09.0701</t>
  </si>
  <si>
    <t>An instructional program that describes the methods and techniques used to plan, produce and direct entertainment and informational programs and short subjects in the broadcast media, and that prepares individuals to function as professional announcers, directors and producers.  Includes instruction in scheduling; film and tape editing; on- and off-camera/microphone procedures and techniques; sound mixing; studio direction; personnel and facilities management; and broadcast law, policies and code regulations.</t>
  </si>
  <si>
    <t>090701</t>
  </si>
  <si>
    <t>09.9900</t>
  </si>
  <si>
    <t>Communications, Other</t>
  </si>
  <si>
    <t>Any instructional program in communications not described elsewhere in this group of instructional programs.</t>
  </si>
  <si>
    <t>099900</t>
  </si>
  <si>
    <t>09.9999</t>
  </si>
  <si>
    <t>099999</t>
  </si>
  <si>
    <t>10</t>
  </si>
  <si>
    <t>10.0000</t>
  </si>
  <si>
    <t>Communications Technologies</t>
  </si>
  <si>
    <t>A summary of groups of instructional programs that prepare individu-als to support and assist communications pro-fessionals and skilled communications work-ers.</t>
  </si>
  <si>
    <t>100000</t>
  </si>
  <si>
    <t>10.0100</t>
  </si>
  <si>
    <t>A group of instructional programs that prepare individuals to support and assist communications professionals and skilled communications workers.</t>
  </si>
  <si>
    <t>100100</t>
  </si>
  <si>
    <t>10.0101</t>
  </si>
  <si>
    <t>Educational/Instructional Media Technology/Technician</t>
  </si>
  <si>
    <t>An instructional program that prepares individuals to assist instructional media designers and other communications professionals in preparing educational and training films, tapes, recordings, videos, slides and overheads, and in operating related technical equipment.</t>
  </si>
  <si>
    <t>100101</t>
  </si>
  <si>
    <t>10.0103</t>
  </si>
  <si>
    <t>Photographic Technology/Technician</t>
  </si>
  <si>
    <t>An instructional program that prepares individuals to support photographers and other professionals in preparing still, motion picture and video products; developing film and related technical processes; and operating specialized equipment.</t>
  </si>
  <si>
    <t>100103</t>
  </si>
  <si>
    <t>10.0104</t>
  </si>
  <si>
    <t>Radio &amp; Television Broadcasting Technology/Technician</t>
  </si>
  <si>
    <t>An instructional program that prepares individuals to support broadcast managers and other professionals in performing tasks related to the production of radio and television programs, films, and recordings.  Includes instruction in operating specialized equipment.</t>
  </si>
  <si>
    <t>100104</t>
  </si>
  <si>
    <t>10.0199</t>
  </si>
  <si>
    <t>Communications Technologies/Technicians, Other</t>
  </si>
  <si>
    <t>Any instructional program in communications technologies not described elsewhere in this group of instructional programs.</t>
  </si>
  <si>
    <t>100199</t>
  </si>
  <si>
    <t>11</t>
  </si>
  <si>
    <t>11.0000</t>
  </si>
  <si>
    <t>Computer and Information Sciences</t>
  </si>
  <si>
    <t xml:space="preserve"> A summary of groups of instructional programs that describe the design, development and operation of electronic data storage and processing systems, including hardware and software.</t>
  </si>
  <si>
    <t>110000</t>
  </si>
  <si>
    <t>11.0100</t>
  </si>
  <si>
    <t>Computer &amp; Information Sciences, General</t>
  </si>
  <si>
    <t>A group of instructional programs that describes the study of data and information storage and processing systems, including hardware, software, basic design principles, user requirements analysis, and related economic and policy issues.</t>
  </si>
  <si>
    <t>110100</t>
  </si>
  <si>
    <t>11.0101</t>
  </si>
  <si>
    <t>An instructional program that generally describes the study of data and information storage and processing systems, including hardware, software, basic design principles, user requirements analysis, and related economic and policy issues.</t>
  </si>
  <si>
    <t>110101</t>
  </si>
  <si>
    <t>11.0200</t>
  </si>
  <si>
    <t>Computer Programming</t>
  </si>
  <si>
    <t>A group of instructional programs that prepares individuals to apply methods and procedures used in designing and writing computer programs to developing solutions to specific operational problems and use requirements, including testing and trouble-shooting prototype software packages.</t>
  </si>
  <si>
    <t>110200</t>
  </si>
  <si>
    <t>11.0201</t>
  </si>
  <si>
    <t>An instructional program that prepares individuals to apply methods and procedures used in designing and writing computer programs to developing solutions to specific operational problems and use requirements, including testing and trouble-shooting prototype software packages.</t>
  </si>
  <si>
    <t>110201</t>
  </si>
  <si>
    <t>11.0300</t>
  </si>
  <si>
    <t>Data Processing Technology</t>
  </si>
  <si>
    <t>An instructional program that prepares individuals to use and operate computers and associated software packages to perform a variety of tasks, including text processing, number processing, graphics, and data base management.</t>
  </si>
  <si>
    <t>110300</t>
  </si>
  <si>
    <t>11.0301</t>
  </si>
  <si>
    <t>Data Processing Technology/Technician</t>
  </si>
  <si>
    <t>110301</t>
  </si>
  <si>
    <t>11.0400</t>
  </si>
  <si>
    <t>Information Sciences &amp; Systems</t>
  </si>
  <si>
    <t>A group of instructional programs that describes the scientific study and development of electronic systems for transmitting information via signalling networks, and the study of information transmission from the point of generation to reception and human interpretation.  Includes instruction in information systems planning and design, user needs analysis, and provider capacity and requirements analysis.</t>
  </si>
  <si>
    <t>110400</t>
  </si>
  <si>
    <t>11.0401</t>
  </si>
  <si>
    <t>An instructional program that describes the scientific study and development of electronic systems for transmitting information via signalling networks, and the study of information transmission from the point of generation to reception and human interpretation.  Includes instruction in information systems planning and design, user needs analysis, and provider capacity and requirements analysis.</t>
  </si>
  <si>
    <t>110401</t>
  </si>
  <si>
    <t>11.0500</t>
  </si>
  <si>
    <t>Computer Systems Analysis</t>
  </si>
  <si>
    <t>A group of instructional programs that prepares individuals to apply computer programming principles to the design and implementation of large scale computer applications and networking systems.  Includes instruction in system design, user prioritization, system and component optimization, and computer security systems.</t>
  </si>
  <si>
    <t>110500</t>
  </si>
  <si>
    <t>11.0501</t>
  </si>
  <si>
    <t>An instructional program that prepares individuals to apply computer programming principles to the design and implementation of large scale computer applications and networking systems.  Includes instruction in system design, user prioritization, system and component optimization, and computer security systems.</t>
  </si>
  <si>
    <t>110501</t>
  </si>
  <si>
    <t>11.0700</t>
  </si>
  <si>
    <t>Computer Science</t>
  </si>
  <si>
    <t>ID</t>
  </si>
  <si>
    <t>CIPFAMILY</t>
  </si>
  <si>
    <t>CIP90</t>
  </si>
  <si>
    <t>CIPTITLE</t>
  </si>
  <si>
    <t>CIPDESCR</t>
  </si>
  <si>
    <t>CIPNODOT</t>
  </si>
  <si>
    <t>01</t>
  </si>
  <si>
    <t>01.0000</t>
  </si>
  <si>
    <t>Agricultural Business and Production</t>
  </si>
  <si>
    <t>A summary of groups of instructional programs that prepare individuals to apply scientific knowledge and methods, and techniques to agricultural business and production.</t>
  </si>
  <si>
    <t>010000</t>
  </si>
  <si>
    <t>01.0100</t>
  </si>
  <si>
    <t>Agricultural Business &amp; Management</t>
  </si>
  <si>
    <t>A group of instructional programs that generally prepares individuals to apply modern economic and business principles involved in the organization, operation and management of farm and agricultural businesses.</t>
  </si>
  <si>
    <t>010100</t>
  </si>
  <si>
    <t>01.0101</t>
  </si>
  <si>
    <t>Agricultural Business &amp; Management, General</t>
  </si>
  <si>
    <t>An instructional program that generally prepares individuals to apply modern economic and business principles involved in the organization, operation and management of farm and agricultural businesses.</t>
  </si>
  <si>
    <t>010101</t>
  </si>
  <si>
    <t>01.0102</t>
  </si>
  <si>
    <t>Agricultural Business/Agribusiness Operations</t>
  </si>
  <si>
    <t>An instructional program that prepares individuals to apply modern business and economic principles relating to the production and marketing of agricultural products and services.</t>
  </si>
  <si>
    <t>010102</t>
  </si>
  <si>
    <t>01.0103</t>
  </si>
  <si>
    <t>Agricultural Economics</t>
  </si>
  <si>
    <t>An instructional program that describes modern business and economic principles relating to the allocation of resources in the production and marketing of agricultural products and services in the domestic and international markets.</t>
  </si>
  <si>
    <t>010103</t>
  </si>
  <si>
    <t>01.0104</t>
  </si>
  <si>
    <t>Farm &amp; Ranch Management</t>
  </si>
  <si>
    <t>An instructional program that prepares individuals to manage a farm or ranch.  Includes instruction in computer-assisted management analysis, accounting, taxes, production, financing, capital resources, purchasing, government programs, farm inputs, performance records, contracts, estate planning and marketing.</t>
  </si>
  <si>
    <t>010104</t>
  </si>
  <si>
    <t>01.0199</t>
  </si>
  <si>
    <t>Agricultural Business &amp; Management, Other</t>
  </si>
  <si>
    <t>Any instructional program in agricultural business and management not descrbed elsewhere in this group of instrucutional programs.</t>
  </si>
  <si>
    <t>010199</t>
  </si>
  <si>
    <t>01.0200</t>
  </si>
  <si>
    <t>Agricultural Mechanization</t>
  </si>
  <si>
    <t>A group of instructional programs that prepares individuals to sell, select and service agriculture or agribusiness technical equipment and facilities, including computers, specialized software, power units, machinery, equipment, structures and utilities.  Includes instruction in agricultural power units; the planning and selection of materials for the construction of agricultural facilities; the mechanical practices associated with irrigation and water conservation; erosion control; and data processing systems.</t>
  </si>
  <si>
    <t>010200</t>
  </si>
  <si>
    <t>01.0201</t>
  </si>
  <si>
    <t>Agricultural Mechanization, General</t>
  </si>
  <si>
    <t>An instructional program that prepares individuals in a general way to sell, select and service agriculture or agribusiness technical equipment and facilities, including computers, specialized software, power units, machinery, equipment, structures and utilities.  Includes instruction in agricultural power units; the planning and selection of materials for the construction of agricultural facilities; the mechanical practices associated with irrigation and water conservation; erosion control; and data processing systems.</t>
  </si>
  <si>
    <t>010201</t>
  </si>
  <si>
    <t>01.0204</t>
  </si>
  <si>
    <t>Agricultural Power Machinery Operator</t>
  </si>
  <si>
    <t>An instructional program that prepares individuals to install, operate, service, maintain, and repair various agricultural power units, vehicles, machinery and equipment.  Includes instruction in gas, diesel, and electric power units; welding; refrigeration; and hydraulic systems.</t>
  </si>
  <si>
    <t>010204</t>
  </si>
  <si>
    <t>01.0299</t>
  </si>
  <si>
    <t>Agricultural Mechanization, Other</t>
  </si>
  <si>
    <t>Any instructional program in agricultural mechanization not elsewhere described in this group of instructional programs.</t>
  </si>
  <si>
    <t>010299</t>
  </si>
  <si>
    <t>01.0300</t>
  </si>
  <si>
    <t>Agricultural Production/Workers &amp; Managers</t>
  </si>
  <si>
    <t>A group of instructional programs that prepares individuals to plan and economically use facilities, natural resources, labor and capital in the production of plant and animal products.</t>
  </si>
  <si>
    <t>010300</t>
  </si>
  <si>
    <t>01.0301</t>
  </si>
  <si>
    <t>Agricultural Production Workers &amp; Managers, General</t>
  </si>
  <si>
    <t>An instructional program that generally prepares individuals to plan and economically use facilities, natural resources, labor and capital in the production of plant and animal products.</t>
  </si>
  <si>
    <t>010301</t>
  </si>
  <si>
    <t>01.0302</t>
  </si>
  <si>
    <t>Agricultural Animal Husbandry &amp; Production Management</t>
  </si>
  <si>
    <t>An instructional program that prepares individuals to select, breed, care for and market livestock and small farm animals.  Includes instruction in the operation of animal production enterprises.</t>
  </si>
  <si>
    <t>010302</t>
  </si>
  <si>
    <t>01.0303</t>
  </si>
  <si>
    <t>Aquaculture Operations &amp; Production Management</t>
  </si>
  <si>
    <t>An instructional program that prepares individuals to select, culture, propagate, harvest and market domesticated fish, shellfish and marine plants.  Includes instruction in the operation of fish farms and related enterprises.</t>
  </si>
  <si>
    <t>010303</t>
  </si>
  <si>
    <t>01.0304</t>
  </si>
  <si>
    <t>Crop Production Operations &amp; Management</t>
  </si>
  <si>
    <t>An instructional program that prepares individuals to operate enterprises producing cereal grain, fiber, forage, oilseed, tree fruits and nuts, small fruits, vegetables and other plant products.  Includes instruction in soils, plant nutrition, plant diseases, pest management, harvesting and marketing.</t>
  </si>
  <si>
    <t>010304</t>
  </si>
  <si>
    <t>01.0399</t>
  </si>
  <si>
    <t>Agricultural Production Workers &amp; Managers, Other</t>
  </si>
  <si>
    <t>Any instructional program in agricultural production not described elsewhere in this group of instructional programs.</t>
  </si>
  <si>
    <t>010399</t>
  </si>
  <si>
    <t>01.0400</t>
  </si>
  <si>
    <t>Agricultural &amp; Food Products Processing</t>
  </si>
  <si>
    <t>A group of instructional programs that prepares individuals to receive, inspect, store and process agricultural food or products preparatory to marketing.  Includes instruction in the characteristics and properties of agricultural products,  and processing and storage techniques.</t>
  </si>
  <si>
    <t>010400</t>
  </si>
  <si>
    <t>01.0401</t>
  </si>
  <si>
    <t>Agricultural &amp; Food Products Processing Operations &amp; Mgt</t>
  </si>
  <si>
    <t>An instructional program that prepares individuals to receive, inspect, store and process agricultural food or products preparatory to marketing.  Includes instruction in the characteristics and properties of agricultural products,  and processing and storage techniques.</t>
  </si>
  <si>
    <t>010401</t>
  </si>
  <si>
    <t>01.0500</t>
  </si>
  <si>
    <t>Agricultural Supplies &amp; Related Services</t>
  </si>
  <si>
    <t>A group of instructional programs that prepares indivdiuals to sell supplies for agricultural production, provide agricultural services and purchase and market agricultural products.</t>
  </si>
  <si>
    <t>010500</t>
  </si>
  <si>
    <t>01.0501</t>
  </si>
  <si>
    <t>Agricultural Supplies Retailing &amp; Wholesaling</t>
  </si>
  <si>
    <t>An instructional program that generally prepares individuals to sell supplies for agricultural production, provide agricultural services and purchase and market agricultural products.</t>
  </si>
  <si>
    <t>010501</t>
  </si>
  <si>
    <t>01.0505</t>
  </si>
  <si>
    <t>Animal Trainer</t>
  </si>
  <si>
    <t>An instructional program that prepares individuals to teach animals to obey commands: perform services; perform in sports and leisure activities; provide security; assist in law enforcement; assist in search and rescue operations or perform entertainment tricks.</t>
  </si>
  <si>
    <t>010505</t>
  </si>
  <si>
    <t>01.0507</t>
  </si>
  <si>
    <t>Equestrian/Equine Studies, Horse Management &amp; Training</t>
  </si>
  <si>
    <t>An instructional program that prepares individuals to care for horses and horse equipment; to train horses for various work and athletic or entertainment roles; to ride horses; and to manage horse training, breeding and housing programs and facilities.</t>
  </si>
  <si>
    <t>010507</t>
  </si>
  <si>
    <t>01.0599</t>
  </si>
  <si>
    <t>Agricultural Supplies &amp; Related Services, Other</t>
  </si>
  <si>
    <t>Any instructional program in agricultural supplies and support services not elsewhere described in this group of instructional programs.</t>
  </si>
  <si>
    <t>010599</t>
  </si>
  <si>
    <t>01.0600</t>
  </si>
  <si>
    <t>Horticulture Services Operations &amp; Management</t>
  </si>
  <si>
    <t>A group of instructional programs that prepares individuals  to produce, process and market plants, shrubs and trees used principally for ornamental, recreational and aesthetic purposes and to establish, maintain, and manage horticultural enterprises.</t>
  </si>
  <si>
    <t>010600</t>
  </si>
  <si>
    <t>01.0601</t>
  </si>
  <si>
    <t>Horticulture Services Operations &amp; Management, General</t>
  </si>
  <si>
    <t>An instructional program that generally prepares individuals  to produce, process and market plants, shrubs and trees used principally for ornamental, recreational and aesthetic purposes and to establish, maintain, and manage horticultural enterprises.</t>
  </si>
  <si>
    <t>010601</t>
  </si>
  <si>
    <t>01.0603</t>
  </si>
  <si>
    <t>Ornamental Horticulture Operations &amp; Management</t>
  </si>
  <si>
    <t>An instructional program that prepares individuals to produce flowers, foliage, and related plant materials in fields and greenhouses for ornamental purposes, and to arrange, package and market these materials.  Includes instruction in  enterprise management.</t>
  </si>
  <si>
    <t>010603</t>
  </si>
  <si>
    <t>01.0604</t>
  </si>
  <si>
    <t>Greenhouse Operations &amp; Management</t>
  </si>
  <si>
    <t>An instructional program that prepares individuals to produce commercial plant species in controlled environments, and to manage commercial and experimental greenhouse operations.</t>
  </si>
  <si>
    <t>010604</t>
  </si>
  <si>
    <t>01.0605</t>
  </si>
  <si>
    <t>Landscaping Operations &amp; Management</t>
  </si>
  <si>
    <t>An instructional program that prepares individuals to procure, plant and maintain grounds and indoor and outdoor ornamental plants.  Includes instruction in equipment maintenance and facilities management.</t>
  </si>
  <si>
    <t>010605</t>
  </si>
  <si>
    <t>01.0606</t>
  </si>
  <si>
    <t>Nursery Operations &amp; Management</t>
  </si>
  <si>
    <t>An instructional program that prepares individuals to produce turf, shrubs, and trees for the purpose of transplanting or propagation.  Includes instruction in enterprise management.</t>
  </si>
  <si>
    <t>010606</t>
  </si>
  <si>
    <t>01.0607</t>
  </si>
  <si>
    <t>Turf Management</t>
  </si>
  <si>
    <t>An instructional program that prepares individuals to establish, manage and maintain ornamental or recreational grassed areas, to prepare and maintain athletic playing surfaces, and to produce turf for transplantation.</t>
  </si>
  <si>
    <t>010607</t>
  </si>
  <si>
    <t>01.0699</t>
  </si>
  <si>
    <t>Horticulture/Services Operations &amp; Management, Other</t>
  </si>
  <si>
    <t>Any instructional program in horticulture management and production not previously elsewhere described in this group of instructional programs.</t>
  </si>
  <si>
    <t>010699</t>
  </si>
  <si>
    <t>01.0700</t>
  </si>
  <si>
    <t>International Agriculture</t>
  </si>
  <si>
    <t>A group of instructional programs that describes the application of agricultural principles to problems of global food production and distribution, and to the study of the agricultural systems of other nations.</t>
  </si>
  <si>
    <t>010700</t>
  </si>
  <si>
    <t>01.0701</t>
  </si>
  <si>
    <t>An instructional program that describes the application of agricultural principles to problems of global food production and distribution, and to the study of the agricultural systems of other nations.</t>
  </si>
  <si>
    <t>010701</t>
  </si>
  <si>
    <t>01.9900</t>
  </si>
  <si>
    <t>Agricultural Business &amp; Production, Other</t>
  </si>
  <si>
    <t>Any instructional program in agricultural business and production not elsewhere described in this group of instructional programs.</t>
  </si>
  <si>
    <t>019900</t>
  </si>
  <si>
    <t>01.9999</t>
  </si>
  <si>
    <t>019999</t>
  </si>
  <si>
    <t>02</t>
  </si>
  <si>
    <t>02.0000</t>
  </si>
  <si>
    <t>Agricultural Sciences</t>
  </si>
  <si>
    <t xml:space="preserve"> A summary of groups of instruc-tional programs that describe the study of animals and plants as related to agricultural production, the organiza-tion of agricultural work, and the processing and distribu-tion of food and fiber products.</t>
  </si>
  <si>
    <t>020000</t>
  </si>
  <si>
    <t>02.0100</t>
  </si>
  <si>
    <t>Agriculture/Agricultural Sciences</t>
  </si>
  <si>
    <t>A group of instructional programs that describes the  principles and practices of agricultural research and production, and may prepare individuals to apply such knowledge and skills to the solution of practical agricultural problems.  Includes instruction in basic animal, plant, and soil science; animal husbandry and plant cultivation; and soil conservation.</t>
  </si>
  <si>
    <t>020100</t>
  </si>
  <si>
    <t>02.0101</t>
  </si>
  <si>
    <t>Agriculture/Agricultural Sciences, General</t>
  </si>
  <si>
    <t>An instructional program that generally describes the  principles and practices of agricultural research and production, and may prepare individuals to apply such knowledge and skills to the solution of practical agricultural problems.  Includes instruction in basic animal, plant, and soil science; animal husbandry and plant cultivation; and soil conservation.</t>
  </si>
  <si>
    <t>020101</t>
  </si>
  <si>
    <t>02.0102</t>
  </si>
  <si>
    <t>Agricultural Extension</t>
  </si>
  <si>
    <t>An instructional program that prepares individuals to provide referral, consulting, assistance and educational services to farmers and ranchers via local, state or Federal government agencies.  Includes instruction in agricultural sciences, agricultural business operations, agricultural law and administrative regulations, public relations, and communications skills.</t>
  </si>
  <si>
    <t>020102</t>
  </si>
  <si>
    <t>02.0200</t>
  </si>
  <si>
    <t>Animal Sciences</t>
  </si>
  <si>
    <t>A group of instructional programs that describes the scientific principles that underlie the breeding and husbandry of agricultural animals, and the production, processing, and distribution of agricultural animal products.</t>
  </si>
  <si>
    <t>020200</t>
  </si>
  <si>
    <t>02.0201</t>
  </si>
  <si>
    <t>Animal Sciences, General</t>
  </si>
  <si>
    <t>An instructional program that generally describes the scientific principles that underlie the breeding and husbandry of agricultural animals, and the production, processing, and distribution of agricultural animal products.</t>
  </si>
  <si>
    <t>020201</t>
  </si>
  <si>
    <t>02.0202</t>
  </si>
  <si>
    <t>Agricultural Animal Breeding &amp; Genetics</t>
  </si>
  <si>
    <t>An instructional program that describes the application of genetics to the improvement of agricultural animal health, the development of new animal breeds, and the selective improvement of animal populations.</t>
  </si>
  <si>
    <t>020202</t>
  </si>
  <si>
    <t>02.0203</t>
  </si>
  <si>
    <t>Agricultural Animal Health</t>
  </si>
  <si>
    <t>An instructional program that describes the scientific principles that affect the prevention and control of diseases in agricultural animals.</t>
  </si>
  <si>
    <t>020203</t>
  </si>
  <si>
    <t>02.0204</t>
  </si>
  <si>
    <t>Agricultural Animal Nutrition</t>
  </si>
  <si>
    <t>An instructional program that describes the biology and chemistry of proteins, fats, carbohydrates, water, vitamins, and feed additives and their relation to animal health and the production of improved animal products.</t>
  </si>
  <si>
    <t>020204</t>
  </si>
  <si>
    <t>02.0205</t>
  </si>
  <si>
    <t>Agricultural Animal Physiology</t>
  </si>
  <si>
    <t>An instructional program that describes the application of physiological principles to the study of agricultural animals and production problems.  Instruction is provided in lactation, reproduction, digestion and growth.</t>
  </si>
  <si>
    <t>020205</t>
  </si>
  <si>
    <t>02.0206</t>
  </si>
  <si>
    <t>Dairy Science</t>
  </si>
  <si>
    <t>An instructional program that describes the biological theories, principles, and applications that apply to the production and management of dairy animals and the production of milk products.</t>
  </si>
  <si>
    <t>020206</t>
  </si>
  <si>
    <t>02.0209</t>
  </si>
  <si>
    <t>Poultry Science</t>
  </si>
  <si>
    <t>An instructional program that describes the scientific theories, principles, and applications pertaining to the management of poultry populations and the production of poultry products.</t>
  </si>
  <si>
    <t>020209</t>
  </si>
  <si>
    <t>02.0299</t>
  </si>
  <si>
    <t>Animal Sciences, Other</t>
  </si>
  <si>
    <t>Any instructional program in animal sciences not elsewhere described in this group of instructional programs.</t>
  </si>
  <si>
    <t>020299</t>
  </si>
  <si>
    <t>02.0300</t>
  </si>
  <si>
    <t>Food Sciences &amp; Technology</t>
  </si>
  <si>
    <t>A group of instructional programs that describes the biological, chemical, physical and engineering principles and practices involved in converting agriculture products to forms suitable for direct human consumption or for storage, and the solution of problems relating to product transportation, storage and marketing.</t>
  </si>
  <si>
    <t>020300</t>
  </si>
  <si>
    <t>02.0301</t>
  </si>
  <si>
    <t>An instructional program that describes the biological, chemical, physical and engineering principles and practices involved in converting agriculture products to forms suitable for direct human consumption or for storage, and the solution of problems relating to product transportation, storage and marketing.</t>
  </si>
  <si>
    <t>020301</t>
  </si>
  <si>
    <t>02.0400</t>
  </si>
  <si>
    <t>Plant Sciences</t>
  </si>
  <si>
    <t>A group of instructional programs that describes the scientific theories and principles involved in the production and management of plants for food, feed, fiber and soil conservation.</t>
  </si>
  <si>
    <t>020400</t>
  </si>
  <si>
    <t>02.0401</t>
  </si>
  <si>
    <t>Plant Sciences, General</t>
  </si>
  <si>
    <t>An instructional program that generally describes the scientific theories and principles involved in the production and management of plants for food, feed, fiber and soil conservation.</t>
  </si>
  <si>
    <t>020401</t>
  </si>
  <si>
    <t>02.0402</t>
  </si>
  <si>
    <t>Agronomy &amp; Crop Science</t>
  </si>
  <si>
    <t>An instructional program that describes the chemical, physical and biological relationships of crops and the soils nurturing them.  Includes instruction in the growth and behavior of agricultural crops, the breeding of improved and new crop varieties, and the scientific management of soils for maximum plant nutrition and health.</t>
  </si>
  <si>
    <t>020402</t>
  </si>
  <si>
    <t>02.0403</t>
  </si>
  <si>
    <t>Horticulture Science</t>
  </si>
  <si>
    <t>An instructional program that describes the scientific principles involved in the cultivation of garden and ornamental plants, including fruits, vegetables, flowers, landscape and nursery crops.  Includes instruction in specific types of plants, plant breeding, plant physiology, and the management of garden/nursery crops throughout the plant life cycle.</t>
  </si>
  <si>
    <t>020403</t>
  </si>
  <si>
    <t>02.0405</t>
  </si>
  <si>
    <t>Plant Breeding &amp; Genetics</t>
  </si>
  <si>
    <t>An instructional program that describes the scientific theories and principles underlying plant breeding, development and mutation, including hybridization and differential selection for plant improvement.  Includes instruction in botanical biometry, statistics and computer analysis.</t>
  </si>
  <si>
    <t>020405</t>
  </si>
  <si>
    <t>02.0406</t>
  </si>
  <si>
    <t>Agricultural Plant Pathology</t>
  </si>
  <si>
    <t>An instructional program that describes the scientific principles associated with recognizing diseased plants, identifying causal agents, the development of disease response mechanisms and treatments, and the prevention or reduction of economic loss.</t>
  </si>
  <si>
    <t>020406</t>
  </si>
  <si>
    <t>02.0407</t>
  </si>
  <si>
    <t>Agricultural Plant Physiology</t>
  </si>
  <si>
    <t>An instructional program that describes the scientific principles involved in the life processes of plants and plant responses to the elements of the physical environment, including nutrition, respiration, growth, photosynthesis, and reproduction.</t>
  </si>
  <si>
    <t>020407</t>
  </si>
  <si>
    <t>02.0408</t>
  </si>
  <si>
    <t>Plant Protection (Pest Management)</t>
  </si>
  <si>
    <t>An instructional program that describes the principles and practices of controlling and preventing economic loss caused by plant pests, and related environmental protection measures.  Includes instruction in entomology, plant pathology, weed science, crop science and environmental toxicology.</t>
  </si>
  <si>
    <t>020408</t>
  </si>
  <si>
    <t>02.0409</t>
  </si>
  <si>
    <t>Range Science &amp; Management</t>
  </si>
  <si>
    <t>An instructional program that describes the scientific principles and practices involved in studying and managing rangelands, arid regions, grasslands and other areas of low productivity.  Includes instruction in livestock grazing systems management, soil science, plant and wildlife ecology, and hydrology.</t>
  </si>
  <si>
    <t>020409</t>
  </si>
  <si>
    <t>02.0499</t>
  </si>
  <si>
    <t>Plant Sciences, Other</t>
  </si>
  <si>
    <t>Any instructional program in plant sciences not elsewhere described in this group of instructional programs.</t>
  </si>
  <si>
    <t>020499</t>
  </si>
  <si>
    <t>02.0500</t>
  </si>
  <si>
    <t>Soil Sciences</t>
  </si>
  <si>
    <t>A group of instructional programs that describes the scientific classification and study of soils and soil properties.  Includes instruction in soil chemistry, soil physics, soil biology, soil fertility, morphogenesis, mineralogy and hydrology, and soil conservation and management.</t>
  </si>
  <si>
    <t>020500</t>
  </si>
  <si>
    <t>02.0501</t>
  </si>
  <si>
    <t>An instructional program that describes the scientific classification and study of soils and soil properties.  Includes instruction in soil chemistry, soil physics, soil biology, soil fertility, morphogenesis, mineralogy and hydrology, and soil conservation and management.</t>
  </si>
  <si>
    <t>020501</t>
  </si>
  <si>
    <t>02.9900</t>
  </si>
  <si>
    <t>Agriculture/Agricultural Sciences, Other</t>
  </si>
  <si>
    <t>Any instructional programs in agriculture/agricultural sciences not elsewhere described in this group of instructional programs.</t>
  </si>
  <si>
    <t>029900</t>
  </si>
  <si>
    <t>02.9999</t>
  </si>
  <si>
    <t>029999</t>
  </si>
  <si>
    <t>03</t>
  </si>
  <si>
    <t>03.0000</t>
  </si>
  <si>
    <t>Conservation and Renewable Natural Resources</t>
  </si>
  <si>
    <t>A summary of groups of instructional programs that pre-pare individuals for activities involving the conser-vation and/or improvement of natural resources.</t>
  </si>
  <si>
    <t>030000</t>
  </si>
  <si>
    <t>03.0100</t>
  </si>
  <si>
    <t>Natural Resources Conservation</t>
  </si>
  <si>
    <t>A group of instructional programs  that generally describes activities involving the conservation and/or improvement of natural resources such as air, soil, water, land, fish, and wildlife for economic and recreation purposes.</t>
  </si>
  <si>
    <t>030100</t>
  </si>
  <si>
    <t>03.0101</t>
  </si>
  <si>
    <t>Natural Resources Conservation, General</t>
  </si>
  <si>
    <t>An instructional program that generally describes activities involving the conservation and/or improvement of natural resources such as air, soil, water, land, fish, and wildlife for economic and recreation purposes.</t>
  </si>
  <si>
    <t>030101</t>
  </si>
  <si>
    <t>03.0102</t>
  </si>
  <si>
    <t>Environmental Science/Studies</t>
  </si>
  <si>
    <t>An instructutional program that describes the study of the biological and physical aspects of the environment and environment-related issues, including methods of abating or controlling environmental pollution and collateral damage.</t>
  </si>
  <si>
    <t>030102</t>
  </si>
  <si>
    <t>03.0200</t>
  </si>
  <si>
    <t>Natural Resources Management &amp; Protective Services</t>
  </si>
  <si>
    <t>A group of instructional programs preparing individuals to engage in activities concerned with monitoring and maintaining the quality of the natural environment.</t>
  </si>
  <si>
    <t>030200</t>
  </si>
  <si>
    <t>03.0201</t>
  </si>
  <si>
    <t>Natural Resources Management &amp; Policy</t>
  </si>
  <si>
    <t>An instructional program that prepares individuals to plan, develop and conduct programs to protect and maintain natural habitats and renewable natural resources.  Includes instruction in wildlife biology, animal population surveys, economics, conservation techniques, public education, and administration.</t>
  </si>
  <si>
    <t>030201</t>
  </si>
  <si>
    <t>03.0203</t>
  </si>
  <si>
    <t>Natural Resources Law Enforcement &amp; Protective Services</t>
  </si>
  <si>
    <t>An instructional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t>
  </si>
  <si>
    <t>030203</t>
  </si>
  <si>
    <t>03.0299</t>
  </si>
  <si>
    <t>Natural Resources Management &amp; Protective Services, Other</t>
  </si>
  <si>
    <t>Any instructional program in natural resources management and protective services not described elsewhere in this group of instructional programs.</t>
  </si>
  <si>
    <t>030299</t>
  </si>
  <si>
    <t>03.0300</t>
  </si>
  <si>
    <t>Fishing &amp; Fisheries Sciences &amp; Management</t>
  </si>
  <si>
    <t>A group of instructional programs that describes the scientific study of the husbandry of fish populations for recreational, ecological, and commercial purposes; and the application of such studies to the management of marine life resources and fisheries.  Includes instruction in principles of aquatic and marine biology, water resources, fishing production and management operations, fishing regulations, water quality monitoring, and the management of recreational and commercial fishing activities.</t>
  </si>
  <si>
    <t>030300</t>
  </si>
  <si>
    <t>03.0301</t>
  </si>
  <si>
    <t>An instructional program that describes the scientific study of the husbandry of fish populations for recreational, ecological, and commercial purposes; and the application of such studies to the management of marine life resources and fisheries.  Includes instruction in principles of aquatic and marine biology, water resources, fishing production and management operations, fishing regulations, water quality monitoring, and the management of recreational and commercial fishing activities.</t>
  </si>
  <si>
    <t>030301</t>
  </si>
  <si>
    <t>03.0400</t>
  </si>
  <si>
    <t>Forest Production &amp; Processing</t>
  </si>
  <si>
    <t>A group of instructional programs that prepare individuals to assist foresters, scientists and wood processing facility managers in the maintenance of forest lands and resources, and the harvesting and processing of forest products.</t>
  </si>
  <si>
    <t>030400</t>
  </si>
  <si>
    <t>03.0401</t>
  </si>
  <si>
    <t>Forest Harvesting &amp; Production Technology/Technician</t>
  </si>
  <si>
    <t>An instructional program that prepares individuals to assist foresters in managing, protecting and harvesting timber stands and specialty forest crops.  Includes instruction in equipment maintenance and repair, tree planting, selection and identification of trees for special attention, transplantation and harvesting, and forest management and safety procedures.</t>
  </si>
  <si>
    <t>030401</t>
  </si>
  <si>
    <t>03.0404</t>
  </si>
  <si>
    <t>Forest Products Technology/Technician</t>
  </si>
  <si>
    <t>An instructional program that prepares individuals to assist a manager, engineer, chemist, or forest product scientist in the measurement, analy-sis of quality, testing, and process-ing of harvested forest raw materi-als, and the selection, grading and marketing of forest products to be used for specific purposes.  In-cludes instruction in identifying, measuring, assessing quality, evalu-ating commercial value, and strength testing.</t>
  </si>
  <si>
    <t>030404</t>
  </si>
  <si>
    <t>03.0405</t>
  </si>
  <si>
    <t>Logging/Timber Harvesting</t>
  </si>
  <si>
    <t>An instructional program that prepares individuals to operate logging equipment and machinery for the direct harvesting of timber crops, including equipment maintenance and the practice of safety procedures.</t>
  </si>
  <si>
    <t>030405</t>
  </si>
  <si>
    <t>03.0499</t>
  </si>
  <si>
    <t>Forest Production &amp; Processing,  Other</t>
  </si>
  <si>
    <t>Any instructional program in forestry production and processing not described elsewhere in this group of instructional programs.</t>
  </si>
  <si>
    <t>030499</t>
  </si>
  <si>
    <t>03.0500</t>
  </si>
  <si>
    <t>Forestry &amp; Related Sciences</t>
  </si>
  <si>
    <t>A group of instructional programs that prepare individuals to apply scientific, engineering, and management principles to the management and use of natural resources that occur on, and in association with, forest lands.</t>
  </si>
  <si>
    <t>030500</t>
  </si>
  <si>
    <t>03.0501</t>
  </si>
  <si>
    <t>Forestry, General</t>
  </si>
  <si>
    <t>An instructional program that generally prepares individuals to manage and develop forest areas for economic, recreational and ecological purposes.  Includes instruction in forest related sciences, mapping, statistics, harvesting and production technology, resource protection, management and economics, ecology and biology, administration, and public relations.</t>
  </si>
  <si>
    <t>030501</t>
  </si>
  <si>
    <t>03.0502</t>
  </si>
  <si>
    <t>Forestry Sciences</t>
  </si>
  <si>
    <t>An instructional program that describes the application of scientific principles to the study of environmental factors affecting forests and to the growth and management of forest resources.  Includes instruction in forest biology, forest hydrology, forest engineering, silviculture, disease and pest control, and the development of improved tree varieties.</t>
  </si>
  <si>
    <t>030502</t>
  </si>
  <si>
    <t>03.0506</t>
  </si>
  <si>
    <t>Forest Management</t>
  </si>
  <si>
    <t>An instructional program that prepares individuals in the management and administration of forests and forest lands.  Includes instruction in silviculture, forest protection, forest policy, and forest resources planning and economics.</t>
  </si>
  <si>
    <t>030506</t>
  </si>
  <si>
    <t>03.0509</t>
  </si>
  <si>
    <t>Wood Science &amp; Pulp/Paper Technology</t>
  </si>
  <si>
    <t>An instructional program that prepares individuals to apply scientific and engineering principles to analyze the properties and behavior of wood and wood products; to analyze the chemical and physical processes involved in converting wood into paper and other products; and the design and development of related machinery and systems.</t>
  </si>
  <si>
    <t>030509</t>
  </si>
  <si>
    <t>03.0599</t>
  </si>
  <si>
    <t>Forestry &amp; Related Sciences, Other</t>
  </si>
  <si>
    <t>Any instruction program in forestry and related sciences not described elsewhere in this group of instructional programs.</t>
  </si>
  <si>
    <t>030599</t>
  </si>
  <si>
    <t>03.0600</t>
  </si>
  <si>
    <t>Wildlife &amp; Wildlands Management</t>
  </si>
  <si>
    <t>A group of instructional programs that prepares individuals in the principles and practices used in the conservation and management of wildlands and wildlife resources for aesthetic, ecological, and recreational uses.</t>
  </si>
  <si>
    <t>030600</t>
  </si>
  <si>
    <t>03.0601</t>
  </si>
  <si>
    <t>An instructional program that prepares individuals in the principles and practices used in the conservation and management of wildlands and wildlife resources for aesthetic, ecological, and recreational uses.</t>
  </si>
  <si>
    <t>030601</t>
  </si>
  <si>
    <t>03.9900</t>
  </si>
  <si>
    <t>Conservation &amp; Renewable Natural Resources, Other</t>
  </si>
  <si>
    <t>Any instructional programs in conservation and renewable natural resources not described elsewhere in this group of instructional programs.</t>
  </si>
  <si>
    <t>039900</t>
  </si>
  <si>
    <t>03.9999</t>
  </si>
  <si>
    <t>Any instructional program in conservation and renewable natural resources not described elsewhere in this group of instructional programs.</t>
  </si>
  <si>
    <t>039999</t>
  </si>
  <si>
    <t>04</t>
  </si>
  <si>
    <t>04.0000</t>
  </si>
  <si>
    <t>Architecture and Related Programs</t>
  </si>
  <si>
    <t>A summary of groups of instructional programs that describe the princi-ples and methods used to create, adapt, alter, preserve, and control human physical and social surroundings and habitations.</t>
  </si>
  <si>
    <t>040000</t>
  </si>
  <si>
    <t>04.0200</t>
  </si>
  <si>
    <t>Architecture</t>
  </si>
  <si>
    <t>A group of instructional programs that prepares individuals for the independent professional practice of architecture.  Includes instruction in architectural design; architectural history and theory; building structures and environmental systems; site planning; construction; professional responsibilities and standards; and the cultural, social, economic and environmental issues relating to architectural practice.</t>
  </si>
  <si>
    <t>040200</t>
  </si>
  <si>
    <t>04.0201</t>
  </si>
  <si>
    <t>An instructional program that prepares individuals for the independent professional practice of architecture.  Includes instruction in architectural design; architectural history and theory; building structures and environmental systems; site planning; construction; professional responsibilities and standards; and the cultural, social, economic and environmental issues relating to architectural practice.</t>
  </si>
  <si>
    <t>040201</t>
  </si>
  <si>
    <t>04.0300</t>
  </si>
  <si>
    <t>City/Urban, Community &amp; Regional Planning</t>
  </si>
  <si>
    <t>A group of instructional programs that prepares individuals to apply principles of planning and analysis to the development and improvement of urban areas or surrounding regions, including the development of master plans, the design of urban services systems, and the economic and policy issues related to planning and plan implementation.</t>
  </si>
  <si>
    <t>040300</t>
  </si>
  <si>
    <t>04.0301</t>
  </si>
  <si>
    <t>An instructional program that prepares individuals to apply principles of planning and analysis to the development and improvement of urban areas or surrounding regions, including the development of master plans, the design of urban services systems, and the economic and policy issues related to planning and plan implementation.</t>
  </si>
  <si>
    <t>040301</t>
  </si>
  <si>
    <t>04.0400</t>
  </si>
  <si>
    <t>Architectural Environmental Design</t>
  </si>
  <si>
    <t>A group of instructional programs that prepares individuals for the independent professional practice of environmental architecture -- the processes and techniques of designing total environments and living systems for human populations, both indoor and outdoor.  Includes instruction in relating the structural, aesthetic and social concerns affecting life and work to the needs of clients and the constraints of the site environment.</t>
  </si>
  <si>
    <t>040400</t>
  </si>
  <si>
    <t>04.0401</t>
  </si>
  <si>
    <t>An instructional program that prepares individuals for the independent professional practice of environmental architecture -- the processes and techniques of designing total environments and living systems for human populations, both indoor and outdoor.  Includes instruction in relating the structural, aesthetic and social concerns affecting life and work to the needs of clients and the constraints of the site environment.</t>
  </si>
  <si>
    <t>040401</t>
  </si>
  <si>
    <t>04.0500</t>
  </si>
  <si>
    <t>Interior Architecture</t>
  </si>
  <si>
    <t>A group of instructional program that prepares individuals for the independent professional practice of interior architecture -- the processes and techniques of designing living, work and leisure indoor environments as integral components of a building system.  Includes instruction in building design and structural systems, heating and cooling systems, safety and health standards, and interior design principles and standards.</t>
  </si>
  <si>
    <t>040500</t>
  </si>
  <si>
    <t>04.0501</t>
  </si>
  <si>
    <t>CIPFamily</t>
  </si>
  <si>
    <t>Action</t>
  </si>
  <si>
    <t>TextChange</t>
  </si>
  <si>
    <t>CIPTitle</t>
  </si>
  <si>
    <t>CIPDefinition</t>
  </si>
  <si>
    <t>CrossReferences</t>
  </si>
  <si>
    <t>Examples</t>
  </si>
  <si>
    <t>No substantive changes</t>
  </si>
  <si>
    <t>no</t>
  </si>
  <si>
    <t>Instructional content is defined in code 01.0000.</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</si>
  <si>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t>
  </si>
  <si>
    <t>14.0301 - Agricultural Engineering.</t>
  </si>
  <si>
    <t>Instructional content for this group of programs is defined in codes 01.0101 - 01.0199.</t>
  </si>
  <si>
    <t>Examples: - Agricultural Systems Management</t>
  </si>
  <si>
    <t>03.0204 - Natural Resource Economics.</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</si>
  <si>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</si>
  <si>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</si>
  <si>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Instructional content for this group of programs is defined in codes 01.0201 - 01.0299.</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</si>
  <si>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</si>
  <si>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A program that prepares individuals to operate specialized farm, ranch, and agribusiness power equipment of a stationary, mobile, and/or hand-operated nature.  Includes instruction in operating specialized equipment such as terrestrial and airborne crop-spraying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</si>
  <si>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49.0202 - Construction/Heavy Equipment/Earthmoving Equipment Operation.</t>
  </si>
  <si>
    <t>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t>
  </si>
  <si>
    <t>Examples: - Agricultural Equipment Mechanic, - Agricultural Equipment Technician, - Agricultural Machinery Technician, - Farm Equipment Service Technician</t>
  </si>
  <si>
    <t>Examples: - Agricultural Irrigation</t>
  </si>
  <si>
    <t>Instructional content for this group of programs is defined in codes 01.0301 - 01.0399.</t>
  </si>
  <si>
    <t>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</si>
  <si>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A program that prepares individuals to manage the selection, breeding, care, and maintenance of work, athletic, and show horses; and to manage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</si>
  <si>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New</t>
  </si>
  <si>
    <t>Agroecology and Sustainable Agriculture.</t>
  </si>
  <si>
    <t>A program that focuses on agricultural principles and practices that, over the long term, enhance environmental quality, make efficient use of nonrenewable resources, integrate natural biological cycles and controls, and are economically viable and socially responsible; and that may prepare individuals to apply this knowledge to the solution of agricultural and environmental problems. Includes instruction in principles of agroecology, crop and soil sciences, entomology, horticulture, animal science, weed science and management, soil fertility and nutrient cycling, applied ecology, agricultural economics, and rangeland ecology and watershed management.</t>
  </si>
  <si>
    <t>30.3301 - Sustainability Studies.</t>
  </si>
  <si>
    <t>Examples: - Agroecology, - Sustainable Agriculture, - Organic Farming</t>
  </si>
  <si>
    <t>Viticulture and Enology.</t>
  </si>
  <si>
    <t>A program that focuses on the application of scientific and agribusiness principles to the production of grapes, the making of wine, and the wine business. Includes instruction in grapes and wines of the world; grape production; winemaking technology; plant biology; chemistry; food science, safety, and packaging; soil science; pest management; and marketing and business management.</t>
  </si>
  <si>
    <t>Examples: - Viticulture, - Enology</t>
  </si>
  <si>
    <t>Instructional content for this group of programs is defined in codes 01.0504 - 01.0599.</t>
  </si>
  <si>
    <t>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</si>
  <si>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</si>
  <si>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Instructional content for this group of programs is defined in codes 01.0601 - 01.0699.</t>
  </si>
  <si>
    <t>04.0601 - Landscape Architecture.</t>
  </si>
  <si>
    <t>Examples: - Greenspace</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</si>
  <si>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</si>
  <si>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Examples: - Golf and Sports Turf Management</t>
  </si>
  <si>
    <t>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</si>
  <si>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Examples: - Arborist, - Arboriculture</t>
  </si>
  <si>
    <t>45.0604 - Development Economics and International Development.</t>
  </si>
  <si>
    <t>Instructional content for this group of programs is defined in codes 01.0801 - 01.0899.</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</si>
  <si>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t>
  </si>
  <si>
    <t>13.1301 - Agricultural Teacher Education., 45.1401 - Rural Sociology.</t>
  </si>
  <si>
    <t>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</si>
  <si>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Any instructional program in general agricultural sciences and related services not listed above.</t>
  </si>
  <si>
    <t>Instructional content for this group of programs is defined in codes 01.0901 - 01.0999.</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</si>
  <si>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</si>
  <si>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26.0701 - Zoology/Animal Biology.</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</si>
  <si>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</si>
  <si>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26.0804 - Animal Genetics.</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</si>
  <si>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</si>
  <si>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</si>
  <si>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</si>
  <si>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</si>
  <si>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Examples: - Livestock Management, - Meat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</si>
  <si>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</si>
  <si>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Any instructional program in the animal sciences not listed above.</t>
  </si>
  <si>
    <t>Instructional content for this group of programs is defined in codes 01.1001 - 01.1099.</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</si>
  <si>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t>
  </si>
  <si>
    <t>19.0501 - Foods, Nutrition, and Wellness Studies, General., 12.0509 - Culinary Science/Culinology.</t>
  </si>
  <si>
    <t>Examples: - Food Safety</t>
  </si>
  <si>
    <t>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</si>
  <si>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Any instructional program in food sciences and technology not listed above.</t>
  </si>
  <si>
    <t>Instructional content for this group of programs is defined in codes 01.1101 - 01.1199.</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</si>
  <si>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</si>
  <si>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26.0308 - Plant Molecular Biology., 26.0301 - Botany/Plant Biology., 26.0305 - Plant Pathology/Phytopathology., 26.0307 - Plant Physiology.</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</si>
  <si>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</si>
  <si>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</si>
  <si>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</si>
  <si>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26.0805 - Plant Genetics.</t>
  </si>
  <si>
    <t>yes</t>
  </si>
  <si>
    <t>A program that focuses on the application of scientific principles to the control of animal, insect and weed infestation of domesticated plant populations and other settings,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</si>
  <si>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26.0702 - Entomology.</t>
  </si>
  <si>
    <t>Examples: - Pest Management, - Extermination</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</si>
  <si>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</si>
  <si>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Any instructional program in plant sciences not listed above.</t>
  </si>
  <si>
    <t>Instructional content for this group of programs is defined in codes 01.1201 - 01.1299.</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</si>
  <si>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t>
  </si>
  <si>
    <t>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</si>
  <si>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</si>
  <si>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Any instructional program in the soil sciences not listed above.</t>
  </si>
  <si>
    <t>Examples: - Environmental Soil Science</t>
  </si>
  <si>
    <t>Instructional content for this group of programs is defined in codes 03.0101 - 03.0199.</t>
  </si>
  <si>
    <t>26.1307 - Conservation Biology.</t>
  </si>
  <si>
    <t>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</si>
  <si>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14.1401 - Environmental/Environmental Health Engineering.</t>
  </si>
  <si>
    <t>Examples: - Ecosystem Studies</t>
  </si>
  <si>
    <t>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</si>
  <si>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26.1305 - Environmental Biology., 26.1307 - Conservation Biology., 14.1401 - Environmental/Environmental Health Engineering.</t>
  </si>
  <si>
    <t>Examples: - Bioenvironmental Sciences</t>
  </si>
  <si>
    <t>Any instructional program in natural resources conservation and research not listed above.</t>
  </si>
  <si>
    <t>Examples: - Environmental Conservation and Reclamation</t>
  </si>
  <si>
    <t>Instructional content for this group of programs is defined in codes 03.0201 - 03.0299.</t>
  </si>
  <si>
    <t>Examples: - Ecosystem Management</t>
  </si>
  <si>
    <t>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</si>
  <si>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01.0103 - Agricultural Economics.</t>
  </si>
  <si>
    <t>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</si>
  <si>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26.1304 - Aquatic Biology/Limnology., 40.0605 - Hydrology and Water Resources Science., 14.0805 - Water Resources Engineering.</t>
  </si>
  <si>
    <t>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</si>
  <si>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04.0601 - Landscape Architecture., 31.0301 - Parks, Recreation and Leisure Facilities Management, General.</t>
  </si>
  <si>
    <t>Natural Resource Recreation and Tourism.</t>
  </si>
  <si>
    <t>A program that prepares individuals to plan, develop, and manage tourism in a natural resource setting, with an emphasis on applying environmentally sound, culturally sensitive, and economically sustainable principles. Includes instruction in environmental studies; natural resource management and interpretation; tourism planning, management, and policies; public land use management and policies; communications; marketing; and public relations.</t>
  </si>
  <si>
    <t>31.0301 - Parks, Recreation and Leisure Facilities Management, General.</t>
  </si>
  <si>
    <t>Examples: - Ecotourism, - Resource Recreation and Tourism, - Nature-Based Tourism, - Natural Resources Interpretation, - Hunting and Fishing Guide</t>
  </si>
  <si>
    <t>A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 Includes instruction in natural and physical sciences, natural resource management, outdoor field skills, firearms and outdoor equipment and vehicle operation, evidence collection and environmental sampling and monitoring, natural resource legislation, environmental compliance techniques, patrol procedures, investigation and report writing, interpersonal skills and crisis intervention, community liaison, public safety, public education, and public relations. Note: this program was re-instated after being deleted from CIP 2000; previously, it was coded as 03.0203.</t>
  </si>
  <si>
    <t>Examples: - Conservation Enforcement</t>
  </si>
  <si>
    <t>26.1302 - Marine Biology and Biological Oceanography., 49.0303 - Commercial Fishing.</t>
  </si>
  <si>
    <t>Instructional content for this group of programs is defined in codes 03.0501 - 03.0599.</t>
  </si>
  <si>
    <t>14.3401 - Forest Engineering.</t>
  </si>
  <si>
    <t>Examples: - Silviculture, - Sylviculture</t>
  </si>
  <si>
    <t>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</si>
  <si>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14.4001 - Paper Science and Engineering.</t>
  </si>
  <si>
    <t>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</si>
  <si>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</si>
  <si>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Wildlife, Fish and Wildlands Science and Management.</t>
  </si>
  <si>
    <t>A program that prepares individuals to conserve and manage wilderness areas and the flora, marine and aquatic life therein, and manage wildlife reservations and zoological/aquarium facilities for recreational, commercial, and ecological purposes. Includes instruction in wildlife biology, marine/aquatic biology, environmental science,  freshwater and saltwater ecosystems, natural resources management and policy, outdoor recreation and parks management, the design and operation of natural and artificial wildlife habitats, applicable law and regulations, and related administrative and communications skills.</t>
  </si>
  <si>
    <t>26.0709 - Wildlife Biology.</t>
  </si>
  <si>
    <t>Examples: - Hunting and Trapping</t>
  </si>
  <si>
    <t>15.1303 - Architectural Drafting and Architectural CAD/CADD., 14.0401 - Architectural Engineering.</t>
  </si>
  <si>
    <t>Examples: - Architecture (BArch, BA/BS), - Architecture (MArch/MA/MS), - Architecture (PhD)</t>
  </si>
  <si>
    <t>45.1201 - Urban Studies/Affairs.</t>
  </si>
  <si>
    <t>Examples: - Urban Design</t>
  </si>
  <si>
    <t>Instructional content is defined in code 04.0401.</t>
  </si>
  <si>
    <t>19.0601 - Housing and Human Environments, General.</t>
  </si>
  <si>
    <t>50.0408 - Interior Design.</t>
  </si>
  <si>
    <t>03.0206 - Land Use Planning and Management/Development., 01.0605 - Landscaping and Groundskeeping.</t>
  </si>
  <si>
    <t>Examples: - Landscape Architecture (BS, BSLA, BLA), - Landscape Architecture (MSLA, MLA), - Landscape Architecture (PhD)</t>
  </si>
  <si>
    <t>Instructional content is defined in code 04.0801.</t>
  </si>
  <si>
    <t>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</si>
  <si>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Architectural Sciences and Technology.</t>
  </si>
  <si>
    <t>Instructional content for this group of programs is defined in codes 04.0901 - 04.0999.</t>
  </si>
  <si>
    <t>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</si>
  <si>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15.1303 - Architectural Drafting and Architectural CAD/CADD.</t>
  </si>
  <si>
    <t>Architectural and Building Sciences/Technology.</t>
  </si>
  <si>
    <t>A program that  focuses on the application of advanced technology to building design and construction, retrofitting existing buildings, and efficient operation of buildings, including lighting and daylight design, acoustics, solar design, building conservation, and energy-conscious design.  Includes instruction in architecture, building technology, civil and structural engineering, mechanical engineering, environmental control systems, sustainability, and computer tools and applications.</t>
  </si>
  <si>
    <t>Examples: - Architectural and Building Sciences/Technology (BArch, BA/BS), - Architectural and Building Sciences/Technology (MArch/MA/MS), - Architectural and Building Sciences/Technology (PhD)</t>
  </si>
  <si>
    <t>Architectural Sciences and Technology, Other.</t>
  </si>
  <si>
    <t>Any instructional program in architectural sciences and technology not listed above.</t>
  </si>
  <si>
    <t>Real Estate Development.</t>
  </si>
  <si>
    <t>Instructional content is defined in code 04.1001.</t>
  </si>
  <si>
    <t>A program that prepares individuals to create and redevelop housing, offices, retail centers, and industrial sites.  Includes instruction in architectural design and construction, historic preservation, landscape architecture, urban planning and design, business, real estate and land use law, public policy, and engineering.</t>
  </si>
  <si>
    <t>52.1501 - Real Estate.</t>
  </si>
  <si>
    <t>AREA, ETHNIC, CULTURAL, GENDER, AND GROUP STUDIES.</t>
  </si>
  <si>
    <t>Instructional programs that focus on the defined areas, regions, and countries of the world; defined minority groups within and across societies; and issues relevant to collective gender and group experience.</t>
  </si>
  <si>
    <t>Instructional content for this group of programs is defined in codes 05.0101 - 05.0199.</t>
  </si>
  <si>
    <t>A program that focuses on the history, society, politics, culture, and economics of one or more of the peoples of the African Continent, usually with an emphasis on Africa south of the Sahara, and including the African diasporas overseas.</t>
  </si>
  <si>
    <t>05.0201 - African-American/Black Studies.</t>
  </si>
  <si>
    <t>05.0206 - Asian-American Studies.</t>
  </si>
  <si>
    <t>Russian, Central European, East European and Eurasian Studies.</t>
  </si>
  <si>
    <t>A program that focuses on the history, society, politics, culture, and economics of the region encompassing Russia, Central Europe, Eastern Europe, and Eurasia, including the Balkan, Baltic, Caucasus, and Central Asian states that were republics of the former Soviet Union.</t>
  </si>
  <si>
    <t>05.0110 - Russian Studies.</t>
  </si>
  <si>
    <t>Examples: - Russian and East European Studies, - Central and Eastern European Studies, - CIS Studies</t>
  </si>
  <si>
    <t>05.0203 - Hispanic-American, Puerto Rican, and Mexican-American/Chicano Studies.</t>
  </si>
  <si>
    <t>30.2202 - Classical, Ancient Mediterranean and Near Eastern Studies and Archaeology.</t>
  </si>
  <si>
    <t>Examples: - Modern Middle Eastern Studies</t>
  </si>
  <si>
    <t>05.0105 - Russian, Central European, East European and Eurasian Studies.</t>
  </si>
  <si>
    <t>A program that focuses on the history, society, politics, culture, and economics of one or more of the peoples inhabiting the Balkan Peninsula and associated island groups and borderlands, Southern Slavic and non-Slavic, during the medieval, Ottoman, and modern periods.</t>
  </si>
  <si>
    <t>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</si>
  <si>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</si>
  <si>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</si>
  <si>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</si>
  <si>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</si>
  <si>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Regional Studies (U.S., Canadian, Foreign)</t>
  </si>
  <si>
    <t>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</si>
  <si>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A program that focuses on the history, society, politics, culture, and economics of one or more of the peoples of present-day China and its historical predecessors, related borderlands and island groups, and the overseas Chinese diaspora.</t>
  </si>
  <si>
    <t>A program that focuses on the history, society, politics, culture, and economics of France, other Francophone countries inside and outside Europe, and the French colonial experience and the associated French minorities around the world.</t>
  </si>
  <si>
    <t>A program that focuses on the history, society, politics, culture, and economics of Germany, the neighboring countries of Austria and Switzerland, the German minorities in neighboring European countries, and the historical areas of German influence across Europe and overseas.</t>
  </si>
  <si>
    <t>A program that focuses on the history, society, politics, culture, and economics of modern Italy and its predecessors on the Italian Peninsula, including the overseas migrations of Italian peoples.</t>
  </si>
  <si>
    <t>A program that focuses on the history, society, politics, culture, and economics of the peoples of Japan, and related island groups and coastal neighbors.</t>
  </si>
  <si>
    <t>A program that focuses on the history, society, politics, culture, and economics of the peoples of Korea, including related island groups and borderlands.</t>
  </si>
  <si>
    <t>A program that focuses on the history, society, politics, culture, and economics of Poland and the current and historical inhabitants of the Polish lands, including borderlands, from earliest times to the present.</t>
  </si>
  <si>
    <t>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</si>
  <si>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A program that focuses on the history, society, politics, culture, and economics of Tibet and its borderlands, with emphasis on both pre-modern and modern Tibet and associated religious and exile movements.</t>
  </si>
  <si>
    <t>A program that focuses on the history, society, politics, culture, and economics of the Ukraine and its inhabitants, and related border regions, from earliest times to the present.</t>
  </si>
  <si>
    <t>Irish Studies.</t>
  </si>
  <si>
    <t>A program that focuses on the history, society, politics, culture, and economics of Ireland and the Irish Diaspora, from the early Christian period to the present.</t>
  </si>
  <si>
    <t>Latin American and Caribbean Studies.</t>
  </si>
  <si>
    <t>An integrated program that focuses on the history, society, politics, culture, and economics of the peoples and countries of the Latin American and Caribbean region.</t>
  </si>
  <si>
    <t>05.0119 - Caribbean Studies., 05.0107 - Latin American Studies.</t>
  </si>
  <si>
    <t>Ethnic, Cultural Minority, Gender, and Group Studies.</t>
  </si>
  <si>
    <t>Instructional content for this group of programs is defined in codes 05.0200 - 05.0299.</t>
  </si>
  <si>
    <t>Ethnic Studies.</t>
  </si>
  <si>
    <t>A program that focuses on the interdisciplinary and comparative study of the history, sociology, politics, culture, and economics of North American racial and ethnic groups, including African Americans, American Indians/Native Americans, Hispanic Americans, and Asian Americans.</t>
  </si>
  <si>
    <t>30.2301 - Intercultural/Multicultural and Diversity Studies.</t>
  </si>
  <si>
    <t>Examples: - Comparative Ethnic Studies, - Race and Ethnicity</t>
  </si>
  <si>
    <t>05.0101 - African Studies.</t>
  </si>
  <si>
    <t>05.0107 - Latin American Studies.</t>
  </si>
  <si>
    <t>05.0103 - Asian Studies/Civilization.</t>
  </si>
  <si>
    <t>Examples: - Women's and Gender Studies</t>
  </si>
  <si>
    <t>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</si>
  <si>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Folklore Studies.</t>
  </si>
  <si>
    <t>A program that focuses on the study of creativity and aesthetic expression in everyday life, as expressed in narrative, literature, performing arts, culture, work, family and community.</t>
  </si>
  <si>
    <t>Examples: - Folklore Studies, - Folklore and Mythology, - Folklore and Folklife</t>
  </si>
  <si>
    <t>Disability Studies.</t>
  </si>
  <si>
    <t>A program that focuses on the nature, meaning, and consequences of what it is to be defined as disabled and explores the historical, cultural, economic, physiological, and socio-political dynamics of disability. Includes instruction in disability rights, legal issues, and public policy; literature, philosophy, and the arts; and/or research in the social sciences, education, and health sciences addressing social and experiential aspects of disability.</t>
  </si>
  <si>
    <t>Deaf Studies.</t>
  </si>
  <si>
    <t>A program that focuses on the sociological, historical and linguistic aspects of the deaf and hearing impaired, and that prepares individuals to work with the deaf and hearing impaired. Includes instruction in American Sign Language, deaf studies, American deaf culture, structure of American Sign Language, history of the American deaf community, and civil rights of deaf people.</t>
  </si>
  <si>
    <t>16.1601 - American Sign Language (ASL).</t>
  </si>
  <si>
    <t>Examples: - Deaf Studies, - American Sign Language (ASL) and Deaf Studies</t>
  </si>
  <si>
    <t>Ethnic, Cultural Minority, Gender, and Group Studies, Other.</t>
  </si>
  <si>
    <t>Any instructional program in ethnic, cultural minority, gender, and group studies not listed above.</t>
  </si>
  <si>
    <t>Examples: - Women's, Gay and Lesbian Studies, Integrated</t>
  </si>
  <si>
    <t>Deleted, Report under 05.01, 05.02</t>
  </si>
  <si>
    <t>Instructional content for this group of programs is defined in codes 09.0100 - 09.0199.</t>
  </si>
  <si>
    <t>Communication, General.</t>
  </si>
  <si>
    <t>A program that focuses on the comprehensive study of communication, and that spans the study of  mass communication/media studies, old and new media technologies, social and political applications, and speech communication and rhetoric. Includes instruction in interpersonal, group, organizational, and intercultural communication; theories of communication; critical thinking, argumentation, and persuasion; written communication; printed, electronic, and digital media; rhetorical tradition and criticism; media, society, and culture; consequences and effects of mass media; media social science and criticism; and quantitative and qualitative methods of inquiry.</t>
  </si>
  <si>
    <t>Examples: - Communication</t>
  </si>
  <si>
    <t>Speech Communication and Rhetoric.</t>
  </si>
  <si>
    <t>23.1304 - Rhetoric and Composition.</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</si>
  <si>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t>
  </si>
  <si>
    <t>Examples: - Media Studies</t>
  </si>
  <si>
    <t>Any instructional program in communication and media studies not listed above.</t>
  </si>
  <si>
    <t>Instructional content for this group of programs is defined in codes 09.0401 - 09.0499.</t>
  </si>
  <si>
    <t>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</si>
  <si>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50.0605 - Photography.</t>
  </si>
  <si>
    <t>Any instructional program in journalism not listed above.</t>
  </si>
  <si>
    <t>Examples: - Online Journalism</t>
  </si>
  <si>
    <t>Instructional content for this group of programs is defined in codes 09.0701 - 09.0799.</t>
  </si>
  <si>
    <t>Examples: - Radio, Television, and Film</t>
  </si>
  <si>
    <t>A program that focuses on the development, use, critical evaluation, and regulation of new electronic communication technologies using computer applications; and that prepares individuals to function as developers and managers of digital communications media. Includes instruction in computer and telecommunications technologies and processes; design and development of digital communications; marketing and distribution; digital communications regulation, law, and policy; the study of human interaction with, and use of, digital media; and emerging trends and issues.</t>
  </si>
  <si>
    <t>50.0102 - Digital Arts.</t>
  </si>
  <si>
    <t>Examples: - Digital Media</t>
  </si>
  <si>
    <t>Any instructional program in radio, television, and digital communications not listed above.</t>
  </si>
  <si>
    <t>Instructional content for this group of programs is defined in codes 09.0900 - 09.0999.</t>
  </si>
  <si>
    <t>A general program that focuses on organizational communication, public relations, and advertising; and that prepares individuals to function in a wide range of public and private sector positions requiring the skills of persuasive communication. Includes instruction in communications, public relations, and advertising theory; principles and techniques of persuasion; message/image design; marketing strategy; professional writing; public speaking and multi-media presentation skills; digital communications; and applied research.</t>
  </si>
  <si>
    <t>09.0902 - Public Relations/Image Management., 09.0903 - Advertising.</t>
  </si>
  <si>
    <t>Examples: - Public Relations and Advertising, - Applied Communication</t>
  </si>
  <si>
    <t>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</si>
  <si>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52.1003 - Organizational Behavior Studies.</t>
  </si>
  <si>
    <t>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</si>
  <si>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09.0900 - Public Relations, Advertising, and Applied Communication.</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</si>
  <si>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</si>
  <si>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50.0402 - Commercial and Advertising Art., 09.0900 - Public Relations, Advertising, and Applied Communication.</t>
  </si>
  <si>
    <t>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</si>
  <si>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</si>
  <si>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Examples: - Health and Health Science Communication</t>
  </si>
  <si>
    <t>Sports Communication.</t>
  </si>
  <si>
    <t>A program that focuses on the methods and techniques for communicating about sports in a variety of formats, media, and contexts; and that prepares individuals to be sports reporters and writers, photojournalists, radio and television announcers, producers and directors, recreational sports promoters, and public relations specialists.  Includes instruction in sports writing, photography, broadcast journalism, sports production, game rules, media and public relations, and sports promotion.</t>
  </si>
  <si>
    <t>31.0504 - Sport and Fitness Administration/Management., 31.0508 - Sports Studies.</t>
  </si>
  <si>
    <t>International and Intercultural Communication.</t>
  </si>
  <si>
    <t>A program that focuses on the specialized knowledge and skills needed for effective communication in the international community and among people of different cultures; and that prepares individuals to function at the national and international levels as journalists, public relations specialists, travel industry representatives, intercultural trainers, and/or foreign service officers.  Includes instruction in journalism, communications, intercultural and international relations, marketing and public relations, and global communications policy.</t>
  </si>
  <si>
    <t>Technical and Scientific Communication.</t>
  </si>
  <si>
    <t>A program that focuses on the communication of technical and scientific knowledge to a variety of audiences through print, video, and digital media; and that prepares individuals to function as technical writers and editors, documentation developers, web designers, and usability specialists. Includes instruction in scientific and technical writing and editing, graphic and information design, web design, audience analysis, document usability and field testing, publications management, and applications to specific technical fields.</t>
  </si>
  <si>
    <t>23.1303 - Professional, Technical, Business, and Scientific Writing.</t>
  </si>
  <si>
    <t>Examples: - Technical Communication, - Scientific Communication</t>
  </si>
  <si>
    <t>Public Relations, Advertising, and Applied Communication, Other</t>
  </si>
  <si>
    <t>Any instructional program in organizational communication, public relations, and advertising not listed above.</t>
  </si>
  <si>
    <t>Instructional content is defined in code 09.1001.</t>
  </si>
  <si>
    <t>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</si>
  <si>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Instructional content is defined in code 10.0105.</t>
  </si>
  <si>
    <t>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</si>
  <si>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Instructional content for this group of programs is defined in codes 10.0201 - 10.0299.</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</si>
  <si>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</si>
  <si>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t>
  </si>
  <si>
    <t>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</si>
  <si>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50.0913 - Music Technology.</t>
  </si>
  <si>
    <t>Any instructional program in audiovisual communications technologies not listed above.</t>
  </si>
  <si>
    <t>Examples: - Broadcast Captioning</t>
  </si>
  <si>
    <t>Instructional content for this group of programs is defined in codes 10.0301 - 10.0399.</t>
  </si>
  <si>
    <t>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</si>
  <si>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50.0409 - Graphic Design., 50.0402 - Commercial and Advertising Art.</t>
  </si>
  <si>
    <t>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</si>
  <si>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t>
  </si>
  <si>
    <t>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</si>
  <si>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</si>
  <si>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t>
  </si>
  <si>
    <t>A program that prepares individuals to apply technical knowledge and skills to set up, operate, and maintain printing presses.</t>
  </si>
  <si>
    <t>A program that prepares individuals to apply technical knowledge and skills to design and execute page formats, layouts and text composition, and to make typographical selections using computer graphics and other computer-assisted design programs.</t>
  </si>
  <si>
    <t>Any instructional program in graphic communications not listed above.</t>
  </si>
  <si>
    <t>Instructional content is defined in code 10.9999.</t>
  </si>
  <si>
    <t>Any instructional program in communications technologies and support services not listed above.</t>
  </si>
  <si>
    <t>Instructional content for this group of programs is defined in codes 11.0101 - 11.0199.</t>
  </si>
  <si>
    <t>A general program that focuses on computing, computer science, and information science and systems. Such programs are undifferentiated as to title and content and are not to be confused with specific programs in computer science, information science, or related support services.</t>
  </si>
  <si>
    <t>Artificial Intelligence.</t>
  </si>
  <si>
    <t>A program that focuses on the symbolic inference, representation, and simulation by computers and software of human learning and reasoning processes and capabilities, and the computer modeling of human motor control and motion. Includes instruction in computing theory, cybernetics, human factors, natural language processing, and applicable aspects of engineering, technology, and specific end-use applications.</t>
  </si>
  <si>
    <t>14.4201 - Mechatronics, Robotics, and Automation Engineering.</t>
  </si>
  <si>
    <t>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</si>
  <si>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Informatics.</t>
  </si>
  <si>
    <t>A program that focuses on computer systems from a user-centered perspective and studies the structure, behavior and interactions of natural and artificial systems that store, process and communicate information. Includes instruction in information sciences, human computer interaction, information system analysis and design, telecommunications structure and information architecture and management.</t>
  </si>
  <si>
    <t>26.1103 - Bioinformatics., 51.2706 - Medical Informatics.</t>
  </si>
  <si>
    <t>Examples: - Social Informatics</t>
  </si>
  <si>
    <t>Any instructional program in computer science not listed above.</t>
  </si>
  <si>
    <t>Instructional content for this group of programs is defined in codes 11.0201 - 11.0299.</t>
  </si>
  <si>
    <t>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</si>
  <si>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A program that prepares individuals to fulfill the requirements set by vendors for professional qualification as certified installation, customization, and maintenance engineers for specific software products and/or processes.  Includes training in specific vendor-supported software products and their installation and maintenance.</t>
  </si>
  <si>
    <t>Any instructional program in computer programming not listed above.</t>
  </si>
  <si>
    <t>25.0101 - Library and Information Science., 52.1201 - Management Information Systems, General.</t>
  </si>
  <si>
    <t>14.2701 - Systems Engineering.</t>
  </si>
  <si>
    <t>Instructional content for this group of programs is defined in codes 11.0601 - 11.0699.</t>
  </si>
  <si>
    <t>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</si>
  <si>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</si>
  <si>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Any instructional program in data entry/microcomputer applications not listed above.</t>
  </si>
  <si>
    <t>A program that focuses on computer theory, computing problems and solutions, and the design of computer systems and user interfaces from a scientific perspective. Includes instruction in the principles of computational science, computer development and programming, and applications to a variety of end-use situations.</t>
  </si>
  <si>
    <t>14.0901 - Computer Engineering, General.</t>
  </si>
  <si>
    <t>Instructional content for this group of programs is defined in codes 11.0801 - 11.0899.</t>
  </si>
  <si>
    <t>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</si>
  <si>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</si>
  <si>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</si>
  <si>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Modeling, Virtual Environments and Simulation.</t>
  </si>
  <si>
    <t>A program focusing on the principles of applied visual simulation technology and the application of quantitative analyses to human-computer interaction.  Includes instruction in object-oriented programming, artificial intelligence, computer communications and networks, computer graphics, virtual worlds and simulation systems, probability, statistics, stochastic modeling, data analysis, human-performance evaluation, and human-behavior modeling.</t>
  </si>
  <si>
    <t>50.0411 - Game and Interactive Media Design.</t>
  </si>
  <si>
    <t>Any instructional program in computer software and media applications not listed above.</t>
  </si>
  <si>
    <t>Instructional content is defined in code 11.0901.</t>
  </si>
  <si>
    <t>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</si>
  <si>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Examples: - Computer Systems Telecommunications, - Computer Systems Networking</t>
  </si>
  <si>
    <t>Instructional content for this group of programs is defined in codes 11.1001 - 11.1099.</t>
  </si>
  <si>
    <t>Network and System Administration/Administrator.</t>
  </si>
  <si>
    <t>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</si>
  <si>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Examples: - Network Administration</t>
  </si>
  <si>
    <t>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</si>
  <si>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Computer and Information Systems Security/Information Assurance.</t>
  </si>
  <si>
    <t>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</si>
  <si>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43.0116 - Cyber/Computer Forensics and Counterterrorism.</t>
  </si>
  <si>
    <t>Examples: - Information Assurance, - IT Security, - Internet Security, - Network Security, - Information Systems Security</t>
  </si>
  <si>
    <t>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</si>
  <si>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Examples: - Website Development, - Web Development, - Webmaster</t>
  </si>
  <si>
    <t>Information Technology Project Management.</t>
  </si>
  <si>
    <t>A program that prepares individuals to design, develop, and manage information technology projects in a variety of companies and organizations. Includes instruction in principles of project management, risk management, procurement and contract management, information security management, software management, organizational principles and behavior, communications, quality assurance, financial analysis, leadership, and team effectiveness.</t>
  </si>
  <si>
    <t>52.0211 - Project Management.</t>
  </si>
  <si>
    <t>Computer Support Specialist.</t>
  </si>
  <si>
    <t>A program that prepares individuals to provide technical assistance, support, and advice to computer users to help troubleshoot software and hardware problems. Includes instruction in computer concepts, information systems, networking, operating systems, computer hardware, the Internet, software applications, help desk concepts and problem solving, and principles of customer service.</t>
  </si>
  <si>
    <t>Examples: - Technical Support Specialist, - Help Desk Specialist, - IT Support Specialist</t>
  </si>
  <si>
    <t>Computer/Information Technology Services Administration and Management, Other.</t>
  </si>
  <si>
    <t>Any instructional program in computer/information technology services administration and management not listed above.</t>
  </si>
  <si>
    <t>51.0706 - Health Information/Medical Records Administration/Administrator.</t>
  </si>
  <si>
    <t>51.0709 - Medical Office Computer Specialist/Assistant., 51.0707 - Health Information/Medical Records Technology/Technician.</t>
  </si>
  <si>
    <t>Instructional content for this group of programs is defined in codes 12.0301 - 12.0399.</t>
  </si>
  <si>
    <t>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</si>
  <si>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</si>
  <si>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Any instructional program in funeral service and mortuary science not listed above.</t>
  </si>
  <si>
    <t>Instructional content for this group of programs is defined in codes 12.0401 - 12.0499.</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</si>
  <si>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t>
  </si>
  <si>
    <t>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</si>
  <si>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Examples: - Natural Hair Braider</t>
  </si>
  <si>
    <t>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</si>
  <si>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</si>
  <si>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Examples: - Waxing, - Basic Aesthetician/Esthetician</t>
  </si>
  <si>
    <t>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</si>
  <si>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</si>
  <si>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</si>
  <si>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</si>
  <si>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Master Aesthetician/Esthetician.</t>
  </si>
  <si>
    <t>A program that prepares individuals to massage and treat the face, neck, and body with advanced chemical and cosmetic preparations and esthetic medical treatments, and to function as licensed master or medical estheticians in dermatologists' and plastic surgeons' offices as well as in salons and spas. Includes instruction in advanced anatomy and physiology, skin properties and disorders, sanitation and infection control, advanced facial treatments, spa body treatments, advanced extractions, corrective makeup, chemical peels, microdermabrasion, lymphatic drainage and advanced massage techniques, pre- and post-operative esthetic skin care, client/patient evaluation and care, applicable laws and regulations, and business practices.</t>
  </si>
  <si>
    <t>Examples: - Medical Aesthetician/Esthetician, - Advanced Aesthetician/Esthetician, - Advanced Paramedical Aesthetician/Esthetician</t>
  </si>
  <si>
    <t>Instructional content for this group of programs is defined in codes 12.0500 - 12.0599.</t>
  </si>
  <si>
    <t>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</si>
  <si>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Examples: - Cook</t>
  </si>
  <si>
    <t>52.0905 - Restaurant/Food Services Management.</t>
  </si>
  <si>
    <t>A program that prepares individuals to serve food to customers in formal or informal settings.  Includes instruction in the nutritional, sensory, and functional properties of food and its ingredients; food services principles; table and counter services; dining room operations and procedures; service personnel supervision and management; communication skills; business math; safety; and sanitation.</t>
  </si>
  <si>
    <t>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</si>
  <si>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Culinary Science/Culinology.</t>
  </si>
  <si>
    <t>A program that focuses on the blending of food science and the culinary arts and that prepares individuals to work as research chefs and related research and development positions in the food industry. Includes instruction in culinary arts, food chemistry, food safety and quality, food processing, nutrition, and business management.</t>
  </si>
  <si>
    <t>01.1001 - Food Science.</t>
  </si>
  <si>
    <t>Wine Steward/Sommelier.</t>
  </si>
  <si>
    <t>A program that prepares individuals to manage wine selection, purchasing, storage, sales, and service for a variety of establishments in the hospitality industry. Includes instruction in wine production, wine regions of the world, wine tasting, food and wine matching, service techniques, and wine program management.</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</si>
  <si>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</si>
  <si>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Instructional content for this group of programs is defined in codes 13.0201 - 13.0299.</t>
  </si>
  <si>
    <t>13.1401 - Teaching English as a Second or Foreign Language/ESL Language Instructor.</t>
  </si>
  <si>
    <t>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</si>
  <si>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</si>
  <si>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Any instructional program in bilingual, multilingual, and multicultural Education not listed above.</t>
  </si>
  <si>
    <t>Instructional content for this group of programs is defined in codes 13.0401 - 13.0499.</t>
  </si>
  <si>
    <t>Examples: - Educational Leadership and Policy, - Educational Administration and Policy, - K-12 Educational Leadership, - K-12 Educational Administration</t>
  </si>
  <si>
    <t>13.1102 - College Student Counseling and Personnel Services.</t>
  </si>
  <si>
    <t>Examples: - Higher Education Policy</t>
  </si>
  <si>
    <t>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</si>
  <si>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</si>
  <si>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</si>
  <si>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</si>
  <si>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Educational/Instructional Technology.</t>
  </si>
  <si>
    <t>A program that focuses on integrating technology into educational curricula. Includes instruction in foundations of educational technology, computer applications, utilizing technology for assessment, multimedia instruction, web-based instruction, distance education, and designing and producing educational software and materials.</t>
  </si>
  <si>
    <t>Examples: - Advanced Learning Technologies</t>
  </si>
  <si>
    <t>Instructional content for this group of programs is defined in codes 13.0601 - 13.0699.</t>
  </si>
  <si>
    <t>27.0501 - Statistics, General., 45.0102 - Research Methodology and Quantitative Methods.</t>
  </si>
  <si>
    <t>Learning Sciences.</t>
  </si>
  <si>
    <t>A program that focuses on the multiple aspects of learning in different environments, including specific aspects of the content to be mastered, cognitive aspects of the student, the instructional environment and materials, the preparation and activities of the instructor, socio-cultural and linguistic components, and assessment outcomes. Includes instruction in the social, organizational, and cultural dynamics of learning; learning and cognition; learning strategies; educational psychology; educational testing and measurement; instructional design and technology; and statistical design of educational research.</t>
  </si>
  <si>
    <t>Examples: - Learning Sciences Research, - Learning Sciences and Policy</t>
  </si>
  <si>
    <t>Instructional content for this group of programs is defined in codes 13.1001 - 13.1099.</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</si>
  <si>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students with multiple handicaps, counseling, and applicable laws and policies.</t>
  </si>
  <si>
    <t>51.0816 - Speech-Language Pathology Assistant.</t>
  </si>
  <si>
    <t>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</si>
  <si>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</si>
  <si>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</si>
  <si>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Education/Teaching of Individuals in Elementary Special Education Programs.</t>
  </si>
  <si>
    <t>A program that focuses on the design and provision of teaching and other educational services to children with special learning needs or disabilities who are in the elementary grades. Includes instruction in diagnosing learning disabilities; developing individual education plans; curriculum development, instructional strategies, and classroom management for elementary special education; and teaching elementary education subject matter.</t>
  </si>
  <si>
    <t>Education/Teaching of Individuals in Junior High/Middle School Special Education Programs.</t>
  </si>
  <si>
    <t>A program that focuses on the design and provision of teaching and other educational services to children with special learning needs or disabilities who are in junior high/middle school. Includes instruction in diagnosing learning disabilities; developing individual education plans; curriculum development, instructional strategies, and classroom management for middle school special education; and principles of middle school instruction in specific subjects.</t>
  </si>
  <si>
    <t>Education/Teaching of Individuals in Secondary Special Education Programs.</t>
  </si>
  <si>
    <t>A program that focuses on the design and provision of teaching and other educational services to children with special learning needs or disabilities who are in the secondary grades. Includes instruction in diagnosing learning disabilities; developing individual education plans; curriculum development, instructional strategies, and classroom management for secondary grades special education; content, methods, and modifications in specific subject areas; issues in vocational education; and promoting successful transitions to postsecondary settings.</t>
  </si>
  <si>
    <t>Instructional content for this group of programs is defined in codes 13.1101 - 13.1199.</t>
  </si>
  <si>
    <t>42.2805 - School Psychology.</t>
  </si>
  <si>
    <t>Any instructional program in student counseling and personnel services not listed above.</t>
  </si>
  <si>
    <t>Instructional content for this group of programs is defined in codes 13.1201 - 13.1299.</t>
  </si>
  <si>
    <t>A program that prepares individuals to teach students at various grade levels according to the pedagogical principles and methods developed by Maria Montessori and her followers.</t>
  </si>
  <si>
    <t>A program that prepares individuals to teach students at various grade levels according to the pedagogical principles and methods developed by Rudolf Steiner and his followers.</t>
  </si>
  <si>
    <t>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</si>
  <si>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A program that prepares individuals to teach students ranging in age from infancy through eight years (grade three), depending on the school system or state regulations.  Includes preparation to teach all relevant subject matter.</t>
  </si>
  <si>
    <t>13.1501 - Teacher Assistant/Aide.</t>
  </si>
  <si>
    <t>Examples: - Early Childhood Education (AA), - Early Childhood Education (BA), - Early Childhood Education (MA), - Early Childhood Education (PhD)</t>
  </si>
  <si>
    <t>Examples: - Distance Learning Teacher, - Online Teaching, - Postsecondary Instructor Education, - College Teaching</t>
  </si>
  <si>
    <t>Instructional content for this group of programs is defined in codes 13.1301 - 13.1399.</t>
  </si>
  <si>
    <t>01.0801 - Agricultural and Extension Education Services.</t>
  </si>
  <si>
    <t>19.0101 - Family and Consumer Sciences/Human Sciences, General.</t>
  </si>
  <si>
    <t>Examples: - Elementary Mathematics Teacher Education, - Middle School Mathematics Teacher Education, - Secondary Mathematics Teacher Education</t>
  </si>
  <si>
    <t>A program that prepares individuals to teach geography at various grade levels.</t>
  </si>
  <si>
    <t>A program that prepares individuals to teach Latin at various grade levels.</t>
  </si>
  <si>
    <t>A program that prepares individuals to serve as librarians and media specialists in elementary and secondary schools as well as special instructional centers.</t>
  </si>
  <si>
    <t>25.0101 - Library and Information Science.</t>
  </si>
  <si>
    <t>A program that prepares individuals to teach general psychology at the secondary school level.</t>
  </si>
  <si>
    <t>Earth Science Teacher Education.</t>
  </si>
  <si>
    <t>A program that prepares individuals to teach earth science programs at various educational levels.</t>
  </si>
  <si>
    <t>Examples: - Geosciences Education</t>
  </si>
  <si>
    <t>Environmental Education.</t>
  </si>
  <si>
    <t>A program that prepares individuals to teach environmental education at various educational levels as a K-12 classroom educator. Includes instruction in foundations of environmental education, instructional methods, and related content knowledge.</t>
  </si>
  <si>
    <t>31.0601 - Outdoor Education.</t>
  </si>
  <si>
    <t>Instructional content for this group of programs is defined in codes 13.1401 - 13.1499.</t>
  </si>
  <si>
    <t>A program that focuses on the principles and practice of teaching French to students who are not proficient in French or who do not speak, read, or write French, and prepares individuals to serve as teachers and administrators.</t>
  </si>
  <si>
    <t>Any program in teaching English or French as a second or foreign language not listed above.</t>
  </si>
  <si>
    <t>Instructional content for this group of programs is defined in codes 13.1501 - 13.1599.</t>
  </si>
  <si>
    <t>13.1210 - Early Childhood Education and Teaching.</t>
  </si>
  <si>
    <t>Examples: - Early Childhood Education Teacher Assistant/Aide, - Elementary Education Teacher Assistant/Aide, - Special Education Teacher Assistant/Aide, - Paraprofessional Educator</t>
  </si>
  <si>
    <t>A program that prepares individuals to serve as instructors and mentors for adults in basic or functional literacy programs in school, institutional, community, and private settings.</t>
  </si>
  <si>
    <t>Any teaching assistant/aide program not listed above.</t>
  </si>
  <si>
    <t>Instructional content for this group of programs is defined in codes 14.0101 - 14.0102.</t>
  </si>
  <si>
    <t>A program that generally prepares individuals to apply mathematical and scientific principles to solve a wide variety of practical problems in industry, social organization, public works, and commerce.  Includes instruction in undifferentiated and individualized programs in engineering.</t>
  </si>
  <si>
    <t>Pre-Engineering.</t>
  </si>
  <si>
    <t>A program that prepares individuals for admission or transfer to a baccalaureate-level program in any of the fields of engineering.</t>
  </si>
  <si>
    <t>Examples: - Pre-Engineering Transfer Program</t>
  </si>
  <si>
    <t>Aerospace, Aeronautical and Astronautical/Space Engineering.</t>
  </si>
  <si>
    <t>A program that prepares individuals to apply mathematical and scientific principles to the design, development and operational evaluation of aircraft, missiles, space vehicles, and their systems; applied research on flight and orbital characteristics; and the development of systems and procedures for the launching, guidance, and control of air and space vehicles.</t>
  </si>
  <si>
    <t>Examples: - Aeronautical Engineering, - Astronautical Engineering, - Space Systems Engineering, - Space Facilities Engineering, - Missile Systems Engineering, - Aeroelasticity, - Aerodynamics, - Air-Breathing Propulsion, - Stability and Control, - Astrodynamics, - Guidance and Control, - Aerospace Navigation, - Rocket Propulsion</t>
  </si>
  <si>
    <t>Agricultural Engineering.</t>
  </si>
  <si>
    <t>A program that prepares individuals to apply mathematical and scientific principles to the design, development and operational evaluation of systems, equipment and facilities for production, processing, storage, handling, distribution and use of food, feed, and fiber. Includes applications to aquaculture, forestry, human and natural resources.</t>
  </si>
  <si>
    <t>Examples: - Bioprocessing Engineering, - Food Engineering, - Soil Engineering</t>
  </si>
  <si>
    <t>04.0201 - Architecture.</t>
  </si>
  <si>
    <t>Bioengineering and Biomedical Engineering.</t>
  </si>
  <si>
    <t>A program that prepares individuals to apply mathematical and scientific principles to the design, development and operational evaluation of biomedical and health systems and products such as integrated biomedical systems, instrumentation, medical information systems, artificial organs and prostheses, and health management and care delivery systems.</t>
  </si>
  <si>
    <t>Examples: - Cell and Tissue Engineering, - Neural Engineering, - Biomaterials Engineering, - Biomechanics</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</si>
  <si>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</si>
  <si>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50.0711 - Ceramic Arts and Ceramics.</t>
  </si>
  <si>
    <t>Instructional content for this group of programs is defined in codes 14.0701 - 14.0799.</t>
  </si>
  <si>
    <t>40.0501 - Chemistry, General.</t>
  </si>
  <si>
    <t>Chemical and Biomolecular Engineering.</t>
  </si>
  <si>
    <t>A program that prepares individuals to apply mathematical and scientific principles to the design, development and operational evaluation of systems at the interface of chemical engineering and biology, with an emphasis at the molecular level, such as biopharmaceutical processes, protein engineering, metabolic engineering, gene therapy, biomaterials, cell and tissue engineering, and drug delivery. Includes instruction in chemical engineering, thermodynamics, organic chemistry, biochemistry, momentum and heat transfer, cellular and molecular biotechnology, process design, and chemical reactor design.</t>
  </si>
  <si>
    <t>Chemical Engineering, Other.</t>
  </si>
  <si>
    <t>Any instructional program in chemical engineering not listed above.</t>
  </si>
  <si>
    <t>Instructional content for this group of programs is defined in codes 14.0801 - 14.0899.</t>
  </si>
  <si>
    <t>Geotechnical and Geoenvironmental Engineering.</t>
  </si>
  <si>
    <t>A program that prepares individuals to apply geotechnical engineering methods, which deal with the analysis, design and construction of earth and earth supported structures,  to the application of environmental problems, such as waste containment, waste disposal, construction of land fills, soil permeation, soil analysis, and soil improvement. Includes instruction in soil mechanics, soil dynamics, soil behavior, waste management and containment systems, geosynthetics, geochemistry, earth structures, geoenvironmental engineering, geotechnical engineering, earthquake engineering, and foundation engineering</t>
  </si>
  <si>
    <t>Examples: - Geotechnical Engineering, - Geoenvironmental Engineering, - Geotechnical and Geoenvironmental Engineering</t>
  </si>
  <si>
    <t>03.0205 - Water, Wetlands, and Marine Resources Management., 40.0605 - Hydrology and Water Resources Science.</t>
  </si>
  <si>
    <t>Computer Engineering.</t>
  </si>
  <si>
    <t>Instructional content for this group of programs is defined in codes 14.0901 - 14.0999.</t>
  </si>
  <si>
    <t>11.0701 - Computer Science.</t>
  </si>
  <si>
    <t>Examples: - Computer Systems Engineering</t>
  </si>
  <si>
    <t>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</si>
  <si>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</si>
  <si>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Any instructional program in computer engineering not listed above.</t>
  </si>
  <si>
    <t>Instructional content for this group of programs is defined in codes 14.1001 - 14.1099.</t>
  </si>
  <si>
    <t>Electrical and Electronics Engineering</t>
  </si>
  <si>
    <t>A program that prepares individuals to apply mathematical and scientific principles to the design, development and operational evaluation of electrical and electronic systems and their components, including electrical power generation systems; and the analysis of problems such as superconductor, wave propagation, energy storage and retrieval, and reception and amplification.</t>
  </si>
  <si>
    <t>Examples: - Electrical Engineering, - Total Ship Systems Engineering, - Electrodynamic Engineering</t>
  </si>
  <si>
    <t>Laser and Optical Engineering.</t>
  </si>
  <si>
    <t>A program that prepares individuals to apply mathematical and scientific principles to the design, development and operational evaluation of optical systems, lasers and related electronic devices.  Includes instruction in wave theory and mechanics, electromagnetic applications, linear and non-linear optics, photon detecting, laser beam properties, directed energy, harmonic generation, optical systems, shielding and the design and implementation of related systems and equipment.</t>
  </si>
  <si>
    <t>40.0807 - Optics/Optical Sciences.</t>
  </si>
  <si>
    <t>Examples: - Electro-Optic Engineering, - Optical Engineering</t>
  </si>
  <si>
    <t>Telecommunications Engineering.</t>
  </si>
  <si>
    <t>A program that prepares individuals to apply mathematical and scientific principles to the design, development, and maintenance of telecommunications technology, networks, and systems. Includes instruction in telecommunications, computer networking, communications networks and systems, signals, circuits, fiber optics, and wireless systems and technology.</t>
  </si>
  <si>
    <t>Examples: - Communications Systems Engineering</t>
  </si>
  <si>
    <t>Electrical, Electronics and Communications Engineering, Other.</t>
  </si>
  <si>
    <t>Any instructional program in electrical, electronics and communications engineering not listed above.</t>
  </si>
  <si>
    <t>Engineering Physics/Applied Physics.</t>
  </si>
  <si>
    <t>A program focusing on the use of physics principles in the analysis and evaluation of engineering problems and other scientific applications. Includes instruction in high- and low-temperature phenomena, computational physics, superconductivity, applied thermodynamics, molecular and particle physics applications, and space science research.</t>
  </si>
  <si>
    <t>40.0801 - Physics, General.</t>
  </si>
  <si>
    <t>Examples: - Applied Physics, - Directed Energy/Laser Physics, - Semiconductor Physics</t>
  </si>
  <si>
    <t>03.0103 - Environmental Studies., 03.0104 - Environmental Science.</t>
  </si>
  <si>
    <t>Examples: - Environmental Engineering, - Environmental Management Engineering</t>
  </si>
  <si>
    <t>Instructional content is defined in code 14.1801.</t>
  </si>
  <si>
    <t>40.1001 - Materials Science., 40.1002 - Materials Chemistry.</t>
  </si>
  <si>
    <t>Examples: - Materials Processing and Manufacturing, - Materials Science Engineering</t>
  </si>
  <si>
    <t>40.0806 - Nuclear Physics.</t>
  </si>
  <si>
    <t>Examples: - Nuclear Reactor Engineering, - Nuclear Fuels, - Nuclear Power Engineering, - Nuclear Radiation and Shielding, - Nuclear Instrumentation and Measurement</t>
  </si>
  <si>
    <t>Instructional content is defined in code 14.2401.</t>
  </si>
  <si>
    <t>11.0501 - Computer Systems Analysis/Analyst., 30.0601 - Systems Science and Theory.</t>
  </si>
  <si>
    <t>Examples: - Industrial/Manufacturing Systems Engineering, - Product Development Engineering, - Logistics Engineering, - Systems Engineering Management, - Capability-Based Systems, - Optimization, - Modeling and Simulation, - Decision Engineering, - Dynamical Systems</t>
  </si>
  <si>
    <t>Instructional content is defined in code 14.2801. These CIP codes are not valid for IPEDS reporting.</t>
  </si>
  <si>
    <t>19.0904 - Textile Science.</t>
  </si>
  <si>
    <t>Moved from</t>
  </si>
  <si>
    <t>Moved from 14.31 to 40.10</t>
  </si>
  <si>
    <t>Moved from 14.3101 to 40.1001</t>
  </si>
  <si>
    <t>40.0507 - Polymer Chemistry.</t>
  </si>
  <si>
    <t>Instructional content is defined in code 14.3301.</t>
  </si>
  <si>
    <t>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</si>
  <si>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Examples: - Construction Engineering and Management</t>
  </si>
  <si>
    <t>Instructional content is defined in code 14.3401.</t>
  </si>
  <si>
    <t>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</si>
  <si>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03.0501 - Forestry, General.</t>
  </si>
  <si>
    <t>Instructional content is defined in code 14.3501.</t>
  </si>
  <si>
    <t>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</si>
  <si>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Instructional content is defined in code 14.3601.</t>
  </si>
  <si>
    <t>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</si>
  <si>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Instructional content is defined in code 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</si>
  <si>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t>
  </si>
  <si>
    <t>Examples: - Decision Support Systems, - Decision Analysis, - Operations Analysis, - Simulation, - Operational Sciences</t>
  </si>
  <si>
    <t>Instructional content is defined in code 14.3801.</t>
  </si>
  <si>
    <t>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</si>
  <si>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Instructional content is defined in code 14.3901.</t>
  </si>
  <si>
    <t>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</si>
  <si>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40.0601 - Geology/Earth Science, General.</t>
  </si>
  <si>
    <t>Paper Science and Engineering.</t>
  </si>
  <si>
    <t>Instructional content is defined in code 14.4001.</t>
  </si>
  <si>
    <t>A program that prepares individuals to apply mathematical and scientific principles to the design, development, and manufacturing of pulp and paper products. Includes instruction in pulp and paper science, pulping and bleaching processes, paper structure and processes, pulp and paper manufacturing, coating technology, surface and colloid science, and fibers.</t>
  </si>
  <si>
    <t>03.0509 - Wood Science and Wood Products/Pulp and Paper Technology.</t>
  </si>
  <si>
    <t>Examples: - Paper Science, - Paper Science Engineering, - Pulp and Paper Science, - Wood and Paper Science</t>
  </si>
  <si>
    <t>Electromechanical Engineering.</t>
  </si>
  <si>
    <t>Instructional content is defined in code 14.4101.</t>
  </si>
  <si>
    <t>A program that prepares individuals to apply scientific and mathematical principles to the problems associated with combining electrical and mechanical components with special emphasis on manufacturing and automated processes. Includes instruction in applied mechanics, instrumentation and monitoring, machine design, automated control techniques, fluid and thermal dynamics, circuit analysis, and solid state electronics.</t>
  </si>
  <si>
    <t>Mechatronics, Robotics, and Automation Engineering.</t>
  </si>
  <si>
    <t>Instructional content is defined in code 14.4201.</t>
  </si>
  <si>
    <t>A program that prepares individuals to apply mathematical and scientific principles to the design, development and operational evaluation of computer controlled electro-mechanical systems and products with embedded electronics, sensors, and actuators; and which includes, but is not limited to, automata, robots and automation systems. Includes instruction in mechanical engineering, electronic and electrical engineering, computer and software engineering, and control engineering.</t>
  </si>
  <si>
    <t>11.0102 - Artificial Intelligence.</t>
  </si>
  <si>
    <t>Biochemical Engineering.</t>
  </si>
  <si>
    <t>Instructional content is defined in code 14.4301.</t>
  </si>
  <si>
    <t>A program that prepares individuals to apply mathematical and scientific principles to the study of biochemical processes in living organisms, properties of biological materials, and processes using biochemical agents such as cells, enzymes, and antibodies. Includes instruction in biology, chemistry, physics, biochemistry, thermodynamics, fluid dynamics, bioprocesses, and chemical engineering.</t>
  </si>
  <si>
    <t>Examples: - Biochemical Engineering, - Chemical and Biochemical Engineering</t>
  </si>
  <si>
    <t>Engineering Chemistry.</t>
  </si>
  <si>
    <t>Instructional content is defined in code 14.4401.</t>
  </si>
  <si>
    <t>A program that focuses on the general application of chemical principles to the analysis and evaluation of engineering problems, such as development of electronic materials, solid-state science and technology, polymers, ceramics, and biomaterials. Includes instruction in physical chemistry, organic chemistry, materials science, chemical processes and systems, chemical reaction engineering, biochemical engineering, engineering mathematics, classical and modern physics, and computer science.</t>
  </si>
  <si>
    <t>Biological/Biosystems Engineering.</t>
  </si>
  <si>
    <t>Instructional content is defined in code 14.4501.</t>
  </si>
  <si>
    <t>A program that prepares individuals to apply mathematical and scientific principles to the design, development and management of biological systems; and includes applications to biology, biochemistry, ecology, and microbiology. Includes instruction in organic chemistry; microbiology; biochemistry; chemical, biological, biochemical, and process engineering; thermodynamics; process control; kinetics and reactor design; electric circuits; biosystem modeling; and bioelectronics and instrumentation.</t>
  </si>
  <si>
    <t>Examples: - Biological Engineering, - Biosystems Engineering, - Biological Systems Engineering, - Biomass Engineering, - Biological/Biosystems Engineering</t>
  </si>
  <si>
    <t>Examples: - Sustainable/Renewable Energy Engineering</t>
  </si>
  <si>
    <t>ENGINEERING TECHNOLOGIES AND ENGINEERING-RELATED FIELDS.</t>
  </si>
  <si>
    <t>Instructional programs that prepare individuals to apply basic engineering principles and technical skills in support of engineering and related projects or to prepare for engineering-related fields.</t>
  </si>
  <si>
    <t>Instructional content is defined in code 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</si>
  <si>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</si>
  <si>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</si>
  <si>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46.0302 - Electrician.</t>
  </si>
  <si>
    <t>Examples: - Electronics Technician, - Consumer Product Electronics Technician</t>
  </si>
  <si>
    <t>Examples: - Photonics Engineering Technology</t>
  </si>
  <si>
    <t>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</si>
  <si>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Examples: - Wireless Communications Technician, - Telecommunications Engineering Technology/Technician</t>
  </si>
  <si>
    <t>Integrated Circuit Design.</t>
  </si>
  <si>
    <t>A program that prepares individuals to apply basic engineering principles and technical skills to design circuits in microelectronics. Includes instruction in circuit design, circuit layout, circuit analysis, computer-aided drafting, and semi-conductor technologies.</t>
  </si>
  <si>
    <t>Examples: - Integrated Circuit Design, - Integrated Circuit Design and Layout, - Microcircuit Mask Design</t>
  </si>
  <si>
    <t>Examples: - Microelectronics Technology</t>
  </si>
  <si>
    <t>Instructional content for this group of programs is defined in codes 15.0401 - 15.0499.</t>
  </si>
  <si>
    <t>Examples: - Bioengineering Technology</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</si>
  <si>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</si>
  <si>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Examples: - Industrial Instrument Mechanic, - Instrumentation and Control Technician</t>
  </si>
  <si>
    <t>Automation Engineer Technology/Technician.</t>
  </si>
  <si>
    <t>A program that prepares individuals to apply basic engineering principles and technical skills in support of engineers and other professionals engaged in developing, installing, calibrating, modifying and maintaining automated systems. Includes instruction in computer systems; electronics and instrumentation; programmable logic controllers (PLCs); electric, hydraulic and pneumatic control systems; actuator and sensor systems; process control; robotics; applications to specific industrial tasks; and report preparation.</t>
  </si>
  <si>
    <t>Instructional content for this group of programs is defined in codes 15.0501 - 15.0599.</t>
  </si>
  <si>
    <t>Heating, Ventilation, Air Conditioning and Refrigeration Engineering Technology/Technician.</t>
  </si>
  <si>
    <t>A program that prepares individuals to apply basic engineering principles and technical skills in support of engineers and other professionals engaged in developing and using air conditioning, refrigeration, ventilation, and heating systems. Includes instruction in principles of heating and cooling technology, design and operational testing, inspection and maintenance procedures, installation and operation procedures, and report preparation.</t>
  </si>
  <si>
    <t>47.0201 - Heating, Air Conditioning, Ventilation and Refrigeration Maintenance Technology/Technician.</t>
  </si>
  <si>
    <t>Examples: - Air Conditioning and Heating (ACH), - Air Conditioning and Refrigeration (ACR), - Air Conditioning, Heating and Refrigeration (ACHR), - Heating, Refrigeration and Air Conditioning (HRAC), - Heating,  Ventilation, and Air Conditioning (HVAC), - Heating, Ventilation, Air Conditioning and Refrigeration (HVAC/R), - Air Conditioning Technology</t>
  </si>
  <si>
    <t>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</si>
  <si>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Instructional content for this group of programs is defined in codes 15.0607 - 15.0699.</t>
  </si>
  <si>
    <t>Plastics and Polymer Engineering Technology/Technician.</t>
  </si>
  <si>
    <t>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</si>
  <si>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Manufacturing Engineering Technology/Technician.</t>
  </si>
  <si>
    <t>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</si>
  <si>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Welding Engineering Technology/Technician.</t>
  </si>
  <si>
    <t>A program that prepares individuals to apply basic engineering principles and technical skills to the design and engineering of welding and joining systems and the implementation of welding processes.  Includes instruction in materials science; computer-aided design; welding design; welding processes; welding metallurgy; automation and robotics; and codes, inspections, testing, and quality assurance.</t>
  </si>
  <si>
    <t>48.0508 - Welding Technology/Welder.</t>
  </si>
  <si>
    <t>Chemical Engineering Technology/Technician.</t>
  </si>
  <si>
    <t>A program that prepares individuals to apply basic engineering principles and technical skills in support of engineers and other professionals engaged in the production and utilization of chemicals on an industrial scale. Includes instruction in organic chemistry, inorganic chemistry, analytical chemistry, biochemistry, thermodynamics, fluid mechanics, industrial processes, instrumental analysis, sampling and monitoring, and chemical and environmental safety.</t>
  </si>
  <si>
    <t>Semiconductor Manufacturing Technology.</t>
  </si>
  <si>
    <t>A program that prepares individuals to apply basic engineering principles and technical skills to operate and monitor equipment for the fabrication of semiconductors or microchips from silicon wafers, and to troubleshoot, maintain, and repair the specialized equipment used in this process. Includes instruction in AC and DC circuits, digital fundamentals, solid state devices, manufacturing processes, vacuum principles and technology, industrial electronics, quality assurance, and semiconductor manufacturing technology.</t>
  </si>
  <si>
    <t>Instructional content for this group of programs is defined in codes 15.0701 - 15.0799.</t>
  </si>
  <si>
    <t>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</si>
  <si>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</si>
  <si>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Examples: - Non-Destructive Testing Technology</t>
  </si>
  <si>
    <t>Instructional content for this group of programs is defined in codes 15.0801 - 15.0899.</t>
  </si>
  <si>
    <t>47.0609 - Avionics Maintenance Technology/Technician.</t>
  </si>
  <si>
    <t>47.0604 - Automobile/Automotive Mechanics Technology/Technician.</t>
  </si>
  <si>
    <t>Instructional content for this group of programs is defined in codes 15.0901 - 15.0999.</t>
  </si>
  <si>
    <t>Instructional content for this group of programs is defined in codes 15.1102 - 15.1199.</t>
  </si>
  <si>
    <t>Any programs in engineering-related technologies and technicians not listed above.</t>
  </si>
  <si>
    <t>Instructional content for this group of programs is defined in codes 15.1201 - 15.1299.</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</si>
  <si>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</si>
  <si>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</si>
  <si>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47.0104 - Computer Installation and Repair Technology/Technician.</t>
  </si>
  <si>
    <t>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</si>
  <si>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A program that prepares individuals to apply basic engineering principles and technical skills to support engineers in developing, implementing, and evaluating computer software and program applications.  Includes instruction in computer programming,  programming languages, databases, user interfaces, networking and warehousing, encryption and security, software testing and evaluation, and customization.</t>
  </si>
  <si>
    <t>Any instructional program in computer engineering technologies not listed above.</t>
  </si>
  <si>
    <t>Instructional content for this group of programs is defined in codes 15.1301 - 15.1399.</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</si>
  <si>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t>
  </si>
  <si>
    <t>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</si>
  <si>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Examples: - Engineering Graphics and Design, - Engineering Graphics Technology</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</si>
  <si>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t>
  </si>
  <si>
    <t>04.0901 - Architectural Technology/Technician., 04.0201 - Architecture.</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</si>
  <si>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</si>
  <si>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</si>
  <si>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t>
  </si>
  <si>
    <t>Any instructional program in drafting/design engineering technologies not listed above.</t>
  </si>
  <si>
    <t>Instructional content is defined in code 15.1401.</t>
  </si>
  <si>
    <t>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</si>
  <si>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Instructional content for this group of programs is defined in codes 15.1501 - 15.1599.</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</si>
  <si>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</si>
  <si>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 Note: this program was re-instated after being deleted from CIP 2000; previously, it was coded as 14.2901.</t>
  </si>
  <si>
    <t>Packaging Science.</t>
  </si>
  <si>
    <t>A program that focuses on the application of scientific, technological, design, and business principles to the development of packages and packaging materials, including raw material production, conversion of raw materials into usable forms, design, distribution, and post-use recycling and reuse. Includes instruction in principles of packaging, materials sciences, distribution and transportation, engineering and technology, graphic design, packaging regulations, and business and marketing.</t>
  </si>
  <si>
    <t>Engineering-Related Fields, Other.</t>
  </si>
  <si>
    <t>Any instructional program in engineering-related fields not listed above.</t>
  </si>
  <si>
    <t>Nanotechnology.</t>
  </si>
  <si>
    <t>Instructional content is defined in code 15.1601.</t>
  </si>
  <si>
    <t>A program that prepares individuals to apply mathematical, scientific, and engineering principles and technical skills to manipulate matter at the atomic and molecular level (in the range of 1-100 nanometers) and to design, fabricate, and integrate nanoscale structures, devices, and systems. Includes instruction in materials science, thermodynamics, nanomaterials, nanoelectronics, and nano/micro device fabrication and testing.</t>
  </si>
  <si>
    <t>Examples: - Nanofabrication Technology, - Nanoscience Technician</t>
  </si>
  <si>
    <t>Engineering Technologies and Engineering-Related Fields, Other.</t>
  </si>
  <si>
    <t>Any instructional program in engineering technologies and engineering-related fields not listed above.</t>
  </si>
  <si>
    <t>Examples: - Product Design Engineering Technology</t>
  </si>
  <si>
    <t>Instructional programs that focus on foreign languages and literatures, the humanistic and scientific study of linguistics, and the provision of professional interpretation and translation services.</t>
  </si>
  <si>
    <t>Instructional content for this group of programs is defined in codes 16.0101 - 16.0199.</t>
  </si>
  <si>
    <t>16.1602 - Linguistics of ASL and Other Sign Languages.</t>
  </si>
  <si>
    <t>16.1603 - Sign Language Interpretation and Translation.</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</si>
  <si>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t>
  </si>
  <si>
    <t>23.1401 - General Literature.</t>
  </si>
  <si>
    <t>Applied Linguistics.</t>
  </si>
  <si>
    <t>A program that focuses on language-related concerns in the everyday world, including language education, acquisition of first and additional languages, discourse analysis, language assessment, literacy, and language policy and planning.  Includes instruction in linguistic theory; language teaching and learning; discourse analysis; language and cognition; and language, culture, and identity.</t>
  </si>
  <si>
    <t>Any instructional program in linguistic, comparative, and related language studies and services not listed above.</t>
  </si>
  <si>
    <t>Instructional content is defined in code 16.0201.</t>
  </si>
  <si>
    <t>A program that focuses on one or more of the languages native to the African continent, including, but not limited to, Bantu languages, Nilo-Saharan languages, Niger-Congo languages, Khoisan languages, and the Chadic and Ethiopic languages of the Hamito-Semitic language family. Includes instruction in philology, dialects, and oral and written literatures.</t>
  </si>
  <si>
    <t>Instructional content for this group of programs is defined in codes 16.0300 - 16.0399.</t>
  </si>
  <si>
    <t>A general program that focuses on one or more of the languages of East Asia, including, but not limited to, the Sino-Tibetan, Japanese, and Korean languages. Includes instruction in philology; linguistics; dialects and pidgins; literature; and applications to business, science/technology, and other settings.</t>
  </si>
  <si>
    <t>A program that focuses on the languages of China and associated dialects and literature. Includes instruction in philology; linguistics; dialects and pidgins; and applications to business, science/technology, and other settings.</t>
  </si>
  <si>
    <t>A program that focuses on the Japanese language. Includes instruction in philology; Ancient, Medieval, and Modern Japanese; dialects; and applications to business, science/technology, and other settings.</t>
  </si>
  <si>
    <t>A program that focuses on the Korean language. Includes instruction in philology; dialects; and applications to business, science/technology, and other settings.</t>
  </si>
  <si>
    <t>A program that focuses on the Tibetan language. Includes instruction in philology; secular and religious Tibetan; dialects; and applications to business, science/technology, Buddhist studies, and other settings.</t>
  </si>
  <si>
    <t>Any instructional program in East Asian languages, literatures, and linguistics not listed above.</t>
  </si>
  <si>
    <t>Instructional content for this group of programs is defined in codes 16.0400 - 16.0499.</t>
  </si>
  <si>
    <t>A general program that focuses on one or more of the Slavic languages of Central and Eastern Europe.  Includes instruction in philology; linguistics; dialects and pidgins; literature; and applications to business, science/technology, and other settings.</t>
  </si>
  <si>
    <t>A program that focuses on the languages of the Baltic peoples, including, but not limited to, the modern languages of Latvian and Lithuanian, and extinct languages such as Old Prussian and Curionian. Includes instruction in philology; literature; and applications to business, science/technology, and other settings.</t>
  </si>
  <si>
    <t>A program that focuses on the Russian language. Includes instruction in philology; dialects; literature; and applications to business, science/technology, and other settings.</t>
  </si>
  <si>
    <t>A program that focuses on the Albanian language. Includes instruction in Albanian/Illyrian philology; Ghegg and Tosk dialects; and applications to business, science/technology, and other settings.</t>
  </si>
  <si>
    <t>A program that focuses on the Bulgarian language.  Includes instruction in philology; literature; and applications to business, science/technology, and other settings.</t>
  </si>
  <si>
    <t>A program that focuses on the Czech language.  Includes instruction in philology; literature; and applications to business, science/technology, and other settings.</t>
  </si>
  <si>
    <t>A program that focuses on the Polish language.  Includes instruction in philology; dialects; literature; and applications to business, science/technology, and other settings.</t>
  </si>
  <si>
    <t>Bosnian, Serbian, and Croatian Languages and Literatures.</t>
  </si>
  <si>
    <t>A program that focuses on the Bosnian, Serbian and/or Croatian languages. Includes instruction in philology; dialects; and applications to business, science/technology, and other settings.</t>
  </si>
  <si>
    <t>A program that focuses on the Slovak language.  Includes instruction in philology; dialects; literature; and applications to business, science/technology, and other settings.</t>
  </si>
  <si>
    <t>A program that focuses on the Ukrainian language.  Includes instruction in philology; dialects; literature; and applications to business, science/technology, and other settings.</t>
  </si>
  <si>
    <t>A program that focuses on Slavic languages, literatures, and linguistics not listed above.</t>
  </si>
  <si>
    <t>Instructional content for this group of programs is defined in codes 16.0500 - 16.0599.</t>
  </si>
  <si>
    <t>A general program that focuses on one or more of the Germanic languages of Western, Central, and Northern Europe.  Includes instruction in philology; linguistics; dialects and pidgins; literature; and applications to business, science/technology, and other settings.</t>
  </si>
  <si>
    <t>A program that focuses on the German language and related dialects. Includes instruction in philology; dialects; and applications to business, science/technology, and other settings.</t>
  </si>
  <si>
    <t>A program that focuses on the Danish language and related dialects. Includes instruction in philology; literature; and applications to business, science/technology, and other settings.</t>
  </si>
  <si>
    <t>A program that focuses on the Dutch language and related dialects. Includes instruction in philology; literature; Dutch Creoles; and applications to business, science/technology, and other settings.</t>
  </si>
  <si>
    <t>A program that focuses on the Norwegian language and related dialects. Includes instruction in philology; dialects; literature; and applications to business, science/technology, and other settings.</t>
  </si>
  <si>
    <t>A program that focuses on the Swedish language and related dialects. Includes instruction in philology; literature; and applications to business, science/technology, and other settings.</t>
  </si>
  <si>
    <t>Any instructional program in Germanic languages, literatures, and linguistics not listed above.</t>
  </si>
  <si>
    <t>A general program that focuses on one or more of the languages, literatures, and linguistics of the peoples of the Indian subcontinent and associated borderlands and island groups.</t>
  </si>
  <si>
    <t>A program that focuses on the Hindi language, antecessors, and related dialects. Includes instruction in philology; Modern Hindi; Hindustani; related dialects; and applications in business, science/technology, and other settings.</t>
  </si>
  <si>
    <t>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</si>
  <si>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A program that focuses on the Bengali language (Bangla) and related dialects. Includes instruction in philology; dialects; and applications in business, science/technology, and other settings.</t>
  </si>
  <si>
    <t>A program that focuses on the Punjabi language (Punjabi) and related dialects. Includes instruction in philology; dialects; and applications in business, science/technology, and other settings.</t>
  </si>
  <si>
    <t>A program that focuses on the Tamil language and related dialects. Includes instruction in philology; Classical and Modern Tamil; dialects; and applications in business, science/technology, and other settings.</t>
  </si>
  <si>
    <t>A program that focuses on the Urdu language and related dialects. Includes instruction in philology; Modern Urdu; dialects; and applications in business, science/technology, and other settings.</t>
  </si>
  <si>
    <t>Any instructional program in South Asian languages, literatures, and linguistics not listed above.</t>
  </si>
  <si>
    <t>Instructional content is defined in code 16.0801.</t>
  </si>
  <si>
    <t>Iranian Languages, Literatures, and Linguistics.</t>
  </si>
  <si>
    <t>A program that focuses on the languages used in ancient, medieval, and modern Iran and its border regions, including modern Persian, Avestan/Old Persian, and related modern and extinct languages. Includes instruction in applications of modern Persian and other languages in business, science/technology, and other settings.</t>
  </si>
  <si>
    <t>Instructional content for this group of programs is defined in codes 16.0900 - 16.0999.</t>
  </si>
  <si>
    <t>A general program that focuses on one or more of the Romance languages of Western, Central, and Southern Europe.  Includes instruction in philology; linguistics; dialects and pidgins; literature; and applications to business, science/technology, and other settings.</t>
  </si>
  <si>
    <t>A program that focuses on the French language and related dialects and creoles. Includes instruction in philology; Metropolitan French; Canadian French; African and Caribbean Creoles; dialects; and applications in business, science/technology, and other settings.</t>
  </si>
  <si>
    <t>A program that focuses on the Italian language and related dialects. Includes instruction in philology; dialects; and applications in business, science/technology, and other settings.</t>
  </si>
  <si>
    <t>A program that focuses on the Portuguese language and related dialects. Includes instruction in philology; Metropolitan Portuguese; Luso-Brazilian Portuguese; dialects; and applications in business, science/technology, and other settings.</t>
  </si>
  <si>
    <t>A program that focuses on the Spanish language and related dialects. Includes instruction in philology; Modern Castillan; Latin American and regional Spanish dialects; and applications in business, science/technology, and other settings.</t>
  </si>
  <si>
    <t>A program that focuses on the Romanian language and related dialects. Includes instruction in philology; dialects; and applications in business, science/technology, and other settings.</t>
  </si>
  <si>
    <t>A program that focuses on the Catalan language and related dialects. Includes instruction in philology; dialects; and applications in business, science/technology, and other settings.</t>
  </si>
  <si>
    <t>Hispanic and Latin American Languages, Literatures, and Linguistics, General.</t>
  </si>
  <si>
    <t>A program that focuses on the languages and literatures of the Spanish- and Portuguese-speaking areas of the world, including the Iberian, Latin American, and Lusophone worlds.  Includes instruction in Spanish and Portuguese language and linguistics; regional and Latin American dialects; and Spanish, Portuguese, Spanish American, Luso-Brazilian, and Chicano literature.</t>
  </si>
  <si>
    <t>Any instructional program in Romance languages, literatures, and linguistics not listed above.</t>
  </si>
  <si>
    <t>Instructional content is defined in code 16.1001.</t>
  </si>
  <si>
    <t>A program that focuses on one or more of the languages native to the Western Hemisphere, with an emphasis on American Indian languages, but including other Native American languages. Includes instruction in philology; oral and written literatures; Inuit and Aleut languages; Hawaiian; North American language families, including, but not limited to, Algonkian, Athabascan, Siouan, Muskogean, Iroquoian, Yuman, Mayan, Zapotecan, and Uto-Aztecan; South American language families, including, but not limited to, Andean-Equatorial, Ge-Pano-Carib, and Macro-Chibchan; and other minor languages.</t>
  </si>
  <si>
    <t>Instructional content for this group of programs is defined in codes 16.1100 - 16.1199.</t>
  </si>
  <si>
    <t>Middle/Near Eastern and Semitic Languages, Literatures, and Linguistics, General.</t>
  </si>
  <si>
    <t>A general program that focuses on one or more of the Middle/Near Eastern and Semitic languages of the ancient and modern Middle/Near East, Western Asia, North Africa, and Europe. Includes instruction in philology; linguistics; dialects and pidgins; literature; and applications to business, science/technology, and other settings.</t>
  </si>
  <si>
    <t>A program that focuses on the Arabic language. Includes instruction in philology; Classical Arabic; Modern Standard Arabic; dialects; and applications to business, science/technology, and other settings.</t>
  </si>
  <si>
    <t>A program that focuses on the Hebrew language. Includes instruction in philology; Biblical Hebrew (including Pre- and Post-Exilic scripts); Modern Hebrew; dialects; and applications to business, science/technology, and other settings.</t>
  </si>
  <si>
    <t>A program that focuses on one or more of the extinct Semitic and/or Non-Semitic languages spoken in the ancient Near East, including those used to write historical Jewish and Christian religious texts. These languages include, but are not limited to, Egyptian/Coptic, Sumerian, Akkadian, Babylonian, Assyrian, Aramaic, Cannanite, Phonecian, Samarian, Ugaritic, Syriac, Mandean, Hattic, Elamite, Hurrian, Hittite, Urartian, Lydian, Luwian, Lycian, Palaic, Sabaean/South Arabian, and other associated languages. Includes instruction in philology, epigraphy, papyrology, numismatics, and textual studies.</t>
  </si>
  <si>
    <t>Any instructional program in Middle/Near Eastern and Semitic languages, literatures, and linguistics not listed above.</t>
  </si>
  <si>
    <t>Instructional content for this group of programs is defined in codes 16.1200 - 16.1299.</t>
  </si>
  <si>
    <t>A general program that focuses on the literary culture of the ancient Graeco-Roman world and the Greek and Latin languages and literatures and their development prior to the fall of the Roman Empire.</t>
  </si>
  <si>
    <t>A program that focuses on the Greek language and literature from its origins through the fall of the Byzantine (Eastern Roman) Empire, as a secular and/or theological subject. Includes instruction in philology, Attic and Hellenistic dialects, Koine (Biblical) Greek, and Medieval or Byzantine Greek.</t>
  </si>
  <si>
    <t>A program that focuses on the Latin language and literature from its origins through its decline and its current ecclesiastical usage, as a secular and/or theological subject.  Includes instruction in philology, related Italic dialects, Late Roman and Medieval Latin, and modern Church Latin.</t>
  </si>
  <si>
    <t>Any instructional program in classics and classical languages, literatures, and linguistics not listed above.</t>
  </si>
  <si>
    <t>Instructional content is defined in code 16.1301.</t>
  </si>
  <si>
    <t>A program that focuses on the historical and modern languages spoken by the Celtic peoples of the British Isles, Continental Europe, and Asia Minor, including, but not limited to, modern languages such as Irish, Scots Gaelic, Welsh, and Breton; and extinct or revived languages such as Cornish, Manx, Galatian, and others. Includes instruction in philology; linguistics; dialects and pidgins; literature; and applications to business, science/technology, and other settings.</t>
  </si>
  <si>
    <t>Instructional content for this group of programs is defined in codes 16.1400 - 16.1499.</t>
  </si>
  <si>
    <t>A general program that focuses on one or more of the modern languages spoken in mainland Southeast Asia and the Indonesian and Philippines Archipelagoes, including, but not limited to, members of the Thai, Tibeto-Burman, and Malayo-Polynesian language families.</t>
  </si>
  <si>
    <t>A program that focuses on the languages native to Papua/New Guinea, Australia, New Zealand, and the island groups of the Pacific Ocean, including, but not limited to, the Papuan languages, the Australian languages, the Micronesian languages, and the Polynesian languages. Includes instruction in philology; linguistics; dialects and pidgins; literature; and applications to business, science/technology, and other settings.</t>
  </si>
  <si>
    <t>Indonesian/Malay Languages and Literatures.</t>
  </si>
  <si>
    <t>A program that focuses on the Malay and Indonesian languages. Includes instruction in philology; dialects; and applications to business, science/technology, and other settings.</t>
  </si>
  <si>
    <t>A program that focuses on the Burmese language.  Includes instruction in philology; literature; and applications to business, science/technology, and other settings.</t>
  </si>
  <si>
    <t>A program that focuses on the modern Filipino/Tagalog language as used in the Philippines.  Includes instruction in philology; literature; and applications to business, science/technology, and other settings.</t>
  </si>
  <si>
    <t>A program that focuses on the Khmer language as spoken in Cambodia. Includes instruction in philology; literature; and applications to business, science/technology, and other settings.</t>
  </si>
  <si>
    <t>Lao Language and Literature.</t>
  </si>
  <si>
    <t>A program that focuses on the Lao language. Includes instruction in philology; dialects; literature; and applications to business, science/technology, and other settings.</t>
  </si>
  <si>
    <t>A program that focuses on the Thai languages.  Includes instruction in philology; dialects; literature; and applications to business, science/technology, and other settings.</t>
  </si>
  <si>
    <t>A program that focuses on the Vietnamese language. Includes instruction in philology; dialects; literature; and applications to business, science/technology, and other settings.</t>
  </si>
  <si>
    <t>Any instructional program in Southeast Asian and Australasian/Pacific languages, literatures, and linguistics not listed above.</t>
  </si>
  <si>
    <t>Turkic, Uralic-Altaic, Caucasian, and Central Asian Languages, Literatures, and Linguistics.</t>
  </si>
  <si>
    <t>Instructional content for this group of programs is defined in codes 16.1501 - 16.1599.</t>
  </si>
  <si>
    <t>A program that focuses on the Turkish language in either or both of its pre-modern and modern variants. Includes instruction in philology; Ottoman Turkish; Modern Turkish; dialects; and applications to business, science/technology, and other settings.</t>
  </si>
  <si>
    <t>Uralic Languages, Literatures, and Linguistics.</t>
  </si>
  <si>
    <t>A program that focuses on Uralic languages, including, but not limited to, Finnish, Estonian, Karelian, and Sami. Includes instruction in philology; oral and written literatures; and applications to business, science/technology, and other settings.</t>
  </si>
  <si>
    <t>A program that focuses on the Hungarian language. Includes instruction in philology; literature; and applications to business, science/technology, and other settings.</t>
  </si>
  <si>
    <t>A program that focuses on the Mongolian language. Includes instruction in philology; dialects; oral and written literature; and applications to business, science/technology, and other settings.</t>
  </si>
  <si>
    <t>Turkic, Uralic-Altaic, Caucasian, and Central Asian Languages, Literatures, and Linguistics, Other.</t>
  </si>
  <si>
    <t>Any instructional program in the Turkic, Uralic-Altaic, Caucasian, and Central Asian languages, literatures, and linguistics not listed above.</t>
  </si>
  <si>
    <t>Instructional content for this group of programs is defined in codes 16.1601 - 16.1699.</t>
  </si>
  <si>
    <t>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</si>
  <si>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05.0211 - Deaf Studies.</t>
  </si>
  <si>
    <t>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including, but not limited to, ASL, Auslan (Australian Sign Language), LSF (French Sign Language), Shuwa jiten (Japanese Sign Language), HamNoSys (German Sign Language), and Gestuno.</t>
  </si>
  <si>
    <t>A program that prepares individuals to function as simultaneous interpreters of American Sign Language</t>
  </si>
  <si>
    <t>Any instructional program that focuses on American Sign Language as a communication medium or language skill that is not listed above.</t>
  </si>
  <si>
    <t>Any instructional program in foreign languages, literatures, and linguistics not listed above.</t>
  </si>
  <si>
    <t>Instructional programs that focus on the human interface with the physical, social, emotional, and intellectual environments and the developmental stages and needs of individuals in the interrelated spheres of family, workplace, and community.</t>
  </si>
  <si>
    <t>Instructional content is defined in code 19.0000.</t>
  </si>
  <si>
    <t>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</si>
  <si>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13.1308 - Family and Consumer Sciences/Home Economics Teacher Education.</t>
  </si>
  <si>
    <t>Instructional content for this group of programs is defined in codes 19.0201 - 19.0299.</t>
  </si>
  <si>
    <t>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</si>
  <si>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Any instructional program in family and consumer sciences/human sciences business services not listed above.</t>
  </si>
  <si>
    <t>Instructional content for this group of programs is defined in codes 19.0401 - 19.0499.</t>
  </si>
  <si>
    <t>52.0804 - Financial Planning and Services.</t>
  </si>
  <si>
    <t>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</si>
  <si>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Instructional content for this group of programs is defined in codes 19.0501 - 19.0599.</t>
  </si>
  <si>
    <t>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</si>
  <si>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51.3102 - Clinical Nutrition/Nutritionist., 30.1901 - Nutrition Sciences.</t>
  </si>
  <si>
    <t>12.0509 - Culinary Science/Culinology.</t>
  </si>
  <si>
    <t>Instructional content for this group of programs is defined in codes 19.0601 - 19.0699.</t>
  </si>
  <si>
    <t>04.0401 - Environmental Design/Architecture., 50.0408 - Interior Design.</t>
  </si>
  <si>
    <t>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</si>
  <si>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52.0907 - Meeting and Event Planning.</t>
  </si>
  <si>
    <t>A program that prepares individuals to assist in home furnishings and decorations. Includes instruction in selecting, purchasing, and designing home furnishings, decorations, and equipment; floral design; accessory construction; textiles; and upholstery.</t>
  </si>
  <si>
    <t>Instructional content for this group of programs is defined in codes 19.0701 - 19.0799.</t>
  </si>
  <si>
    <t>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</si>
  <si>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42.2809 - Geropsychology., 30.1101 - Gerontology.</t>
  </si>
  <si>
    <t>42.2811 - Family Psychology., 51.1505 - Marriage and Family Therapy/Counseling.</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</si>
  <si>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</si>
  <si>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t>
  </si>
  <si>
    <t>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</si>
  <si>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t>
  </si>
  <si>
    <t>Developmental Services Worker.</t>
  </si>
  <si>
    <t>A program that prepares individuals to apply practical knowledge and skills to support individuals with a variety of physical, mental or developmental disabilities in a family or community setting. Includes instruction in health care, basic nutrition, pharmacology, nursing, autism, mental health, psychology, sociology, behavioral analysis, communication, intervention, counseling and community services, and developmental services, such as literacy and life skills training.</t>
  </si>
  <si>
    <t>Instructional content for this group of programs is defined in codes 19.0901 - 19.0999.</t>
  </si>
  <si>
    <t>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</si>
  <si>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50.0407 - Fashion/Apparel Design., 50.0712 - Fiber, Textile and Weaving Arts.</t>
  </si>
  <si>
    <t>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</si>
  <si>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14.2801 - Textile Sciences and Engineering.</t>
  </si>
  <si>
    <t>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</si>
  <si>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52.1902 - Fashion Merchandising.</t>
  </si>
  <si>
    <t>A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</si>
  <si>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Any instructional program in apparel and textiles not listed above.</t>
  </si>
  <si>
    <t>Instructional content for this group of programs is defined in codes 22.0000 - 22.0001.</t>
  </si>
  <si>
    <t>A general program that focuses on law and legal issues from the perspective of the social sciences and humanities.</t>
  </si>
  <si>
    <t>A program that prepares individuals for the professional study of law at the post-baccalaureate level.</t>
  </si>
  <si>
    <t>Law.</t>
  </si>
  <si>
    <t>Instructional content is defined in code 22.0101.</t>
  </si>
  <si>
    <t>A program that prepares individuals for the 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</si>
  <si>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Examples: - Law (LL.B.), - Law (J.D.)</t>
  </si>
  <si>
    <t>Legal Research and Advanced Professional Studies.</t>
  </si>
  <si>
    <t>Instructional content for this group of programs is defined in codes 22.0201 - 22.0299.</t>
  </si>
  <si>
    <t>Advanced Legal Research/Studies, General.</t>
  </si>
  <si>
    <t>An integrated or undifferentiated program in one or more of  the legal research or advanced practice fields.</t>
  </si>
  <si>
    <t>Examples: - Advanced Legal Research/Studies, General (LL.M., M.C.L., M.L.I., M.S.L.), - Advanced Legal Research/Studies, General (J.S.D./S.J.D.)</t>
  </si>
  <si>
    <t>Programs for Foreign Lawyers.</t>
  </si>
  <si>
    <t>A program that prepares lawyers educated outside the United States to understand U. S. or Canadian law and jurisprudence.</t>
  </si>
  <si>
    <t>Examples: - Programs for Foreign Lawyers (LL.M., M.C.L.)</t>
  </si>
  <si>
    <t>American/U.S. Law/Legal Studies/Jurisprudence.</t>
  </si>
  <si>
    <t>An advanced, professional program of the U.S. legal system, Constitution law, and jurisprudence.  Includes instruction in legal history, legal sociology, philosophy of law, Constitutional law, legal procedure, and related topics.</t>
  </si>
  <si>
    <t>Examples: - American/U.S. Law/Legal Studies/Jurisprudence (LL.M., M.C.J.), - American/U.S. Law/Legal Studies/Jurisprudence (J.S.D./S.J.D.)</t>
  </si>
  <si>
    <t>Canadian Law/Legal Studies/Jurisprudence.</t>
  </si>
  <si>
    <t>An advanced, professional study of the Canadian legal system, Constitution law, and jurisprudence.  Includes instruction in legal history, legal sociology, philosophy of law, Constitutional law, Commonwealth law, legal procedure, and related topics.</t>
  </si>
  <si>
    <t>Examples: - Canadian Law/Legal Studies/Jurisprudence (LL.M., M.C.J.), - Canadian Law/Legal Studies/Jurisprudence (J.S.D./S.J.D.)</t>
  </si>
  <si>
    <t>Banking, Corporate, Finance, and Securities Law.</t>
  </si>
  <si>
    <t>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</si>
  <si>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Examples: - Banking, Corporate, Finance, and Securities Law (LL.M.), - Banking, Corporate, Finance, and Securities Law (J.S.D./S.J.D.)</t>
  </si>
  <si>
    <t>Comparative Law.</t>
  </si>
  <si>
    <t>An advanced, professional study of legal systems and philosophies in comparative perspective.</t>
  </si>
  <si>
    <t>Examples: - Comparative Law (LL.M., M.C.L.), - Comparative Law (J.S.D./S.J.D.)</t>
  </si>
  <si>
    <t>Energy, Environment, and Natural Resources Law.</t>
  </si>
  <si>
    <t>An advanced, professional study of  the law, policies, and regulations governing the energy industry, environmental protection, natural resources and land use, and related topics.</t>
  </si>
  <si>
    <t>Examples: - Energy, Environment, and Natural Resources Law (LL.M., M.S.), - Energy, Environment, and Natural Resources Law (J.S.D./S.J.D.)</t>
  </si>
  <si>
    <t>Health Law.</t>
  </si>
  <si>
    <t>An advanced, professional study of the law, policies and regulations affecting the health care industry, health professions, health services and insurance industries, and patients.</t>
  </si>
  <si>
    <t>Examples: - Health Law (LL.M., M.J.), - Health Law (J.S.D./S.J.D.)</t>
  </si>
  <si>
    <t>International Law and Legal Studies.</t>
  </si>
  <si>
    <t>An advanced, professional study of the law affecting relations between nations, the behavior of international organizations, and the international activities of private citizens and organizations.</t>
  </si>
  <si>
    <t>Examples: - International Law and Legal Studies (LL.M.), - International Law and Legal Studies (J.S.D./S.J.D.)</t>
  </si>
  <si>
    <t>International Business, Trade, and Tax Law.</t>
  </si>
  <si>
    <t>An advanced, professional study of the law, policies, and regulations governing transnational business and commercial practices, including the specialized tax law related to international financial transactions.</t>
  </si>
  <si>
    <t>Examples: - International Business, Trade, and Tax Law (LL.M.), - International Business, Trade, and Tax Law (J.S.D./S.J.D.)</t>
  </si>
  <si>
    <t>Tax Law/Taxation.</t>
  </si>
  <si>
    <t>An advanced, professional study of tax law and taxation procedures in U.S. or Canadian jurisdictions affecting individuals and corporations.</t>
  </si>
  <si>
    <t>Examples: - Tax Law/Taxation (LL.M.), - Tax Law/Taxation (J.S.D./S.J.D.)</t>
  </si>
  <si>
    <t>Intellectual Property Law.</t>
  </si>
  <si>
    <t>An advanced, professional study of the law, policies, and regulations related to copyrights, patents, trademarks, trade secrets, and related issues. Includes instruction in patent law, copyright law, trademark law, intellectual property licensing and litigation, and applications such as art and entertainment law, communications law, information technology law, sports law, and chemical and biotech patent law.</t>
  </si>
  <si>
    <t>Examples: - Intellectual Property Law ( LL.M.), - Intellectual Property Law (J.S.D./S.J.D.)</t>
  </si>
  <si>
    <t>Any program in legal research and advanced professional studies not listed above.</t>
  </si>
  <si>
    <t>Instructional content for this group of programs is defined in codes 22.0301 - 22.0399.</t>
  </si>
  <si>
    <t>A program that prepares individuals to serve as legal office managers, special assistants, and legal secretaries.  Includes instruction in office management, secretarial science, principles of U.S. or Canadian law, legal terminology and documentation, legal research, legal software applications, law office procedures, record-keeping, billing, applicable policies and regulations, and professional standards and ethics.</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</si>
  <si>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</si>
  <si>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t>
  </si>
  <si>
    <t>Any program in legal support services not listed above.</t>
  </si>
  <si>
    <t>Instructional content is defined in code 22.9999.</t>
  </si>
  <si>
    <t>Any program in law, legal services, and legal studies not listed above.</t>
  </si>
  <si>
    <t>Deleted, Report under 23.1301</t>
  </si>
  <si>
    <t>Moved from 23.0501 to 23.1302</t>
  </si>
  <si>
    <t>American Literature (United States and Canadian.)</t>
  </si>
  <si>
    <t>Moved from 23.0701 to 23.1402</t>
  </si>
  <si>
    <t>Moved from 23.0702 to 23.1403</t>
  </si>
  <si>
    <t>Moved from 23.0801 to 23.1404</t>
  </si>
  <si>
    <t>Deleted, Report under 23.1304</t>
  </si>
  <si>
    <t>Moved from 23.1101 to 23.1303</t>
  </si>
  <si>
    <t>Rhetoric and Composition/Writing Studies.</t>
  </si>
  <si>
    <t>Instructional content for this group of programs is defined in codes 23.1301 - 23.1399.</t>
  </si>
  <si>
    <t>Writing, General.</t>
  </si>
  <si>
    <t>A program that focuses on writing for applied and liberal arts purposes. Includes instruction in writing and document design in multiple genres, modes, and media; writing technologies; research, evaluation, and use of information; editing and publishing; theories and processes of composing; rhetorical theories, traditions, and analysis; communication across audiences, contexts, and cultures; and practical applications for professional, technical, organizational, academic, and public settings.</t>
  </si>
  <si>
    <t>Examples: - English Composition, - Writing</t>
  </si>
  <si>
    <t>Moved to</t>
  </si>
  <si>
    <t>50.0504 - Playwriting and Screenwriting.</t>
  </si>
  <si>
    <t>Professional, Technical, Business, and Scientific Writing.</t>
  </si>
  <si>
    <t>A program that focuses on professional, technical, business, and scientific writing; and that prepares individuals for academic positions or for professional careers as writers, editors, researchers, and related careers in business, government, non-profits, and the professions. Includes instruction in theories of rhetoric, writing, and digital literacy; document design, production, and management; visual rhetoric and multimedia composition; documentation development; usability testing; web writing; and publishing in print and electronic media.</t>
  </si>
  <si>
    <t>09.0908 - Technical and Scientific Communication.</t>
  </si>
  <si>
    <t>Examples: - Biomedical Writing, - Medical Writing, - Professional, Technical, and Scientific Writing/Communication</t>
  </si>
  <si>
    <t>Rhetoric and Composition.</t>
  </si>
  <si>
    <t>A program that focuses on the humanistic and scientific study of rhetoric, composition, literacy, and language/linguistic theories and their practical and pedagogical applications. Includes instruction in historical and contemporary rhetoric/composition theories; composition and criticism of written, visual, and mixed-media texts; analysis of literacy practices in cultural and cross-cultural contexts; and writing program administration.</t>
  </si>
  <si>
    <t>09.0101 - Speech Communication and Rhetoric.</t>
  </si>
  <si>
    <t>Examples: - Rhetoric and Writing, - Rhetoric and Writing Studies, - Rhetoric and Composition</t>
  </si>
  <si>
    <t>Rhetoric and Composition/Writing Studies, Other.</t>
  </si>
  <si>
    <t>Any instructional program in rhetoric and composition/writing studies not listed above.</t>
  </si>
  <si>
    <t>Literature.</t>
  </si>
  <si>
    <t>Instructional content for this group of programs is defined in codes 23.1401 - 23.1499.</t>
  </si>
  <si>
    <t>General Literature.</t>
  </si>
  <si>
    <t>A program that focuses on literature from one or more genres, cultures or traditions. Includes instruction in period and genre studies, author studies, literary criticism, and studies of various types of literary text.</t>
  </si>
  <si>
    <t>16.0104 - Comparative Literature.</t>
  </si>
  <si>
    <t>Examples: - Literary Studies</t>
  </si>
  <si>
    <t>A program that focuses on the literature and literary development, both formal and folkloric, of Canada from its origins to the present.  Includes instruction in period and genre studies, author studies, literary criticism, and regional and oral traditions.</t>
  </si>
  <si>
    <t>Children's and Adolescent Literature.</t>
  </si>
  <si>
    <t>A program that focuses on the scholarly study of children's and adolescent literature and that may enhance the professional work of teachers, librarians, publishers, booksellers, and creative writers.  Includes instruction in period and genre studies, author studies, literary criticism, studies of various types of literary text, book artists, and children's films.</t>
  </si>
  <si>
    <t>25.0102 - Children and Youth Library Services.</t>
  </si>
  <si>
    <t>Examples: - Literature for Children and Young Adults</t>
  </si>
  <si>
    <t>Literature, Other.</t>
  </si>
  <si>
    <t>Any instructional program in English language literature not listed above.</t>
  </si>
  <si>
    <t>Examples: - Writing and Literature</t>
  </si>
  <si>
    <t>Instructional content for this group of programs is defined in codes 24.0101 - 24.0199.</t>
  </si>
  <si>
    <t>Examples: - Undeclared Major, - Undecided</t>
  </si>
  <si>
    <t>Library Science and Administration.</t>
  </si>
  <si>
    <t>Instructional content for this group of programs is defined in codes 25.0101 - 25.0199.</t>
  </si>
  <si>
    <t>Library and Information Science.</t>
  </si>
  <si>
    <t>13.1334 - School Librarian/School Library Media Specialist., 11.0401 - Information Science/Studies.</t>
  </si>
  <si>
    <t>Examples: - Library Management</t>
  </si>
  <si>
    <t>Children and Youth Library Services.</t>
  </si>
  <si>
    <t>A program that prepares individuals to provide library and information services and programming for children and young adults. Includes instruction in information needs of children and young adults, resources and services for children and young adults, literature for youth, storytelling, multi-ethnic materials, library management, and information technology for librarians.</t>
  </si>
  <si>
    <t>23.1405 - Children's and Adolescent Literature.</t>
  </si>
  <si>
    <t>Examples: - Children's Library Services, - Youth Library Services, - Young Adult Library Services</t>
  </si>
  <si>
    <t>Archives/Archival Administration.</t>
  </si>
  <si>
    <t>A program that prepares individuals to identify, manage, preserve, and make available records with long-term value for documentation, legal, research, and other purposes. Includes instruction in appraisal and collection development, information and records management, archival preservation, access systems, management of electronic records, archival outreach, and legal and ethical issues.</t>
  </si>
  <si>
    <t>54.0105 - Public/Applied History.</t>
  </si>
  <si>
    <t>Examples: - Archival Administration and Records Management, - Archival Studies, - Records Management</t>
  </si>
  <si>
    <t>Library Science and Administration, Other.</t>
  </si>
  <si>
    <t>Any instructional program in library science and administration not listed above.</t>
  </si>
  <si>
    <t>Library and Archives Assisting.</t>
  </si>
  <si>
    <t>A program that prepares individuals to assist professional librarians and archivists. Includes instruction in principles, systems, processes, and procedures of library and archive operation; library resources and services; processes of acquisition, cataloging, storage, and display systems; discovery and retrieval of requested materials; and management of books, periodicals, and other documents and records.</t>
  </si>
  <si>
    <t>Examples: - Library Assistant, - Library Technician, - Archives Assistant, - Archives Technician</t>
  </si>
  <si>
    <t>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</si>
  <si>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Instructional content for this group of programs is defined in codes 26.0202 - 26.0299.</t>
  </si>
  <si>
    <t>A program that focuses on the application of physics principles to the scientific study of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</si>
  <si>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51.2205 - Health/Medical  Physics.</t>
  </si>
  <si>
    <t>A program that focuses on the scientific study of the structure and function of biological macromolecules and the role of molecular constituents and mechanisms in supramolecular assemblies and cells.  Includes instruction in such topics as molecular signaling and transduction, regulation of cell growth, enzyme substrates and mechanisms of enzyme action, DNA-protein interaction, and applications to fields such as biotechnology, genetics, cell biology, and physiology.</t>
  </si>
  <si>
    <t>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</si>
  <si>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</si>
  <si>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</si>
  <si>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</si>
  <si>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t>
  </si>
  <si>
    <t>Biochemistry and Molecular Biology.</t>
  </si>
  <si>
    <t>A program of study that combines the biological sub-disciplines of biochemistry and molecular biology. Includes instruction in general biology, general and organic chemistry, physics, biochemistry, molecular biology, immunology, microbiology, genetics, and cellular biology.</t>
  </si>
  <si>
    <t>26.0204 - Molecular Biology., 26.0202 - Biochemistry.</t>
  </si>
  <si>
    <t>Any instructional program in biochemistry, biophysics and molecular biology not listed above.</t>
  </si>
  <si>
    <t>Examples: - Comparative Biochemistry</t>
  </si>
  <si>
    <t>Instructional content for this group of programs is defined in codes 26.0301 - 26.0399.</t>
  </si>
  <si>
    <t>01.1101 - Plant Sciences, General.</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</si>
  <si>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</si>
  <si>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</si>
  <si>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Examples: - Phycology</t>
  </si>
  <si>
    <t>Instructional content for this group of programs is defined in codes 26.0401 - 26.0499.</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</si>
  <si>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</si>
  <si>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</si>
  <si>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Moved from 26.0405 to 26.1502</t>
  </si>
  <si>
    <t>An integrated, combined program that focuses on the scientific study of cells, cellular systems, and the molecular basis of cell structure and function.  Includes instruction in cell biology, cell chemistry, molecular biology, biophysics, and structural biology.</t>
  </si>
  <si>
    <t>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</si>
  <si>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Examples: - Cell and Developmental Biology</t>
  </si>
  <si>
    <t>Instructional content for this group of programs is defined in codes 26.0502 - 26.0599.</t>
  </si>
  <si>
    <t>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</si>
  <si>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</si>
  <si>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</si>
  <si>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</si>
  <si>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</si>
  <si>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signaling, immunosuppression, immunotherapy, immunogenetics, disease markers, transplantation, antibody humanization, and microbial pathogenesis.</t>
  </si>
  <si>
    <t>Microbiology and Immunology.</t>
  </si>
  <si>
    <t>A program that focuses on the scientific study of the microorganisms that cause disease and the host immune response to them. Includes instruction in microbiology, microbial genetics, molecular virology, pathogenic bacteriology, disease mechanisms, immunology, immunogenetics, autoimmunity, and bioinformatics.</t>
  </si>
  <si>
    <t>26.0502 - Microbiology, General., 26.0507 - Immunology.</t>
  </si>
  <si>
    <t>Examples: - Medical Microbiology and Immunology</t>
  </si>
  <si>
    <t>Any instructional program in the microbiological sciences and immunology not listed above.</t>
  </si>
  <si>
    <t>Instructional content for this group of programs is defined in codes 26.0701 - 26.0799.</t>
  </si>
  <si>
    <t>01.0901 - Animal Sciences, General.</t>
  </si>
  <si>
    <t>01.1105 - Plant Protection and Integrated Pest Management.</t>
  </si>
  <si>
    <t>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</si>
  <si>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</si>
  <si>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</si>
  <si>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03.0601 - Wildlife, Fish and Wildlands Science and Management.</t>
  </si>
  <si>
    <t>Instructional content for this group of programs is defined in codes 26.0801 - 26.0899.</t>
  </si>
  <si>
    <t>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</si>
  <si>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A program that focuses on the scientific study of genetic structures and mechanisms of organisms, including bacteria, phages, and viruses.  Includes instruction in the replication, expression, transfer, structure, maintenance, and stability of heritable information in DNA, RNA, and proteins; the regulation of these processes; and neurogenetics.</t>
  </si>
  <si>
    <t>Examples: - Neurogenetics, - Proteomics, - Protein Expression</t>
  </si>
  <si>
    <t>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</si>
  <si>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</si>
  <si>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01.0902 - Agricultural Animal Breeding.</t>
  </si>
  <si>
    <t>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</si>
  <si>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01.1104 - Agricultural and Horticultural Plant Breeding.</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</si>
  <si>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</si>
  <si>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51.0914 - Gene/Genetic Therapy., 51.1010 - Cytogenetics/Genetics/Clinical Genetics Technology/Technologist., 51.1509 - Genetic Counseling/Counselor.</t>
  </si>
  <si>
    <t>Genome Sciences/Genomics.</t>
  </si>
  <si>
    <t>A program that focuses on the scientific study of whole genome sequences and patterns of gene expression. Includes instruction in molecular and cellular biology, genetics, protein technologies, genomic sciences and techniques, bioinformatics, and scientific and research ethics.</t>
  </si>
  <si>
    <t>Any instructional program in genetics not listed above.</t>
  </si>
  <si>
    <t>Instructional content for this group of programs is defined in codes 26.0901 - 26.0999.</t>
  </si>
  <si>
    <t>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</si>
  <si>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A program that focuses on the scientific study of dynamic interactive processes and biochemical communications at the subcellular level.  Includes instruction in ion channels and transporters, molecular signaling pathways, endocrine control and regulation, genetic information transfer, homeostasis and molecular control systems, electrophysiology and sensory mechanisms, protein synthesis, and applicable research methods and technologies.</t>
  </si>
  <si>
    <t>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</si>
  <si>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</si>
  <si>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</si>
  <si>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Moved from 26.0906 to 26.1503</t>
  </si>
  <si>
    <t>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</si>
  <si>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</si>
  <si>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51.0913 - Athletic Training/Trainer., 31.0505 - Kinesiology and Exercise Science.</t>
  </si>
  <si>
    <t>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</si>
  <si>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</si>
  <si>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</si>
  <si>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Aerospace Physiology and Medicine.</t>
  </si>
  <si>
    <t>A program that focuses on the scientific study of the physiological processes involved in low and high-altitude flight and living in space and related low-pressure and low-gravity environments, including sensorimotor interactions, response mechanisms, and the effects of injury, disease, and disability.  Includes instruction in anatomy, molecular and cellular basis of muscle contraction,  fuel utilization, neurophysiology of motor mechanics, systemic physiological responses (respiration, blood flow, endocrine secretions, and others), fatigue and exhaustion, systemic environmental pathologies, muscle and body training, physiology of specific exercises and activities, physiology of injury, and the effects of disabilities and disease.</t>
  </si>
  <si>
    <t>Any instructional program in physiology, pathology, and related sciences not listed above.</t>
  </si>
  <si>
    <t>Instructional content for this group of programs is defined in codes 26.1001 - 26.1099.</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</si>
  <si>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</si>
  <si>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51.2003 - Pharmaceutics and Drug Design., 51.2010 - Pharmaceutical Sciences.</t>
  </si>
  <si>
    <t>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</si>
  <si>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</si>
  <si>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t>
  </si>
  <si>
    <t>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signaling, transcriptional activation, mutagenesis and carcinogenesis, pulmonary toxicology, xenobiotic metabolism, oxidative stress, risk assessment, molecular dosimetry, and studies of specific toxins and treatment therapies.</t>
  </si>
  <si>
    <t>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</si>
  <si>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</si>
  <si>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26.1001 - Pharmacology., 26.1004 - Toxicology.</t>
  </si>
  <si>
    <t>Any instructional program in pharmacology and toxicology not listed above.</t>
  </si>
  <si>
    <t>Biomathematics, Bioinformatics, and Computational Biology.</t>
  </si>
  <si>
    <t>Instructional content for this group of programs is defined in codes 26.1101 - 26.1199.</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</si>
  <si>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</si>
  <si>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27.0306 - Mathematical Biology.</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</si>
  <si>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t>
  </si>
  <si>
    <t>27.0501 - Statistics, General.</t>
  </si>
  <si>
    <t>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</si>
  <si>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51.2706 - Medical Informatics., 11.0104 - Informatics.</t>
  </si>
  <si>
    <t>Computational Biology.</t>
  </si>
  <si>
    <t>A program that focuses on computational theoretical approaches to understanding biological systems, including computational models of biological processes, computational management of large-scale projects, database development and data-algorithm development, and high-performance computing, as well as statistical and mathematical analyses.</t>
  </si>
  <si>
    <t>Examples: - Computational and Systems Biology</t>
  </si>
  <si>
    <t>Biomathematics, Bioinformatics, and Computational Biology, Other.</t>
  </si>
  <si>
    <t>Any instructional program in biomathematics, bioinformatics, and computational biology not listed above.</t>
  </si>
  <si>
    <t>Examples: - Biomathematics</t>
  </si>
  <si>
    <t>Instructional content is defined in code 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</si>
  <si>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</si>
  <si>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Instructional content for this group of programs is defined in codes 26.1301 - 26.1399.</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</si>
  <si>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</si>
  <si>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Examples: - Ecosystem Science</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</si>
  <si>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t>
  </si>
  <si>
    <t>40.0607 - Oceanography, Chemical and Physical., 03.0301 - Fishing and Fisheries Sciences and Management., 30.3201 - Marine Sciences.</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</si>
  <si>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t>
  </si>
  <si>
    <t>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</si>
  <si>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03.0205 - Water, Wetlands, and Marine Resources Management.</t>
  </si>
  <si>
    <t>Examples: - Aquatic Ecology</t>
  </si>
  <si>
    <t>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</si>
  <si>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03.0104 - Environmental Science.</t>
  </si>
  <si>
    <t>Examples: - Environmental Microbiology</t>
  </si>
  <si>
    <t>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</si>
  <si>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</si>
  <si>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03.0104 - Environmental Science., 03.0101 - Natural Resources/Conservation, General.</t>
  </si>
  <si>
    <t>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</si>
  <si>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t>
  </si>
  <si>
    <t>51.2201 - Public Health, General.</t>
  </si>
  <si>
    <t>Ecology and Evolutionary Biology.</t>
  </si>
  <si>
    <t>A program that focuses on the scientific study of the relationships and interactions across levels of biological organization--genes and genomes, organisms, species, and ecosystems--and how these change over time, including the origins and history of species, the processes by which biodiversity has evolved, and the ecological context in which this evolution takes place. Includes instruction in animal, plant, population, functional, evolutionary, and ecosystem ecology; ecological and evolutionary genetics; molecular evolution; population and conservation biology; animal and plant diversity; biometry; and scientific and research ethics.</t>
  </si>
  <si>
    <t>26.1301 - Ecology., 26.1303 - Evolutionary Biology.</t>
  </si>
  <si>
    <t>Any instructional program in ecology, evolution, and systematics not listed above.</t>
  </si>
  <si>
    <t>Molecular Medicine.</t>
  </si>
  <si>
    <t>Instructional content is defined in code 26.1401.</t>
  </si>
  <si>
    <t>A program that focuses on the scientific study of the molecular and cellular basis of disease, and the application of this knowledge to the development of new clinical and diagnostic tools, medications, and therapies. Includes instruction in cell biology, molecular biology, physiology, pharmacology, biochemistry, genetics, pathology, molecular immunology, research and quantitative methods, and biomedical research computing.</t>
  </si>
  <si>
    <t>Neurobiology and Neurosciences.</t>
  </si>
  <si>
    <t>Instructional content for this group of programs is defined in codes 26.1501 - 26.1599.</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</si>
  <si>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t>
  </si>
  <si>
    <t>Examples: - Behavioral Neuroscience, - Cognitive Neuroscience, - Computational Neuroscience, - Developmental Neuroscience, - Molecular and Cellular Neuroscience, - Systems Neuroscience</t>
  </si>
  <si>
    <t>A program that focuses on the scientific study of the structure of the central and peripheral nervous system in vertebrates or the nervous system of invertebrates. Includes instruction in cellular and circuit anatomy, mapping of neuronal pathways, anatomical distribution and mapping of neuronal signaling molecules and their receptors, and the anatomical basis of central nervous system diseases and disorders.</t>
  </si>
  <si>
    <t>Neurobiology and Anatomy.</t>
  </si>
  <si>
    <t>A program that focuses on the scientific study of the structure and function of the central and peripheral nervous system in vertebrates and invertebrates. Includes instruction in molecular and cellular studies of neuronal and glial cells and circuits, neural transmitters and receptors, neuronal signaling processes, membrane and synapse structure and communication, autonomic function, nervous system circuitry and mapping, and anatomical and functional basis of central nervous system diseases and disorders.</t>
  </si>
  <si>
    <t>Examples: - Neurobiology and Neurophysiology</t>
  </si>
  <si>
    <t>Neurobiology and Behavior.</t>
  </si>
  <si>
    <t>A program that focuses on the scientific study of the structure and function of the central and peripheral nervous system in vertebrates and invertebrates as it relates to control of behavior. Includes instruction in neuronal systems and circuits, higher level studies of behavior and cognition, computational neurobiology, and behavioral manifestations of central nervous system diseases and disorders.</t>
  </si>
  <si>
    <t>Neurobiology and Neurosciences, Other.</t>
  </si>
  <si>
    <t>Any instructional program in neurobiology and neurosciences not listed above.</t>
  </si>
  <si>
    <t>Examples: - Medical Neurobiology, - Computational Neurobiology</t>
  </si>
  <si>
    <t>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</si>
  <si>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</si>
  <si>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</si>
  <si>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</si>
  <si>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Any program in mathematics not listed above.</t>
  </si>
  <si>
    <t>Instructional content for this group of programs is defined in codes 27.0301 - 27.0399.</t>
  </si>
  <si>
    <t>Applied Mathematics, General.</t>
  </si>
  <si>
    <t>Examples: - Fundamental Analysis and Real Variables, - Mathematical Analysis, - Numerical Analysis/Methods/Computation</t>
  </si>
  <si>
    <t>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</si>
  <si>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Computational and Applied Mathematics.</t>
  </si>
  <si>
    <t>A program that focuses on the application of a broad range of mathematical and computational methods to modeling, analysis, algorithm development, and simulation for the solution of complex scientific and engineering problems. Includes instruction in numerical analysis, discrete mathematics, operations research, optimization, differential equations, statistics, scientific computation, and applications to specific scientific and industrial topics.</t>
  </si>
  <si>
    <t>27.0303 - Computational Mathematics., 27.0301 - Applied Mathematics, General.</t>
  </si>
  <si>
    <t>Financial Mathematics.</t>
  </si>
  <si>
    <t>A program that focuses on the application of mathematics and statistics to the finance industry, including the development, critique, and use of various financial models. Includes instruction in probability theory, statistical analysis, numerical methods, computation and simulation methods, stochastic processes, economics, and financial markets and applications.</t>
  </si>
  <si>
    <t>Examples: - Mathematical Finance, - Quantitative Finance, - Quantitative and Computational Finance</t>
  </si>
  <si>
    <t>Mathematical Biology.</t>
  </si>
  <si>
    <t>A program that focuses on the application of mathematics to genomics, molecular modeling, structural biology, ecology, evolutionary biology and systems of analysis of neurobiology, physiology, and metabolism.  Includes instruction in computational mathematics, chaos and nonlinear systems, perturbation methods, evolutionary biology, molecular biology, bioinformatics, and neurobiology.</t>
  </si>
  <si>
    <t>26.1101 - Biometry/Biometrics.</t>
  </si>
  <si>
    <t>Instructional content for this group of programs is defined in codes 27.0501 - 27.0599.</t>
  </si>
  <si>
    <t>26.1102 - Biostatistics., 13.0603 - Educational Statistics and Research Methods., 52.1302 - Business Statistics., 45.0102 - Research Methodology and Quantitative Methods.</t>
  </si>
  <si>
    <t>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</si>
  <si>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A program with a general synthesis of mathematics and statistics or a specialization which draws from mathematics and statistics. Includes instruction in calculus, linear algebra, numerical analysis and partial differential equations, discrete mathematics, probability theory, statistics, computing, and other related topics.</t>
  </si>
  <si>
    <t>27.0101 - Mathematics, General., 27.0501 - Statistics, General.</t>
  </si>
  <si>
    <t>Any instructional program in statistics not listed above.</t>
  </si>
  <si>
    <t>Examples: - Math Economics</t>
  </si>
  <si>
    <t>MILITARY SCIENCE, LEADERSHIP AND OPERATIONAL ART.</t>
  </si>
  <si>
    <t>Instructional programs that provide professional education and training of military officers in leadership, military science and operational studies, security policy and strategy, military economics and management, and pre-officer training. These CIP codes are not valid for IPEDS reporting.</t>
  </si>
  <si>
    <t>Air Force ROTC, Air Science and Operations.</t>
  </si>
  <si>
    <t>Instructional content for this group of programs is defined in codes 28.0101 - 28.0199. These CIP codes are not valid for IPEDS reporting.</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</si>
  <si>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 This CIP code is not valid for IPEDS reporting.</t>
  </si>
  <si>
    <t>Air Force ROTC, Air Science and Operations, Other.</t>
  </si>
  <si>
    <t>Any instructional program in Air Force ROTC, air science and operations not listed above. This CIP code is not valid for IPEDS reporting.</t>
  </si>
  <si>
    <t>Army ROTC, Military Science and Operations.</t>
  </si>
  <si>
    <t>Instructional content for this group of programs is defined in codes 28.0301 - 28.0399. These CIP codes are not valid for IPEDS reporting.</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</si>
  <si>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 This CIP code is not valid for IPEDS reporting.</t>
  </si>
  <si>
    <t>Army ROTC, Military Science and Operations, Other.</t>
  </si>
  <si>
    <t>Any instructional program in Army ROTC, military science and operations not listed above. This CIP code is not valid for IPEDS reporting.</t>
  </si>
  <si>
    <t>Navy/Marine ROTC, Naval Science and Operations.</t>
  </si>
  <si>
    <t>Instructional content for this group of programs is defined in codes 28.0401 - 28.0499. These CIP codes are not valid for IPEDS reporting.</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</si>
  <si>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 This CIP code is not valid for IPEDS reporting.</t>
  </si>
  <si>
    <t>Navy/Marine Corps ROTC, Naval Science and Operations, Other.</t>
  </si>
  <si>
    <t>Any instructional program in Navy/Marine Corps ROTC, naval science and operations not listed above. This CIP code is not valid for IPEDS reporting.</t>
  </si>
  <si>
    <t>Military Science and Operational Studies.</t>
  </si>
  <si>
    <t>Instructional content for this group of programs is defined in codes 28.0501 - 28.0599. These CIP codes are not valid for IPEDS reporting.</t>
  </si>
  <si>
    <t>Air Science/Airpower Studies.</t>
  </si>
  <si>
    <t>A program that focuses on the theory, doctrine and principles of airpower in the tactical and strategic contexts, as well as in conjunction with other armed forces.  Includes instruction in air warfighting, leadership and ethics, national security decisionmaking, strategic studies, global security, joint and coalition operations, and applicable regional or cultural studies and research methods. This CIP code is not valid for IPEDS reporting.</t>
  </si>
  <si>
    <t>Examples: - Strategic Airpower Studies</t>
  </si>
  <si>
    <t>Air and Space Operational Art and Science.</t>
  </si>
  <si>
    <t>A program that focuses on the principles and art of leading, managing, and conducting air force operations on the ground, in the air, and in space.  Includes instruction in leadership, staff operations, principles of command, air and space warfare, expeditionary operations, campaign planning, tactics and strategy. This CIP code is not valid for IPEDS reporting.</t>
  </si>
  <si>
    <t>Military Operational Art and Science/Studies.</t>
  </si>
  <si>
    <t>A program that focuses on the study of military operational issues and the preparation of field officers for warfighting, leadership, and related capabilities in land and joint operations.  Includes instruction in leadership studies, military culture, national security policy, joint campaign planning, strategic estimation, strategic logistics, tactical and strategic doctrine, force capabilities, command and control, intelligence, movement, firepower, attack and defense, multinational issues, space operations, and applications to specific regional and operational issues. This CIP code is not valid for IPEDS reporting.</t>
  </si>
  <si>
    <t>Advanced Military and Operational Studies.</t>
  </si>
  <si>
    <t>A program that focuses on military operational issues at the theatre and general strategic level, emphasizing both land force operations and joint operations related to peacekeeping, war, and other emergencies. Includes instruction in military theory, military history, national and military strategy, campaign design and planning, senior leadership, theatre operational technologies and communications, civil-military relations, and applications to the study of specific world regions and types of operations. This CIP code is not valid for IPEDS reporting.</t>
  </si>
  <si>
    <t>Naval Science and Operational Studies.</t>
  </si>
  <si>
    <t>A program that focuses on in-depth professional study of naval warfare and related combined/joint operations at the tactical, operational and strategic levels.  Includes instruction in maritime security, naval warfighting, naval tactics, naval strategy, operational art, planning and conducting joint operations, command and control, civil-military relations, information networking, leadership, ocean and nearshore operations, and related subjects. This CIP code is not valid for IPEDS reporting.</t>
  </si>
  <si>
    <t>Special, Irregular and Counterterrorist Operations.</t>
  </si>
  <si>
    <t>A program that focuses on the role and use of special operations forces in the context of low-intensity warfare such as asymmetric warfare and counterterrorism as well as irregular operations in conventional warfare.  Includes instruction in special operations doctrine, equipment, support and strategy; the role of civilian leadership and the joint staffs; mission selection and employment; integration with regular forces; civil relations and psychological warfare. This CIP code is not valid for IPEDS reporting.</t>
  </si>
  <si>
    <t>Examples: - Special Operations, - Low-Intensity Warfare, - Irregular and Guerilla Warfare, - Terrorism and Counterterorrism</t>
  </si>
  <si>
    <t>Military Science and Operational Studies, Other.</t>
  </si>
  <si>
    <t>Any instructional program in military science and operational studies not listed above. This CIP code is not valid for IPEDS reporting.</t>
  </si>
  <si>
    <t>Security Policy and Strategy.</t>
  </si>
  <si>
    <t>Instructional content for this group of programs is defined in codes 28.0601 - 28.0699. These CIP codes are not valid for IPEDS reporting.</t>
  </si>
  <si>
    <t>Strategic Studies, General.</t>
  </si>
  <si>
    <t>A program that focuses on coercion theory, defense strategy, warfighting, and strategic operations in the context of joint or combined operations, coalitions, and overall national security.  May be offered at the advanced level and in the context of one or more armed forces, and may focus on various scenarios including campaign, theatre, joint, global and advanced strategy. This CIP code is not valid for IPEDS reporting.</t>
  </si>
  <si>
    <t>45.0902 - National Security Policy Studies.</t>
  </si>
  <si>
    <t>Military and Strategic Leadership.</t>
  </si>
  <si>
    <t>A program that focuses on the analysis and systematic study of the intersection between leadership and operational art at the tactical and/or strategic levels.  Includes instruction in leadership case studies, the dynamics of battle and associated  responsibilities, the use of opportunities and resources, the human and physical dimensions of warfare, the effects of technology and logistics, doctrine, logistics, stress and the legal authority of command. This CIP code is not valid for IPEDS reporting.</t>
  </si>
  <si>
    <t>Military and International Operational Law.</t>
  </si>
  <si>
    <t>A program that focuses on the international and domestic law applicable to the armed forces, in war and peace.  Includes instruction in the Uniform Code of Military Justice, case law and legislation, international law and treaties, warfighting doctrine, leadership and ethics, peacekeeping, and related issues affecting combatants, prisoners, and noncombatants. This CIP code is not valid for IPEDS reporting.</t>
  </si>
  <si>
    <t>Joint Operations Planning and Strategy.</t>
  </si>
  <si>
    <t>A program that focuses on the principles, operational methods and strategy of planning and conducting joint military operations.  Includes instruction in civil-military affairs, effects-based operations, interservice doctrine, force integration and force multipliers, multinational forces, and applications specific to air, army, military, special forces and asymmetric contexts. This CIP code is not valid for IPEDS reporting.</t>
  </si>
  <si>
    <t>Examples: - Force Doctrine, - Management and Integration</t>
  </si>
  <si>
    <t>Weapons of Mass Destruction.</t>
  </si>
  <si>
    <t>A program that focuses on the scientific principles, technology, policy issues and operational art required to prevent the spread and combat the effects of weapons of mass destruction, defined as chemical, biological and nuclear devices as well as some conventional weapons.  Includes instruction in the scientific foundations of such weaponry, production, weaponization, effects protection and mitigation, state and terrorist threat analysis, and applications to specific weapon types and scenarios. This CIP code is not valid for IPEDS reporting.</t>
  </si>
  <si>
    <t>Examples: - Nuclear Weapons and Counterproliferation, - Combating Weapons of Mass Destruction</t>
  </si>
  <si>
    <t>National Security Policy and Strategy, Other.</t>
  </si>
  <si>
    <t>Any instructional program in national security policy and strategy not listed above. This CIP code is not valid for IPEDS reporting.</t>
  </si>
  <si>
    <t>Military Economics and Management.</t>
  </si>
  <si>
    <t>Instructional content for this group of programs is defined in codes 28.0701 - 28.0799. These CIP codes are not valid for IPEDS reporting.</t>
  </si>
  <si>
    <t>National Resource Strategy and Policy.</t>
  </si>
  <si>
    <t>A program that focuses on the application of economics, policy analysis, management and leadership studies to the formulation of national strategy and security policy in the context of the international economy.  Includes instruction in military strategy and logistics, strategic leadership, national and international economic policy, national security policy, acquisition and procurement, industry economics and studies of specific regions, industries or issues. This CIP code is not valid for IPEDS reporting.</t>
  </si>
  <si>
    <t>Industry Studies.</t>
  </si>
  <si>
    <t>A program that focuses on the study of specific industries and economic sectors from domestic and comparative perspectives in order to assess strength, weakness and relationship to national security needs.  Includes instruction in resource economics, finance and monetary policy, industrial economics, econometrics and forecasting, labor and organizational studies, technology policy, national security policy, military strategy, acquisition needs assessment, crisis management, international economics and development studies. This CIP code is not valid for IPEDS reporting.</t>
  </si>
  <si>
    <t>Military Installation Management.</t>
  </si>
  <si>
    <t>A program that focuses on the planning, acquisition and management of military bases, housing, installations and other facilities plus their associated buildings, systems, equipment, staffing and maintenance.  Includes instruction in operations management, acquisitions planning, contracts management, building construction, real estate, facilities management, hospitality management, administrative budgeting and finance, personnel supervision and leadership, related regulations and policies, and applications to specific service requirements, operational needs, and types of facilities. This CIP code is not valid for IPEDS reporting.</t>
  </si>
  <si>
    <t>Military Economics and Management, Other.</t>
  </si>
  <si>
    <t>Any instructional program in military economics and management not listed above. This CIP code is not valid for IPEDS reporting.</t>
  </si>
  <si>
    <t>Military Science, Leadership and Operational Art, Other.</t>
  </si>
  <si>
    <t>Instructional content is defined in code 28.9999. These CIP codes are not valid for IPEDS reporting.</t>
  </si>
  <si>
    <t>Any instructional program in military science, leadership and operational art not listed above. This CIP code is not valid for IPEDS reporting.</t>
  </si>
  <si>
    <t>MILITARY TECHNOLOGIES AND APPLIED SCIENCES.</t>
  </si>
  <si>
    <t>Instructional programs that prepare individuals in specialized and advanced subject matter for the armed services and related national security organizations, including intelligence operations, military applied sciences, and military technologies.</t>
  </si>
  <si>
    <t>Deleted, Report under 29.02, 29.03, 29.04</t>
  </si>
  <si>
    <t>Intelligence, Command Control and Information Operations.</t>
  </si>
  <si>
    <t>Instructional content for this group of programs is defined in codes 29.0201 - 29.0299.</t>
  </si>
  <si>
    <t>Intelligence, General.</t>
  </si>
  <si>
    <t>A program that focuses on the principles and techniques of intelligence acquisition, analysis and exploitation.  Includes instruction in intelligence organizations, the intelligence cycle, intelligence operations planning, intelligence analysis and reporting, intelligence methods, electronic and signals intelligence, operations and communications security, human intelligence management, intelligence chain of command, information exploitation and psychological warfare, and the relationship to national security policy and strategy.</t>
  </si>
  <si>
    <t>Strategic Intelligence.</t>
  </si>
  <si>
    <t>A program that focuses on the management, analysis and use of national-level, theatre-level, and international intelligence and related policy issues.  Includes instruction in intelligence organization and management, strategic uses of intelligence, management of intelligence systems and assets, command and control, joint intelligence operations, electronic and signals intelligence, threat assessment and estimation, intelligence analysis and reporting, counterintelligence, and studies of specific regions and situations.</t>
  </si>
  <si>
    <t>Signal/Geospatial Intelligence.</t>
  </si>
  <si>
    <t>A program that focuses on the theory, technology and operational aspects of collecting, processing and exploiting remote-sensed, radar, acoustic and other forms of signals intelligence.  Includes instruction in applied physics, wave propagation and capture, radar systems, acoustics and underwater systems, infrared systems, synthetic aperture systems, collection and processing systems, signal phenomenology, signal analysis and exploitation, and applications to specific intelligence problems.</t>
  </si>
  <si>
    <t>Examples: - Advanced Geospatial Intelligence</t>
  </si>
  <si>
    <t>Command &amp; Control (C3, C4I) Systems and Operations.</t>
  </si>
  <si>
    <t>A program that focuses on the theory, technology and operational use of information and decision systems in support of battlefield, theatre, and global strategic operations.  Includes instruction in applied mathematics and statistics, computer systems, real-time analysis and decision systems, surveillance and navigation systems, information and communications technology, information security, situational awareness, system integration, joint operations and applications to specific command problems and services.</t>
  </si>
  <si>
    <t>Information Operations/Joint Information Operations.</t>
  </si>
  <si>
    <t>A program that focuses on the strategic and operational use of information relative to the support of military and strategic policy and objectives.  Includes instruction in information technology, decision theory and applications, military operations, command and control technology, network operations, network systems integration, computer network defense, space communications technology, and applications to specific military operational tasks.</t>
  </si>
  <si>
    <t>Information/Psychological Warfare and Military Media Relations.</t>
  </si>
  <si>
    <t>A program that focuses on the support of military and strategic operations and policy via the use of information as a tool of statecraft and warfighting.  Includes instruction in information technology and systems, information security, command and control, satellite communications, global information dissemination, communications and media management, intelligence, psychological warfare, strategic planning, security policy and doctrine, and applications to specific operations, services, and scenarios.</t>
  </si>
  <si>
    <t>Cyber/Electronic Operations and Warfare.</t>
  </si>
  <si>
    <t>A program that focuses on the technological and operation aspects of information warfare, including cyber attack and cyber defense.  Includes instruction in computer and network security, cryptography, computer forensics, systems security engineering, software applications, threat and vulnerability assessment, wireless networks and satellite communications, tactical and strategic planning, legal and ethical issues, and cyber warfare systems development and acquisition.</t>
  </si>
  <si>
    <t>Examples: - Cyberspace Operations, - Electronic Warfare, - Information Warfare</t>
  </si>
  <si>
    <t>Intelligence, Command Control and Information Operations, Other.</t>
  </si>
  <si>
    <t>Any instructional program in intelligence, command control and information operations not listed above.</t>
  </si>
  <si>
    <t>Military Applied Sciences.</t>
  </si>
  <si>
    <t>Instructional content for this group of programs is defined in codes 29.0301 - 29.0399.</t>
  </si>
  <si>
    <t>Combat Systems Engineering.</t>
  </si>
  <si>
    <t>A program that focuses on the application of systems engineering and system architecture to the design and construction of modern combat systems and their integration with each other, with host platforms and with other forces into network-centric warfighting systems.  Includes instruction in systems engineering, computer programming, chemical systems, biological systems, material systems, human factors, combat environments, sensor systems, threat and system risk assessment, conventional and unconventional weapons, combat simulation, reliability and maintenance, testing, engineering project management, strategic planning and applications to aerospace, ground, and naval combat systems.</t>
  </si>
  <si>
    <t>Directed Energy Systems.</t>
  </si>
  <si>
    <t>A program that focuses on the study of lasers and other directed energy phenomena and their application to the creation of energy beam weapons systems.  Includes instruction in photonics, electro-optics, microwave phenomena, laser chemistry, spectroscopy, chemical lasers, fibre lasers, imaging and optics, laser propagation and control, laser communication, infrared remote sensing, modeling and simulation, and related technologies.</t>
  </si>
  <si>
    <t>Engineering Acoustics.</t>
  </si>
  <si>
    <t>A program that focuses on the application of acoustics and signals processing to undersea and antisubmarine warfare.  Includes instruction in acoustics; electrical engineering; the generation, propagation and reception of underwater sound waves; military applications of underwater sound; and acoustic signal processing.</t>
  </si>
  <si>
    <t>Low-Observables and Stealth Technology.</t>
  </si>
  <si>
    <t>A program that focuses on the application of electromagnetic field theory, electro-optics and materials science to the reduction of radar, optical and acoustic signatures of weapons systems.  Includes instruction in computational electromagnetics, electro-optics, acoustics, guided wave theory, radiation capture, antenna applications in layered environments, material characterization, radar cross-section analysis, sonar signature analysis, non-destructive testing, remote sensing, and applications to specific weapons systems and operational environments.</t>
  </si>
  <si>
    <t>Space Systems Operations.</t>
  </si>
  <si>
    <t>A program that focuses on the design, development, and operation of missiles, satellites and other space-based systems for military purposes.  Includes instruction in the military applications of space, space technology, aerospace engineering, systems architecture, orbital mechanics, launch and retrieval systems, ground support systems, satellite communications, and space-based sensor systems.</t>
  </si>
  <si>
    <t>Operational Oceanography.</t>
  </si>
  <si>
    <t>A program that focuses on the study of physical oceanography as applied to the naval tactical and strategic environment and the support of military operations.  Includes instruction in atmospheric thermodynamics and radiation propagation, air-ocean fluid dynamics, ocean waves, nearshore environments and processes, ocean acoustics, ocean analysis, tactical oceanography, prediction, and related quantitative and experimental methods.</t>
  </si>
  <si>
    <t>Undersea Warfare.</t>
  </si>
  <si>
    <t>A program that focuses on the principles, engineering design and military concepts that govern the operational employment of underwater sensors and weapons systems.  Includes instruction in acoustics, electrical, and mechanical engineering; mathematics; meteorology; oceanography; physics; operations analysis; human factors; computer science; and robotics.</t>
  </si>
  <si>
    <t>Military Applied Sciences, Other.</t>
  </si>
  <si>
    <t>Any instructional program in military applied sciences not listed above.</t>
  </si>
  <si>
    <t>Military Systems and Maintenance Technology.</t>
  </si>
  <si>
    <t>Instructional content for this group of programs is defined in codes 29.0401 - 29.0499.</t>
  </si>
  <si>
    <t>Aerospace Ground Equipment Technology.</t>
  </si>
  <si>
    <t>A program that focuses on the principles, technology, and maintenance of ground-based systems and equipments used to support aviation flight operations and space operations.  Includes instruction in computer science, electronics, basic sciences and quantitative methods, air conditioning and refrigeration, corrosion control, fluid power, hazardous materials, industrial safety, maintenance management, vehicle and equipment operation, and applications to specific ground support systems.</t>
  </si>
  <si>
    <t>Air and Space Operations Technology.</t>
  </si>
  <si>
    <t>A program that focuses on the principles, technology and maintenance of systems and equipment used in aerospace operations.  Includes instruction in astronomy and astronautics, solid state theory, air and space operations, electronics, computer science, aviation and space flight safety, life support systems, flight operations management systems, programming, propulsion systems, weaponry, maintenance management and applications to specific systems and operations.</t>
  </si>
  <si>
    <t>Aircraft Armament Systems Technology.</t>
  </si>
  <si>
    <t>A program that focuses on the principles, technology and maintenance of aircraft weapons systems and associated peripherals.  Includes instruction in basic science and quantitative methods, computer science, electronics, engineering graphics, fluid power, heavy equipment operation, armament systems, weapon materials and processes, weapon safety, corrosion control, aircraft systems maintenance, and maintenance management.</t>
  </si>
  <si>
    <t>Explosive Ordinance/Bomb Disposal.</t>
  </si>
  <si>
    <t>A program that focuses on the identification, containment, analysis and neutralization of explosive devices.  Includes instruction in nuclear science, computer science, ordinance and bomb systems, electronics, computer science, industrial radiography, non-destructive testing, equipment operation, inventory management, investigative techniques, forensics, schematic interpretation, safety procedures, site containment and emergency medicine.</t>
  </si>
  <si>
    <t>Joint Command/Task Force (C3, C4I) Systems.</t>
  </si>
  <si>
    <t>A program that focuses on the principles, technology and operational use of command and control (C3, C4I) systems as applied to joint and combined military operations involving unified commands.  Includes instruction in information technology, communications systems, network systems and architecture, systems engineering, C3 and C4I doctrine and policy, C3 and C4I systems management, intelligence, operational and strategic planning, interagency operations, operational security and deception.</t>
  </si>
  <si>
    <t>Military Information Systems Technology.</t>
  </si>
  <si>
    <t>A program that focuses on the principles, design and application of computer and networking technology to the military environment. Includes instruction in planning; program development; graphical user interfaces; rapid prototyping; program construction; data types, operations; control flow; arrays; records; file I/O; database access; event-driven OOP structures; and enabling global-networked communications, including databases, systems analysis and design, decision support systems, and network security.</t>
  </si>
  <si>
    <t>Missile and Space Systems Technology.</t>
  </si>
  <si>
    <t>A program that focuses on the principles, technology and maintenance of rocket systems, guided missiles, and space vehicles as well as related systems.  Includes instruction in engineering mechanics, engineering graphics, materials and processes, electronics, propellant and guidance systems, control systems, fluid power, nuclear and conventional weapons systems, hazardous materials, non-destructive inspection and testing, quality assurance, safety procedures and maintenance management.</t>
  </si>
  <si>
    <t>Munitions Systems/Ordinance Technology.</t>
  </si>
  <si>
    <t>A program that focuses on the principles, technology and maintenance of ground or sea-based weapons systems, ordinance and munitions.  Includes instruction in basic sciences, electronics, systems technology, fluid power, computer science, conventional weapons systems, nuclear weapons systems, munitions systems, storage and safety, equipment operation, guidance and control systems, hazardous materials, corrosion control, nondestructive testing and quality control, and maintenance management.</t>
  </si>
  <si>
    <t>Radar Communications and Systems Technology.</t>
  </si>
  <si>
    <t>A program that focuses on the principles, technology and maintenance of air, sea and ground-based radar systems.  Includes instruction in electronic principles and digital techniques, transistors and solid-state component theory, radar systems; maintenance technology, data processing systems, wiring and circuit schematics, maintenance management, safety procedures, and applications to specific systems and services.</t>
  </si>
  <si>
    <t>Military Systems and Maintenance Technology, Other.</t>
  </si>
  <si>
    <t>Any instructional program in military systems and maintenance technology not listed above.</t>
  </si>
  <si>
    <t>Military Technologies and Applied Sciences, Other.</t>
  </si>
  <si>
    <t>Instructional content is defined in code 29.9999.</t>
  </si>
  <si>
    <t>Any instructional program in military technologies and applied sciences not listed above.</t>
  </si>
  <si>
    <t>Multi-/Interdisciplinary Studies, General.</t>
  </si>
  <si>
    <t>Instructional content is defined in code 30.0000.</t>
  </si>
  <si>
    <t>A program that derives from two or more distinct programs and that is integrated around a unifying theme or topic that cannot be subsumed under a single discipline or occupational field.</t>
  </si>
  <si>
    <t>Examples: - Student-Designed Major</t>
  </si>
  <si>
    <t>26.0101 - Biology/Biological Sciences, General., 40.0101 - Physical Sciences.</t>
  </si>
  <si>
    <t>Examples: - Astrobiology</t>
  </si>
  <si>
    <t>30.2801 - Dispute Resolution.</t>
  </si>
  <si>
    <t>11.0701 - Computer Science., 27.0101 - Mathematics, General.</t>
  </si>
  <si>
    <t>42.2706 - Physiological Psychology/Psychobiology.</t>
  </si>
  <si>
    <t>19.0702 - Adult Development and Aging., 42.2809 - Geropsychology.</t>
  </si>
  <si>
    <t>Instructional content for this group of programs is defined in codes 30.1201 - 30.1299.</t>
  </si>
  <si>
    <t>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</si>
  <si>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Any instructional program that focuses on architectural design and building techniques for historic and restored structures not listed above.</t>
  </si>
  <si>
    <t>A program that focuses on the  study of the Medieval and/or Renaissance periods in European and circum-Mediterranean history from the perspective of various disciplines in the humanities and social sciences, including history and archeology, as well as studies of period art and music.</t>
  </si>
  <si>
    <t>Examples: - Medieval Studies, - Renaissance Studies</t>
  </si>
  <si>
    <t>50.1002 - Fine and Studio Arts Management.</t>
  </si>
  <si>
    <t>54.0104 - History and Philosophy of Science and Technology.</t>
  </si>
  <si>
    <t>Examples: - Social Studies of Science</t>
  </si>
  <si>
    <t>Instructional content is defined in code 30.1601.</t>
  </si>
  <si>
    <t>A program that combines accounting with computer science and/or computer studies.</t>
  </si>
  <si>
    <t>11.0701 - Computer Science., 52.0301 - Accounting.</t>
  </si>
  <si>
    <t>Instructional content is defined in code 30.1701.</t>
  </si>
  <si>
    <t>A program with a combined or undifferentiated focus on the social sciences, psychology, and biomedical sciences to study complex problems of human individual and social growth and behavior.</t>
  </si>
  <si>
    <t>42.0101 - Psychology, General.</t>
  </si>
  <si>
    <t>Instructional content is defined in code 30.1801.</t>
  </si>
  <si>
    <t>A program with a combined or undifferentiated focus on one or more of the physical and biological sciences.</t>
  </si>
  <si>
    <t>Instructional content is defined in code 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</si>
  <si>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t>
  </si>
  <si>
    <t>19.0504 - Human Nutrition., 51.3102 - Clinical Nutrition/Nutritionist.</t>
  </si>
  <si>
    <t>Instructional content is defined in code 30.2001.</t>
  </si>
  <si>
    <t>A program that focuses on global and international issues from the perspective of the social sciences, social services, and related fields.</t>
  </si>
  <si>
    <t>45.0901 - International Relations and Affairs.</t>
  </si>
  <si>
    <t>Instructional content is defined in code 30.2101.</t>
  </si>
  <si>
    <t>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</si>
  <si>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38.0206 - Jewish/Judaic Studies.</t>
  </si>
  <si>
    <t>Instructional content for this group of programs is defined in codes 30.2201 - 30.2202.</t>
  </si>
  <si>
    <t>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</si>
  <si>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A program that focuses on the cultures, environment, and history of the ancient Near East, Europe, and the Mediterranean basin from the perspective of the humanities and social sciences, including archaeology.</t>
  </si>
  <si>
    <t>05.0108 - Near and Middle Eastern Studies.</t>
  </si>
  <si>
    <t>Instructional content is defined in code 30.2301.</t>
  </si>
  <si>
    <t>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</si>
  <si>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05.0200 - Ethnic Studies., 09.0907 - International and Intercultural Communication.</t>
  </si>
  <si>
    <t>Moved from 30.2401 to 26.1501</t>
  </si>
  <si>
    <t>Instructional content is defined in code 30.2501.</t>
  </si>
  <si>
    <t>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</si>
  <si>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42.2701 - Cognitive Psychology and Psycholinguistics.</t>
  </si>
  <si>
    <t>Cultural Studies/Critical Theory and Analysis.</t>
  </si>
  <si>
    <t>Instructional content is defined in code 30.2601.</t>
  </si>
  <si>
    <t>An interdisciplinary program that focuses on the analysis and critique of culture in its varied forms, including values, ideas, belief systems, and expressive acts, and the relationship between cultural forms, everyday life, and structures of power.  Includes instruction in anthropology, communications, history, literary studies, philosophy, political economy, and sociology, as well as recent theories and methodologies such as semiotics, deconstruction, postcolonial studies, gender theory, and ethnography.</t>
  </si>
  <si>
    <t>Examples: - Cultural Studies, - Critical Theory and Analysis</t>
  </si>
  <si>
    <t>Human Biology.</t>
  </si>
  <si>
    <t>Instructional content is defined in code 30.2701.</t>
  </si>
  <si>
    <t>An interdisciplinary program that focuses on understanding the human being from the biological, social science, and humanities perspectives and that addresses contemporary issues related to biology and society, such as global health and disease, environmental policy, bioethics, and biotechnology.</t>
  </si>
  <si>
    <t>Examples: - Biology and Society</t>
  </si>
  <si>
    <t>Dispute Resolution.</t>
  </si>
  <si>
    <t>Instructional content is defined in code 30.2801. These CIP codes are not valid for IPEDS reporting.</t>
  </si>
  <si>
    <t>A program that provides individuals with skills in negotiation, mediation, and arbitration, that can be applied to resolve disputes in a variety of settings, including business, legal, domestic, and labor relations.</t>
  </si>
  <si>
    <t>30.0501 - Peace Studies and Conflict Resolution.</t>
  </si>
  <si>
    <t>Examples: - Dispute Resolution, - Dispute and Conflict Resolution, - Negotiation and Dispute Resolution, - Alternative Dispute Resolution</t>
  </si>
  <si>
    <t>Maritime Studies.</t>
  </si>
  <si>
    <t>Instructional content is defined in code 30.2901.</t>
  </si>
  <si>
    <t>A program that focuses on the history, science, policy issues, and literature of the ocean. Includes instruction in maritime history, maritime law, maritime literature, oceanography, maritime security, and maritime politics.</t>
  </si>
  <si>
    <t>Computational Science.</t>
  </si>
  <si>
    <t>Instructional content is defined in code 30.3001.</t>
  </si>
  <si>
    <t>A program that focuses on the study of scientific computing and its application.  Includes instruction in scientific visualization, multi-scale analysis, grid generation, data analysis, applied mathematics, numerical algorithms, high performance parallel computing, and numerical modeling and simulation with applications in science, engineering and other disciplines in which computation plays an integral role.</t>
  </si>
  <si>
    <t>27.0303 - Computational Mathematics., 26.1104 - Computational Biology.</t>
  </si>
  <si>
    <t>Examples: - Scientific Computing</t>
  </si>
  <si>
    <t>Human Computer Interaction.</t>
  </si>
  <si>
    <t>Instructional content is defined in code 30.3101.</t>
  </si>
  <si>
    <t>An interdisciplinary program that focuses on the study of the interaction between people and technology and how that technology impacts society, and combines disciplines within the fields of computing and information science (information systems, software engineering, artificial intelligence and design) and the behavior sciences (cognitive science, cognitive psychology, sociology, organizational psychology, and social psychology).  Includes instruction in information technology, cognitive and behavioral sciences, and systems design.</t>
  </si>
  <si>
    <t>Marine Sciences.</t>
  </si>
  <si>
    <t>Instructional content is defined in code 30.3201.</t>
  </si>
  <si>
    <t>A program that focuses on the study of biology, chemistry, geology and physics applied to marine, estuarine and coastal environments.  Includes instruction in marine biogeochemistry, atmosphere and ocean dynamics, coastal ecology, coastal ocean processes, microbial ecology, marine ecosystem modeling, and polar microbiology.</t>
  </si>
  <si>
    <t>26.1302 - Marine Biology and Biological Oceanography.</t>
  </si>
  <si>
    <t>Sustainability Studies.</t>
  </si>
  <si>
    <t>Instructional content is defined in code 30.3301.</t>
  </si>
  <si>
    <t>A program that focuses on the concept of sustainability from an interdisciplinary perspective. Includes instruction in sustainable development, environmental policies, ethics, ecology, landscape architecture, city and regional planning, economics, natural resources, sociology, and anthropology.</t>
  </si>
  <si>
    <t>01.0308 - Agroecology and Sustainable Agriculture.</t>
  </si>
  <si>
    <t>Examples: - Sustainability, - Sustainable Living, - Organizational and Environmental Sustainability, - Sustainability Studies</t>
  </si>
  <si>
    <t>Instructional content for this group of programs is defined in codes 31.0301 - 31.0399.</t>
  </si>
  <si>
    <t>Parks, Recreation and Leisure Facilities Management, General.</t>
  </si>
  <si>
    <t>03.0206 - Land Use Planning and Management/Development., 03.0207 - Natural Resource Recreation and Tourism.</t>
  </si>
  <si>
    <t>Golf Course Operation and Grounds Management.</t>
  </si>
  <si>
    <t>A program that prepares individuals to manage the operation of golf courses. Includes instruction in turf grass science and management, golf course design and construction, grounds equipment and operation, pest control, and grounds management.</t>
  </si>
  <si>
    <t>Parks, Recreation and Leisure Facilities Management, Other.</t>
  </si>
  <si>
    <t>Any instructional program in parks, recreation and leisure facilities management not listed above.</t>
  </si>
  <si>
    <t>Instructional content for this group of programs is defined in codes 31.0501 - 31.0599.</t>
  </si>
  <si>
    <t>Health and Physical Education/Fitness, General.</t>
  </si>
  <si>
    <t>13.1314 - Physical Education Teaching and Coaching., 51.0001 - Health and Wellness, General.</t>
  </si>
  <si>
    <t>Examples: - Coaching</t>
  </si>
  <si>
    <t>31.0508 - Sports Studies., 09.0906 - Sports Communication.</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</si>
  <si>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t>
  </si>
  <si>
    <t>26.0908 - Exercise Physiology., 51.2311 - Kinesiotherapy/Kinesiotherapist., 51.0913 - Athletic Training/Trainer.</t>
  </si>
  <si>
    <t>Physical Fitness Technician.</t>
  </si>
  <si>
    <t>A program that prepares individuals for employment in health and fitness clubs, wellness centers, public and private recreation facilities, hospitals and corporate fitness programs where they will perform a variety of instructional and administrative duties. Includes instruction in human anatomy and physiology, fitness techniques, exercise science, personal training, nutrition, and customer service.</t>
  </si>
  <si>
    <t>51.0913 - Athletic Training/Trainer.</t>
  </si>
  <si>
    <t>Examples: - Fitness Technician, - Fitness Trainer, - Personal Trainer</t>
  </si>
  <si>
    <t>Sports Studies.</t>
  </si>
  <si>
    <t>A program that focuses on the psychological, sociological, and historical aspects of sport and physical activity. Includes instruction in theory of sport, sport psychology, sport in American society, gender and race/ethnicity and sport, and sports history.</t>
  </si>
  <si>
    <t>31.0504 - Sport and Fitness Administration/Management., 09.0906 - Sports Communication.</t>
  </si>
  <si>
    <t>Examples: - Sport and Exercise Psychology, - Psychosocial Aspects of Sport</t>
  </si>
  <si>
    <t>Outdoor Education.</t>
  </si>
  <si>
    <t>Instructional content is defined in code 31.0601.</t>
  </si>
  <si>
    <t>A program that prepares individuals to work as an educator, instructor or facilitator in parks, recreational facilities, camps and other outdoor settings. Includes instruction in leadership skills, wilderness survival skills, first aid, group processes, counseling techniques, environmental studies and instruction in recreational activities such as rock climbing, ropes courses, backpacking, kayaking and canoeing.</t>
  </si>
  <si>
    <t>13.1338 - Environmental Education.</t>
  </si>
  <si>
    <t>BASIC SKILLS AND DEVELOPMENTAL/REMEDIAL EDUCATION.</t>
  </si>
  <si>
    <t>Instructional programs that focus on the fundamental knowledge and skills that individuals need to function productively in society. These CIP codes are not valid for IPEDS reporting.</t>
  </si>
  <si>
    <t>Basic Skills and Developmental/Remedial Education.</t>
  </si>
  <si>
    <t>Instructional content for this group of programs is defined in codes 32.0101 - 32.0199. These CIP codes are not valid for IPEDS reporting.</t>
  </si>
  <si>
    <t>Basic Skills and Developmental/Remedial Education, General.</t>
  </si>
  <si>
    <t>A general program that focuses on the fundamental knowledge and skills that individuals need to function productively in society. This CIP code is not valid for IPEDS reporting.</t>
  </si>
  <si>
    <t>Examples: - Adult Developmental Education, - Basic Skills, General, - Developmental Education, General, - Remedial Education, General</t>
  </si>
  <si>
    <t>Developmental/Remedial Mathematics.</t>
  </si>
  <si>
    <t>A program that focuses on the development of computing and other mathematical reasoning abilities and skills. This CIP code is not valid for IPEDS reporting.</t>
  </si>
  <si>
    <t>Examples: - Numeracy and Computational Skills, - Adult Developmental Mathematics</t>
  </si>
  <si>
    <t>A program that focuses on the development of skills related to job searches and self-marketing.  Includes instruction in assessing one's own capabilities and skills; filling out an application; and handling an interview. This CIP code is not valid for IPEDS reporting.</t>
  </si>
  <si>
    <t>A program that focuses on the linkage between individual capabilities and needs and the job market.  Includes instruction in the variety and scope of available employment, how to access job information, and techniques of self-analysis. This CIP code is not valid for IPEDS reporting.</t>
  </si>
  <si>
    <t>Developmental/Remedial English.</t>
  </si>
  <si>
    <t>A program that focuses on the fundamental knowledge and skills in reading, writing and speaking that individuals need to function productively in society. This CIP code is not valid for IPEDS reporting.</t>
  </si>
  <si>
    <t>Examples: - Developmental/Remedial Reading and Writing, - Developmental/Remedial Literacy Skills, - Literacy and Communication Skills</t>
  </si>
  <si>
    <t>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 This CIP code is not valid for IPEDS reporting.</t>
  </si>
  <si>
    <t>Examples: - English as a Second Language</t>
  </si>
  <si>
    <t>Basic Computer Skills.</t>
  </si>
  <si>
    <t>A program that focuses on the knowledge and skills needed to operate a computer, including computer concepts, keyboarding and mouse skills, using computer hardware and software, and basic troubleshooting. This CIP code is not valid for IPEDS reporting.</t>
  </si>
  <si>
    <t>Examples: - Basic Computer Application</t>
  </si>
  <si>
    <t>Workforce Development and Training.</t>
  </si>
  <si>
    <t>A program that focuses on learning or upgrading basic skills in order to enhance job performance, promote career development, or train for a new job. This CIP code is not valid for IPEDS reporting.</t>
  </si>
  <si>
    <t>Basic Skills and Developmental/Remedial Education, Other.</t>
  </si>
  <si>
    <t>Any instructional program in basic skills not listed above. This CIP code is not valid for IPEDS reporting.</t>
  </si>
  <si>
    <t>Instructional programs that prepare individuals for citizenship, and provide instruction in how citizens may engage in civic activities. These CIP codes are not valid for IPEDS reporting.</t>
  </si>
  <si>
    <t>Instructional content for this group of programs is defined in codes 33.0101 - 33.0199. These CIP codes are not valid for IPEDS reporting.</t>
  </si>
  <si>
    <t>A program that generally prepares individuals for citizenship, and focuses on how citizens may engage in civic activities. This CIP code is not valid for IPEDS reporting.</t>
  </si>
  <si>
    <t>A program that prepares individuals to take the oath of United States citizenship and to exercise the attendant rights and responsibilities of citizenship. This CIP code is not valid for IPEDS reporting.</t>
  </si>
  <si>
    <t>A program that focuses on local government and history, current issues, and focuses on how individuals can keep abreast of important issues that may affect them. This CIP code is not valid for IPEDS reporting.</t>
  </si>
  <si>
    <t>A program that focuses on how individuals may become actively involved in the social, economic and political issues and events affecting them; and the roles and methods that are available to influence community life and public policy. This CIP code is not valid for IPEDS reporting.</t>
  </si>
  <si>
    <t>A program that prepares individuals to take the oath of Canadian citizenship and to exercise the attendant rights and responsibilities of citizenship. This CIP code is not valid for IPEDS reporting.</t>
  </si>
  <si>
    <t>Any instructional program in citizenship activities not listed above. This CIP code is not valid for IPEDS reporting.</t>
  </si>
  <si>
    <t>Instructional program that focus on the promotion of personal and family health. These CIP codes are not valid for IPEDS reporting.</t>
  </si>
  <si>
    <t>Instructional content for this group of programs is defined in codes 34.0102 - 34.0199. These CIP codes are not valid for IPEDS reporting.</t>
  </si>
  <si>
    <t>A program that focuses on all facets of the mother's and father's roles in family planning, prenatal preparation and care, the birthing experience, post-natal care and the raising of children. This CIP code is not valid for IPEDS reporting.</t>
  </si>
  <si>
    <t>A program that focuses on the principles, techniques, and methods by which individuals can maintain or improve their overall physical and emotional well-being, as well as work on specific areas of personal health. This CIP code is not valid for IPEDS reporting.</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</si>
  <si>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 This CIP code is not valid for IPEDS reporting.</t>
  </si>
  <si>
    <t>Any instructional program in health-related knowledge and skills not listed above. This CIP code is not valid for IPEDS reporting.</t>
  </si>
  <si>
    <t>Examples: - First Aid, - CPR</t>
  </si>
  <si>
    <t>Programs that focus on the development of methods and skills for effective interactions with others in a variety of settings (private, social, and business settings). These CIP codes are not valid for IPEDS reporting.</t>
  </si>
  <si>
    <t>Instructional content for this group of programs is defined in codes 35.0101 - 35.0199. These CIP codes are not valid for IPEDS reporting.</t>
  </si>
  <si>
    <t>A general program that focuses on how to effectively interact with others in private, social and business settings. This CIP code is not valid for IPEDS reporting.</t>
  </si>
  <si>
    <t>A program that focuses on how to increase one's ability to establish and maintain mutually satisfactory ties with other human beings. This CIP code is not valid for IPEDS reporting.</t>
  </si>
  <si>
    <t>A program that focuses on how to increase one's ability to function effectively in social and business settings where interpersonal communication is required. This CIP code is not valid for IPEDS reporting.</t>
  </si>
  <si>
    <t>Any instructional program in interpersonal social skills not listed above. This CIP code is not valid for IPEDS reporting.</t>
  </si>
  <si>
    <t>Programs that focus on the development of an appreciation for and competency in recreational and leisure-related activities. These CIP codes are not valid for IPEDS reporting.</t>
  </si>
  <si>
    <t>Instructional content for this group of programs is defined in codes 36.0101 - 36.0199. These CIP codes are not valid for IPEDS reporting.</t>
  </si>
  <si>
    <t>A general program that focuses on the development of an appreciation for and competency in recreational and leisure-related activities. This CIP code is not valid for IPEDS reporting.</t>
  </si>
  <si>
    <t>A program that focuses on the fashioning of objects of decoration, utility or representation from various materials, including related matters of research, tool use and appreciation. This CIP code is not valid for IPEDS reporting.</t>
  </si>
  <si>
    <t>A  program that focuses on the rules and techniques of participation and skill-building in competitive activities of skill or chance, such as board games, card games or role-playing activities. This CIP code is not valid for IPEDS reporting.</t>
  </si>
  <si>
    <t>A program that focuses on the knowledge and skills associated with maintaining living space and related equipment and furnishings, as well as do-it-yourself repairs and improvement projects of varying complexity. This CIP code is not valid for IPEDS reporting.</t>
  </si>
  <si>
    <t>A program that focuses on how to increase one's understanding and knowledge of the natural environment in which we live, as well as techniques of wildlife observation and management. This CIP code is not valid for IPEDS reporting.</t>
  </si>
  <si>
    <t>A program that focuses on how to increase one's ability to care for domesticated animals kept for pleasure or work. This CIP code is not valid for IPEDS reporting.</t>
  </si>
  <si>
    <t>A program that focuses on the rules and techniques of participation and skill building in competitive physical activities, as well as non-competitive physical fitness programs. This CIP code is not valid for IPEDS reporting.</t>
  </si>
  <si>
    <t>A program that focuses on particular geographic areas or phenomena, and provides opportunities for organized trips or tours, including related knowledge and skills. This CIP code is not valid for IPEDS reporting.</t>
  </si>
  <si>
    <t>A program that focuses on the techniques and methods of creative self-expression in visual or plastic media, such as painting or sculpture. This CIP code is not valid for IPEDS reporting.</t>
  </si>
  <si>
    <t>A program that focuses on the knowledge and techniques necessary for acquiring and maintaining personal collections of objects, such as autographs, stamps, models, specimens, vehicles and antiques. This CIP code is not valid for IPEDS reporting.</t>
  </si>
  <si>
    <t>A program that focuses on the knowledge and skills related to food buying and preparation, home decoration, sewing and other domestic activities, either as hobbies or as routine tasks. This CIP code is not valid for IPEDS reporting.</t>
  </si>
  <si>
    <t>A program that focuses on the knowledge and skills associated with creating and maintaining computer programs, as well as playing computer-based games. This CIP code is not valid for IPEDS reporting.</t>
  </si>
  <si>
    <t>A program that focuses on the knowledge and skills related to recreational dance, such as square dancing, ballroom dancing, classical or modern dance. This CIP code is not valid for IPEDS reporting.</t>
  </si>
  <si>
    <t>A program that focuses on the knowledge and skills associated with personal music appreciation, the playing of a musical instrument, singing or recreational composition. This CIP code is not valid for IPEDS reporting.</t>
  </si>
  <si>
    <t>A program that focuses on the activity of reading for pleasure, either alone or as part of a group experience. This CIP code is not valid for IPEDS reporting.</t>
  </si>
  <si>
    <t>A program that focuses on the knowledge and skills associated with participation in amateur theatrical productions, drama appreciation, and writing amateur plays. This CIP code is not valid for IPEDS reporting.</t>
  </si>
  <si>
    <t>A program that focuses on the knowledge and skills related to creative writing and poetry composition for pleasure or profit, including methods of publication. This CIP code is not valid for IPEDS reporting.</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</si>
  <si>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This CIP code is not valid for IPEDS reporting.</t>
  </si>
  <si>
    <t>Any instructional program in leisure and recreational activities not listed above. This CIP code is not valid for IPEDS reporting.</t>
  </si>
  <si>
    <t>Programs that focus on the development of improved self-awareness, avoidance of stressful behavior, and improved decision-making skills. These CIP codes are not valid for IPEDS reporting.</t>
  </si>
  <si>
    <t>Instructional content for this group of programs is defined in codes 37.0101 - 37.0199. These CIP codes are not valid for IPEDS reporting.</t>
  </si>
  <si>
    <t>A program that focuses on the knowledge and skills useful in becoming aware of one's feelings, using methods of assessing one's personal attributes, and being aware of how one is perceived by others. This CIP code is not valid for IPEDS reporting.</t>
  </si>
  <si>
    <t>A program that focuses on the knowledge and skills useful in avoiding stressful situations and managing them when they occur, including dealing with complex and long-term stressful relationships. This CIP code is not valid for IPEDS reporting.</t>
  </si>
  <si>
    <t>A program that focuses on how to develop individuals' abilities to assess decisions affecting their lives and to make life choices consistent with needs and beliefs. This CIP code is not valid for IPEDS reporting.</t>
  </si>
  <si>
    <t>A program that focuses on the development of personal philosophies and ideas of positive self-concept and self-worth, and applying these knowledge and skills in everyday circumstances. This CIP code is not valid for IPEDS reporting.</t>
  </si>
  <si>
    <t>Any instructional program in personnel awareness and self-improvement not listed above. This CIP code is not valid for IPEDS reporting.</t>
  </si>
  <si>
    <t>Philosophy and Religious Studies, General.</t>
  </si>
  <si>
    <t>Instructional content is defined in code 38.0001.</t>
  </si>
  <si>
    <t>A general program that combines the study of philosophy and religious studies. Includes instruction in logic; ethics; epistemology; symbolism; phenomenology; the sociology, psychology, philosophy, anthropology, literature, and art of religion; and world religions.</t>
  </si>
  <si>
    <t>38.0101 - Philosophy., 38.0201 - Religion/Religious Studies.</t>
  </si>
  <si>
    <t>Instructional content for this group of programs is defined in codes 38.0101 - 38.0199.</t>
  </si>
  <si>
    <t>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</si>
  <si>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</si>
  <si>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Applied and Professional Ethics.</t>
  </si>
  <si>
    <t>A program that focuses on the systematic study of ethical issues in the workplace and public life, and the application of ethical decision-making to the practical problems of society and the professions. Includes instruction in ethical theory; history of ethics; contemporary social dilemmas; methods in applied ethics; and applications including medical ethics, legal ethics, business ethics, environmental ethics, and criminal justice ethics.</t>
  </si>
  <si>
    <t>51.3201 - Bioethics/Medical Ethics.</t>
  </si>
  <si>
    <t>Examples: - Applied Ethics, - Professional Ethics, - Engineering Ethics</t>
  </si>
  <si>
    <t>Any instructional program in Philosophy not listed above.</t>
  </si>
  <si>
    <t>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(Tripitaka, etc.) and study of one or more of the main branches including Early Buddhism, Hinayana, Theravada, Madhyamaka, Yogacara, Pure Land, Shingon, Tendai, Nichiren Shu, Zen, Tibetan, Chinese, Korean, Vietnamese, and others.</t>
  </si>
  <si>
    <t>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</si>
  <si>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39.0201 - Bible/Biblical Studies.</t>
  </si>
  <si>
    <t>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</si>
  <si>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</si>
  <si>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</si>
  <si>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30.2101 - Holocaust and Related Studies., 39.0605 - Rabbinical Studies., 39.0606 - Talmudic Studies., 39.0201 - Bible/Biblical Studies.</t>
  </si>
  <si>
    <t>Any instructional program in religion/religious studies not listed above.</t>
  </si>
  <si>
    <t>38.0203 - Christian Studies., 38.0206 - Jewish/Judaic Studies.</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</si>
  <si>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</si>
  <si>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A program that focuses on the history, theory, composition, and performance of music for religious or sacred purposes, and that prepares individuals for religious musical vocations such as choir directors, cantors, organists, and chanters.</t>
  </si>
  <si>
    <t>Instructional content for this group of programs is defined in codes 39.0601 - 39.0699.</t>
  </si>
  <si>
    <t>Divinity/Ministry.</t>
  </si>
  <si>
    <t>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</si>
  <si>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Examples: - Divinity/Ministry (BD), - Divinity/Ministry (MDiv)</t>
  </si>
  <si>
    <t>Rabbinical Studies.</t>
  </si>
  <si>
    <t>A program that prepares individuals for ordination as Rabbis. Includes instruction in Talmud, Halacha, Liturgy and Rituals, Rabbinical Thought, Jewish Ethics, Jewish Education, Pastoral Counseling and Homiletics.</t>
  </si>
  <si>
    <t>Examples: - Rabbinical Studies (M.H.L./Rav)</t>
  </si>
  <si>
    <t>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</si>
  <si>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Instructional content for this group of programs is defined in codes 39.0701 - 39.0799.</t>
  </si>
  <si>
    <t>51.1506 - Clinical Pastoral Counseling/Patient Counseling.</t>
  </si>
  <si>
    <t>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</si>
  <si>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Examples: - Youth and Family Ministries</t>
  </si>
  <si>
    <t>Urban Ministry.</t>
  </si>
  <si>
    <t>A program that prepares the ordained clergy and other religious professionals to provide spiritual, counseling, and leadership services to individuals and groups in urban communities. Includes instruction in bible study and theology, pastoral leadership and care, urban structure and context, inner city ministry, counseling ministries, family studies, homiletics, social ethics, and community organizing.</t>
  </si>
  <si>
    <t>Women's Ministry.</t>
  </si>
  <si>
    <t>A program that prepares non-ordained women to provide spiritual, counseling, and leadership services to other women in local churches, parachurch organizations, and other settings. Includes instruction in foundations of women's ministry, women's ministry in the local church, spiritual formation, women's evangelism and discipleship, bible study and theology, homiletics, lay counseling, women's issues, and leadership training.</t>
  </si>
  <si>
    <t>Lay Ministry.</t>
  </si>
  <si>
    <t>A program that prepares non-ordained individuals to serve as lay pastors, religious educators, youth leaders, and other professional positions open to the laity in local churches and other settings. Includes instruction in bible studies, theology, spirituality, pastoral counseling, foundations of ministry, effective communication, and church leadership.</t>
  </si>
  <si>
    <t>Any instructional program in pastoral counseling and specialized ministries not listed above.</t>
  </si>
  <si>
    <t>Examples: - Sacred Scripture Studies</t>
  </si>
  <si>
    <t>Instructional content for this group of programs is defined in codes 40.0201 - 40.0299.</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</si>
  <si>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t>
  </si>
  <si>
    <t>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</si>
  <si>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Any instructional program in astronomy and astrophysics not listed above.</t>
  </si>
  <si>
    <t>Instructional content for this group of programs is defined in codes 40.0401 - 40.0499.</t>
  </si>
  <si>
    <t>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</si>
  <si>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A program that focuses on the scientific study of the processes governing the interactions, movement, and behavior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</si>
  <si>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Examples: - Magnetospheric Physics, - Aeronomy, - Ionospheric Environment</t>
  </si>
  <si>
    <t>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</si>
  <si>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Any instructional program in atmospheric sciences and meteorology not listed above.</t>
  </si>
  <si>
    <t>Instructional content for this group of programs is defined in codes 40.0501 - 40.0599.</t>
  </si>
  <si>
    <t>14.0701 - Chemical Engineering.</t>
  </si>
  <si>
    <t>A program that focuses on the scientific study of the properties and behavior of hydrocarbon compounds and their derivatives. Includes instruction in molecular conversion and synthesis, molecular synthesis and design, the molecular structure of living cells and systems, the mutual reactivity of organic and inorganic compounds in combination, the spectroscopic analysis of hydrocarbon compounds, and applications to specific problems in research, industry, and health.</t>
  </si>
  <si>
    <t>Physical Chemistry.</t>
  </si>
  <si>
    <t>A program that focuses on the scientific study of understanding and predicting the behavior of chemical systems ranging from nuclear particles to atoms, molecules, clusters, biological materials and macroscopic assemblies.  Includes instruction in quantum mechanics, spectroscopy, thermodynamics, statistical mechanics, reaction dynamics, group theory, collision theory, and polymer science.</t>
  </si>
  <si>
    <t>A program that focuses on the scientific study of synthesized macromolecules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</si>
  <si>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14.3201 - Polymer/Plastics Engineering.</t>
  </si>
  <si>
    <t>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and laser physics.</t>
  </si>
  <si>
    <t>Environmental Chemistry.</t>
  </si>
  <si>
    <t>A program that focuses on the scientific study of natural systems (air, water, and soil) through the use of chemical techniques and instrumentation, with an emphasis on the movement and fate of pollutants and chemical aspects of contaminant remediation. Includes instruction in analytical, inorganic, organic, and physical chemistry; aquatic, soil, and atmospheric chemistry; environmental engineering; environmental toxicology; and analytical methods.</t>
  </si>
  <si>
    <t>Forensic Chemistry.</t>
  </si>
  <si>
    <t>A program that focuses on the application of chemical techniques and instrumentation to the analysis and evaluation of physical evidence to aid in criminal investigations. Includes instruction in analytical, inorganic, organic, and physical chemistry; biochemistry; forensic toxicology; instrumental analysis; crime scene processing; criminal investigation; forensic laboratory technology; and applicable law.</t>
  </si>
  <si>
    <t>43.0106 - Forensic Science and Technology.</t>
  </si>
  <si>
    <t>Theoretical Chemistry.</t>
  </si>
  <si>
    <t>A program that focuses on the study of mathematical and computational methods and fundamental laws of physics to describe chemical phenomena and to develop empirical models of molecules and their interactions. Includes instruction in properties of small, isolated molecules; dynamics of elementary chemical processes; reaction pathways of organic molecules; hydrogen bonding patterns in liquids; reaction rates of biological pathways; and advanced computational techniques.</t>
  </si>
  <si>
    <t>14.3901 - Geological/Geophysical Engineering.</t>
  </si>
  <si>
    <t>A program that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</si>
  <si>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03.0205 - Water, Wetlands, and Marine Resources Management., 14.0805 - Water Resources Engineering.</t>
  </si>
  <si>
    <t>Examples: - Hydrogeology</t>
  </si>
  <si>
    <t>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</si>
  <si>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t>
  </si>
  <si>
    <t>Examples: - Geodetics, - Geodesy</t>
  </si>
  <si>
    <t>Instructional content for this group of programs is defined in codes 40.0801 - 40.0899.</t>
  </si>
  <si>
    <t>14.1201 - Engineering Physics/Applied Physics.</t>
  </si>
  <si>
    <t>A program that focuses on the scientific study of the behavior of matter-energy phenomena at the level of atoms and molecules. Includes instruction in chemical physics, atomic forces and structure, molecular orbital theory, magnetic resonance, molecular bonding, phase equilibria, quantum theory of solids, and applications to the study of specific elements and higher compounds.</t>
  </si>
  <si>
    <t>A program that focuses on the scientific study of the properties and behavior of atomic nuclei.  Includes instruction in nuclear reaction theory, quantum mechanics, energy conservation, nuclear fission and fusion, strong and weak forces, nuclear modeling, nuclear decay, nucleon scattering, pairing, photon and electron reactions, the physics of nuclear effects, statistical methods, and research equipment operation and maintenance.</t>
  </si>
  <si>
    <t>14.2301 - Nuclear Engineering.</t>
  </si>
  <si>
    <t>Examples: - Nuclear Effects</t>
  </si>
  <si>
    <t>14.1003 - Laser and Optical Engineering.</t>
  </si>
  <si>
    <t>Examples: - Electro-Optics, - Atmospheric and Space Optics</t>
  </si>
  <si>
    <t>Condensed Matter and Materials Physics.</t>
  </si>
  <si>
    <t>A program that focuses on the scientific study of macroscopic physical phenomena and properties that arise from basic microscopic interactions.  Includes instruction in low-temperature and solid-state physics, x-ray physics, liquids and soft materials, including the study of semiconductors, metals, superliquids, magnets, superconductors, glasses, gels, polymers, colloids, neural networks, and macromolecules.</t>
  </si>
  <si>
    <t>Examples: - Electrodynamics</t>
  </si>
  <si>
    <t>Materials Sciences.</t>
  </si>
  <si>
    <t>Instructional content for this group of programs is defined in codes 40.1001 - 40.1099.</t>
  </si>
  <si>
    <t>14.1801 - Materials Engineering., 40.1002 - Materials Chemistry.</t>
  </si>
  <si>
    <t>Examples: - Mechanical Properties of Materials, - Structural Materials, - Electronic and Optical Materials, - Biomaterials, - Materials Theory, - Surface Technology</t>
  </si>
  <si>
    <t>Materials Chemistry.</t>
  </si>
  <si>
    <t>A program that focuses on the synthesis and study of organic or inorganic materials and their electronic, magnetic, optical or mechanical properties. Includes instruction in advanced materials for photonics, lasers, chemical sensors and arrays or nanochemistry; semiconductor nanowires; and molecular electronics.</t>
  </si>
  <si>
    <t>14.1801 - Materials Engineering., 40.1001 - Materials Science.</t>
  </si>
  <si>
    <t>Materials Sciences, Other.</t>
  </si>
  <si>
    <t>Any instructional program in materials sciences not listed above.</t>
  </si>
  <si>
    <t>Science Technologies/Technicians, General.</t>
  </si>
  <si>
    <t>Instructional content is defined in code 41.0000.</t>
  </si>
  <si>
    <t>A general program that prepares individuals to apply scientific principles and technical skills in support of scientific research and development. Includes instruction in standard laboratory practices and procedures; techniques for analysis, testing and inspection; laboratory instrumentation and equipment operation and maintenance; laboratory and materials handling safety; and computer applications.</t>
  </si>
  <si>
    <t>Examples: - Science Laboratory Technology</t>
  </si>
  <si>
    <t>51.1004 - Clinical/Medical Laboratory Technician.</t>
  </si>
  <si>
    <t>Chemical Process Technology.</t>
  </si>
  <si>
    <t>A program that prepares individuals to apply scientific principles and technical skills to the operation of chemical processing equipment in industries such as chemical manufacturing, petroleum refining, pharmaceutical manufacturing, and waste water treatment. Includes instruction in mathematics, chemistry, and physics; computer applications; chemical and refinery plant operations, processes, and equipment; safety, health, and environment; instrumentation; troubleshooting; and applications to specific industries.</t>
  </si>
  <si>
    <t>Examples: - Process Technology</t>
  </si>
  <si>
    <t>30.1701 - Behavioral Sciences.</t>
  </si>
  <si>
    <t>Moved from 42.0201 to 42.2801</t>
  </si>
  <si>
    <t>Moved from 42.0301 to 42.2701</t>
  </si>
  <si>
    <t>Moved from 42.0401 to 42.2802</t>
  </si>
  <si>
    <t>Moved from 42.0501 to 42.2702</t>
  </si>
  <si>
    <t>Moved from 42.0601 to 42.2803</t>
  </si>
  <si>
    <t>Moved from 42.0701 to 42.2703</t>
  </si>
  <si>
    <t>Moved from 42.0801 to 42.2704</t>
  </si>
  <si>
    <t>Moved from 42.0901 to 42.2804</t>
  </si>
  <si>
    <t>Moved from 42.1001 to 42.2705</t>
  </si>
  <si>
    <t>Moved from 42.1101 to 42.2706</t>
  </si>
  <si>
    <t>Moved from 42.1601 to 42.2707</t>
  </si>
  <si>
    <t>Moved from 42.1701 to 42.2805</t>
  </si>
  <si>
    <t>Moved from 42.1801 to 42.2806</t>
  </si>
  <si>
    <t>Moved from 42.1901 to 42.2708</t>
  </si>
  <si>
    <t>Moved from 42.2001 to 42.2807</t>
  </si>
  <si>
    <t>Moved from 42.2101 to 42.2808</t>
  </si>
  <si>
    <t>Moved from 42.2201 to 42.2809</t>
  </si>
  <si>
    <t>Moved from 42.2301 to 42.2810</t>
  </si>
  <si>
    <t>Moved from 42.2401 to 42.2709</t>
  </si>
  <si>
    <t>Moved from 42.2501 to 42.2811</t>
  </si>
  <si>
    <t>Moved from 42.2601 to 42.2812</t>
  </si>
  <si>
    <t>Research and Experimental Psychology.</t>
  </si>
  <si>
    <t>Instructional content for this group of programs is defined in codes 42.2701 - 42.2799.</t>
  </si>
  <si>
    <t>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</si>
  <si>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</si>
  <si>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</si>
  <si>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30.1001 - Biopsychology.</t>
  </si>
  <si>
    <t>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</si>
  <si>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</si>
  <si>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Research and Experimental Psychology, Other.</t>
  </si>
  <si>
    <t>Any instructional program in research and experimental psychology not listed above.</t>
  </si>
  <si>
    <t>Clinical, Counseling and Applied Psychology.</t>
  </si>
  <si>
    <t>Instructional content for this group of programs is defined in codes 42.2801 - 42.2899. These CIP codes are not valid for IPEDS reporting.</t>
  </si>
  <si>
    <t>51.1508 - Mental Health Counseling/Counselor.</t>
  </si>
  <si>
    <t>13.1101 - Counselor Education/School Counseling and Guidance Services.</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</si>
  <si>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t>
  </si>
  <si>
    <t>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</si>
  <si>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</si>
  <si>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</si>
  <si>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19.0702 - Adult Development and Aging., 30.1101 - Gerontology.</t>
  </si>
  <si>
    <t>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</si>
  <si>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</si>
  <si>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51.1505 - Marriage and Family Therapy/Counseling., 19.0704 - Family Systems.</t>
  </si>
  <si>
    <t>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</si>
  <si>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Applied Psychology.</t>
  </si>
  <si>
    <t>A program that focuses on the application of psychological theories and methods to real-world settings and problems, such as business and industry, government, education, military, and community settings. Includes instruction in applications of psychology, industrial/organizational psychology, developmental psychology, social psychology, cognitive psychology, counseling, human factors, research methods and statistics, and program evaluation.</t>
  </si>
  <si>
    <t>Applied Behavior Analysis.</t>
  </si>
  <si>
    <t>A program that focuses on the application of principles of learning and behavior to enhance the development, abilities, and choices of children and adults; and that prepares individuals to address the behavioral needs of individuals, especially those with developmental disabilities and autism. Includes instruction in behavior analysis and learning, behavioral and functional assessment, developmental psychology, applied behavioral analysis in developmental disabilities and autism, applied behavioral analysis in mental health and aging, research methods, evaluation of interventions, and professional and ethical issues.</t>
  </si>
  <si>
    <t>Clinical, Counseling and Applied Psychology, Other.</t>
  </si>
  <si>
    <t>Any instructional program in clinical, counseling and applied psychology not listed above.</t>
  </si>
  <si>
    <t>Examples: - Neuropsychology</t>
  </si>
  <si>
    <t>HOMELAND SECURITY, LAW ENFORCEMENT, FIREFIGHTING AND RELATED PROTECTIVE SERVICES.</t>
  </si>
  <si>
    <t>Instructional programs that focus on the principles and procedures for providing homeland security, police, fire, and other safety services and managing penal institutions. Note: this series is titled Security and Protective Services" in the Canadian CIP."</t>
  </si>
  <si>
    <t>A program that prepares individuals to apply theories and practices of organization management and criminal justice to the administration of public law enforcement agencies and operations.  Includes instruction in law enforcement history and theory, operational command leadership, administration of public police organizations, labor relations, incident response strategies, legal and regulatory responsibilities, budgeting, public relations, and organizational leadership.</t>
  </si>
  <si>
    <t>45.0401 - Criminology.</t>
  </si>
  <si>
    <t>A program that focuses on the application of the physical, biomedical, and social sciences to the analysis and evaluation of physical evidence, human testimony and criminal suspects. Includes instruction in forensic medicine, forensic dentistry, anthropology, psychology, entomology, pathology, forensic laboratory technology and autopsy procedures, DNA and blood pattern analysis, crime scene analysis, crime scene photography, fingerprint technology, document analysis, witness and suspect examination procedures, applicable law and regulations, and professional standards and ethics.</t>
  </si>
  <si>
    <t>42.2812 - Forensic Psychology., 40.0510 - Forensic Chemistry.</t>
  </si>
  <si>
    <t>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</si>
  <si>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</si>
  <si>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</si>
  <si>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Examples: - Business and Organizational Security Management</t>
  </si>
  <si>
    <t>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</si>
  <si>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Law Enforcement Investigation and Interviewing.</t>
  </si>
  <si>
    <t>A program focusing on the principles, procedures, techniques, legal concerns, and problems associated with a criminal investigation.  Includes instruction in administrative law and procedures, courtroom evidence management and preparation, case presentation and court testimony, description and identification, state and federal criminal law and procedures, informant and suspect rights, officer liability, informant and witness management, victim awareness, tactical interviewing, psychology, criminal investigation methods and procedures, report writing and documentation, investigative techniques, and case management.</t>
  </si>
  <si>
    <t>Law Enforcement Record-Keeping and Evidence Management.</t>
  </si>
  <si>
    <t>A program focusing on the principles and procedures for managing records in police or other security offices, including storing and retrieving evidence and related data.  Includes instruction in administrative law and procedures, office management, report preparation, organizational software, database software, physical and digital evidence properties, controlled storage and retrieval, investigative file inventories, case management, security systems, and communications skills.</t>
  </si>
  <si>
    <t>Cyber/Computer Forensics and Counterterrorism.</t>
  </si>
  <si>
    <t>A program focusing on the principles and techniques used to identify, search, seize and analyze digital media and to conduct cyber investigations against criminal and terrorist activity.  Includes instruction in computer boot processes and drives, jumper setting, file access and reconstruction, hacking, network systems, cryptography, programming, investigative techniques, forensic imagery, web-based investigation methods, cyberterrorism, and applicable laws and administrative procedures.</t>
  </si>
  <si>
    <t>11.1003 - Computer and Information Systems Security/Information Assurance.</t>
  </si>
  <si>
    <t>Examples: - Internet Investigation</t>
  </si>
  <si>
    <t>Financial Forensics and Fraud Investigation.</t>
  </si>
  <si>
    <t>A program focusing on the principles and techniques of conducting investigations into financial crime, terrorist activity, and the analysis and use of accounting data as evidence.  Includes instruction in the principles of accounting, investigative auditing, computer investigations,  accounting system documents and software, business corruption, criminal and terrorist financial networks, international money markets and movement, net worth analysis, financial fraud, exposing concealed assets, records seizure, fraud and money laundering statutes, fraud case initiation, case management, and case presentation.</t>
  </si>
  <si>
    <t>Examples: - Fraud and Money-Laundering, - International Banking and Money-Laundering, - Terrorist Finance, - Asset Forfeiture, - Economic Crime Investigation, - Investigative and Forensic Accounting</t>
  </si>
  <si>
    <t>Law Enforcement Intelligence Analysis.</t>
  </si>
  <si>
    <t>A program focusing on the preparation of law enforcement personnel to perform intelligence and surveillance operations and to analyze and use data collected via such operations.  Includes instruction in the intelligence cycle, information sources, data retrieval, digital investigation, financial investigations, document analysis, external sources, geographic information systems, link analysis, operation planning and security, case management, applicable law and regulations, and case preparation.</t>
  </si>
  <si>
    <t>Examples: - Electronic Surveillance</t>
  </si>
  <si>
    <t>Critical Incident Response/Special Police Operations.</t>
  </si>
  <si>
    <t>A program focusing on the principles and techniques for dealing with police emergencies such as hostage situations, bomb threats, barricades and terrorist incidents.  Includes instruction in crisis management, command procedures, incident containment, information collection and debriefing, first responder negotiation, victim and criminal psychology, site survey and surveillance, special weapons and tactics, interagency communications and joint operations, pre-confrontation and contingency planning, assault and rescue operations, security and crowd control, media relations, and post-operation procedures.</t>
  </si>
  <si>
    <t>Protective Services Operations.</t>
  </si>
  <si>
    <t>A program focusing on the principles and techniques of providing physical security protection to clients in various environments and situations.  Includes instruction in security intelligence and information resources, operations planning and surveying, operations security, weapons and explosives, defense and offense  techniques, security and surveillance systems, communications systems, perimeter and access control, weapons of mass destruction, contingency planning, crowd control, cover and evacuation, combat and vehicle techniques, and applicable legal and administrative responsibilities.</t>
  </si>
  <si>
    <t>Examples: - Land Transportation Security, - Physical Security, - Protective Operations, - Vehicle/Driver Operations, - Aircraft/Boat Operations</t>
  </si>
  <si>
    <t>Suspension and Debarment Investigation.</t>
  </si>
  <si>
    <t>A program focusing on the principles and techniques for investigating criminal behavior among government contractors and grantees at different levels.  Includes instruction in financial fraud and money-laundering, auditing, computer investigations, legal concepts and applications, procurement law, non-procurement debarment, jurisdiction and lead agency, analytical methods, suspension, parallel proceedings, evidence protection, equitable considerations, investigative techniques, administrative and global solutions, case management and preparation.</t>
  </si>
  <si>
    <t>Maritime Law Enforcement.</t>
  </si>
  <si>
    <t>A program focusing on the application of law enforcement and security principles and procedures to the marine environment.  Includes instruction in criminal and nautical law, nautical terminology, seamanship and vessel operation, vessel maintenance, navigation and navigation systems, meteorology, vessel and passenger safety, radar and remote sensing systems, communications systems, vessel pursuit and stop, boarding and arrest techniques, investigative and evidence techniques, weaponry  and applications to specific situations such as piracy, drug trafficking and smuggling.</t>
  </si>
  <si>
    <t>Cultural/Archaelogical Resources Protection.</t>
  </si>
  <si>
    <t>A program focusing on the application of law enforcement principles and techniques to the protection of cultural resources and the investigation of related crimes.  Includes instruction in cultural resources law, archaeological standards of value, site damage assessment, evidence collection, surveillance techniques, investigative techniques, case management and preparation.</t>
  </si>
  <si>
    <t>Fire Prevention and Safety Technology/Technician.</t>
  </si>
  <si>
    <t>A program focusing on the application of fire science and technology to problems of reducing fire risk, limiting loss, supervising substance removal, conducting safety inspections and investigations, and advising on matters of safety procedures and fire prevention policy.  Includes instruction in fire behavior, fire simulation, structural risk assessment, materials analysis, detection and suppression systems, smoke management, supply and evacuation, public education, legal aspects of fire prevention, and related research and communications methods.</t>
  </si>
  <si>
    <t>Examples: - Fire Prevention Education, - Fire Risk Prevention and Inspection</t>
  </si>
  <si>
    <t>A program focusing on the principles, theory, and practices associated with the management of fire operations, firefighting services, and community fire issues.  Includes instruction in fire protection history and theory, incident command leadership, administration of public fire organizations, labor relations, emergency medical services management, fire emergency response strategies and mitigation, legal and regulatory responsibilities, budgeting, public relations, and organizational leadership.</t>
  </si>
  <si>
    <t>Examples: - Fire Administration, - Executive Fire Officer, - Fire Service and Management Information Systems</t>
  </si>
  <si>
    <t>A program focusing on the theory and practice of fires and fire-fighting.  Includes instruction in fire chemistry and physics, combustible materials, computer science, building construction, fire codes and related laws, fire hydraulics, fire command, fire prevention/inspection, fire protection systems, fire suppression systems, fire/arson investigation, occupational safety, equipment operation, emergency medicine and communications.</t>
  </si>
  <si>
    <t>Examples: - Fire Science and Analysis, - Firefighter Training</t>
  </si>
  <si>
    <t>Fire Systems Technology.</t>
  </si>
  <si>
    <t>A program focusing on the principles and practice of firefighting systems, building construction and related resources as applied to fire prevention, control, and mitigation.  Includes instruction in fire hydraulics and dynamics, fire protection structures and systems design, fire behavior and combustion, fire protection hydraulics and water supply, fire protection equipment and systems, building construction for fire protection, and fire apparatus.</t>
  </si>
  <si>
    <t>Fire/Arson Investigation and Prevention.</t>
  </si>
  <si>
    <t>A program focusing on the theory and principles of fire combustion and behavior applied to the analysis of fires and their causes.  Includes instruction in fire behavior and combustion, fire dynamics, hazardous materials chemistry, incendiary fire analysis, fire-related human behavior, forensic procedures, investigative techniques, case management and case preparation.</t>
  </si>
  <si>
    <t>Examples: - Arson Prevention and Investigation, - Fire Investigation</t>
  </si>
  <si>
    <t>Wildland/Forest Firefighting and Investigation.</t>
  </si>
  <si>
    <t>A program focusing on the application of fire science, firefighting and investigation to the prevention, control and mitigation of wildland fires and the analysis of causes.  Includes instruction in fire science and behavior, wildland environments, meteorology, wildland fire hydraulics and dynamics, water and chemical supply systems, wildland firefighting operations, airborne firefighting, firebreak engineering, communications systems, wildland arson, forensic procedures, wildland fire prevention, investigation techniques, case management and preparation.</t>
  </si>
  <si>
    <t>Homeland Security.</t>
  </si>
  <si>
    <t>Instructional content for this group of programs is defined in codes 43.0301 - 43.0399.</t>
  </si>
  <si>
    <t>A program focusing on security policy, planning and operations dedicated to the protection of U.S. territory, assets, infrastructure, institutions and citizens from external threats.  Includes instruction in national security policy, government relations, intelligence, law enforcement, security technology, communications and information technology, homeland security planning and operations, disaster planning and applications to specific threat scenarios.</t>
  </si>
  <si>
    <t>Crisis/Emergency/Disaster Management.</t>
  </si>
  <si>
    <t>A program focusing on the application of the incident command system model to formulating and implementing effective response to natural and man-made disasters.  Includes instruction in contingency planning, hazard and risk assessment, joint operations, law and ethics, emergency response and recovery, event mitigation, emergency rescue and medical operations, incident command, terrorism and national security issues, law enforcement, relief administration, volunteer and citizen coordination, public relations and applications to specific types of incidents.</t>
  </si>
  <si>
    <t>Examples: - Disaster Planning and Management, - Emergency and Disaster Mitigation, - Emergency Preparedness and Technology, - Incident Command Systems, - Emergency Training, - Disaster Operations and Recovery, - Integrated Emergency Management, - Disaster Medicine and Management, - Public Health Preparedness and Emergency Management</t>
  </si>
  <si>
    <t>Critical Infrastructure Protection.</t>
  </si>
  <si>
    <t>A program focusing on the design, planning and management of systems and procedures for protecting critical national physical and cyber infrastructure from external threats, including terrorism.  Includes instruction in homeland security policy, critical infrastructure policy, information security, matrix vulnerability assessment, threat assessment, physical security, personnel security, operational security, contingency planning, case analyses of specific industries and systems, redundancy planning, emergency and disaster planning, security systems, and intelligence operations.</t>
  </si>
  <si>
    <t>Terrorism and Counterterrorism Operations.</t>
  </si>
  <si>
    <t>A program focusing on the study of terrorism as a global and national threat and the methods for analyzing and countering it.  Includes instruction in psychology, cultural studies, terrorist history and organization, terrorist capabilities, terrorist finance and international money-laundering, threat assessment, intelligence operations, incident command systems, border security, emergency response, joint operations, surveillance and communications systems, cyberterrorism, weapons of mass destruction, counterterrorist operations, and applications to specific terrorist organizations and threats.</t>
  </si>
  <si>
    <t>Homeland Security, Other.</t>
  </si>
  <si>
    <t>Any instructional program in homeland security not listed above.</t>
  </si>
  <si>
    <t>Examples: - Search and Rescue Technician, - Emergency Telecommunicator, - Emergency Services Communications, - Public Safety Communications</t>
  </si>
  <si>
    <t>Homeland Security, Law Enforcement, Firefighting and Related Protective Services, Other.</t>
  </si>
  <si>
    <t>Any instructional program in homeland security, law enforcement, firefighting, and related protective services not listed above.</t>
  </si>
  <si>
    <t>Instructional content is defined in code 44.0000.</t>
  </si>
  <si>
    <t>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</si>
  <si>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</si>
  <si>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Instructional content for this group of programs is defined in codes 44.0501 - 44.0599.</t>
  </si>
  <si>
    <t>Public Policy Analysis, General.</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</si>
  <si>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</si>
  <si>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Examples: - Public Policy Analysis</t>
  </si>
  <si>
    <t>Education Policy Analysis.</t>
  </si>
  <si>
    <t>A program that focuses on the systematic analysis of public policy issues related to education and educational systems at the local, state, national, and international levels. Includes instruction in social and cultural issues in education, contemporary educational policies, history of education, economics of education, international and comparative education, education and social change, educational research and evaluation methods, and applications to specific public policy topics.</t>
  </si>
  <si>
    <t>Health Policy Analysis.</t>
  </si>
  <si>
    <t>A program that focuses on the systematic analysis of public policy issues related to domestic and international health and health care systems. Includes instruction in contemporary health issues and policies, politics and economics of health care delivery, epidemiology, public health, comparative and global health, medical law and ethics, statistical methods, and applications to specific public policy topics.</t>
  </si>
  <si>
    <t>International Policy Analysis.</t>
  </si>
  <si>
    <t>A program that focuses on the systematic analysis of public policy issues related to relationships among nations and among governments and non-governmental entities. Includes instruction in international politics, governance, financial policy, and security affairs; globalization; economic and social policies of developing nations; and applications to specific public policy topics such as labor and employment, immigration, and human rights.</t>
  </si>
  <si>
    <t>51.2210 - International Public Health/International Health.</t>
  </si>
  <si>
    <t>Public Policy Analysis, Other.</t>
  </si>
  <si>
    <t>Any instructional program in public policy analysis not listed above.</t>
  </si>
  <si>
    <t>51.1503 - Clinical/Medical Social Work.</t>
  </si>
  <si>
    <t>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</si>
  <si>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Any program providing instruction in social  work and related services not listed above.</t>
  </si>
  <si>
    <t>Instructional programs that focus on the systematic study of social systems, social institutions, and social behavior.</t>
  </si>
  <si>
    <t>Instructional content for this group of programs is defined in codes 45.0101 - 45.0102.</t>
  </si>
  <si>
    <t>Research Methodology and Quantitative Methods.</t>
  </si>
  <si>
    <t>A program that focuses on the design of research studies, measurement of variables, data analysis, and formulation of models.  Includes instruction in experimental, quasi-experimental, and case study methods; historical research; participant observation; questionnaire design; sampling theory; and statistical methods.</t>
  </si>
  <si>
    <t>13.0603 - Educational Statistics and Research Methods., 27.0501 - Statistics, General.</t>
  </si>
  <si>
    <t>Examples: - Methodology, Measurement, and Statistics</t>
  </si>
  <si>
    <t>Instructional content for this group of programs is defined in codes 45.0201 - 45.0299.</t>
  </si>
  <si>
    <t>Physical and Biological Anthropology.</t>
  </si>
  <si>
    <t>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</si>
  <si>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Medical Anthropology.</t>
  </si>
  <si>
    <t>A program that focuses on biological, socio-cultural, psychological, and behavioral factors as they relate to health, illness, medical practices, and access to health care services. Includes instruction in ethno-medicine, urban health, international health, psychiatric and psychological anthropology, aging, and health and identity.</t>
  </si>
  <si>
    <t>Cultural Anthropology.</t>
  </si>
  <si>
    <t>A program that focuses on the study of culture and the relationship of culture to other aspects of social life. Includes instruction in cultural anthropology, anthropological theory, enthnography, linguistics, and quantitative and qualitative research methods.</t>
  </si>
  <si>
    <t>Examples: - Cultural Anthropology, - Cultural and Social Anthropology, - Socio-Cultural Anthropology</t>
  </si>
  <si>
    <t>Any instructional program in Anthropology not listed above.</t>
  </si>
  <si>
    <t>30.2201 - Ancient Studies/Civilization., 30.2202 - Classical, Ancient Mediterranean and Near Eastern Studies and Archaeology.</t>
  </si>
  <si>
    <t>Examples: - Archaeometry</t>
  </si>
  <si>
    <t>43.0104 - Criminal Justice/Safety Studies.</t>
  </si>
  <si>
    <t>Instructional content for this group of programs is defined in codes 45.0601 - 45.0699.</t>
  </si>
  <si>
    <t>03.0204 - Natural Resource Economics., 01.0103 - Agricultural Economics., 19.0402 - Consumer Economics., 52.0601 - Business/Managerial Economics.</t>
  </si>
  <si>
    <t>Examples: - Behavioral and Experimental Economics</t>
  </si>
  <si>
    <t>Examples: - Cost Analysis, - Economic Forecasting</t>
  </si>
  <si>
    <t>01.0701 - International Agriculture.</t>
  </si>
  <si>
    <t>52.0806 - International Finance., 52.1101 - International Business/Trade/Commerce., 52.1403 - International Marketing.</t>
  </si>
  <si>
    <t>Examples: - Game Theory</t>
  </si>
  <si>
    <t>Instructional content for this group of programs is defined in codes 45.0701 - 45.0799.</t>
  </si>
  <si>
    <t>Examples: - Environmental Geography, - Physical Geography, - Social Geography</t>
  </si>
  <si>
    <t>Geographic Information Science and Cartography.</t>
  </si>
  <si>
    <t>A program that focuses on the systematic study of map-making and the application of mathematical, computer, and other techniques to the analysis of large amounts of geographic data and the science of mapping geographic information. Includes instruction in cartographic theory and map projections, computer-assisted cartography, geographic information systems, map design and layout, photogrammetry, air photo interpretation, remote sensing, spatial analysis, geodesy, cartographic editing, and applications to specific industrial, commercial, research, and governmental mapping problems.</t>
  </si>
  <si>
    <t>Examples: - Geographic Information Systems (GIS), - Spatial Analysis, - Geomatics, - Remote Sensing</t>
  </si>
  <si>
    <t>Any instructional program in geography not listed above.</t>
  </si>
  <si>
    <t>International Relations and National Security Studies.</t>
  </si>
  <si>
    <t>Instructional content for this group of programs is defined in codes 45.0901 - 45.0999.</t>
  </si>
  <si>
    <t>A program that focuses on the systematic study of international politics and institutions, and the conduct of diplomacy and foreign policy. Includes instruction in international relations theory, foreign policy analysis, international law and organization, the comparative study of specific countries and regions, and the theory and practice of diplomacy.</t>
  </si>
  <si>
    <t>30.2001 - International/Global Studies.</t>
  </si>
  <si>
    <t>Examples: - International Relations, - International Affairs, - Foreign Policy and Diplomacy, - International Relations and Affairs-Economics, - International Relations and Affairs-History, - International Relations and Affairs-Political Science</t>
  </si>
  <si>
    <t>National Security Policy Studies.</t>
  </si>
  <si>
    <t>A program that focuses on the theory and application of intelligence, diplomacy, military power, and related tools of statecraft to national defense policy formulation and power projection.  Includes instruction in history, political theory, public policy analysis, civil-military relations, military and defense studies, homeland security, leadership, threat scenarios, regional and local issues, alliance and coalition issues, defense budgeting and economics, intelligence, and strategy.</t>
  </si>
  <si>
    <t>28.0601 - Strategic Studies, General.</t>
  </si>
  <si>
    <t>Examples: - National Security Studies, - Strategic Studies</t>
  </si>
  <si>
    <t>International Relations and National Security Studies, Other.</t>
  </si>
  <si>
    <t>Any instructional program in international relations and national security studies not listed above.</t>
  </si>
  <si>
    <t>Instructional content for this group of programs is defined in codes 45.1001 - 45.1099.</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</si>
  <si>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</si>
  <si>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</si>
  <si>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Political Economy.</t>
  </si>
  <si>
    <t>A program that focuses on the interaction between politics and economics in the formation of public policy.  Includes instruction in microeconomics; macroeconomics; political theory; American, comparative, and international political economy; and quantitative methods.</t>
  </si>
  <si>
    <t>Examples: - International Political Economy, - Political Economy and Government</t>
  </si>
  <si>
    <t>04.0301 - City/Urban, Community and Regional Planning.</t>
  </si>
  <si>
    <t>Sociology and Anthropology.</t>
  </si>
  <si>
    <t>Instructional content is defined in code 45.1301.</t>
  </si>
  <si>
    <t>A program that combines sociology and anthropology to study how society is organized, the origins and development of social institutions, social change, social organizations, race, class, gender and culture.</t>
  </si>
  <si>
    <t>45.0201 - Anthropology., 45.1101 - Sociology.</t>
  </si>
  <si>
    <t>Rural Sociology.</t>
  </si>
  <si>
    <t>Instructional content is defined in code 45.1401.</t>
  </si>
  <si>
    <t>A program that focuses on the structure and function of rural societies. Includes instruction in sociological theory, research methods, statistics, sociology of agriculture, community development, social and economic development, demography, rural poverty, gender roles in rural societies, and environmental sociology.</t>
  </si>
  <si>
    <t>Examples: - Rural Development Studies</t>
  </si>
  <si>
    <t>Instructional content is defined in code 46.0000.</t>
  </si>
  <si>
    <t>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</si>
  <si>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Examples: - Construction Craft Worker</t>
  </si>
  <si>
    <t>A program that prepares individuals to apply technical knowledge and skills in the laying and/or setting of exterior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</si>
  <si>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Examples: - Bricklayer, - Brick and Stone Mason</t>
  </si>
  <si>
    <t>Examples: - General Carpenter</t>
  </si>
  <si>
    <t>Instructional content for this group of programs is defined in codes 46.0301 - 46.0399.</t>
  </si>
  <si>
    <t>15.0303 - Electrical, Electronic and Communications Engineering Technology/Technician.</t>
  </si>
  <si>
    <t>Examples: - Construction Electrician, - Industrial Electrician</t>
  </si>
  <si>
    <t>Examples: - Power Line Electrician, - Power Lineman, - Powerline Technician, - Powerline Technician (Operating)</t>
  </si>
  <si>
    <t>Instructional content for this group of programs is defined in codes 46.0401 - 46.0499.</t>
  </si>
  <si>
    <t>Building/Property Maintenance.</t>
  </si>
  <si>
    <t>Examples: - Building Maintenance, - Property Maintenance, - Custodial Services</t>
  </si>
  <si>
    <t>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</si>
  <si>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</si>
  <si>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Examples: - Drywall, Acousting and Lathing Applicator, - Drywall and Acoustical Mechanic, - Lather (Interior Systems Mechanic), - Interior Systems Installer, - Wall and Ceiling Installer</t>
  </si>
  <si>
    <t>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</si>
  <si>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Examples: - Erector Mechanic (Glazier), - Glassworker</t>
  </si>
  <si>
    <t>Examples: - Painting (Commercial), - Painter and Decorator, - Painter and Decorator - Commercial and Residential</t>
  </si>
  <si>
    <t>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</si>
  <si>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</si>
  <si>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</si>
  <si>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52.2001 - Construction Management.</t>
  </si>
  <si>
    <t>Carpet, Floor, and Tile Worker.</t>
  </si>
  <si>
    <t>A program that prepares individuals to plan, prepare, install, and repair carpet; linoleum; vinyl; ceramic, marble, quarry, mosaic, and terazzo tiles; and wood materials on floors, walls, and stairs. Includes instruction in measuring, cutting, and installing materials; use of hand and power-operated equipment; estimation of material and labor costs; and safety training.</t>
  </si>
  <si>
    <t>Examples: - Carpet, Flooring, and Tile Technician, - Floorcovering Installer, - Carpet, Linoleum, and Soft Tile Layer, - Carpet/Flooring and Hardwood Technician, - Tiling and Flooring Technician, - Tilesetter, - Terrazzo, Tile and Marble Setter</t>
  </si>
  <si>
    <t>Insulator.</t>
  </si>
  <si>
    <t>A program that prepares individuals to apply insulation materials to pipes, boilers, ducts, refrigeration systems, and related equipment to reduce the passage of heat, cold, sound, or fire. Includes instruction in insulation specifications, measuring and cutting insulating material, applying and securing insulation, installing vapor barriers, insulation system maintenance, asbestos removal and abatement, and safety training.</t>
  </si>
  <si>
    <t>Examples: - Heat and Frost Insulator, - Asbestos Worker/Insulator, - Thermal Insulation Installer, - Boiler and Pipe Insulator, - Firestopping Insulator, - Sound Insulator</t>
  </si>
  <si>
    <t>Building Construction Technology.</t>
  </si>
  <si>
    <t>A program that prepares individuals to apply technical knowledge and skills to residential and commercial building construction and remodeling. Includes instruction in construction equipment and safety; site preparation and layout; construction estimating; blueprint reading; building codes; framing; masonry; heating, ventilation, and air conditioning; electrical and mechanical systems; interior and exterior finishing; and plumbing.</t>
  </si>
  <si>
    <t>Examples: - Construction Technology</t>
  </si>
  <si>
    <t>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</si>
  <si>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Examples: - Sprinkler and Fire Protection Installer, - Sprinkler System Installer, - Steamfitter/Pipefitter</t>
  </si>
  <si>
    <t>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</si>
  <si>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Examples: - Pipefitter - Plumber Specialty</t>
  </si>
  <si>
    <t>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</si>
  <si>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Examples: - Rig Technician, - Derrickhand, - Motorhand</t>
  </si>
  <si>
    <t>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building foundations and demolition of explosives.</t>
  </si>
  <si>
    <t>Any instructional program in plumbing and related water supply services not listed above.</t>
  </si>
  <si>
    <t>Examples: - Elevator Constructor, - Manlift Technician</t>
  </si>
  <si>
    <t>Instructional content is defined in code 47.0000.</t>
  </si>
  <si>
    <t>A program that generally prepares individuals to apply technical knowledge and skills in the adjustment, maintenance, part replacement, and repair of tools, equipment, and machines.</t>
  </si>
  <si>
    <t>Examples: - Electric Motor System Technician, - Electric Motor Winder, - Electrical Rewind Mechanic, - Winder Electrician</t>
  </si>
  <si>
    <t>15.1202 - Computer Technology/Computer Systems Technology.</t>
  </si>
  <si>
    <t>Examples: - Appliance Service Technician</t>
  </si>
  <si>
    <t>A program that prepares individuals to apply technical knowledge and skills to install and repair household, business, and industrial security alarms, sensors, video and sound recording devices, identification systems, protective barriers, and related technologies.</t>
  </si>
  <si>
    <t>Heating, Air Conditioning, Ventilation and Refrigeration Maintenance Technology/Technician.</t>
  </si>
  <si>
    <t>15.0501 - Heating, Ventilation, Air Conditioning and Refrigeration Engineering Technology/Technician.</t>
  </si>
  <si>
    <t>Examples: - Heating and Air Conditioning Maintenance Technology/Technician (HAC), - Heating, Air Conditioning, and Refrigeration Maintenance Technology/Technician (HACR), - Heating, Ventilation, and Air Conditioning Maintenance Technology/Technician (HVAC), - Heating, Air Conditioning, Ventilation, and Refrigeration Maintenance Technology/Technician (HVACR), - Oil Burner Mechanic, - Refrigeration Mechanic, - Refrigeration and Air Conditioning Mechanic, - Refrigeration and Air Conditioning Systems Mechanic</t>
  </si>
  <si>
    <t>Examples: - Heavy Duty Equipment Mechanic, - Heavy Duty Equipment Technician, - Heavy Duty Equipment Technician (Off Road), - Heavy Equipment Service Technician</t>
  </si>
  <si>
    <t>Examples: - Industrial Plant Technician, - Industrial Equipment Technology, - Industrial Mechanic, - Millwright</t>
  </si>
  <si>
    <t>A program that prepares individuals to apply technical knowledge and skills to maintain inventory control, care for inventory, and make minor repairs to warehouse equipment.</t>
  </si>
  <si>
    <t>Examples: - Automotive Partsperson, - Parts Technician, - Partsperson</t>
  </si>
  <si>
    <t>Examples: - Sports Equipment Fabrication and Repair Technician</t>
  </si>
  <si>
    <t>Instructional content for this group of programs is defined in codes 47.0600 - 47.0699.</t>
  </si>
  <si>
    <t>Vehicle Maintenance and Repair Technologies, General.</t>
  </si>
  <si>
    <t>A program that generally prepares individuals to apply technical knowledge and skills in the adjustment, maintenance, part replacement, and repair of vehicles and mobile equipment.</t>
  </si>
  <si>
    <t>Examples: - Auto Body Refinisher, - Auto Body Technician, - Automotive Collision Repair Technician, - Automotive Painter, - Automotive Refinishing Technician, - Motor Vehicle Body Painter, - Motor Vehicle Body Refinisher, - Motor Vehicle Body Refinisher Sub-Trade, - Painting (autobody)</t>
  </si>
  <si>
    <t>15.0803 - Automotive Engineering Technology/Technician.</t>
  </si>
  <si>
    <t>Examples: - Automotive Service Technician, - Motor Vehicle Mechanic</t>
  </si>
  <si>
    <t>15.0801 - Aeronautical/Aerospace Engineering Technology/Technician.</t>
  </si>
  <si>
    <t>Examples: - Motorcycle Mechanic</t>
  </si>
  <si>
    <t>A program that prepares individuals to apply technical knowledge and skills to test, repair, service, and maintain vehicle emission systems in accordance with relevant laws and regulations.</t>
  </si>
  <si>
    <t>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</si>
  <si>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Examples: - Commercial Trailer Mechanic, - Transport Trailer Technician, - Truck and Coach Technician, - Truck and Transport Mechanic, - Truck-Trailer Service Technician, - Commercial Transport Vehicle Mechanic</t>
  </si>
  <si>
    <t>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</si>
  <si>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</si>
  <si>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</si>
  <si>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High Performance and Custom Engine Technician/Mechanic.</t>
  </si>
  <si>
    <t>A program that prepares individuals to apply technical knowledge and skills to increase the power of diesel and automotive engines; enhance the performance of automobiles; and repair, service, and maintain high performance vehicles. Includes instruction in adding performance accessories; modifying powertrains; tuning custom engines, suspension, and exhaust systems; and using dynamometers and other diagnostic equipment.</t>
  </si>
  <si>
    <t>Examples: - High Performance Powertrain Technician/Mechanic, - Automotive High Performance Technician/Mechanic</t>
  </si>
  <si>
    <t>Recreation Vehicle (RV) Service Technician.</t>
  </si>
  <si>
    <t>A program that prepares individuals to apply technical knowledge and skills to build, test, inspect, repair, service and maintain recreational vehicles, systems, and interior and exterior components. Includes instruction in brake, hydraulic, and towing systems; electrical systems; propane systems and propane and electric appliances; carpentry; plumbing; welding; and structural frames.</t>
  </si>
  <si>
    <t>Examples: - Recreation Vehicle (RV) Mechanic, - Recreation Vehicle (RV) Service Technician, - Recreation Vehicle (RV) Technician</t>
  </si>
  <si>
    <t>Instructional content is defined in code 48.0000.</t>
  </si>
  <si>
    <t>A program that generally prepares individuals to apply technical knowledge and skills in creating products using precision crafting and technical illustration.</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</si>
  <si>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</si>
  <si>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Examples: - General Machinist, - Machinist</t>
  </si>
  <si>
    <t>Examples: - Sheet Metal Worker</t>
  </si>
  <si>
    <t>Examples: - Tool and Die Maker</t>
  </si>
  <si>
    <t>15.0614 - Welding Engineering Technology/Technician.</t>
  </si>
  <si>
    <t>Examples: - Arc Welding, - Flux-Core Arc Welding, - Gas Metal Arc Welding, - Gas Tungsten Arc Welding, - Shielded Metal Arc Welding, - Structural Steel Welding, - Tungsten Inert Gas (TIG) Welding, - Pipe Welding, - Wire Welding, - Industrial Welder, - Welder, - Metal Inert Gas (MIG) Welding</t>
  </si>
  <si>
    <t>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</si>
  <si>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Examples: - Ironworker (Generalist), - Ironworker (Reinforcing), - Ironworker (Structural/Ornamental), - Ironworker Reinforcing Rebar, - Ironworker Rodworker</t>
  </si>
  <si>
    <t>Computer Numerically Controlled (CNC) Machinist Technology/CNC Machinist.</t>
  </si>
  <si>
    <t>A program that prepares individuals to apply technical knowledge and skills to operate computer numerically controlled (CNC) machine tools, such as lathes, mills, precision measuring tools, and related attachments and accessories, to perform machining functions, such as cutting, drilling, shaping, and finishing products and component parts. Includes instruction in CNC terminology, setup, programming, operations, and troubleshooting; blueprint reading; machining; lathe and mill operations; technical mathematics; computer literacy; CAD/CAM systems; shop and safety practices; equipment capabilities; and regulations and laws.</t>
  </si>
  <si>
    <t>Metal Fabricator.</t>
  </si>
  <si>
    <t>A program that prepares individuals to apply technical knowledge and skills to further process ferrous and/or non-ferrous metal plates or shapes, and to manufacture and/or install products as interpreted through technical drawings. Includes instruction in trade tools, shop equipment, reading and interpreting blueprints, material handling, welding, thermal cutting, metallurgy, template pattern development, plate and structural fabrication, destructive and non-destructive testing, inspection, shipment preparation and fabrication installation.</t>
  </si>
  <si>
    <t>Examples: - Metal Fabricator, - Steel Fabricator, - Steel Fabricator (Fitter), - Structural Steel and Plate Fitter</t>
  </si>
  <si>
    <t>Instructional content for this group of programs is defined in codes 48.0701 - 48.0799.</t>
  </si>
  <si>
    <t>46.0201 - Carpentry/Carpenter.</t>
  </si>
  <si>
    <t>A program that prepares individuals to apply technical knowledge and skills to prepare and execute furniture design projects, assemble and finish furniture articles or subassemblies, repair furniture, and use a variety of hand and power tools.</t>
  </si>
  <si>
    <t>Cabinetmaking and Millwork.</t>
  </si>
  <si>
    <t>Examples: - Cabinetmaker, - Joiner</t>
  </si>
  <si>
    <t>Instructional content is defined in code 48.0801.</t>
  </si>
  <si>
    <t>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</si>
  <si>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Examples: - Construction Boilermaker</t>
  </si>
  <si>
    <t>Examples: - Diamond Cutting, - Diamond Polishing, - Diamond Cutting and Polishing</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</si>
  <si>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</si>
  <si>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</si>
  <si>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 program that prepares individuals to apply technical knowledge and skills to the training of pilots or navigators, to prepare them to fly and/or navigate commercial passenger and cargo, agricultural, public service, corporate and rescue aircraft, and fixed or rotary wing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</si>
  <si>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01.0204 - Agricultural Power Machinery Operation.</t>
  </si>
  <si>
    <t>Truck and Bus Driver/Commercial Vehicle Operator and Instructor.</t>
  </si>
  <si>
    <t>A program that prepares individuals to apply technical knowledge and skills to drive trucks and buses, delivery vehicles, for-hire vehicles and other commercial vehicles, or to instruct commerical vehicle operators.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</si>
  <si>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</si>
  <si>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Examples: - Crane and Hoist Operator, - Crane and Hoisting Equipment Operator, - Crane Operator, - Mobile Crane Operator</t>
  </si>
  <si>
    <t>Flagging and Traffic Control.</t>
  </si>
  <si>
    <t>A program that prepares individuals to control the movement of traffic through construction and maintenance zones and to protect the safety of work crews, drivers, and pedestrians. Includes instruction in flagging duties and responsibilities, the traffic control zone, flagging signals, pavement markers, freeway flagging, utility flagging, emergency response flagging, and night traffic control.</t>
  </si>
  <si>
    <t>Railroad and Railway Transportation.</t>
  </si>
  <si>
    <t>A program that prepares individuals to apply technical knowledge and skills to the operation of railroads and other aspects of the railway industry, including railroad and railyard service. Includes instruction in railway culture, operating skills, General Code of Operation rules, conductor service, signal systems, switching, transportation of hazardous materials, safety, and railway telecommunications systems.</t>
  </si>
  <si>
    <t>Examples: - Railway Operations, - Railroad Conductor, - Locomotive Engineer, - Brakeman/Brakewoman, - Railway Dispatcher, - Yardmaster, - Railroad Maintenance of Way Welding</t>
  </si>
  <si>
    <t>03.0301 - Fishing and Fisheries Sciences and Management.</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</si>
  <si>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</si>
  <si>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Instructional content for this group of programs is defined in codes 50.0101 - 50.0102.</t>
  </si>
  <si>
    <t>Digital Arts.</t>
  </si>
  <si>
    <t>A general, undifferentiated program that focuses on the use of computerized digital images as the primary medium of expression in the visual and performing arts, and that may prepare individuals for a wide variety of careers using new media, including graphic design, digital animation, motion graphics, 3D visualization, game and interactive media design, music and sound design, video production, web design, photography, and other fields.</t>
  </si>
  <si>
    <t>09.0702 - Digital Communication and Media/Multimedia.</t>
  </si>
  <si>
    <t>Examples: - Digital Art</t>
  </si>
  <si>
    <t>Examples: - Dance Movement Studies</t>
  </si>
  <si>
    <t>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</si>
  <si>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Any instructional program in dance not listed above.</t>
  </si>
  <si>
    <t>09.0903 - Advertising.</t>
  </si>
  <si>
    <t>Examples: - Sign Painting, - Commercial Art Painting</t>
  </si>
  <si>
    <t>Industrial and Product Design.</t>
  </si>
  <si>
    <t>19.0902 - Apparel and Textile Manufacture.</t>
  </si>
  <si>
    <t>A program in the applied visual arts that prepares individuals to apply artistic principles and techniques to the professional planning, designing, equipping, and furnishing of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</si>
  <si>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04.0501 - Interior Architecture., 19.0601 - Housing and Human Environments, General.</t>
  </si>
  <si>
    <t>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multimedia applications, communication skills and commercial art business operations.</t>
  </si>
  <si>
    <t>10.0301 - Graphic Communications, General.</t>
  </si>
  <si>
    <t>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</si>
  <si>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51.2703 - Medical Illustration/Medical Illustrator.</t>
  </si>
  <si>
    <t>Game and Interactive Media Design.</t>
  </si>
  <si>
    <t>A program that focuses on the design, development, and programming of interactive media entertainment, including computer and video games, virtual environments,  Internet applications, and other interactive media. Includes instruction in theory of games, turn-based games, real-time games, visual and interactive design, story development, animation, simulation, and programming.</t>
  </si>
  <si>
    <t>11.0804 - Modeling, Virtual Environments and Simulation.</t>
  </si>
  <si>
    <t>Examples: - Game Design, - Game Development</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</si>
  <si>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t>
  </si>
  <si>
    <t>Examples: - Scene Painting</t>
  </si>
  <si>
    <t>A program that focuses on the principles and techniques for communicating dramatic information, ideas, moods, and feelings through the composition of creative written works for the theatre, film, and/or television. Includes instruction in creative writing craft, scene writing, script development, stage and/or camera instructions, line and moment analysis, script reading, script editing, and the creation of full productions.</t>
  </si>
  <si>
    <t>Examples: - Dramatic Writing, - Writing for Screen and Television</t>
  </si>
  <si>
    <t>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</si>
  <si>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</si>
  <si>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Moved from 50.0508 to 50.1004</t>
  </si>
  <si>
    <t>Musical Theatre.</t>
  </si>
  <si>
    <t>A program that focuses on the principles and techniques for integrating theatre, music, and dance into a unified production. Includes instruction in acting, dance, voice, technical theater, musical genres, piano, and history of musical theater.</t>
  </si>
  <si>
    <t>Costume Design.</t>
  </si>
  <si>
    <t>A program that prepares individuals to design and select costumes for characters in theatre and the performing arts and to serve as part of a production team. Includes instruction in costume design, script analysis, theory and criticism, period styles, history of costume, stage makeup, rendering, and costume construction.</t>
  </si>
  <si>
    <t>Film/Cinema/Video Studies.</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</si>
  <si>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media technologies, computer image making, multi-media production, and the planning and management of film/video operations.</t>
  </si>
  <si>
    <t>Examples: - Cinema Production</t>
  </si>
  <si>
    <t>A program that focuses on the principles and techniques of communicating information, ideas, moods, and feelings through the creation of images on photographic film, plates, and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</si>
  <si>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09.0404 - Photojournalism.</t>
  </si>
  <si>
    <t>Documentary Production.</t>
  </si>
  <si>
    <t>A program that prepares individuals to produce nonfiction film and video. Includes instruction in film and video writing, directing, and production; film studies; history of the documentary; research techniques; videography; editing; and business aspects of film production.</t>
  </si>
  <si>
    <t>Fine and Studio Arts.</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</si>
  <si>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</si>
  <si>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Moved from 50.0704 to 50.1002</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</si>
  <si>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</si>
  <si>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Examples: - Painting (Fine Art)</t>
  </si>
  <si>
    <t>14.0601 - Ceramic Sciences and Engineering.</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</si>
  <si>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</si>
  <si>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Examples: - Glass Making</t>
  </si>
  <si>
    <t>Keyboard Instruments.</t>
  </si>
  <si>
    <t>Examples: - Piano, - Organ, - Harpsichord</t>
  </si>
  <si>
    <t>Moved from 50.0909 to 50.1003</t>
  </si>
  <si>
    <t>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</si>
  <si>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Stringed Instruments.</t>
  </si>
  <si>
    <t>A program that prepares individual to master a stringed instrument and performing arts as solo, ensemble and/or accompanist performers.  Includes instruction in playing and personal style development.</t>
  </si>
  <si>
    <t>Examples: - Violin, - Viola, - Double Bass, - Guitar, - Banjo, - Harp</t>
  </si>
  <si>
    <t>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</si>
  <si>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Technology.</t>
  </si>
  <si>
    <t>A program that focuses on the creative aspects of the blending of music and technology; and that prepares individuals to apply technical knowledge and skills to the composition, recording, synthesis, and performance of music; audio-visual production; scoring for film and multimedia; and software and multimedia development. Includes instruction in music theory, music history, composition, acoustics, recording technology, computer composition, electronic music synthesis, technology-based performance, 3D sound and spatial audio, and music business and law.</t>
  </si>
  <si>
    <t>10.0203 - Recording Arts Technology/Technician.</t>
  </si>
  <si>
    <t>Brass Instruments.</t>
  </si>
  <si>
    <t>A program that prepares individuals to master a brass instrument and performing art as solo, ensemble, and/or accompanist performers. Includes instruction in playing and personal style development.</t>
  </si>
  <si>
    <t>Examples: - Trumpet, - Horn, - Trombone, - Euphonium/Baritone, - Tuba</t>
  </si>
  <si>
    <t>Woodwind Instruments.</t>
  </si>
  <si>
    <t>A program that prepares individuals to master a woodwind instrument and performing art as solo, ensemble, and/or accompanist  performers. Includes instruction in playing and personal style development.</t>
  </si>
  <si>
    <t>Examples: - Flute, - Oboe, - Clarinet, - Bassoon, - Saxophone</t>
  </si>
  <si>
    <t>Percussion Instruments.</t>
  </si>
  <si>
    <t>A program that prepares individuals to master percussion instruments and performing art for a variety of musical settings, including orchestral, solo, chamber, commercial, or nontraditional. Includes instruction in playing and personal style development.</t>
  </si>
  <si>
    <t>Examples: - Bass Drum, - Snare Drum, - Timpani, - Vibraphone</t>
  </si>
  <si>
    <t>Arts, Entertainment,and Media Management.</t>
  </si>
  <si>
    <t>Instructional content for this group of programs is defined in codes 50.1001 - 50.1099.</t>
  </si>
  <si>
    <t>Arts, Entertainment,and Media Management, General.</t>
  </si>
  <si>
    <t>A program that prepares individuals to organize and manage various aspects of the visual arts, performing arts, and entertainment media industries.  Includes instruction in business and financial management, marketing and fund-raising, labor relations for the arts, event promotion and management, product and artist management, and applicable law.</t>
  </si>
  <si>
    <t>Examples: - Entertainment Business, - Performing Arts Administration</t>
  </si>
  <si>
    <t>Fine and Studio Arts Management.</t>
  </si>
  <si>
    <t>A program that prepares individuals to organize and manage fine and studio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</si>
  <si>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30.1401 - Museology/Museum Studies.</t>
  </si>
  <si>
    <t>Examples: - Visual Arts Management</t>
  </si>
  <si>
    <t>Music Management.</t>
  </si>
  <si>
    <t>Examples: - Music Merchandising</t>
  </si>
  <si>
    <t>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</si>
  <si>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Arts, Entertainment, and Media Management, Other.</t>
  </si>
  <si>
    <t>Any instructional program in arts, entertainment, and media management not listed above.</t>
  </si>
  <si>
    <t>HEALTH PROFESSIONS AND RELATED PROGRAMS.</t>
  </si>
  <si>
    <t>Instructional programs that prepare individuals to practice as licensed professionals and assistants in the health care professions and related clinical sciences and administrative and support services.</t>
  </si>
  <si>
    <t>Instructional content for this group of programs is defined in codes 51.0000 - 51.0001.</t>
  </si>
  <si>
    <t>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</si>
  <si>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Health and Wellness, General.</t>
  </si>
  <si>
    <t>A program of study that prepares individuals to assume roles as health/wellness professionals in private business and industry, community organizations, and health care settings. Includes instruction in personal health, community health and welfare, nutrition, epidemiology, disease prevention, fitness and exercise, and health behaviors.</t>
  </si>
  <si>
    <t>31.0501 - Health and Physical Education/Fitness, General.</t>
  </si>
  <si>
    <t>Examples: - Health and Wellness, - Health Promotion and Wellness, - Exercise Science and Wellness, - Wellness, Health Promotion and Injury Prevention</t>
  </si>
  <si>
    <t>Chiropractic.</t>
  </si>
  <si>
    <t>Instructional content is defined in code 51.0101.</t>
  </si>
  <si>
    <t>Examples: - Chiropractic (DC)</t>
  </si>
  <si>
    <t>Instructional content for this group of programs is defined in codes 51.0201 - 51.0299.</t>
  </si>
  <si>
    <t>Communication Sciences and Disorders, General.</t>
  </si>
  <si>
    <t>A program that focuses on the application of biomedical, psychological, and physical principles to the study of the scientific bases,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</si>
  <si>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Examples: - Communication Sciences, - Communication Disorders, - Communication Sciences and Disorders</t>
  </si>
  <si>
    <t>Audiology/Audiologist.</t>
  </si>
  <si>
    <t>A program that prepares individuals to diagnose and treat hearing loss and other disorders involving the ear,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</si>
  <si>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Examples: - Audiology and Hearing Sciences</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</si>
  <si>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</si>
  <si>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Examples: - Speech Pathology, - Speech-Language Pathology</t>
  </si>
  <si>
    <t>An integrated program that prepares individuals to work as both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</si>
  <si>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Examples: - Audiology and Speech Pathology, - Audiology and Speech-Language Pathology</t>
  </si>
  <si>
    <t>16.1601 - American Sign Language (ASL)., 51.0816 - Speech-Language Pathology Assistant., 51.0918 - Hearing Instrument Specialist., 05.0211 - Deaf Studies.</t>
  </si>
  <si>
    <t>Examples: - Child Speech-Language Disorders, - Pre-Speech Language Pathology and Audiology</t>
  </si>
  <si>
    <t>Dentistry.</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</si>
  <si>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</si>
  <si>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Examples: - Dentistry (DDS, DMD)</t>
  </si>
  <si>
    <t>Advanced/Graduate Dentistry and Oral Sciences.</t>
  </si>
  <si>
    <t>Instructional content for this group of programs is defined in codes 51.0501 - 51.0599.</t>
  </si>
  <si>
    <t>Dental Clinical Sciences, General.</t>
  </si>
  <si>
    <t>Examples: - Dental Clinical Sciences, General (MS), - Dental Clinical Sciences, General (PhD)</t>
  </si>
  <si>
    <t>Advanced General Dentistry.</t>
  </si>
  <si>
    <t>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</si>
  <si>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Examples: - Advanced General Dentistry (Cert.), - Advanced General Dentistry (MS), - Advanced General Dentistry (PhD)</t>
  </si>
  <si>
    <t>Oral Biology and Oral and Maxillofacial Pathology.</t>
  </si>
  <si>
    <t>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</si>
  <si>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Examples: - Oral Biology and Oral and Maxillofacial Pathology (MS), - Oral Biology and Oral and Maxillofacial Pathology (PhD), - Oral and Craniofacial Biology, - Craniofacial Biology, - Oral Biology and Oral Pathology</t>
  </si>
  <si>
    <t>Dental Public Health and Education.</t>
  </si>
  <si>
    <t>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</si>
  <si>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Examples: - Dental Public Health and Education (Cert.), - Dental Public Health and Education (MS, MPH), - Dental Public Health and Education (PhD, DPH)</t>
  </si>
  <si>
    <t>Dental Materials.</t>
  </si>
  <si>
    <t>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</si>
  <si>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Examples: - Dental Materials (MS), - Dental Materials (PhD)</t>
  </si>
  <si>
    <t>Endodontics/Endodontology.</t>
  </si>
  <si>
    <t>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</si>
  <si>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Examples: - Endodontics/Endodontology (Cert.), - Endodontics/Endodontology (MS), - Endodontics/Endodontology (PhD)</t>
  </si>
  <si>
    <t>Oral/Maxillofacial Surgery.</t>
  </si>
  <si>
    <t>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</si>
  <si>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Examples: - Oral/Maxillofacial Surgery (Cert.), - Oral/Maxillofacial Surgery (MS), - Oral/Maxillofacial Surgery (PhD)</t>
  </si>
  <si>
    <t>Orthodontics/Orthodontology.</t>
  </si>
  <si>
    <t>A program that focuses on the advanced study of the guidance of growing dental structures and the correction of misalignments, disproportionate growth, and traumas caused by genetics, disease, injuries, and dysfunctional behaviors. Includes instruction in craniofacial growth and development, malocclusion, design and fabrication of orthodontic appliances, craniofacial alignment, physiological function and analysis, cephalometrics, model analysis, space analysis, surgical orthodontics, cleft lip and palate, and treatment planning and management.</t>
  </si>
  <si>
    <t>Examples: - Orthodontics/Orthodontology (Cert.), - Orthodontics/Orthodontology (MS), - Orthodontics/Orthodontology (PhD), - Orthodontics and Dentofacial Orthopedics</t>
  </si>
  <si>
    <t>Pediatric Dentistry/Pedodontics.</t>
  </si>
  <si>
    <t>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</si>
  <si>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Examples: - Pediatric Dentistry/Pedodontics (Cert.), - Pediatric Dentistry/Pedodontics (MS), - Pediatric Dentistry/Pedodontics (PhD)</t>
  </si>
  <si>
    <t>Periodontics/Periodontology.</t>
  </si>
  <si>
    <t>A program that focuses on the advanced study of the etiology and treatment of diseases of the gingivae (gum tissue) and supporting bone, nerve, and vascular structures.  Includes instruction in periodontium pathology, diagnostic procedures and equipment, occulsion, nutritional aspects of periodontology, surgical treatments, and patient care and management.</t>
  </si>
  <si>
    <t>Examples: - Periodontics/Periodontology (Cert.), - Periodontics/Periodontology (MS), - Periodontics/Periodontology (PhD)</t>
  </si>
  <si>
    <t>Prosthodontics/Prosthodontology.</t>
  </si>
  <si>
    <t>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</si>
  <si>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Examples: - Prosthodontics/Prosthodontology (Cert.), - Prosthodontics/Prosthodontology (MS), - Prosthodontics/Prosthodontology (PhD)</t>
  </si>
  <si>
    <t>Any instructional program in advanced/graduate dentistry and oral sciences not listed above.</t>
  </si>
  <si>
    <t>Instructional content for this group of programs is defined in codes 51.0601 - 51.0699.</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</si>
  <si>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</si>
  <si>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Instructional content for this group of programs is defined in codes 51.0701 - 51.0799.</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</si>
  <si>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</si>
  <si>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</si>
  <si>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</si>
  <si>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</si>
  <si>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</si>
  <si>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</si>
  <si>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Examples: - Veterinary Receptionist</t>
  </si>
  <si>
    <t>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</si>
  <si>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</si>
  <si>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</si>
  <si>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t>
  </si>
  <si>
    <t>Examples: - Dental Secretary, - Veterinary Secretary, - Veterinary Office Administration</t>
  </si>
  <si>
    <t>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</si>
  <si>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Long Term Care Administration/Management.</t>
  </si>
  <si>
    <t>A program that prepares individuals to apply managerial principles to the administration of nursing homes, assisted living facilities, adult day care, home health services, and other long term care settings and agencies serving the elderly and disabled. Includes instruction in social and clinical aspects of aging, health care delivery systems, nursing home administration, assisted living administration, aging policy and government programs, ethics, business management, financial management, human resource management, marketing, and applicable laws and regulations.</t>
  </si>
  <si>
    <t>Examples: - Aging Services Management</t>
  </si>
  <si>
    <t>Clinical Research Coordinator.</t>
  </si>
  <si>
    <t>A program that prepares individuals for careers as clinical research administrators or clinical research coordinators where they work under the supervision of a Principal Investigator to organize, coordinate and administer clinical research trials. Includes instruction in pharmacology, medical terminology, foundations of clinical research, project management, ethics, research design and data management, and legal and regulatory compliance .</t>
  </si>
  <si>
    <t>51.1005 - Clinical Laboratory Science/Medical Technology/Technologist.</t>
  </si>
  <si>
    <t>Examples: - Clinical Research Trial Coordination, - Clinical Trials Research, - Clinical Trials Management</t>
  </si>
  <si>
    <t>Instructional content for this group of programs is defined in codes 51.0801 - 51.0899.</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</si>
  <si>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</si>
  <si>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Physical Therapy Technician/Assistant.</t>
  </si>
  <si>
    <t>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</si>
  <si>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</si>
  <si>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51.0904 - Emergency Medical Technology/Technician (EMT Paramedic).</t>
  </si>
  <si>
    <t>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</si>
  <si>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</si>
  <si>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</si>
  <si>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Radiologist Assistant.</t>
  </si>
  <si>
    <t>A program that prepares individuals, under the supervision of a physician, to perform patient assessment, patient management, selected imaging procedures and to make initial observations of diagnostic images. Includes instruction in radiologic procedures and techniques, cross sectional anatomy, pharmacology, pathophysiology, patient assessment, patient care and management, and radiation biology.</t>
  </si>
  <si>
    <t>Lactation Consultant.</t>
  </si>
  <si>
    <t>A program that prepares individuals to provide lactation management services and breastfeeding support to women, and to work as a Lactation Consultant in a variety of clinical settings. Includes instruction in anatomy and physiology of lactation, nutrition, breastfeeding techniques and technologies, common concerns and solutions, management of special situations, breastfeeding instruction, professional and legal concerns, and advocacy.</t>
  </si>
  <si>
    <t>Examples: - Lactation Education, - Lactation Counselor, - Lactation Management</t>
  </si>
  <si>
    <t>Speech-Language Pathology Assistant.</t>
  </si>
  <si>
    <t>A program that prepares individuals, under the supervision of speech-language pathologists, to assist in the provision of speech-language pathology services to individuals of all ages, including screenings and assessments, following treatment plans or protocols, documenting and reporting patient performance, performing checks and maintenance of equipment, and providing support in research projects.  Includes instruction in speech and language development, phonetics, childhood and adult communication disorders, speech and hearing screening, and clinical procedures in speech-language pathology.</t>
  </si>
  <si>
    <t>13.1012 - Education/Teaching of Individuals with Speech or Language Impairments., 51.0203 - Speech-Language Pathology/Pathologist., 51.0204 - Audiology/Audiologist and Speech-Language Pathology/Pathologist.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</si>
  <si>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</si>
  <si>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51.0810 - Emergency Care Attendant (EMT Ambulance).</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</si>
  <si>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</si>
  <si>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</si>
  <si>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51.1012 - Sterile Processing Technology/Technician.</t>
  </si>
  <si>
    <t>Examples: - Vascular Sonography</t>
  </si>
  <si>
    <t>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</si>
  <si>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and behavioral medicine; the delivery of health care services to homebound patients, rural populations, and underserved populations; and community health services.</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</si>
  <si>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t>
  </si>
  <si>
    <t>26.0908 - Exercise Physiology., 31.0505 - Kinesiology and Exercise Science., 31.0507 - Physical Fitness Technician.</t>
  </si>
  <si>
    <t>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</si>
  <si>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51.1509 - Genetic Counseling/Counselor., 26.0806 - Human/Medical Genetics.</t>
  </si>
  <si>
    <t>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</si>
  <si>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</si>
  <si>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Polysomnography.</t>
  </si>
  <si>
    <t>A program that prepares individuals to work under the supervision of a physician to provide comprehensive evaluation and treatment of sleep disorders. Includes instruction in human anatomy and physiology, polysomnographic technology, polysomnography scoring, neuroanatomy and neurophysiology of sleep, sleep disorders, and medical terminology.</t>
  </si>
  <si>
    <t>Examples: - Polysomnography, - Polysomnography/Sleep Technology</t>
  </si>
  <si>
    <t>Hearing Instrument Specialist.</t>
  </si>
  <si>
    <t>A program that prepares individuals to test the hearing of, and to select, fit and dispense appropriate hearing aids for, patients. Includes instruction in acoustics, anatomy and physiology of the ear, hearing testing, hearing aid fitting and technology, health promotion and rehabilitation, counseling and communication, business management, and professional ethics.</t>
  </si>
  <si>
    <t>Examples: - Hearing Aid Technician</t>
  </si>
  <si>
    <t>Mammography Technician/Technology.</t>
  </si>
  <si>
    <t>A program that prepares registered radiographers to become registered mammographers. Includes instruction in anatomy and physiology, mammography instrumentation, mammography positioning, principles and procedures of mammography, and quality assurance.</t>
  </si>
  <si>
    <t>Examples: - Mammography, - Breast Imaging and Mammography</t>
  </si>
  <si>
    <t>Magnetic Resonance Imaging (MRI) Technology/Technician.</t>
  </si>
  <si>
    <t>A program that prepares individuals who are AART-certified radiological technicians to utilize MRI technology to obtain still and moving images of various vascular structures in the human body that aid the physician in the diagnosis or treatment of disease and injury. Includes instruction in MRI imaging, sectional anatomy and pathology, MRI technology, MRI techniques and procedures, MRI physics, and clinical training.</t>
  </si>
  <si>
    <t>Clinical/Medical Laboratory Science/Research and Allied Professions.</t>
  </si>
  <si>
    <t>Instructional content for this group of programs is defined in codes 51.1001 - 51.1099.</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</si>
  <si>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</si>
  <si>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41.0101 - Biology Technician/Biotechnology Laboratory Technician., 51.0802 - Clinical/Medical Laboratory Assistant.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</si>
  <si>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data development and reporting, medical informatics, and professional standards and regulations.</t>
  </si>
  <si>
    <t>51.0719 - Clinical Research Coordinator.</t>
  </si>
  <si>
    <t>A program that prepares individuals, under the supervision of ophthalmologists and optometrists, to cut, grind, edge, and finish corrective lenses and to fabricate eyewear.  Includes instruction in optical theory, applied mathematics, lens surfacing and finishing, tinting and coating, impact resistance treatment and testing, frame construction and repair, prescription interpretation, equipment operation and maintenance, follow-up adjustment, record-keeping, and laboratory safety procedures.</t>
  </si>
  <si>
    <t>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</si>
  <si>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</si>
  <si>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Phlebotomy Technician/Phlebotomist.</t>
  </si>
  <si>
    <t>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</si>
  <si>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</si>
  <si>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26.0806 - Human/Medical Genetics.</t>
  </si>
  <si>
    <t>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</si>
  <si>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Sterile Processing Technology/Technician.</t>
  </si>
  <si>
    <t>A program that prepares individuals to clean, sterilize, and assemble surgical instruments, equipment, and supplies for use in operating rooms and other medical and surgical facilities. Includes instruction in sterilization; infection control; decontamination; and surgical instrumentation processing, distribution, and record-keeping.</t>
  </si>
  <si>
    <t>51.0909 - Surgical Technology/Technologist.</t>
  </si>
  <si>
    <t>Examples: - Pharmaceutical Technician</t>
  </si>
  <si>
    <t>A program that prepares individuals for admission to a professional program in dentistry.</t>
  </si>
  <si>
    <t>A program that prepares individuals for admission to a professional program in medicine, osteopathic medicine, or podiatric medicine.</t>
  </si>
  <si>
    <t>A program that prepares individuals for admission to a professional program in pharmacy.</t>
  </si>
  <si>
    <t>A program that prepares individuals for admission to a professional program in veterinary medicine.</t>
  </si>
  <si>
    <t>A program that prepares individuals for admission to a professional program in Nursing.</t>
  </si>
  <si>
    <t>Pre-Chiropractic Studies.</t>
  </si>
  <si>
    <t>A program that prepares individuals for admission to a professional program in chiropractic medicine.</t>
  </si>
  <si>
    <t>Pre-Occupational Therapy Studies.</t>
  </si>
  <si>
    <t>A program that prepares individuals for admission to a professional program in occupational therapy.</t>
  </si>
  <si>
    <t>Pre-Optometry Studies.</t>
  </si>
  <si>
    <t>A program that prepares individuals for admission to a professional program in optometry.</t>
  </si>
  <si>
    <t>Pre-Physical Therapy Studies.</t>
  </si>
  <si>
    <t>A program that prepares individuals for admission to a professional program in physical therapy.</t>
  </si>
  <si>
    <t>Any instructional program in health and medical professional preparation not listed above.</t>
  </si>
  <si>
    <t>Medicine.</t>
  </si>
  <si>
    <t>Examples: - Medicine (MD)</t>
  </si>
  <si>
    <t>Instructional content is defined in code 51.1401.</t>
  </si>
  <si>
    <t>Medical Scientist.</t>
  </si>
  <si>
    <t>An undifferentiated clinical science program that prepares clinicians to conduct clinical and translational research in various areas. Note: programs that prepare clinicians to conduct research in specific scientific fields should report under the relevant CIP code series (e.g., Series 26 Biological and Biomedical Sciences).</t>
  </si>
  <si>
    <t>Examples: - Medical Scientist (MS), - Medical Scientist (PhD)</t>
  </si>
  <si>
    <t>44.0701 - Social Work.</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</si>
  <si>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t>
  </si>
  <si>
    <t>Examples: - Community Health Education</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</si>
  <si>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t>
  </si>
  <si>
    <t>42.2811 - Family Psychology., 19.0704 - Family Systems.</t>
  </si>
  <si>
    <t>A program that prepares individuals, including but not limited to, ordained clergy and other counseling professionals to respond to the emotional and/or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</si>
  <si>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39.0701 - Pastoral Studies/Counseling.</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</si>
  <si>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t>
  </si>
  <si>
    <t>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</si>
  <si>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42.2803 - Counseling Psychology.</t>
  </si>
  <si>
    <t>A program that prepares individuals to counsel patients and families concerning inherited genetic disorders and diseases;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</si>
  <si>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51.0914 - Gene/Genetic Therapy., 26.0806 - Human/Medical Genetics.</t>
  </si>
  <si>
    <t>Deleted, Report under 51.38, 51.39</t>
  </si>
  <si>
    <t>Moved from 51.1601 to 51.3801</t>
  </si>
  <si>
    <t>Moved from 51.1602 to 51.3802</t>
  </si>
  <si>
    <t>Moved from 51.1603 to 51.3803</t>
  </si>
  <si>
    <t>Moved from 51.1604 to 51.3804</t>
  </si>
  <si>
    <t>Moved from 51.1605 to 51.3805</t>
  </si>
  <si>
    <t>Moved from 51.1606 to 51.3806</t>
  </si>
  <si>
    <t>Moved from 51.1607 to 51.3807</t>
  </si>
  <si>
    <t>Moved from 51.1608 to 51.3808</t>
  </si>
  <si>
    <t>Moved from 51.1609 to 51.3809</t>
  </si>
  <si>
    <t>Moved from 51.1610 to 51.3810</t>
  </si>
  <si>
    <t>Moved from 51.1611 to 51.3811</t>
  </si>
  <si>
    <t>Moved from 51.1612 to 51.3812</t>
  </si>
  <si>
    <t>Licensed Practical/Vocational Nurse Training (LPN, LVN, Cert., Dipl, AAS)</t>
  </si>
  <si>
    <t>Moved from 51.1613 to 51.3901</t>
  </si>
  <si>
    <t>Moved from 51.1614 to 51.3902</t>
  </si>
  <si>
    <t>Moved from 51.1616 to 51.3813</t>
  </si>
  <si>
    <t>Moved from 51.1617 to 51.3814</t>
  </si>
  <si>
    <t>Moved from 51.1618 to 51.3815</t>
  </si>
  <si>
    <t>Optometry.</t>
  </si>
  <si>
    <t>Examples: - Optometry (OD)</t>
  </si>
  <si>
    <t>Instructional content for this group of programs is defined in codes 51.1801 - 51.1899.</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</si>
  <si>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</si>
  <si>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</si>
  <si>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Osteopathic Medicine/Osteopathy.</t>
  </si>
  <si>
    <t>Examples: - Osteopathic Medicine/Osteopathy (DO)</t>
  </si>
  <si>
    <t>Pharmacy.</t>
  </si>
  <si>
    <t>A program that prepares individuals for the independent or employed practice of preparing and dispensing drugs and medications in consultation with prescribing physicians and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</si>
  <si>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Examples: - Pharmacy (BS, BPharm - Canada), - Pharmacy (PharmD - USA and Canada)</t>
  </si>
  <si>
    <t>Pharmacy Administration and Pharmacy Policy and Regulatory Affairs.</t>
  </si>
  <si>
    <t>Examples: - Pharmacy Administration, - Drug Regulatory Affairs, - Drug Regulatory and Quality Compliance, - Pharmacy Quality Assurance and Regulatory Affairs</t>
  </si>
  <si>
    <t>Pharmaceutics and Drug Design.</t>
  </si>
  <si>
    <t>26.1001 - Pharmacology.</t>
  </si>
  <si>
    <t>Examples: - Pharmaceutics and Drug Design (MS), - Pharmaceutics and Drug Design (PhD)</t>
  </si>
  <si>
    <t>Medicinal and Pharmaceutical Chemistry.</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</si>
  <si>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t>
  </si>
  <si>
    <t>Examples: - Medicinal and Pharmaceutical Chemistry (MS), - Medicinal and Pharmaceutical Chemistry (PhD)</t>
  </si>
  <si>
    <t>Natural Products Chemistry and Pharmacognosy.</t>
  </si>
  <si>
    <t>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</si>
  <si>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Examples: - Natural Products Chemistry and Pharmacognosy (MS), - Natural Products Chemistry and Pharmacognosy (PhD)</t>
  </si>
  <si>
    <t>Clinical and Industrial Drug Development.</t>
  </si>
  <si>
    <t>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</si>
  <si>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Examples: - Clinical and Industrial Drug Development (MS), - Clinical and Industrial Drug Development (PhD)</t>
  </si>
  <si>
    <t>Pharmacoeconomics/Pharmaceutical Economics.</t>
  </si>
  <si>
    <t>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pharmacoeconomics, health care systems, health care organization and management, statistics and biostatistics, outcomes research, health care policy, pharmacy services, and pharmaceutical industry operations.</t>
  </si>
  <si>
    <t>Examples: - Pharmacoeconomics/Pharmaceutical Economics (MS), - Pharmacoeconomics/Pharmaceutical Economics (PhD)</t>
  </si>
  <si>
    <t>Clinical, Hospital, and Managed Care Pharmacy.</t>
  </si>
  <si>
    <t>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</si>
  <si>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Examples: - Clinical, Hospital, and Managed Care Pharmacy (MS), - Clinical, Hospital, and Managed Care Pharmacy (PhD)</t>
  </si>
  <si>
    <t>Industrial and Physical Pharmacy and Cosmetic Sciences.</t>
  </si>
  <si>
    <t>A program that focuses on the application of pharmaceutical sciences and pharmacy to the study of pharmaceuticals production and distribution, and prepares individuals to manage pharmaceutical industry operations.  Includes instruction in pharmacoeconomics, industrial management, operations management, preformulation evaluation, product formulation/reformulation, drug product development, stability testing, dosage design, pilot scale-up, drug marketing, quality control, drug information, and legal and regulatory affairs.</t>
  </si>
  <si>
    <t>Examples: - Industrial and Physical Pharmacy and Cosmetic Sciences (MS), - Industrial and Physical Pharmacy and Cosmetic Sciences (PhD)</t>
  </si>
  <si>
    <t>Pharmaceutical Sciences.</t>
  </si>
  <si>
    <t>A program that focuses on the basic sciences that underlie drugs and drug therapy and that prepares individuals for further study and/or careers in pharmaceutical science and research, pharmaceutical administration and sales, biotechnology, drug manufacturing, regulatory affairs, and related fields. Includes instruction in mathematics, biology, chemistry, physics, statistics, pharmaceutics, pharmacology and toxicology, dosage formulation, manufacturing, quality assurance, and regulations.</t>
  </si>
  <si>
    <t>Pharmaceutical Marketing and Management.</t>
  </si>
  <si>
    <t>A program that combines the study of basic and pharmaceutical sciences with marketing and management studies; and that prepares individuals for careers in pharmaceutical sales, marketing, management, and related fields within the health care industry. Includes instruction in biology, chemistry, pharmaceutics, pharmacology, health care systems, issues and structure of pharmaceutical industry, management, pharmaceutical marketing, pharmaceutical and medical product management, and legal issues.</t>
  </si>
  <si>
    <t>Examples: - Pharmaceutical Marketing</t>
  </si>
  <si>
    <t>Podiatric Medicine/Podiatry.</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</si>
  <si>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</si>
  <si>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Examples: - Podiatric Medicine/Podiatry (DPM)</t>
  </si>
  <si>
    <t>Public Health, General.</t>
  </si>
  <si>
    <t>A program that generally prepares individuals to plan, manage, and evaluate public health care services; to function as public health professionals in public agencies, the private sector, and other settings; and to provide leadership in the field of public health.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</si>
  <si>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26.1309 - Epidemiology., 44.0503 - Health Policy Analysis.</t>
  </si>
  <si>
    <t>Examples: - Public Health, General (MPH), - Public Health, General (DPH)</t>
  </si>
  <si>
    <t>A program that focuses on the application of environmental sciences, public health, the biomedical sciences, and environmental toxicology to the study of environmental factors affecting human health, safety, and related ecological issues, and prepares individuals to function as professional environmental health specialists. Includes instruction in epidemiology, biostatistics, toxicology, public policy analysis, public management, risk assessment, communications, environmental law, occupational health and safety emergency response, and applications such as air quality, food protection, radiation protection, solid and hazardous waste management, water quality, soil quality, noise abatement, housing quality, and environmental control of recreational areas.</t>
  </si>
  <si>
    <t>26.0203 - Biophysics.</t>
  </si>
  <si>
    <t>Examples: - Biomedical Physics</t>
  </si>
  <si>
    <t>Examples: - Industrial Hygiene</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</si>
  <si>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</si>
  <si>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</si>
  <si>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</si>
  <si>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</si>
  <si>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Examples: - Global Health</t>
  </si>
  <si>
    <t>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</si>
  <si>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Behavioral Aspects of Health.</t>
  </si>
  <si>
    <t>A program that focuses on the biological, behavioral, and socio-cultural determinants of health and health behavior, and the interventions and policies aimed at improving community and population health. Includes instruction in behavioral sciences, public health practice and policy, human services, and research methods.</t>
  </si>
  <si>
    <t>Examples: - Behavioral Health, - Biobehavioral Health, - Health and Social Behavior, - Health Behavior</t>
  </si>
  <si>
    <t>51.0504 - Dental Public Health and Education., 26.1309 - Epidemiology., 44.0503 - Health Policy Analysis.</t>
  </si>
  <si>
    <t>51.3601 - Movement Therapy and Movement Education.</t>
  </si>
  <si>
    <t>A program that prepares individuals to counsel and assist disabled individuals and recovering patients in order to achieve their greatest physical, mental, social, educational, and vocational potential.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</si>
  <si>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Examples: - Rehabilitation Counseling, - Rehabilitation Services</t>
  </si>
  <si>
    <t>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</si>
  <si>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31.0505 - Kinesiology and Exercise Science.</t>
  </si>
  <si>
    <t>Assistive/Augmentative Technology and Rehabilitation Engineering.</t>
  </si>
  <si>
    <t>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</si>
  <si>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Animal-Assisted Therapy.</t>
  </si>
  <si>
    <t>A program that prepares health and human service professionals to integrate the use of animals into their treatment practices in order to facilitate change in people with mental and physical disabilities. Includes instruction in psychology, psychology of disabilities, animal behavior, animal training, the human-animal bond, integration of animals into therapeutic settings, and ethical and cultural issues.</t>
  </si>
  <si>
    <t>Examples: - Equine-Assisted Therapy</t>
  </si>
  <si>
    <t>Rehabilitation Science.</t>
  </si>
  <si>
    <t>A program that focuses on human function, disability, and rehabilitation from the perspectives of the health sciences, social sciences, psychology, engineering, and related fields. Includes instruction in psychological, social, and cultural aspects of disability and rehabilitation; sensory and motor function and dysfunction; biomechanics and kinesiology; assistive technology; rehabilitation instrumentation and methodology; statistics; and health and rehabilitation policy.</t>
  </si>
  <si>
    <t>Veterinary Medicine.</t>
  </si>
  <si>
    <t>Examples: - Veterinary Medicine (DVM)</t>
  </si>
  <si>
    <t>Veterinary Biomedical and Clinical Sciences.</t>
  </si>
  <si>
    <t>Instructional content for this group of programs is defined in codes 51.2501 - 51.2599.</t>
  </si>
  <si>
    <t>Veterinary Sciences/Veterinary Clinical Sciences, General.</t>
  </si>
  <si>
    <t>An integrated program of study in one or more of the veterinary medical or clinical sciences or a program undifferentiated as to title.</t>
  </si>
  <si>
    <t>Examples: - Veterinary Sciences/Veterinary Clinical Sciences, General (Cert.), - Veterinary Sciences/Veterinary Clinical Sciences, General (MS), - Veterinary Sciences/Veterinary Clinical Sciences, General (PhD)</t>
  </si>
  <si>
    <t>Veterinary Anatomy.</t>
  </si>
  <si>
    <t>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</si>
  <si>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Examples: - Veterinary Anatomy (Cert.), - Veterinary Anatomy (MS), - Veterinary Anatomy (PhD)</t>
  </si>
  <si>
    <t>Veterinary Physiology.</t>
  </si>
  <si>
    <t>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</si>
  <si>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Examples: - Veterinary Physiology (Cert.), - Veterinary Physiology (MS), - Veterinary Physiology (PhD)</t>
  </si>
  <si>
    <t>Veterinary Microbiology and Immunobiology.</t>
  </si>
  <si>
    <t>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</si>
  <si>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Examples: - Veterinary Microbiology and Immunobiology (Cert.), - Veterinary Microbiology and Immunobiology (MS), - Veterinary Microbiology and Immunobiology (PhD)</t>
  </si>
  <si>
    <t>Veterinary Pathology and Pathobiology.</t>
  </si>
  <si>
    <t>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</si>
  <si>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Examples: - Veterinary Pathology and Pathobiology (Cert.), - Veterinary Pathology and Pathobiology (MS), - Veterinary Pathology and Pathobiology (PhD)</t>
  </si>
  <si>
    <t>Veterinary Toxicology and Pharmacology.</t>
  </si>
  <si>
    <t>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</si>
  <si>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Examples: - Veterinary Toxicology and Pharmacology (Cert.), - Veterinary Toxicology and Pharmacology (MS), Veterinary Toxicology and Pharmacology (PhD)</t>
  </si>
  <si>
    <t>Large Animal/Food Animal and Equine Surgery and Medicine.</t>
  </si>
  <si>
    <t>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</si>
  <si>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Examples: - Large Animal/Food Animal and Equine Surgery and Medicine (Cert.), - Large Animal/Food Animal and Equine Surgery and Medicine (MS), - Large Animal/Food Animal and Equine Surgery and Medicine (PhD)</t>
  </si>
  <si>
    <t>Small/Companion Animal Surgery and Medicine.</t>
  </si>
  <si>
    <t>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orthopedics.</t>
  </si>
  <si>
    <t>Examples: - Small/Companion Animal Surgery and Medicine (Cert.), - Small/Companion Animal Surgery and Medicine (MS), - Small/Companion Animal Surgery and Medicine (PhD)</t>
  </si>
  <si>
    <t>Comparative and Laboratory Animal Medicine.</t>
  </si>
  <si>
    <t>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</si>
  <si>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Examples: - Comparative and Laboratory Animal Medicine (Cert.), - Comparative and Laboratory Animal Medicine (MS), - Comparative and Laboratory Animal Medicine (PhD)</t>
  </si>
  <si>
    <t>Veterinary Preventive Medicine, Epidemiology, and Public Health.</t>
  </si>
  <si>
    <t>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</si>
  <si>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Examples: - Veterinary Preventive Medicine, Epidemiology, and Public Health (Cert.), - Veterinary Preventive Medicine, Epidemiology, and Public Health (MS), - Veterinary Preventive Medicine, Epidemiology, and Public Health (PhD)</t>
  </si>
  <si>
    <t>Veterinary Infectious Diseases.</t>
  </si>
  <si>
    <t>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</si>
  <si>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Examples: - Veterinary Infectious Diseases (Cert.), - Veterinary Infectious Diseases (MS), - Veterinary Infectious Diseases (PhD)</t>
  </si>
  <si>
    <t>Veterinary Biomedical and Clinical Sciences, Other.</t>
  </si>
  <si>
    <t>Any instructional program in veterinary biomedical and clinical sciences not listed above.</t>
  </si>
  <si>
    <t>Examples: - Veterinary Biomedical and Clinical Sciences, Other (Cert.), - Veterinary Biomedical and Clinical Sciences, Other (MS), - Veterinary Biomedical and Clinical Sciences, Other (PhD)</t>
  </si>
  <si>
    <t>Instructional content for this group of programs is defined in codes 51.2601 - 51.2699.</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</si>
  <si>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t>
  </si>
  <si>
    <t>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</si>
  <si>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Rehabilitation Aide.</t>
  </si>
  <si>
    <t>A program that prepares individuals to assist in rehabilitation services under the supervision of physical therapists, occupational therapists, speech-language pathologists, and other therapeutic professionals, and to perform routine functions in support of rehabilitation. Includes instruction in roles and responsibilities of rehabilitation providers, basic function of the human body, disabling conditions, therapeutic skills, client management, and communication skills.</t>
  </si>
  <si>
    <t>Any other instructional program that prepares individuals to provide routine patient care and assistance.</t>
  </si>
  <si>
    <t>Instructional content for this group of programs is defined in codes 51.2703 - 51.2799.</t>
  </si>
  <si>
    <t>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</si>
  <si>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26.1103 - Bioinformatics., 11.0104 - Informatics.</t>
  </si>
  <si>
    <t>Examples: - Biomedical Informatics, - Health Informatics</t>
  </si>
  <si>
    <t>Any instructional program in medical illustration and informatics not listed above.</t>
  </si>
  <si>
    <t>Instructional content for this group of programs is defined in codes 51.3101 - 51.3199.</t>
  </si>
  <si>
    <t>Dietetics/Dietitian.</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</si>
  <si>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t>
  </si>
  <si>
    <t>Examples: - Dietetics/Dietitian (RD), - Registered Dietitian (RD)</t>
  </si>
  <si>
    <t>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</si>
  <si>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19.0504 - Human Nutrition., 30.1901 - Nutrition Sciences.</t>
  </si>
  <si>
    <t>Dietetic Technician.</t>
  </si>
  <si>
    <t>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</si>
  <si>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Examples: - Dietetic Technician (DTR), - Registered Dietetic Technician (DTR)</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</si>
  <si>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t>
  </si>
  <si>
    <t>Any instructional program in dietetics and clinical nutrition services not listed above.</t>
  </si>
  <si>
    <t>Instructional content is defined in code 51.3201.</t>
  </si>
  <si>
    <t>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</si>
  <si>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38.0104 - Applied and Professional Ethics.</t>
  </si>
  <si>
    <t>Instructional content for this group of programs is defined in codes 51.3300 - 51.3399.</t>
  </si>
  <si>
    <t>Alternative and Complementary Medicine and Medical Systems, General.</t>
  </si>
  <si>
    <t>A general program that focuses on the theories, science, and practice of alternative and complementary medicine and medical systems. Includes instruction in understanding acupuncture, herbal medicine, naturopathy, homeopathy, and other alternative and complementary medicine modalities; mind-body therapies; nutrition; comparison of conventional and alternative medicine; and medical ethics; and may include training in specific alternative and complementary medicine modalities.</t>
  </si>
  <si>
    <t>A program that prepares individuals for the independent professional practice of acupuncture, a Chinese system of health care and healing based on the use of pulse diagnosis, acupuncture point selection, and needle insertion, as well as herbs and other Asian treatment modalities. Includes instruction in basic Western medical sciences, Asian philosophy, Chinese medical anatomy and physiology, Chinese herbs, diagnostic techniques, patient observation and communication, acupuncture points and point selection, acupuncture techniques, acupuncture treatment of disease, pain management, practice management, and professional standards and ethics.</t>
  </si>
  <si>
    <t>Examples: - Acupuncture, - Acupuncture and Oriental Medicine, - Oriental Medicine</t>
  </si>
  <si>
    <t>Traditional Chinese Medicine and Chinese Herbology.</t>
  </si>
  <si>
    <t>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</si>
  <si>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Naturopathic Medicine/Naturopathy.</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</si>
  <si>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t>
  </si>
  <si>
    <t>Examples: - Naturopathic Medicine/Naturopathy (ND)</t>
  </si>
  <si>
    <t>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</si>
  <si>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</si>
  <si>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Holistic Health.</t>
  </si>
  <si>
    <t>A program that focuses on the interconnectedness of physical, psychological, social, spiritual, and environmental well-being, and that integrates aspects of Eastern and Western medicine to promote, maintain, and optimize wellness. Includes instruction in anatomy and physiology, alternative diagnostic and healing methods, traditional Chinese and Ayurvedic medicine, homeopathic and naturopathic medicine, Western herbal medicine, biofeedback, stress management, nutrition, toxicity and detoxification, environmental medicine, and mind-body medicine.</t>
  </si>
  <si>
    <t>Any instructional program in alternative and complementary medicine and medical systems not listed above.</t>
  </si>
  <si>
    <t>Instructional content for this group of programs is defined in codes 51.3401 - 51.3499.</t>
  </si>
  <si>
    <t>Direct Entry Midwifery.</t>
  </si>
  <si>
    <t>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</si>
  <si>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Examples: - Direct Entry Midwifery, - Licensed Midwife (LM), - Certified Professional Midwife (CPM)</t>
  </si>
  <si>
    <t>Any instructional program in alternative and complementary medical support services not listed above.</t>
  </si>
  <si>
    <t>Instructional content for this group of programs is defined in codes 51.3501 - 51.3599.</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</si>
  <si>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t>
  </si>
  <si>
    <t>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</si>
  <si>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A program that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</si>
  <si>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Any instructional program in somatic bodywork and related therapeutic services not listed above.</t>
  </si>
  <si>
    <t>Instructional content for this group of programs is defined in codes 51.3601 - 51.3699.</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</si>
  <si>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t>
  </si>
  <si>
    <t>51.2302 - Dance Therapy/Therapist.</t>
  </si>
  <si>
    <t>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</si>
  <si>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t>
  </si>
  <si>
    <t>Any instructional program in movement and mind-body therapies not listed above.</t>
  </si>
  <si>
    <t>Instructional content for this group of programs is defined in codes 51.3701 - 51.3799.</t>
  </si>
  <si>
    <t>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</si>
  <si>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</si>
  <si>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</si>
  <si>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</si>
  <si>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Any instructional program in alternative, complementary, and somatic health and therapeutic services not listed above (bioenergetics, cranio-sacral therapy, Therapeutic Touch, Qi Gong, and others).</t>
  </si>
  <si>
    <t>Registered Nursing, Nursing Administration, Nursing Research and Clinical Nursing.</t>
  </si>
  <si>
    <t>Instructional content for this group of programs is defined in codes 51.3801 - 51.3899.</t>
  </si>
  <si>
    <t>Registered Nursing/Registered Nurse.</t>
  </si>
  <si>
    <t>A program that generally prepares individuals in the knowledge, techniques and procedures for promoting health, providing care for sick, disabled, infirmed,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</si>
  <si>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Examples: - Nursing (ASN), - Nursing (BSN, BScN), - Nursing (MSN, MScN, MN), - Registered Nurse (RN)</t>
  </si>
  <si>
    <t>Nursing Administration.</t>
  </si>
  <si>
    <t>A program that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</si>
  <si>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Examples: - Nursing Administration (PhD), - Nursing Administration (MSN, MScN, MS, MSc, MN)</t>
  </si>
  <si>
    <t>A program that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programs.</t>
  </si>
  <si>
    <t>Examples: - Adult Nurse Practitioner</t>
  </si>
  <si>
    <t>A program that prepares registered nurses to administer anesthetics and provide care for patients before, during and 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</si>
  <si>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Family Practice Nurse/Nursing.</t>
  </si>
  <si>
    <t>A program that prepares registered nurses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</si>
  <si>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Examples: - Family Practice Nurse Practitioner, - Family Nurse Practitioner, - Primary Health Care Nurse Practitioner, - Primary Care Nurse Practitioner</t>
  </si>
  <si>
    <t>A program that prepares registered nurses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</si>
  <si>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Examples: - Neonatal Nurse Practitioner</t>
  </si>
  <si>
    <t>A program that prepares registered nurses to independently deliver babies and treat mothers in the prenatal, delivery, and post-delivery periods.  Includes instruction in pre-delivery screening, physician referral, and the care of infants during the delivery and immediate post-delivery phases.</t>
  </si>
  <si>
    <t>Nursing Science.</t>
  </si>
  <si>
    <t>Examples: - Nursing Science (PhD), - Nursing Science (MS, MSc, MSN, MN)</t>
  </si>
  <si>
    <t>A program that prepares registered nurses to provide care for children from infancy through adolescence.  Includes instruction in the administration of medication and treatments, assisting physicians, patient examination and referral, and planning and delivering health maintenance and health education programs.</t>
  </si>
  <si>
    <t>Examples: - Pediatric Nurse Practitioner</t>
  </si>
  <si>
    <t>A program that prepares registered nurses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</si>
  <si>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Examples: - Psychiatric Nurse Practitioner</t>
  </si>
  <si>
    <t>A program that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</si>
  <si>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A program that prepares registered nurses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</si>
  <si>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</si>
  <si>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</si>
  <si>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Examples: - Acute Care Nursing, - Acute Care Nurse Practitioner</t>
  </si>
  <si>
    <t>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</si>
  <si>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Emergency Room/Trauma Nursing.</t>
  </si>
  <si>
    <t>A program that prepares registered nurses to deliver advanced, direct patient care in emergency and trauma settings. Includes instruction in advanced health assessment, pharmacology, physiology, emergency management, trauma conditions, trauma assessments and acute care.</t>
  </si>
  <si>
    <t>Examples: - Emergency Nursing, - Emergency Nurse Practitioner, - Trauma Nursing, - Trauma, Critical Care and Emergency Nursing</t>
  </si>
  <si>
    <t>Nursing Education.</t>
  </si>
  <si>
    <t>A program that prepares registered nurses to teach in academic and clinical settings, including staff development. Includes instruction in advanced nursing practice, nursing role development, curriculum and instruction, program and course design, clinical instruction, and evaluation of learning.</t>
  </si>
  <si>
    <t>Nursing Practice.</t>
  </si>
  <si>
    <t>A practice-focused program that prepares registered nurses for increasingly complex evidence-based nursing practice, including translating research into practice, evaluating evidence, applying research in decision-making, and implementing viable clinical innovations to change practice. Includes instruction in healthcare delivery systems, health economics and finance, health policy, research methods, translating evidence into practice, concepts in population health, and nursing leadership.</t>
  </si>
  <si>
    <t>Examples: - Nursing Practice (DNP)</t>
  </si>
  <si>
    <t>Palliative Care Nursing.</t>
  </si>
  <si>
    <t>A program that prepares registered nurses to provide a combination of active and compassionate therapies intended to comfort and support patients and their families who are living with life-threatening illness. Includes instruction in pathophysiology, palliative care processes, pain management, pharmacology, loss, grief, death, and bereavement.</t>
  </si>
  <si>
    <t>Clinical Nurse Leader.</t>
  </si>
  <si>
    <t>A program that prepares registered nurses for careers as clinical nurse leaders in which they work as part of an interdisciplinary team that provides direct medical care for patients based on evidence-based practice and research. Includes instruction in pharmacology, pathophysiology, epidemiology, research in nursing methods, advanced health assessment, statistics, and clinical practice management.</t>
  </si>
  <si>
    <t>Geriatric Nurse/Nursing.</t>
  </si>
  <si>
    <t>A program that prepares registered nurses to provide health care to aging and elderly patients. Includes instruction in geriatric primary care, geriatric diagnosis, mental health and aging, primary care management, geriatric acute and chronic illness, advanced nursing practices for geriatric patients, evidence-based nursing practice, advanced physiology, pathophysiology, pharmacology, and pharmacotherapeutics.</t>
  </si>
  <si>
    <t>Examples: - Gerontological Nurse Practitioner</t>
  </si>
  <si>
    <t>Women's Health Nurse/Nursing.</t>
  </si>
  <si>
    <t>A program that prepares registered nurses to provide health care specific to women. Includes instruction in the wellness and care of women, gynecology, obstetrics, advanced nursing practices for women, evidence-based nursing practice, advanced physiology and pathophysiology, advanced pharmacology, and pharmacotherapeutics.</t>
  </si>
  <si>
    <t>Examples: - Women's Health Nurse Practitioner</t>
  </si>
  <si>
    <t>Registered Nursing, Nursing Administration, Nursing Research and Clinical Nursing, Other.</t>
  </si>
  <si>
    <t>Any instructional program in registered nursing, nursing administration, nursing research, and clinical nursing not listed above.</t>
  </si>
  <si>
    <t>Examples: - Cardiology Nurse Practitioner, - Nephrology Nurse Practitioner</t>
  </si>
  <si>
    <t>Practical Nursing, Vocational Nursing and Nursing Assistants.</t>
  </si>
  <si>
    <t>Instructional content for this group of programs is defined in codes 51.3901 - 51.3999.</t>
  </si>
  <si>
    <t>Licensed Practical/Vocational Nurse Training.</t>
  </si>
  <si>
    <t>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</si>
  <si>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Examples: - Licensed Practical Nurse (LPN), - Licensed Vocational Nurse (LVN), - Licensed Practical/Vocational Nurse Training (Cert.), - Licensed Practical/Vocational Nurse Training (Dipl), - Licensed Practical/Vocational Nurse Training (AAS)</t>
  </si>
  <si>
    <t>Nursing Assistant/Aide and Patient Care Assistant/Aide.</t>
  </si>
  <si>
    <t>Practical Nursing, Vocational Nursing and Nursing Assistants, Other.</t>
  </si>
  <si>
    <t>Any instructional program in practical nursing, vocational nursing, and nursing assistants not listed above.</t>
  </si>
  <si>
    <t>Instructional content for this group of programs is defined in codes 52.0201 - 52.0299.</t>
  </si>
  <si>
    <t>Examples: - General Management, - Business Administration</t>
  </si>
  <si>
    <t>Examples: - Purchasing Management, - Contracts Management, - Acquisition/Procurement Management</t>
  </si>
  <si>
    <t>Logistics, Materials, and Supply Chain Management.</t>
  </si>
  <si>
    <t>Examples: - Logistics Management, - Materials Management, - Acquisition Logistics, - Supply Management</t>
  </si>
  <si>
    <t>51.0705 - Medical Office Management/Administration.</t>
  </si>
  <si>
    <t>Examples: - Maintenance Management, - Production Management</t>
  </si>
  <si>
    <t>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</si>
  <si>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</si>
  <si>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Transportation/Mobility Management.</t>
  </si>
  <si>
    <t>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</si>
  <si>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Examples: - Mobility Management, - Air Mobility, - Sea Mobility, - Freight Forwarding, - Customs Broker</t>
  </si>
  <si>
    <t>Research and Development Management.</t>
  </si>
  <si>
    <t>A program that prepares individuals to manage projects, programs and organizations involving basic and applied research, or specialized technology applications, in the public or private sectors.  Includes instruction in all aspects of business management applied to the leadership and control of scientific, clinical, engineering and social scientific enterprises; the management of related operational, security and logistical issues; and technical competence in one or more research disciplines.</t>
  </si>
  <si>
    <t>Project Management.</t>
  </si>
  <si>
    <t>A program that prepares individuals to apply quantitative and qualitative knowledge, skills, tools, and techniques to manage projects in a wide range of fields and occupations.  Includes instruction in project planning, risk management, cost and time management, contracts and procurement, accounting, statistics, decision making, and human resources.</t>
  </si>
  <si>
    <t>11.1005 - Information Technology Project Management.</t>
  </si>
  <si>
    <t>Retail Management.</t>
  </si>
  <si>
    <t>A program that prepares individuals to manage the operations of a wide variety of retail businesses, including department stores; independent and chain stores; fashion, food and beverage, and pharmaceutical establishments; and online retail businesses. Includes instruction in retail management, merchandise management, customer service management, marketing, organizational behavior, accounting, finance, business law, and personnel management.</t>
  </si>
  <si>
    <t>Organizational Leadership.</t>
  </si>
  <si>
    <t>A program that focuses on leadership skills that can be applied to a business, government, non-profit, or educational setting. Includes instruction in organizational planning, dynamics of leadership, finance, team building, conflict resolution and mediation, communication and other management skills.</t>
  </si>
  <si>
    <t>Examples: - Leadership Studies</t>
  </si>
  <si>
    <t>51.0701 - Health/Health Care Administration/Management., 51.0702 - Hospital and Health Care Facilities Administration/Management.</t>
  </si>
  <si>
    <t>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</si>
  <si>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An integrated or combined program in accounting and finance that prepares individuals to function as accountants and financial managers or analysts.</t>
  </si>
  <si>
    <t>52.0301 - Accounting., 52.0801 - Finance, General.</t>
  </si>
  <si>
    <t>An integrated or combined program in accounting and business administration/management that prepares individuals to function as accountants and business managers.</t>
  </si>
  <si>
    <t>52.0201 - Business Administration and Management, General., 52.0301 - Accounting.</t>
  </si>
  <si>
    <t>Examples: - Controllership</t>
  </si>
  <si>
    <t>22.0301 - Legal Administrative Assistant/Secretary., 51.0716 - Medical Administrative/Executive Assistant and Medical Secretary.</t>
  </si>
  <si>
    <t>51.0716 - Medical Administrative/Executive Assistant and Medical Secretary.</t>
  </si>
  <si>
    <t>51.0712 - Medical Reception/Receptionist.</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</si>
  <si>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</si>
  <si>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</si>
  <si>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A program that prepares individuals to perform duties associated with managing revenue-based customs, traffic, or transportation services, such as control of domestic and international traffic, toll roads and waterways, and to assist in the dispatch and control of fleet-based traffic for businesses and public services. Includes instruction in record-keeping; preparation of customs and transportation documentation; operation of communications equipment; basic transportation operations management; tariffs, rates and fares; revenue collection and change-making; and interpretation of customs or transportation regulations and related legislation, policies, and procedures.</t>
  </si>
  <si>
    <t>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</si>
  <si>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</si>
  <si>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Instructional content for this group of programs is defined in codes 52.0801 - 52.0899.</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</si>
  <si>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</si>
  <si>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19.0401 - Family Resource Management Studies, General.</t>
  </si>
  <si>
    <t>45.0605 - International Economics.</t>
  </si>
  <si>
    <t>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</si>
  <si>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Examples: - Mortgage Broker</t>
  </si>
  <si>
    <t>03.0207 - Natural Resource Recreation and Tourism.</t>
  </si>
  <si>
    <t>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</si>
  <si>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</si>
  <si>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12.0504 - Restaurant, Culinary, and Catering Management/Manager., 19.0505 - Foodservice Systems Administration/Management.</t>
  </si>
  <si>
    <t>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</si>
  <si>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Examples: - Spa Management</t>
  </si>
  <si>
    <t>Meeting and Event Planning.</t>
  </si>
  <si>
    <t>A program that prepares individuals to plan, budget, and implement conferences, meetings, and other special events in the public or private sectors. Includes instruction in principles of meeting and event planning; special event management; budgets and finance; site selection; contracts, vendors, and negotiations; marketing and promotions; food and beverage management; audio-visual basics and meeting technology; and hospitality law.</t>
  </si>
  <si>
    <t>19.0604 - Facilities Planning and Management.</t>
  </si>
  <si>
    <t>Examples: - Conference Management, - Conference Planning, - Wedding Planning</t>
  </si>
  <si>
    <t>Casino Management.</t>
  </si>
  <si>
    <t>A program that prepares individuals to manage casinos and gaming establishments. Includes instruction in casino operations, casino security and surveillance, principles of the gaming industry, ethics, and gaming law.</t>
  </si>
  <si>
    <t>Examples: - Casino Management, - Gaming and Casino Management, - Hospitality and Casino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</si>
  <si>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 Note: this program was re-instated after being deleted from CIP 2000; previously, it was coded as 52.0902.</t>
  </si>
  <si>
    <t>52.0904 - Hotel/Motel Administration/Management., 52.0905 - Restaurant/Food Services Management.</t>
  </si>
  <si>
    <t>09.0901 - Organizational Communication, General., 42.2804 - Industrial and Organizational Psychology.</t>
  </si>
  <si>
    <t>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</si>
  <si>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</si>
  <si>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Examples: - Global Business, - Global Commerce, - Global Management</t>
  </si>
  <si>
    <t>Instructional content for this group of programs is defined in codes 52.1201 - 52.1299.</t>
  </si>
  <si>
    <t>11.0401 - Information Science/Studies.</t>
  </si>
  <si>
    <t>Information Resources Management.</t>
  </si>
  <si>
    <t>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</si>
  <si>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Examples: - Information Management, - Chief Information Officer Training</t>
  </si>
  <si>
    <t>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</si>
  <si>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Instructional content for this group of programs is defined in codes 52.1301 - 52.1399.</t>
  </si>
  <si>
    <t>Management Science.</t>
  </si>
  <si>
    <t>A general program that focuses on the application of statistical modeling, data warehousing, data mining, programming, forecasting and operations research techniques to the analysis of problems of business organization and performance. Includes instruction in optimization theory and mathematical techniques, data mining, data warehousing, stochastic and dynamic modeling, operations analysis, and the design and testing of prototype systems and evaluation models.</t>
  </si>
  <si>
    <t>Examples: - Business Intelligence, - Competitive Intelligence</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</si>
  <si>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</si>
  <si>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Instructional content for this group of programs is defined in codes 52.1401 - 52.1499.</t>
  </si>
  <si>
    <t>51.2011 - Pharmaceutical Marketing and Management.</t>
  </si>
  <si>
    <t>A program that prepares individuals to develop, buy, sell, appraise, and manage real estate. Includes instruction in land use development policy, real estate law, real estate marketing procedures, agency management, brokerage, property inspection and appraisal, real estate investing, leased and rental properties, commercial real estate, and property management.</t>
  </si>
  <si>
    <t>04.1001 - Real Estate Development.</t>
  </si>
  <si>
    <t>Examples: - Property Management</t>
  </si>
  <si>
    <t>Instructional content is defined in code 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</si>
  <si>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t>
  </si>
  <si>
    <t>Instructional content for this group of programs is defined in codes 52.1801 - 52.1899.</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</si>
  <si>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</si>
  <si>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</si>
  <si>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</si>
  <si>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t>
  </si>
  <si>
    <t>Instructional content for this group of programs is defined in codes 52.1901 - 52.1999.</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</si>
  <si>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</si>
  <si>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t>
  </si>
  <si>
    <t>19.0905 - Apparel and Textile Marketing Management.</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</si>
  <si>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</si>
  <si>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</si>
  <si>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</si>
  <si>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t>
  </si>
  <si>
    <t>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</si>
  <si>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</si>
  <si>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</si>
  <si>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</si>
  <si>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Any instructional program in sales, marketing, and distribution operations not listed above.</t>
  </si>
  <si>
    <t>Examples: - Industrial Marketing, - Scientific and Medical Marketing</t>
  </si>
  <si>
    <t>Instructional content is defined in code 52.2001.</t>
  </si>
  <si>
    <t>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</si>
  <si>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46.0412 - Building/Construction Site Management/Manager.</t>
  </si>
  <si>
    <t>Telecommunications Management.</t>
  </si>
  <si>
    <t>Instructional content is defined in code 52.2101.</t>
  </si>
  <si>
    <t>A program that prepares individuals to apply business skills to design, implement, and manage the voice, video, and data networking systems of organizations. Includes instruction in telecommunications concepts and technologies, network operations and management, wireless communications and mobile computing, cybersecurity, regulation and public policy, business practices and management, and written and oral communications.</t>
  </si>
  <si>
    <t>Instructional programs that define the prescribed requirements for high school/secondary school graduation. These CIP codes are not valid for IPEDS reporting.</t>
  </si>
  <si>
    <t>Instructional content for this group of programs is defined in codes 53.0101 - 53.0199. These CIP codes are not valid for IPEDS reporting.</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</si>
  <si>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 This CIP code is not valid for IPEDS reporting.</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</si>
  <si>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 This CIP code is not valid for IPEDS reporting.</t>
  </si>
  <si>
    <t>An instructional program that defines the prescribed requirements, specified by a state, province, or other jurisdiction, for high school/secondary school graduation in a vocational program -- together with other required subject matter, and that may prepare individuals for specific occupations or direct labor market entry. This CIP code is not valid for IPEDS reporting.</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</si>
  <si>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 This CIP code is not valid for IPEDS reporting.</t>
  </si>
  <si>
    <t>Adult High School/Secondary Diploma Program.</t>
  </si>
  <si>
    <t>An instructional program that defines the prescribed requirements, specified by a state, province, or other jurisdiction for the completion of, and graduation from a secondary school program of academic subject matter offered for adult learners outside of the regular secondary school program.  This does not include adult compensatory education programs resulting in completion of a high school equivalency certificate or diploma. This CIP code is not valid for IPEDS reporting.</t>
  </si>
  <si>
    <t>Any high school/secondary diploma program not listed above, such as diplomas awarded to special education students for completion of an individualized education plan (IEP). This CIP code is not valid for IPEDS reporting.</t>
  </si>
  <si>
    <t>Instructional content for this group of programs is defined in codes 53.0201 - 53.0299. These CIP codes are not valid for IPEDS reporting.</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</si>
  <si>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 This CIP code is not valid for IPEDS reporting.</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</si>
  <si>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 This CIP code is not valid for IPEDS reporting.</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</si>
  <si>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 This CIP code is not valid for IPEDS reporting.</t>
  </si>
  <si>
    <t>Any certificate program at the high school/secondary instructional level not listed above. This CIP code is not valid for IPEDS reporting.</t>
  </si>
  <si>
    <t>HISTORY.</t>
  </si>
  <si>
    <t>Instructional programs that focus on the study and interpretation of past events, institutions, issues, and cultures.</t>
  </si>
  <si>
    <t>Instructional content for this group of programs is defined in codes 54.0101 - 54.0199.</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</si>
  <si>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</si>
  <si>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</si>
  <si>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</si>
  <si>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30.1301 - Medieval and Renaissance Studies.</t>
  </si>
  <si>
    <t>A program that focuses on the historical evolution of scientific theories, science applications and technologies, and the scientific, medical, and technological disciplines, as well as the philosophy of science and its historical socio-economic context. Includes instruction in the concepts and methods of philosophical inquiry; historiography of science; history of science, medicine, and technology; and research methods in the history of the scientific and engineering disciplines, including mathematics.</t>
  </si>
  <si>
    <t>30.1501 - Science, Technology and Society.</t>
  </si>
  <si>
    <t>Examples: - History of Medicine</t>
  </si>
  <si>
    <t>Public/Applied History.</t>
  </si>
  <si>
    <t>A program that focuses on the application of history and administrative skills to the recording of public events and the management of related historical resources. Includes instruction in historical research methods, the planning and administration of public history projects, and applications to specific problems in public organizations, government agencies, foundations, and other facilities.</t>
  </si>
  <si>
    <t>30.1202 - Cultural Resource Management and Policy Analysis., 25.0103 - Archives/Archival Administration.</t>
  </si>
  <si>
    <t>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</si>
  <si>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</si>
  <si>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Military History.</t>
  </si>
  <si>
    <t>A program that focuses on the study of the history of warfare and military institutions in their operational, politico-economic and socio-cultural contexts; including airpower history, naval history, and military history.  Includes instruction in military organization, military operations, the history of technology, leadership and biography, military psychology and behavior, international relations and politics, economics, aspects of general and regional history, cultural history and anthropology, historiography, and applicable quantitative methods.</t>
  </si>
  <si>
    <t>Examples: - Air Force History, - Naval History, - Military History (Armies)</t>
  </si>
  <si>
    <t>Any instructional program in history not listed above.</t>
  </si>
  <si>
    <t>RESIDENCY PROGRAMS.</t>
  </si>
  <si>
    <t>Programs that prepare medical doctors (MD), osteopaths (DO), dentists (DDS, DMD), veterinarians (DVM), and podiatrists (DPM) for certification as practitioners of recognized specialties in their respective professions. These programs are approved and accredited by designated professional associations and require from one to five years to complete, depending on the program. Residency programs that also result in an academic degree completion, such as an MS or PhD, should be reported under one of the clinical sciences codes located in Series 26, 51.05, or 51.25, rather than in a residency code located in Series 60. These CIP codes are not valid for IPEDS reporting.</t>
  </si>
  <si>
    <t>Instructional content for this group of programs is defined in codes 60.0101 - 60.0199. These CIP codes are not valid for IPEDS reporting.</t>
  </si>
  <si>
    <t>Oral and Maxillofacial Surgery Residency Program.</t>
  </si>
  <si>
    <t>A residency training program that prepares dentists in the diagnosis, and surgical and related treatment, of diseases, injuries, and defects involving both the functional and esthetic aspects of the hard and soft tissues of the head, mouth, teeth, gums, jaws, and neck. Includes treatment of problem wisdom teeth, facial pain, misaligned jaws, and reconstructive and dental implant surgery. This CIP code is not valid for IPEDS reporting.</t>
  </si>
  <si>
    <t>Examples: - Dental/Oral Surgery Residency Program</t>
  </si>
  <si>
    <t>Dental Public Health Residency Program.</t>
  </si>
  <si>
    <t>A residency-training program that prepares dentists in the formulation and delivery of public preventive and curative dental health services. This CIP code is not valid for IPEDS reporting.</t>
  </si>
  <si>
    <t>Endodontics Residency Program.</t>
  </si>
  <si>
    <t>A residency training program that prepares dentists in the etiology, diagnosis, prevention, and treatment of conditions that affect the dental and other periodontal tissues, including pulp canal therapy and root canal therapy. This CIP code is not valid for IPEDS reporting.</t>
  </si>
  <si>
    <t>Oral and Maxillofacial Pathology Residency Program.</t>
  </si>
  <si>
    <t>A residency training program that prepares dentists in the diagnosis and management of diseases affecting the oral and maxillofacial regions, using clinical, radiographic, microscopic, biochemical, or other examinations. This CIP code is not valid for IPEDS reporting.</t>
  </si>
  <si>
    <t>Examples: - Oral Pathology Residency Program</t>
  </si>
  <si>
    <t>Orthodontics Residency Program.</t>
  </si>
  <si>
    <t>A residency training program that prepares dentists in the principles and techniques involved in the prevention and correction of dental malocclusions and oral cavity anomalies. This CIP code is not valid for IPEDS reporting.</t>
  </si>
  <si>
    <t>Pediatric Dentistry Residency Program.</t>
  </si>
  <si>
    <t>A residency training program that prepares dentists to provide primary oral health care to infants, children, and adolescents, including patients with medical, physical or mental disabilities, and to treat a wide variety of dental problems for these patients. This CIP code is not valid for IPEDS reporting.</t>
  </si>
  <si>
    <t>Examples: - Pedodontics Residency Program</t>
  </si>
  <si>
    <t>Periodontology Residency Program.</t>
  </si>
  <si>
    <t>A residency training program that prepares dentists in the prevention, diagnosis, and treatment of diseases affecting the gums and supporting structures of the teeth, and in the placement and maintenance of dental implants. This CIP code is not valid for IPEDS reporting.</t>
  </si>
  <si>
    <t>Examples: - Periodontics Residency Program</t>
  </si>
  <si>
    <t>Prosthodontics Residency Program.</t>
  </si>
  <si>
    <t>A residency training program that prepares dentists in the principles and techniques of constructing oral prostheses, and the restoration and maintenance of oral function by the replacement of missing teeth and other oral structures with such artificial devices. This CIP code is not valid for IPEDS reporting.</t>
  </si>
  <si>
    <t>Oral and Maxillofacial Radiology Residency Program.</t>
  </si>
  <si>
    <t>A residency training program that prepares dentists to produce and interpret images of the jaws, teeth, bone, and other structures of the head and neck region; and to diagnose and manage diseases, disorders, and conditions that affect this area of the body. This CIP code is not valid for IPEDS reporting.</t>
  </si>
  <si>
    <t>Any dental residency specialty program not listed above. This CIP code is not valid for IPEDS reporting.</t>
  </si>
  <si>
    <t>Deleted, Report under 60.04, 60.05</t>
  </si>
  <si>
    <t>Moved from 60.0201 to 60.0401</t>
  </si>
  <si>
    <t>Moved from 60.0202 to 60.0402</t>
  </si>
  <si>
    <t>Moved from 60.0203 to 60.0403</t>
  </si>
  <si>
    <t>Moved from 60.0204 to 60.0503</t>
  </si>
  <si>
    <t>Moved from 60.0205 to 60.0504</t>
  </si>
  <si>
    <t>Moved from 60.0206 to 60.0505</t>
  </si>
  <si>
    <t>Deleted, Report under 60.0404</t>
  </si>
  <si>
    <t>Moved from 60.0208 to 60.0507</t>
  </si>
  <si>
    <t>Moved from 60.0209 to 60.0409</t>
  </si>
  <si>
    <t>Deleted, Report under 60.0511</t>
  </si>
  <si>
    <t>Moved from 60.0211 to 60.0511</t>
  </si>
  <si>
    <t>Moved from 60.0212 to 60.0579</t>
  </si>
  <si>
    <t>Moved from 60.0213 to 60.0410</t>
  </si>
  <si>
    <t>Moved from 60.0214 to 60.0513</t>
  </si>
  <si>
    <t>Moved from 60.0215 to 60.0411</t>
  </si>
  <si>
    <t>Moved from 60.0216 to 60.0412</t>
  </si>
  <si>
    <t>Moved from 60.0217 to 60.0516</t>
  </si>
  <si>
    <t>Moved from 60.0218 to 60.0413</t>
  </si>
  <si>
    <t>Moved from 60.0219 to 60.0517</t>
  </si>
  <si>
    <t>Moved from 60.0220 to 60.0519</t>
  </si>
  <si>
    <t>Moved from 60.0221 to 60.0414</t>
  </si>
  <si>
    <t>Moved from 60.0222 to 60.0520</t>
  </si>
  <si>
    <t>Moved from 60.0223 to 60.0578</t>
  </si>
  <si>
    <t>Moved from 60.0224 to 60.0524</t>
  </si>
  <si>
    <t>Moved from 60.0225 to 60.0523</t>
  </si>
  <si>
    <t>Moved from 60.0226 to 60.0526</t>
  </si>
  <si>
    <t>Moved from 60.0227 to 60.0527</t>
  </si>
  <si>
    <t>Moved from 60.0228 to 60.0415</t>
  </si>
  <si>
    <t>Moved from 60.0229 to 60.0529</t>
  </si>
  <si>
    <t>Moved from 60.0230 to 60.0537</t>
  </si>
  <si>
    <t>Moved from 60.0231 to 60.0538</t>
  </si>
  <si>
    <t>Moved from 60.0232 to 60.0539</t>
  </si>
  <si>
    <t>Moved from 60.0233 to 60.0416</t>
  </si>
  <si>
    <t>Moved from 60.0234 to 60.0417</t>
  </si>
  <si>
    <t>Moved from 60.0235 to 60.0542</t>
  </si>
  <si>
    <t>Moved from 60.0236 to 60.0418</t>
  </si>
  <si>
    <t>Moved from 60.0237 to 60.0545</t>
  </si>
  <si>
    <t>Moved from 60.0238 to 60.0419</t>
  </si>
  <si>
    <t>Moved from 60.0239 to 60.0420</t>
  </si>
  <si>
    <t>Moved from 60.0240 to 60.0534</t>
  </si>
  <si>
    <t>Moved from 60.0241 to 60.0421</t>
  </si>
  <si>
    <t>Moved from 60.0242 to 60.0422</t>
  </si>
  <si>
    <t>Moved from 60.0243 to 60.0423</t>
  </si>
  <si>
    <t>Moved from 60.0244 to 60.0424</t>
  </si>
  <si>
    <t>Moved from 60.0245 to 60.0549</t>
  </si>
  <si>
    <t>Moved from 60.0246 to 60.0553</t>
  </si>
  <si>
    <t>Moved from 60.0247 to 60.0555</t>
  </si>
  <si>
    <t>Moved from 60.0248 to 60.0557</t>
  </si>
  <si>
    <t>Moved from 60.0249 to 60.0558</t>
  </si>
  <si>
    <t>Moved from 60.0250 to 60.0565</t>
  </si>
  <si>
    <t>Moved from 60.0251 to 60.0425</t>
  </si>
  <si>
    <t>Moved from 60.0252 to 60.0426</t>
  </si>
  <si>
    <t>Moved from 60.0253 to 60.0427</t>
  </si>
  <si>
    <t>Deleted, Report under 60.0429</t>
  </si>
  <si>
    <t>Moved from 60.0255 to 60.0428</t>
  </si>
  <si>
    <t>Moved from 60.0257 to 60.0571</t>
  </si>
  <si>
    <t>Moved from 60.0258 to 60.0430</t>
  </si>
  <si>
    <t>Moved from 60.0259 to 60.0572</t>
  </si>
  <si>
    <t>Moved from 60.0260 to 60.0574</t>
  </si>
  <si>
    <t>Moved from 60.0261 to 60.0577</t>
  </si>
  <si>
    <t>Moved from 60.0262 to 60.0432</t>
  </si>
  <si>
    <t>Moved from 60.0263 to 60.0433</t>
  </si>
  <si>
    <t>Moved from 60.0264 to 60.0434</t>
  </si>
  <si>
    <t>Deleted, Report under 60.0422</t>
  </si>
  <si>
    <t>Moved from 60.0266 to 60.0404</t>
  </si>
  <si>
    <t>Moved from 60.0267 to 60.0512</t>
  </si>
  <si>
    <t>Deleted, Report under 60.0520</t>
  </si>
  <si>
    <t>Moved from 60.0269 to 60.0567</t>
  </si>
  <si>
    <t>Moved from 60.0270 to 60.0568</t>
  </si>
  <si>
    <t>Moved from 60.0271 to 60.0547</t>
  </si>
  <si>
    <t>Instructional content for this group of programs is defined in codes 60.0301 - 60.0399. These CIP codes are not valid for IPEDS reporting.</t>
  </si>
  <si>
    <t>Veterinary Anesthesiology Residency Program.</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</si>
  <si>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</si>
  <si>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Veterinary Dentistry Residency Program.</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</si>
  <si>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 This CIP code is not valid for IPEDS reporting.</t>
  </si>
  <si>
    <t>Veterinary Dermatology Residency Program.</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</si>
  <si>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 This CIP code is not valid for IPEDS reporting.</t>
  </si>
  <si>
    <t>Veterinary Emergency and Critical Care Medicine Residency Program.</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</si>
  <si>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 This CIP code is not valid for IPEDS reporting.</t>
  </si>
  <si>
    <t>Veterinary Internal Medicine Residency Program.</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</si>
  <si>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This CIP code is not valid for IPEDS reporting.</t>
  </si>
  <si>
    <t>Laboratory Animal Medicine Residency Program.</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</si>
  <si>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This CIP code is not valid for IPEDS reporting.</t>
  </si>
  <si>
    <t>Veterinary Microbiology Residency Program.</t>
  </si>
  <si>
    <t>A residency training program that prepares veterinarians in clinical applications of research on harmful microorganisms, including viruses, and of the disease processes they induce in animals. This CIP code is not valid for IPEDS reporting.</t>
  </si>
  <si>
    <t>Veterinary Nutrition Residency Program.</t>
  </si>
  <si>
    <t>A residency training program that prepares veterinarians to apply research on the chemical nature of food substances; the processes by which animals ingest, digest, absorb, transport, utilize and excrete food and nutrients; and their relation to animal behavior and health. This CIP code is not valid for IPEDS reporting.</t>
  </si>
  <si>
    <t>Veterinary Ophthalmology Residency Program.</t>
  </si>
  <si>
    <t>A residency training program that prepares veterinarians in the diagnosis, prevention, and treatment of ophthalmic diseases and disorders in animals, and related ocular pathology procedures.  Includes instruction in animal eye surgery. This CIP code is not valid for IPEDS reporting.</t>
  </si>
  <si>
    <t>Veterinary Pathology Residency Program.</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</si>
  <si>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This CIP code is not valid for IPEDS reporting.</t>
  </si>
  <si>
    <t>Veterinary Practice Residency Program.</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</si>
  <si>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This CIP code is not valid for IPEDS reporting.</t>
  </si>
  <si>
    <t>Veterinary Preventive Medicine Residency Program.</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</si>
  <si>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 This CIP code is not valid for IPEDS reporting.</t>
  </si>
  <si>
    <t>Veterinary Radiology Residency Program.</t>
  </si>
  <si>
    <t>A residency training program that prepares veterinarians in the use of radiologic imaging and therapies to diagnose and treat animal diseases and health problems.  Includes instruction in the use and handling of equipment for radionuclides detection and application. This CIP code is not valid for IPEDS reporting.</t>
  </si>
  <si>
    <t>Veterinary Surgery Residency Program.</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</si>
  <si>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This CIP code is not valid for IPEDS reporting.</t>
  </si>
  <si>
    <t>Theriogenology Residency Program.</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</si>
  <si>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 This CIP code is not valid for IPEDS reporting.</t>
  </si>
  <si>
    <t>Veterinary Toxicology Residency Program.</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</si>
  <si>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This CIP code is not valid for IPEDS reporting.</t>
  </si>
  <si>
    <t>Zoological Medicine Residency Program.</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</si>
  <si>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This CIP code is not valid for IPEDS reporting.</t>
  </si>
  <si>
    <t>Poultry Veterinarian Residency Program.</t>
  </si>
  <si>
    <t>A residency training program that prepares veterinarians to work in the commercial poultry industry, providing services and technical support pertaining to prevention, diagnosis, and management of disease; epidemiology; genetics; and nutrition. This CIP code is not valid for IPEDS reporting.</t>
  </si>
  <si>
    <t>Veterinary Behaviorist Residency Program.</t>
  </si>
  <si>
    <t>A residency training program that prepares veterinarians to understand and treat the behavioral problems of animals, primarily through the application of behavior modification techniques to companion animals; may also involve diagnosis of medical conditions that can affect a pet's behavior, and the use of medication in conjunction with behavior modification therapy. This CIP code is not valid for IPEDS reporting.</t>
  </si>
  <si>
    <t>Veterinary Clinical Pharmacology Residency Program.</t>
  </si>
  <si>
    <t>A residency training program that prepares veterinarians to apply advanced knowledge of the chemical properties and biological effects of drugs to rational drug therapy in animal patients. Includes instruction in the comparative pharmacology of principal drug groups, pharmacokinetics, basic mechanisms and features of diseases occurring in domesticated animals, the role of drugs in modifying the disease process, and specific skills critical to the practice of clinical pharmacology. This CIP code is not valid for IPEDS reporting.</t>
  </si>
  <si>
    <t>Any residency training program in veterinary medicine not listed above. This CIP code is not valid for IPEDS reporting.</t>
  </si>
  <si>
    <t>Medical Residency Programs - General Certificates.</t>
  </si>
  <si>
    <t>Instructional content for this group of programs is defined in codes 60.0401 - 60.0499. These CIP codes are not valid for IPEDS reporting.</t>
  </si>
  <si>
    <t>Aerospace Medicine Residency Program.</t>
  </si>
  <si>
    <t>A residency training program that prepares physicians in the health care of operating crews, support personnel, and passengers of air and space vehicles. Includes instruction in special conditions of physical and psychological stress, emergency medical procedures, adaptive systems and artificial environments. One of three general certificates in the area of preventive medicine. This CIP code is not valid for IPEDS reporting.</t>
  </si>
  <si>
    <t>Allergy and Immunology Residency Program.</t>
  </si>
  <si>
    <t>A residency training program that prepares physicians in the delivery of skilled medical care to patients suffering from allergic, asthmatic and immunologic diseases.  Requires completion of a prior program in internal medicine or pediatrics. This CIP code is not valid for IPEDS reporting.</t>
  </si>
  <si>
    <t>Anesthesiology Residency Program.</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</si>
  <si>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</si>
  <si>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Child Neurology Residency Program.</t>
  </si>
  <si>
    <t>A residency training program that prepares physicians in the diagnosis and management of neurologic disorders of the neonatal period, infancy, early childhood, and adolescence. Requires training in neurology with additional training in child neurology. This CIP code is not valid for IPEDS reporting.</t>
  </si>
  <si>
    <t>Examples: - Neurology with Special Qualifications in Child Neurology Residency Program, - Pediatric Neurology Residency Program</t>
  </si>
  <si>
    <t>Clinical Biochemical Genetics Residency Program.</t>
  </si>
  <si>
    <t>A residency training program that prepares physicians to perform and interpret biochemical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</si>
  <si>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Clinical Cytogenetics Residency Program.</t>
  </si>
  <si>
    <t>A residency training program that prepares physicians to provide laboratory diagnostic and clinical interpretive services dealing with chromosomes associated with inherited disorders and cancer. One of four general certificates in the area of medical genetics. This CIP code is not valid for IPEDS reporting.</t>
  </si>
  <si>
    <t>Clinical Genetics Residency Program.</t>
  </si>
  <si>
    <t>A residency training program that prepares physicians to provide comprehensive diagnostic, management, and counseling services for individuals and families at risk for clinical disorders with a genetic basis. One of four general certificates in the area of medical genetics. This CIP code is not valid for IPEDS reporting.</t>
  </si>
  <si>
    <t>Clinical Molecular Genetics Residency Program.</t>
  </si>
  <si>
    <t>A residency training program that prepares physicians to perform and interpret molecular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</si>
  <si>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Colon and Rectal Surgery Residency Program.</t>
  </si>
  <si>
    <t>A residency training program that prepares physicians in the surgical care of patients with anorectal and colonic diseases.  Also includes instruction in diagnostic and therapeutic colonoscopy.  Requires prior completion of a program in general surgery. This CIP code is not valid for IPEDS reporting.</t>
  </si>
  <si>
    <t>Dermatology Residency Program.</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</si>
  <si>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 This CIP code is not valid for IPEDS reporting.</t>
  </si>
  <si>
    <t>Diagnostic Radiology Residency Program.</t>
  </si>
  <si>
    <t>A residency training program that prepares physicians to utilize x-ray, ionizing radiation, radionuclides, ultrasound, electromagnetic radiation, and image-guided intervention to diagnose and treat disease. One of two general certificates in the area of radiology. This CIP code is not valid for IPEDS reporting.</t>
  </si>
  <si>
    <t>Emergency Medicine Residency Program.</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</si>
  <si>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This CIP code is not valid for IPEDS reporting.</t>
  </si>
  <si>
    <t>Family Medicine Residency Program.</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</si>
  <si>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 This CIP code is not valid for IPEDS reporting.</t>
  </si>
  <si>
    <t>General Surgery Residency Program.</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</si>
  <si>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This CIP code is not valid for IPEDS reporting.</t>
  </si>
  <si>
    <t>Examples: - Surgery Residency Program</t>
  </si>
  <si>
    <t>Internal Medicine Residency Program.</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</si>
  <si>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This CIP code is not valid for IPEDS reporting.</t>
  </si>
  <si>
    <t>Neurological Surgery Residency Program.</t>
  </si>
  <si>
    <t>A residency training program that prepares physicians in the prevention, diagnosis, evaluation, treatment, critical care, and rehabilitation of disorders of the central, peripheral, and autonomic nervous systems, using operative and non-operative means; the evaluation and treatment of pathological processes that modify the function or activity of the nervous system; and the management of pain. This CIP code is not valid for IPEDS reporting.</t>
  </si>
  <si>
    <t>Examples: - Neurological Surgery/Neurosurgery Residency Program</t>
  </si>
  <si>
    <t>Neurology Residency Program.</t>
  </si>
  <si>
    <t>A residency training program that prepares physicians in the diagnosis and treatment of all types of disease or impaired function of the brain, spinal cord, peripheral nerves, muscles and autonomic nervous system, as well as the blood vessels that relate to these structures. This CIP code is not valid for IPEDS reporting.</t>
  </si>
  <si>
    <t>Nuclear Medicine Residency Program.</t>
  </si>
  <si>
    <t>A residency training program that prepares physicians to use the tracer principle, most often with radiopharmaceuticals, to evaluate molecular, metabolic, physiologic and pathologic conditions of the body for the purposes of diagnosis, therapy and research. Includes instruction in tracer kinetics, the biologic effects of radiation exposure, the fundamentals of the physical sciences, and the principles and operation of radiation detection and imaging systems. This CIP code is not valid for IPEDS reporting.</t>
  </si>
  <si>
    <t>Obstetrics and Gynecology Residency Program.</t>
  </si>
  <si>
    <t>A residency training program that prepares physicians in the diagnosis, prevention and treatment of diseases of women, especially those affecting the reproductive system, and the comprehensive care and treatment of women before, during and after childbirth. This CIP code is not valid for IPEDS reporting.</t>
  </si>
  <si>
    <t>Occupational Medicine Residency Program.</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</si>
  <si>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One of three general certificates in the area of preventive medicine. This CIP code is not valid for IPEDS reporting.</t>
  </si>
  <si>
    <t>Ophthalmology Residency Program.</t>
  </si>
  <si>
    <t>A residency training program that prepares physicians in the diagnosis, prevention treatment of ophthalmic diseases and disorders, and ocular pathology procedures.  Includes instruction in eye surgery. This CIP code is not valid for IPEDS reporting.</t>
  </si>
  <si>
    <t>Orthopedic Surgery Residency Program.</t>
  </si>
  <si>
    <t>A residency training program that prepares physicians in the investigation, preservation, and restoration of the form and function of the extremities, spine and associated structures by medical, surgical and physical methods. This CIP code is not valid for IPEDS reporting.</t>
  </si>
  <si>
    <t>Examples: - Orthopedics Residency Program, - Adult Reconstructive Orthopedics Residency Program, - Orthopaedic Surgery Residency Program</t>
  </si>
  <si>
    <t>Otolaryngology Residency Program.</t>
  </si>
  <si>
    <t>A residency training program that prepares physicians to diagnose and provide medical and/or surgical therapy or prevention of diseases, allergies, neoplasms, deformities, disorders, and injuries of the ears, nose, sinuses, throat, respiratory and upper alimentary systems, face, jaws, and the other head and neck systems. This CIP code is not valid for IPEDS reporting.</t>
  </si>
  <si>
    <t>Pathology Residency Program.</t>
  </si>
  <si>
    <t>A residency training program that prepares physicians in the clinical laboratory analysis and diagnosis of disease and anatomic abnormalities.  Includes instruction in performing general autopsies, forensic medicine, laboratory management and quality control. This CIP code is not valid for IPEDS reporting.</t>
  </si>
  <si>
    <t>Examples: - Anatomic Pathology Residency Program, - Clinical Pathology Residency Program, - Anatomic Pathology and Clinical Pathology Residency Program</t>
  </si>
  <si>
    <t>Pediatrics Residency Program.</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</si>
  <si>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This CIP code is not valid for IPEDS reporting.</t>
  </si>
  <si>
    <t>Physical Medicine and Rehabilitation Residency Program.</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</si>
  <si>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This CIP code is not valid for IPEDS reporting.</t>
  </si>
  <si>
    <t>Examples: - Physical and Rehabilitation Medicine Residency Program</t>
  </si>
  <si>
    <t>Plastic Surgery Residency Program.</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</si>
  <si>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This CIP code is not valid for IPEDS reporting.</t>
  </si>
  <si>
    <t>Psychiatry Residency Program.</t>
  </si>
  <si>
    <t>A residency training program that prepares physicians in the diagnosis, treatment, and prevention of mental, emotional, behavioral and neurological disorders.  Includes instruction in psychotherapy, family counseling, referral, clinical diagnosis, and practice management. This CIP code is not valid for IPEDS reporting.</t>
  </si>
  <si>
    <t>Public Health and General Preventive Medicine Residency Program.</t>
  </si>
  <si>
    <t>A residency training program that prepares physicians to promote health, prevent disease, and manage the health of communities and defined populations; combines population-based public health skills with knowledge of primary, secondary, and tertiary prevention-oriented clinical practice in a wide variety of settings. One of three general certificates in the area of preventive medicine. Note: this medical specialty merges the previous subspecialties of preventive medicine and public health medicine. This CIP code is not valid for IPEDS reporting.</t>
  </si>
  <si>
    <t>Examples: - Public Health Medicine Residency Program, - Preventive Medicine Residency Program</t>
  </si>
  <si>
    <t>Radiation Oncology Residency Program.</t>
  </si>
  <si>
    <t>A residency training program that prepares physicians in the use of ionizing radiation to treat patients with cancer and other diseases. Includes instruction in treatment planning, instrument design and operation, radiation physics and radiobiology. One of two general certificates in the area of radiology. This CIP code is not valid for IPEDS reporting.</t>
  </si>
  <si>
    <t>Radiologic Physics Residency Program.</t>
  </si>
  <si>
    <t>A residency training program that prepares physicians in that branch of physics which includes the physical aspects of radiation therapy, radiologic diagnosis, and/or nuclear medicine. Radiologic physicists must specialize in at least one of the three subspecialty areas: therapeutic radiological physics, diagnostic radiological physics, and/or medical nuclear physics. This CIP code is not valid for IPEDS reporting.</t>
  </si>
  <si>
    <t>Thoracic Surgery Residency Program.</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</si>
  <si>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 This CIP code is not valid for IPEDS reporting.</t>
  </si>
  <si>
    <t>Urology Residency Program.</t>
  </si>
  <si>
    <t>A residency training program that prepares physicians to manage congenital and acquired conditions of the genitourinary system and contiguous structures including the adrenal gland, including conditions extending from the fetus to the elderly and which may be benign or malignant. This specialist is skilled in medical and open surgical therapy of these conditions, as well as endoscopic, percutaneous, and other minimally invasive methods. This CIP code is not valid for IPEDS reporting.</t>
  </si>
  <si>
    <t>Vascular Surgery Residency Program.</t>
  </si>
  <si>
    <t>A residency training program that prepares physicians in the surgical treatment of diseases and disorders of the arterial, venous and lymphatic circulatory systems and of the heart and thoracic aorta. This CIP code is not valid for IPEDS reporting.</t>
  </si>
  <si>
    <t>Medical Residency Programs - General Certificates, Other.</t>
  </si>
  <si>
    <t>Any general-certificate medical residency program not listed above. This CIP code is not valid for IPEDS reporting.</t>
  </si>
  <si>
    <t>Medical Residency Programs - Subspecialty Certificates.</t>
  </si>
  <si>
    <t>Instructional content for this group of programs is defined in codes 60.0501 - 60.0599. These CIP codes are not valid for IPEDS reporting.</t>
  </si>
  <si>
    <t>Addiction Psychiatry Residency Program.</t>
  </si>
  <si>
    <t>A residency training program that prepares physicians in the evaluation and treatment of individuals with alcohol, drug, or other substance-related disorders, and of individuals with the dual diagnosis of substance-related and other psychiatric disorders. Requires prior completion of a program in psychiatry. This CIP code is not valid for IPEDS reporting.</t>
  </si>
  <si>
    <t>Adolescent Medicine Residency Program.</t>
  </si>
  <si>
    <t>A residency training program that prepares physicians in the unique physical, psychological, and social characteristics of adolescents and their healthcare problems and needs. Requires prior completion of a program in family medicine, internal medicine, or pediatrics. This CIP code is not valid for IPEDS reporting.</t>
  </si>
  <si>
    <t>Blood Banking/Transfusion Medicine Residency Program.</t>
  </si>
  <si>
    <t>A residency training program that prepares physicians for the maintenance of an adequate blood supply, blood donor and patient-recipient safety, and appropriate blood utilization.  Includes directing the preparation and safe use of specially prepared blood components, including red blood cells, white blood cells, platelets and plasma constituents, and marrow or stem cells for transplantation. Requires prior completion of a program in pathology. This CIP code is not valid for IPEDS reporting.</t>
  </si>
  <si>
    <t>Examples: - Blood Banking Residency Program</t>
  </si>
  <si>
    <t>Cardiovascular Disease Residency Program.</t>
  </si>
  <si>
    <t>A residency training program that prepares physicians to specialize in diseases of the heart and blood vessels and to manage complex cardiac conditions such as heart attacks and life-threatening, abnormal heartbeat rhythms. Requires prior completion of a program in internal medicine. This CIP code is not valid for IPEDS reporting.</t>
  </si>
  <si>
    <t>Examples: - Cardiology Residency Program</t>
  </si>
  <si>
    <t>Chemical Pathology Residency Program.</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</si>
  <si>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 This CIP code is not valid for IPEDS reporting.</t>
  </si>
  <si>
    <t>Child Abuse Pediatrics Residency Program.</t>
  </si>
  <si>
    <t>A residency training program that prepares physicians to accurately diagnose abuse, consult with community agencies on child safety, provide expertise in courts of law, treat consequences of abuse and neglect, direct child abuse and neglect prevention programs and participate on multidisciplinary investigative teams, and manage child abuse cases. Requires prior completion of a program in pediatrics. This CIP code is not valid for IPEDS reporting.</t>
  </si>
  <si>
    <t>Child and Adolescent Psychiatry Residency Program.</t>
  </si>
  <si>
    <t>A residency training program that prepares physicians in the diagnosis and treatment of developmental, behavioral, emotional, and mental disorders of childhood and adolescence. Requires prior completion of a program in psychiatry. This CIP code is not valid for IPEDS reporting.</t>
  </si>
  <si>
    <t>Examples: - Child Psychiatry Residency Program</t>
  </si>
  <si>
    <t>Clinical Cardiac Electrophysiology Residency Program.</t>
  </si>
  <si>
    <t>A residency training program, within the subspecialty of cardiovascular disease, which prepares physicians in intricate technical procedures to evaluate heart rhythms and determine appropriate treatment. Requires prior completion of a program in internal medicine. This CIP code is not valid for IPEDS reporting.</t>
  </si>
  <si>
    <t>Clinical Neurophysiology Residency Program.</t>
  </si>
  <si>
    <t>A residency training program that prepares physicians in the diagnosis and management of central, peripheral, and autonomic nervous system disorders using a combination of clinical evaluation and electrophysiologic testing such as electroencephalography (EEG), electromyography (EMG), and nerve conduction studies (NCS). Requires prior completion of a program in neurology, child neurology, or psychiatry. This CIP code is not valid for IPEDS reporting.</t>
  </si>
  <si>
    <t>Congenital Cardiac Surgery Residency Program.</t>
  </si>
  <si>
    <t>A residency training program that prepares physicians in the operative treatment of structural abnormalities involving the heart and major blood vessels, including defects resulting from congenital malformations as well as defects acquired in infants and children; includes care of patients from the fetus to the adult. Requires prior completion of a program in thoracic surgery. This CIP code is not valid for IPEDS reporting.</t>
  </si>
  <si>
    <t>Critical Care Medicine Residency Program.</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</si>
  <si>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anesthesiology, internal medicine, or obstetrics and gynecology. Note: critical care anesthesiology is no longer a medical subspecialty, but anesthesiologists may complete a subspecialty in critical care medicine. This CIP code is not valid for IPEDS reporting.</t>
  </si>
  <si>
    <t>Examples: - Critical Care Anesthesiology Residency Program</t>
  </si>
  <si>
    <t>Cytopathology Residency Program.</t>
  </si>
  <si>
    <t>A residency training program that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 Requires prior completion of a program in pathology. This CIP code is not valid for IPEDS reporting.</t>
  </si>
  <si>
    <t>Dermatopathology Residency Program.</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</si>
  <si>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 This CIP code is not valid for IPEDS reporting.</t>
  </si>
  <si>
    <t>Developmental-Behavioral Pediatrics Residency Program.</t>
  </si>
  <si>
    <t>A residency training program that prepares physicians to assist in the prevention, diagnosis, and management of developmental difficulties and problematic behaviors in children, and in the family dysfunctions that compromise children's development; and to foster understanding and promotion of optimal development of children and families through research, education, clinical care, and advocacy efforts. Requires prior completion of a program in pediatrics. This CIP code is not valid for IPEDS reporting.</t>
  </si>
  <si>
    <t>Diagnostic Radiologic Physics Residency Program.</t>
  </si>
  <si>
    <t>A residency training program that prepares physicians in the diagnostic applications of x-rays, gamma rays from sealed sources, ultrasonic radiation, and magnetic resonance; and in the use of equipment associated with their production and use, including radiation safety. One of the three subspecialties available to residents in radiologic physics who must select one or more subspecialty areas. This CIP code is not valid for IPEDS reporting.</t>
  </si>
  <si>
    <t>Endocrinology, Diabetes and Metabolism Residency Program.</t>
  </si>
  <si>
    <t>A residency training program that prepares physicians to specialize in disorders of the internal (endocrine) glands such as the thyroid and adrenal glands, and to deal with disorders such as diabetes, metabolic and nutritional disorders, obesity, pituitary diseases, and menstrual and sexual problems. Requires prior completion of a program in internal medicine. This CIP code is not valid for IPEDS reporting.</t>
  </si>
  <si>
    <t>Examples: - Endocrinology and Metabolism Residency Program</t>
  </si>
  <si>
    <t>Forensic Pathology Residency Program.</t>
  </si>
  <si>
    <t>A residency training program that prepares physicians in the performance of medical autopsies, the analysis of human remains and crime scenes, and the legal follow-up and responsibilities of public pathologists.  Requires prior completion of a program in pathology. This CIP code is not valid for IPEDS reporting.</t>
  </si>
  <si>
    <t>Forensic Psychiatry Residency Program.</t>
  </si>
  <si>
    <t>A residency training program that prepares physicians to evaluate individuals involved with the legal system and provide specialized treatment to those incarcerated in jails, prisons, and forensic psychiatry hospitals; and who focus on the interrelationships between psychiatry and civil, criminal, and administrative law. Requires prior completion of a program in psychiatry. This CIP code is not valid for IPEDS reporting.</t>
  </si>
  <si>
    <t>Gastroenterology Residency Program.</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</si>
  <si>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 This CIP code is not valid for IPEDS reporting.</t>
  </si>
  <si>
    <t>Geriatric Medicine Residency Program.</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</si>
  <si>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 This CIP code is not valid for IPEDS reporting.</t>
  </si>
  <si>
    <t>Geriatric Psychiatry Residency Program.</t>
  </si>
  <si>
    <t>A residency training program that prepares physicians in the prevention, evaluation, diagnosis, and treatment of mental and emotional disorders in the elderly, and to improve the psychiatric care of the elderly both in health and in disease. Requires prior completion of a program in psychiatry. This CIP code is not valid for IPEDS reporting.</t>
  </si>
  <si>
    <t>Gynecologic Oncology Residency Program.</t>
  </si>
  <si>
    <t>A residency training program that prepares physicians for consultation and comprehensive management of patients with gynecologic cancer, including those diagnostic and therapeutic procedures necessary for the total care of the patient with gynecologic cancer and resulting complications. Requires prior completion of a program in obstetrics and gynecology. This CIP code is not valid for IPEDS reporting.</t>
  </si>
  <si>
    <t>Hematological Pathology Residency Program.</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</si>
  <si>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 This CIP code is not valid for IPEDS reporting.</t>
  </si>
  <si>
    <t>Hematology Residency Program.</t>
  </si>
  <si>
    <t>A residency training program that prepares physicians in the mechanisms and therapy of diseases of the blood, bone marrow, spleen, and lymph, including patient management, diagnostic tests, biopsies and other procedures. Requires prior completion of a program in internal medicine or pathology. This CIP code is not valid for IPEDS reporting.</t>
  </si>
  <si>
    <t>Hospice and Palliative Medicine Residency Program.</t>
  </si>
  <si>
    <t>A residency training program that prepares physicians to prevent and relieve the suffering experienced by patients with life-limiting illnesses and to maximize quality of life while addressing the physical, psychological, social, and spiritual needs of both patient and family throughout the course of the disease, including through the dying process and subsequent family grieving. Requires prior completion of a program in anesthesiology, emergency medicine, family medicine, internal medicine, neurology, child neurology, obstetrics and gynecology, pediatrics, physical medicine and rehabilitation, psychiatry, radiation oncology, or general surgery. This CIP code is not valid for IPEDS reporting.</t>
  </si>
  <si>
    <t>Immunopathology Residency Program.</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</si>
  <si>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 This CIP code is not valid for IPEDS reporting.</t>
  </si>
  <si>
    <t>Infectious Disease Residency Program.</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</si>
  <si>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 This CIP code is not valid for IPEDS reporting.</t>
  </si>
  <si>
    <t>Interventional Cardiology Residency Program.</t>
  </si>
  <si>
    <t>A residency training program, within the subspecialty of cardiology, which trains physicians in the use of specialized imaging and other diagnostic techniques to evaluate blood flow and pressure in the coronary arteries and chambers of the heart, and in the use of technical procedures and medications to treat abnormalities that impair the function of the cardiovascular system. Requires prior completion of a program in internal medicine. This CIP code is not valid for IPEDS reporting.</t>
  </si>
  <si>
    <t>Laboratory Medicine Residency Program.</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</si>
  <si>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 This CIP code is not valid for IPEDS reporting.</t>
  </si>
  <si>
    <t>Maternal and Fetal Medicine Residency Program.</t>
  </si>
  <si>
    <t>A residency training program that prepares physicians to care for, or provide consultation on, patients with complications of pregnancy, based on advanced knowledge of the obstetrical, medical, and surgical complications of pregnancy, and their effect on both the mother and the fetus, and expertise in the most current diagnostic and treatment modalities used in the care of patients with complicated pregnancies. Requires prior completion of a program in obstetrics and gynecology. This CIP code is not valid for IPEDS reporting.</t>
  </si>
  <si>
    <t>Medical Biochemical Genetics Residency Program.</t>
  </si>
  <si>
    <t>A residency training program that prepares physicians in the diagnosis and medical management of individuals with inborn errors of metabolism, including the provision of direct care and consultative care for individuals of all ages. Requires prior completion of a program in medical genetics. This CIP code is not valid for IPEDS reporting.</t>
  </si>
  <si>
    <t>Medical Microbiology Residency Program.</t>
  </si>
  <si>
    <t>A residency training program that prepares physicians in the isolation and identification of microbial agents that cause infectious disease, including viruses, bacteria, fungi, and parasites. Requires prior completion of a program in pathology. This CIP code is not valid for IPEDS reporting.</t>
  </si>
  <si>
    <t>Medical Nuclear Physics Residency Program.</t>
  </si>
  <si>
    <t>A residency training program that prepares physicians in the therapeutic and diagnostic applications of radionuclides (except those used in sealed sources for therapeutic purposes); and in the use of equipment associated with their production and use, including radiation safety. One of the three subspecialties available to residents in radiologic physics who must select one or more subspecialty areas. This CIP code is not valid for IPEDS reporting.</t>
  </si>
  <si>
    <t>Medical Oncology Residency Program.</t>
  </si>
  <si>
    <t>A residency training program that prepares physicians in the diagnosis and treatment of all types of cancer and other benign and malignant tumors; this includes deciding on and administering therapy for these malignancies, as well as consulting with surgeons and radiotherapists on other treatments for cancer. Requires prior completion of a program in internal medicine. This CIP code is not valid for IPEDS reporting.</t>
  </si>
  <si>
    <t>Medical Toxicology Residency Program.</t>
  </si>
  <si>
    <t>A residency training program that prepares physicians who specialize in the prevention, evaluation, treatment, and monitoring of injury and illness from exposures to drugs and chemicals, as well as exposures to biological and radiological agents. Important areas include acute drug poisoning; adverse drug events; drug abuse, addiction and withdrawal; chemicals and hazardous materials; terrorism preparedness; venomous bites and stings; and environmental and workplace exposures. Requires prior completion of a program in emergency medicine, pediatrics, or preventive medicine. This CIP code is not valid for IPEDS reporting.</t>
  </si>
  <si>
    <t>Molecular Genetic Pathology Residency Program.</t>
  </si>
  <si>
    <t>A residency training program that prepares physicians to make or confirm diagnoses of Mendelian genetic disorders, disorders of human development, infectious diseases and malignancies, and to assess the natural history of those disorders, using the principles, theory, and technologies of molecular biology and molecular genetics. Requires prior completion of a program in medical genetics or pathology. This CIP code is not valid for IPEDS reporting.</t>
  </si>
  <si>
    <t>Musculoskeletal Oncology Residency Program.</t>
  </si>
  <si>
    <t>A residency training program that prepares physicians in the diagnosis and treatment of musculoskeletal neoplasm, and the application of cancer therapy regimes. This CIP code is not valid for IPEDS reporting.</t>
  </si>
  <si>
    <t>Neonatal-Perinatal Medicine Residency Program.</t>
  </si>
  <si>
    <t>A residency training program that prepares physicians in the physiology of the normal neonate, the patho-physiology of the sick infant, and the diagnosis and management of problems of the newborn infant, including consulting with obstetricians to plan for the care of women with high-risk pregnancies. Requires prior completion of a program in pediatrics. This CIP code is not valid for IPEDS reporting.</t>
  </si>
  <si>
    <t>Nephrology Residency Program.</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</si>
  <si>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This CIP code is not valid for IPEDS reporting.</t>
  </si>
  <si>
    <t>Neurodevelopmental Disabilities Residency Program.</t>
  </si>
  <si>
    <t>A residency training program that prepares physicians to treat children having developmental delays or learning disorders, including those associated with visual and hearing impairment, mental retardation, cerebral palsy, spina bifida, autism, and other chronic neurologic conditions. Requires prior completion of a program in neurology, child neurology, or pediatrics. This CIP code is not valid for IPEDS reporting.</t>
  </si>
  <si>
    <t>Neuromuscular Medicine Residency Program.</t>
  </si>
  <si>
    <t>A residency training program that prepares physicians in the diagnosis and management of disorders of nerve, muscle, or neuromuscular junction, including amyotrophic lateral sclerosis, peripheral neuropathies, various muscular dystrophies, congenital and acquired myopathies, inflammatory myopathies, and neuromuscular transmission disorders. Requires prior completion of a program in neurology, child neurology, or physical medicine and rehabilitation. This CIP code is not valid for IPEDS reporting.</t>
  </si>
  <si>
    <t>Neuropathology Residency Program.</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</si>
  <si>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 This CIP code is not valid for IPEDS reporting.</t>
  </si>
  <si>
    <t>Neuroradiology Residency Program.</t>
  </si>
  <si>
    <t>A residency training program that prepares diagnostic radiologists in the diagnosis and treatment of disorders of the brain, spine, spinal cord, peripheral nerves, and head and neck in adults and children. Requires prior completion of a program in diagnostic radiology. This CIP code is not valid for IPEDS reporting.</t>
  </si>
  <si>
    <t>Neurotology Residency Program.</t>
  </si>
  <si>
    <t>A residency training program that prepares physicians to treat diseases of the ear and temporal bone, including disorders of hearing and balance. Requires prior completion of a program in otolaryngology. This CIP code is not valid for IPEDS reporting.</t>
  </si>
  <si>
    <t>Nuclear Radiology Residency Program.</t>
  </si>
  <si>
    <t>A residency training program that prepares physicians in the imaging by external detection of radionuclides and/or biodistribution by external detection of radionuclides for diagnosis of disease.  Requires prior partial completion of a program in diagnostic radiology. This CIP code is not valid for IPEDS reporting.</t>
  </si>
  <si>
    <t>Orthopedic Sports Medicine Residency Program.</t>
  </si>
  <si>
    <t>A residency training program that prepares physicians to prevent and manage athletic injuries and to provide appropriate care for all structures of the musculoskeletal system directly affected by participation in sporting activity. Requires prior completion of a program in orthopedic surgery. This CIP code is not valid for IPEDS reporting.</t>
  </si>
  <si>
    <t>Examples: - Orthopaedic Sports Medicine Residency Program</t>
  </si>
  <si>
    <t>Orthopedic Surgery of the Spine Residency Program.</t>
  </si>
  <si>
    <t>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 This CIP code is not valid for IPEDS reporting.</t>
  </si>
  <si>
    <t>Pain Medicine Residency Program.</t>
  </si>
  <si>
    <t>A residency training program that prepares physicians in the diagnosis and treatment of the entire range of painful disorders, either as a primary physician or consultant, for patients experiencing problems with acute, chronic, and/or cancer pain in both hospital and ambulatory settings. Requires prior completion of a program in anesthesiology, neurology, child neurology, physical medicine and rehabilitation, or psychiatry. This CIP code is not valid for IPEDS reporting.</t>
  </si>
  <si>
    <t>Pediatric Cardiology Residency Program.</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</si>
  <si>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 This CIP code is not valid for IPEDS reporting.</t>
  </si>
  <si>
    <t>Pediatric Critical Care Medicine Residency Program.</t>
  </si>
  <si>
    <t>A residency training program that prepares physicians in advanced life support for children, from the term or near-term neonate to the adolescent. This includes critical care management of life-threatening organ system failure in both medical and surgical patients, and support of vital physiological functions. Requires prior completion of a program in pediatrics. This CIP code is not valid for IPEDS reporting.</t>
  </si>
  <si>
    <t>Pediatric Dermatology Residency Program.</t>
  </si>
  <si>
    <t>A residency training program that prepares physicians in the treatment of specific skin disease categories, with emphasis on those diseases which predominate in infants, children, and adolescents. Requires prior completion of a program in dermatology. This CIP code is not valid for IPEDS reporting.</t>
  </si>
  <si>
    <t>Pediatric Emergency Medicine Residency Program.</t>
  </si>
  <si>
    <t>A residency training program that prepares physicians to manage emergencies in infants and children. Requires prior completion of a program in emergency medicine or pediatrics. This CIP code is not valid for IPEDS reporting.</t>
  </si>
  <si>
    <t>Pediatric Endocrinology Residency Program.</t>
  </si>
  <si>
    <t>A residency training program that prepares physicians in the diagnosis and management of endocrine diseases and the regulation of hormone balance in childhood and adolescence.  Requires prior completion of a program in pediatrics. This CIP code is not valid for IPEDS reporting.</t>
  </si>
  <si>
    <t>Pediatric Gastroenterology Residency Program.</t>
  </si>
  <si>
    <t>A residency training program that prepares physicians in the diagnosis and treatment of diseases of the digestive systems of infants, children, and adolescents; includes treatment of conditions such as abdominal pain, ulcers, diarrhea, cancer, and jaundice, and performance of complex diagnostic and therapeutic procedures using lighted scopes to see internal organs. Requires prior completion of a program in pediatrics. This CIP code is not valid for IPEDS reporting.</t>
  </si>
  <si>
    <t>Pediatric Hematology-Oncology Residency Program.</t>
  </si>
  <si>
    <t>A residency training program that prepares physicians in the diagnosis and management of hematologic disorders and malignant diseases, including blood and bone marrow function, in infancy, childhood and adolescence.  Requires prior completion of a program in pediatrics. This CIP code is not valid for IPEDS reporting.</t>
  </si>
  <si>
    <t>Examples: - Pediatric Hemato-Oncology Residency Program</t>
  </si>
  <si>
    <t>Pediatric Infectious Diseases Residency Program.</t>
  </si>
  <si>
    <t>A residency training program that prepares physicians in the diagnosis, treatment, and prevention of infectious diseases in children; and to effect a better outcome for pediatric infections with complicated courses, underlying diseases that predispose to unusual or severe infections, unclear diagnoses, uncommon diseases, and complex or investigational treatments. Requires prior completion of a program in pediatrics. This CIP code is not valid for IPEDS reporting.</t>
  </si>
  <si>
    <t>Pediatric Nephrology Residency Program.</t>
  </si>
  <si>
    <t>A residency training program that prepares physicians in the diagnosis and management of infants, children and adolescents with renal and genito-urinary problems, hypertension and disorders of body fluid physiology.  Requires prior completion of a program in pediatrics. This CIP code is not valid for IPEDS reporting.</t>
  </si>
  <si>
    <t>Pediatric Orthopedics Residency Program.</t>
  </si>
  <si>
    <t>A residency training program that prepares physicians in the diagnosis, surgical and non-surgical treatment, and management of musculoskeletal diseases, abnormalities and trauma in infants, children and adolescents.  Requires prior completion of a program in orthopedic surgery. This CIP code is not valid for IPEDS reporting.</t>
  </si>
  <si>
    <t>Pediatric Otolaryngology Residency Program.</t>
  </si>
  <si>
    <t>A residency training program that prepares physicians to diagnose, treat and manage disorders of infants and children that include congenital and acquired conditions involving the aerodigestive tract, nose and paranasal sinuses, the ear, and other areas of the head and neck; this includes special skills in the diagnosis, treatment, and management of childhood disorders of voice, speech, language, and hearing. Requires prior completion of a program in otolaryngology. This CIP code is not valid for IPEDS reporting.</t>
  </si>
  <si>
    <t>Pediatric Pathology Residency Program.</t>
  </si>
  <si>
    <t>A residency training program that prepares physicians in the laboratory diagnosis of diseases that occur during fetal growth, infancy, and child development, based on knowledge of general pathology, normal growth and development, and pediatric medicine. Requires prior completion of a program in pathology. This CIP code is not valid for IPEDS reporting.</t>
  </si>
  <si>
    <t>Pediatric Pulmonology Residency Program.</t>
  </si>
  <si>
    <t>A residency training program that prepares physicians in the prevention and treatment of all respiratory diseases affecting infants, children, and young adults, based on knowledge of the growth and development of the lung, assessment of respiratory function in infants and children, and experience in a variety of invasive and noninvasive diagnostic techniques. Requires prior completion of a program in pediatrics. This CIP code is not valid for IPEDS reporting.</t>
  </si>
  <si>
    <t>Pediatric Radiology Residency Program.</t>
  </si>
  <si>
    <t>A residency training program that prepares physicians in all forms of diagnostic imaging as it pertains to the diagnosis and treatment of diseases in the newborn, infant, child, and adolescent. Requires prior completion of a program in diagnostic radiology. This CIP code is not valid for IPEDS reporting.</t>
  </si>
  <si>
    <t>Pediatric Rehabilitation Medicine Residency Program.</t>
  </si>
  <si>
    <t>A residency training program that prepares physicians to use an interdisciplinary approach to prevent, diagnose, treat, and manage congenital and childhood-onset physical impairments in children and young adults, including related medical, physical, functional, psychosocial, and vocational limitations or conditions. Requires prior completion of a program in physical medicine and rehabilitation. This CIP code is not valid for IPEDS reporting.</t>
  </si>
  <si>
    <t>Pediatric Rheumatology Residency Program.</t>
  </si>
  <si>
    <t>A residency training program that prepares physicians to diagnose and treat diseases of joints, muscle, bones, and tendons in children and young adults, including arthritis, back pain, muscle strains, common athletic injuries, and collagen diseases. Requires prior completion of a program in pediatrics. This CIP code is not valid for IPEDS reporting.</t>
  </si>
  <si>
    <t>Pediatric Surgery Residency Program.</t>
  </si>
  <si>
    <t>A residency training program that prepares physicians in the diagnosis, evaluation and surgical treatment of diseases, disorders and trauma in infants and children.  Requires prior completion of a program in general surgery. This CIP code is not valid for IPEDS reporting.</t>
  </si>
  <si>
    <t>Pediatric Transplant Hepatology Residency Program.</t>
  </si>
  <si>
    <t>A residency training program that prepares physicians with special knowledge, skill, and expertise required of pediatric gastroenterologists to care for children and young adults prior to and following hepatic transplantation. Requires prior completion of a program in pediatrics. This CIP code is not valid for IPEDS reporting.</t>
  </si>
  <si>
    <t>Pediatric Urology Residency Program.</t>
  </si>
  <si>
    <t>A residency training program that prepares individuals in the study, prevention, and management of congenital, childhood-acquired, and overlapping adolescent anomalies of the genitourinary tract, including problems, diseases, tumors, and traumas. Requires prior completion of a program in urology. This CIP code is not valid for IPEDS reporting.</t>
  </si>
  <si>
    <t>Physical Medicine and Rehabilitation/Psychiatry Residency Program.</t>
  </si>
  <si>
    <t>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 This CIP code is not valid for IPEDS reporting.</t>
  </si>
  <si>
    <t>Plastic Surgery Within the Head and Neck Residency Program.</t>
  </si>
  <si>
    <t>A residency training program that prepares physicians in plastic and reconstructive procedures within the head, face, neck, and associated structures, including cutaneous head and neck oncology and reconstruction, management of maxillofacial trauma, soft tissue repair, and neural surgery. Requires prior completion of a program in otolaryngology or plastic surgery. This CIP code is not valid for IPEDS reporting.</t>
  </si>
  <si>
    <t>Psychosomatic Medicine Residency Program.</t>
  </si>
  <si>
    <t>A residency training program that prepares physicians in the diagnosis and treatment of psychiatric disorders and symptoms in complex medically ill patients. This includes treatment of patients with acute or chronic medical, neurological, obstetrical, or surgical illness in which psychiatric illness is affecting their medical care and/or quality of life, and patients who have a psychiatric disorder that is the direct consequence of a primary medical condition, a somatoform disorder, or psychological factors affecting a general medical condition. Requires prior completion of a program in psychiatry. This CIP code is not valid for IPEDS reporting.</t>
  </si>
  <si>
    <t>Pulmonary Disease Residency Program.</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</si>
  <si>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 This CIP code is not valid for IPEDS reporting.</t>
  </si>
  <si>
    <t>Radioisotopic Pathology Residency Program.</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</si>
  <si>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 This CIP code is not valid for IPEDS reporting.</t>
  </si>
  <si>
    <t>Reproductive Endocrinology/Infertility Residency Program.</t>
  </si>
  <si>
    <t>A residency training program that prepares physicians to manage complex problems relating to reproductive endocrinology and infertility. Requires prior completion of a program in obstetrics and gynecology. This CIP code is not valid for IPEDS reporting.</t>
  </si>
  <si>
    <t>Rheumatology Residency Program.</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</si>
  <si>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 This CIP code is not valid for IPEDS reporting.</t>
  </si>
  <si>
    <t>Sleep Medicine Residency Program.</t>
  </si>
  <si>
    <t>A residency training program that prepares physicians in the diagnosis and management of clinical conditions that occur during sleep, that disturb sleep, or that are affected by disturbances in the wake-sleep cycle; in the analysis and interpretation of comprehensive polysomnography; and in management of a sleep laboratory. Requires prior completion of a program in family medicine, internal medicine, neurology, child neurology, otolaryngology, pediatrics, or psychiatry. This CIP code is not valid for IPEDS reporting.</t>
  </si>
  <si>
    <t>Spinal Cord Injury Medicine Residency Program.</t>
  </si>
  <si>
    <t>A residency training program that prepares physicians to address the prevention, diagnosis, treatment, and management of traumatic spinal cord injury and non-traumatic etiologies of spinal cord dysfunction, including related medical, physical, psychological, and vocational disabilities and complications. Requires prior completion of a program in physical medicine and rehabilitation. This CIP code is not valid for IPEDS reporting.</t>
  </si>
  <si>
    <t>Sports Medicine Residency Program.</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</si>
  <si>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emergency medicine, family medicine, internal medicine, orthopedic surgery, pediatrics, or physical medicine and rehabilitation. This CIP code is not valid for IPEDS reporting.</t>
  </si>
  <si>
    <t>Surgery of the Hand Residency Program.</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</si>
  <si>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 This CIP code is not valid for IPEDS reporting.</t>
  </si>
  <si>
    <t>Examples: - Hand Surgery Residency Program</t>
  </si>
  <si>
    <t>Surgical Critical Care Residency Program.</t>
  </si>
  <si>
    <t>A residency training program that prepares surgeons in the diagnosis, treatment, and support of critically ill and injured patients, particularly trauma victims and patients with multiple organ dysfunction. Requires prior completion of a program in general surgery. This CIP code is not valid for IPEDS reporting.</t>
  </si>
  <si>
    <t>Examples: - Critical Care Surgery Residency Program</t>
  </si>
  <si>
    <t>Therapeutic Radiologic Physics Residency Program.</t>
  </si>
  <si>
    <t>A residency training program that prepares physicians to deal with the physical aspects of the therapeutic applications of x-rays, gamma rays, electron, and other charged particle beams, neutrons, and radiations from sealed radionuclide sources; and with the equipment associated with their production and use, including radiation safety. One of the three subspecialties available to residents in radiologic physics who must select one or more subspecialty areas. This CIP code is not valid for IPEDS reporting.</t>
  </si>
  <si>
    <t>Transplant Hepatology Residency Program.</t>
  </si>
  <si>
    <t>A residency training program that prepares physicians with special knowledge and the skill required of a gastroenterologist to care for patients prior to and following hepatic transplantation that spans all phases of liver transplantation. Requires prior completion of a program in internal medicine. This CIP code is not valid for IPEDS reporting.</t>
  </si>
  <si>
    <t>Undersea and Hyperbaric Medicine Residency Program.</t>
  </si>
  <si>
    <t>A residency training program that prepares physicians to treat decompression illness and diving accident cases; to use hyperbaric oxygen therapy treatment for conditions such as carbon monoxide poisoning, gas gangrene, non-healing wounds, tissue damage from radiation and burns, and bone infections; to serve as consultant in all aspects of hyperbaric chamber operations; and to assess risks and apply appropriate standards to prevent disease and disability in divers and other persons working in altered atmospheric conditions. Requires prior completion of a program in emergency medicine or preventive medicine. This CIP code is not valid for IPEDS reporting.</t>
  </si>
  <si>
    <t>Vascular and Interventional Radiology Residency Program.</t>
  </si>
  <si>
    <t>A residency training program that prepares diagnostic radiologists with additional training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Requires prior completion of a program in diagnostic radiology. This CIP code is not valid for IPEDS reporting.</t>
  </si>
  <si>
    <t>Vascular Neurology Residency Program.</t>
  </si>
  <si>
    <t>A residency training program that prepares physicians in the evaluation, prevention, treatment, and recovery from vascular diseases of the nervous system resulting from a large number of causes, such as ischemic stroke, intracranial hemorrhage, spinal cord ischemia, and spinal cord hemorrhage. Requires prior completion of a program in neurology or child neurology. This CIP code is not valid for IPEDS reporting.</t>
  </si>
  <si>
    <t>Medical Residency Programs - Subspecialty Certificates, Other.</t>
  </si>
  <si>
    <t>Any subspecialty-certificate medical residency program not listed above. This CIP code is not valid for IPEDS reporting.</t>
  </si>
  <si>
    <t>Podiatric Medicine Residency Programs.</t>
  </si>
  <si>
    <t>Instructional content for this group of programs is defined in codes 60.0601 - 60.0602. These CIP codes are not valid for IPEDS reporting.</t>
  </si>
  <si>
    <t>Podiatric Medicine and Surgery - 24 Residency Program.</t>
  </si>
  <si>
    <t>A two-year residency training program that prepares podiatrists for primary practice in podiatric healthcare and foot surgery certification. This includes diagnosis and treatment of conditions affecting the human foot, ankle, and their governing and related structures, including the leg, and the local manifestations of systemic conditions, by all appropriate systems and means. This CIP code is not valid for IPEDS reporting.</t>
  </si>
  <si>
    <t>Podiatric Medicine and Surgery - 36 Residency Program.</t>
  </si>
  <si>
    <t>A three-year residency training program that prepares podiatrists for primary practice in podiatric healthcare, foot surgery certification, and reconstructive rearfoot and ankle surgery. This CIP code is not valid for IPEDS reporting.</t>
  </si>
  <si>
    <t>95</t>
  </si>
  <si>
    <t>95.9500</t>
  </si>
  <si>
    <t>959500</t>
  </si>
  <si>
    <t>16.0602</t>
  </si>
  <si>
    <t>Unknown Language &amp; Literature</t>
  </si>
  <si>
    <t>51.2404</t>
  </si>
  <si>
    <t>512404</t>
  </si>
  <si>
    <t>13.1288</t>
  </si>
  <si>
    <t>Pre-Elementary/Early Childhood/Kindergarten Teacher Education'</t>
  </si>
  <si>
    <t>15.0688</t>
  </si>
  <si>
    <t>26.0788</t>
  </si>
  <si>
    <t>51.3188</t>
  </si>
  <si>
    <t>Agriculture, agriculture operations, and related sciences.</t>
  </si>
  <si>
    <t>Agricultural Business Technology</t>
  </si>
  <si>
    <t>Agricultural Mechanics and Equipment/Machine Technology</t>
  </si>
  <si>
    <t>Dairy Husbandry and Production</t>
  </si>
  <si>
    <t>Horse Husbandry/Equine Science and Management</t>
  </si>
  <si>
    <t>Dog/Pet/Animal Grooming</t>
  </si>
  <si>
    <t>Agricultural and Domestic Animal Services, Other</t>
  </si>
  <si>
    <t>Applied Horticulture/Horticulture Operations, General</t>
  </si>
  <si>
    <t>Floriculture/Floristry Operations and Management</t>
  </si>
  <si>
    <t>Agricultural Public Services</t>
  </si>
  <si>
    <t>Agricultural Communication/Journalism</t>
  </si>
  <si>
    <t>Livestock Management</t>
  </si>
  <si>
    <t>Food Technology and Processing</t>
  </si>
  <si>
    <t>Food Science and Technology, Other</t>
  </si>
  <si>
    <t>Agricultural and Horticultural Plant Breeding</t>
  </si>
  <si>
    <t>Plant Protection and Integrated Pest Management</t>
  </si>
  <si>
    <t>Soil Sciences, Other</t>
  </si>
  <si>
    <t>Agriculture, Agriculture Operations, and Related Sciences, Other</t>
  </si>
  <si>
    <t>Natural resources and conservation.</t>
  </si>
  <si>
    <t>Environmental Studies</t>
  </si>
  <si>
    <t>03.0188</t>
  </si>
  <si>
    <t>Natural Resource Economics</t>
  </si>
  <si>
    <t>Water, Wetlands, and Marine Resources Management</t>
  </si>
  <si>
    <t>Land Use Planning and Management/Development</t>
  </si>
  <si>
    <t>Forest Management/Forest Resources Management</t>
  </si>
  <si>
    <t>Urban Forestry</t>
  </si>
  <si>
    <t>Forest Resources Production and Management</t>
  </si>
  <si>
    <t>Forest Technology/Technician</t>
  </si>
  <si>
    <t>Architecture and related services.</t>
  </si>
  <si>
    <t>Architectural History and Criticism</t>
  </si>
  <si>
    <t>Architectural History and Criticism, General</t>
  </si>
  <si>
    <t>Architectural Technology/Technician</t>
  </si>
  <si>
    <t>Area, ethnic, cultural, and gender studies.</t>
  </si>
  <si>
    <t>Slavic Studies</t>
  </si>
  <si>
    <t>Ural-Altaic and Central Asian Studies</t>
  </si>
  <si>
    <t>Regional Studies (US, Canadian, Foreign)</t>
  </si>
  <si>
    <t>Chinese Studies</t>
  </si>
  <si>
    <t>French Studies</t>
  </si>
  <si>
    <t>German Studies</t>
  </si>
  <si>
    <t>Italian Studies</t>
  </si>
  <si>
    <t>Japanese Studies</t>
  </si>
  <si>
    <t>Spanish and Iberian Studies</t>
  </si>
  <si>
    <t>Hispanic-American,Puerto Rican &amp; Mexican-American/Chicano Studies</t>
  </si>
  <si>
    <t>Womens Studies</t>
  </si>
  <si>
    <t>Communication, journalism, and related programs.</t>
  </si>
  <si>
    <t>Mass Communication/Media Studies</t>
  </si>
  <si>
    <t>Communication and Media Studies, Other</t>
  </si>
  <si>
    <t>Photojournalism</t>
  </si>
  <si>
    <t>Digital Communication and Media/Multimedia</t>
  </si>
  <si>
    <t>Radio, Television, and Digital Communication, Other</t>
  </si>
  <si>
    <t>Public Relations, Advertising, and Applied Communication</t>
  </si>
  <si>
    <t>Organizational Communication, General</t>
  </si>
  <si>
    <t>Political Communication</t>
  </si>
  <si>
    <t>Health Communication</t>
  </si>
  <si>
    <t>Communication, Journalism, and Related Programs, Other</t>
  </si>
  <si>
    <t>Communications technologies/technicians and support services.</t>
  </si>
  <si>
    <t>Audiovisual Communications Technologies/Technicians</t>
  </si>
  <si>
    <t>Photographic and Film/Video Technology/Technician and Assistant</t>
  </si>
  <si>
    <t>Recording Arts Technology/Technician</t>
  </si>
  <si>
    <t>Audiovisual Communications Technologies/Technicians, Other</t>
  </si>
  <si>
    <t>Graphic Communications</t>
  </si>
  <si>
    <t>Graphic Communications, General</t>
  </si>
  <si>
    <t>Printing Management</t>
  </si>
  <si>
    <t>Animation, Interactive Tech, Video Graphics and Special Effects</t>
  </si>
  <si>
    <t>Communications Technologies/Technicians and Support Services, Other</t>
  </si>
  <si>
    <t>Communications Technologies/Technicians &amp; Support Services, Other</t>
  </si>
  <si>
    <t>Computer and information sciences and support services.</t>
  </si>
  <si>
    <t>Artificial Intelligence and Robotics</t>
  </si>
  <si>
    <t>Computer and Information Sciences,  Other</t>
  </si>
  <si>
    <t>Computer Programming, Specific Applications</t>
  </si>
  <si>
    <t>Computer Programming, Vendor/Product Certification</t>
  </si>
  <si>
    <t>Computer Programming, Other</t>
  </si>
  <si>
    <t>Data Entry/Microcomputer Applications</t>
  </si>
  <si>
    <t>Data Entry/Microcomputer Applications, General</t>
  </si>
  <si>
    <t>Word Processing</t>
  </si>
  <si>
    <t>Data Entry/Microcomputer Applications, Other</t>
  </si>
  <si>
    <t>Computer Software and Media Applications</t>
  </si>
  <si>
    <t>Web Page, Digital/Multimedia and Information Resources Design</t>
  </si>
  <si>
    <t>Data Modeling/Warehousing and Database Administration</t>
  </si>
  <si>
    <t>Computer Graphics</t>
  </si>
  <si>
    <t>Computer Software and Media Applications, Other</t>
  </si>
  <si>
    <t>Computer Systems Networking and Telecommunications</t>
  </si>
  <si>
    <t>Computer/Information Technology Administration and Management</t>
  </si>
  <si>
    <t>System Administration/Administrator</t>
  </si>
  <si>
    <t>System, Networking, and LAN/WAN Management/Manager</t>
  </si>
  <si>
    <t>Computer and Information Systems Security</t>
  </si>
  <si>
    <t>Web/Multimedia Management and Webmaster</t>
  </si>
  <si>
    <t>Computer/Info Tech Services Administration &amp; Management, Other</t>
  </si>
  <si>
    <t>Personal and culinary services.</t>
  </si>
  <si>
    <t>Funeral Direction/Service</t>
  </si>
  <si>
    <t>Mortuary Science and Embalming/Embalmer</t>
  </si>
  <si>
    <t>Hair Styling/Stylist and Hair Design</t>
  </si>
  <si>
    <t>Facial Treatment Specialist/Facialist</t>
  </si>
  <si>
    <t>Aesthetician/Esthetician and Skin Care Specialist</t>
  </si>
  <si>
    <t>Nail Technician/Specialist and Manicurist</t>
  </si>
  <si>
    <t>Permanent Cosmetics/Makeup and Tattooing</t>
  </si>
  <si>
    <t>Salon/Beauty Salon Management/Manager</t>
  </si>
  <si>
    <t>Cosmetology, Barber/Styling, and Nail Instructor</t>
  </si>
  <si>
    <t>Cooking and Related Culinary Arts, General</t>
  </si>
  <si>
    <t>Institutional Food Workers</t>
  </si>
  <si>
    <t>12.0588</t>
  </si>
  <si>
    <t>Multicultural Education</t>
  </si>
  <si>
    <t>Indian/Native American Education</t>
  </si>
  <si>
    <t>Bilingual, Multilingual, and Multicultural Education, Other</t>
  </si>
  <si>
    <t>Elementary and Middle School Administration/Principalship</t>
  </si>
  <si>
    <t>Secondary School Administration/Principalship</t>
  </si>
  <si>
    <t>Urban Education and Leadership</t>
  </si>
  <si>
    <t>Superintendency and Educational System Administration</t>
  </si>
  <si>
    <t>13.0488</t>
  </si>
  <si>
    <t>Education/Teaching Individuals - Hearing Impairments</t>
  </si>
  <si>
    <t>Education/Teaching Individuals - Orthopedic/Oth Phys Impairments</t>
  </si>
  <si>
    <t>Education/Teaching Individuals - Vision Impairments/ Blindness</t>
  </si>
  <si>
    <t>Education/Teaching Individuals - Specific Learning Disabilities</t>
  </si>
  <si>
    <t>Education/Teaching Individuals - Speech or Language Impairments</t>
  </si>
  <si>
    <t>Education/Teaching of Individuals Who are Developmentally Delayed</t>
  </si>
  <si>
    <t>Education/Teaching Individuals - Early Childhood Spec Ed Pgms</t>
  </si>
  <si>
    <t>Student Counseling and Personnel Services, Other</t>
  </si>
  <si>
    <t>Teacher Education and Professional Development, Specific Levels and Methods</t>
  </si>
  <si>
    <t>Montessori Teacher Education</t>
  </si>
  <si>
    <t>Kindergarten/Preschool Education and Teaching</t>
  </si>
  <si>
    <t>Early Childhood Education and Teaching</t>
  </si>
  <si>
    <t>Teacher Education/Profess Development, Levels &amp; Methods, Other</t>
  </si>
  <si>
    <t>Sales &amp; Marketing Oper/Marketing &amp; Distribution Teacher Education</t>
  </si>
  <si>
    <t>Geography Teacher Education</t>
  </si>
  <si>
    <t>Latin Teacher Education</t>
  </si>
  <si>
    <t>Psychology Teacher Education</t>
  </si>
  <si>
    <t>Teacher Education/Profess Development, Subject Areas, Other</t>
  </si>
  <si>
    <t>Teaching English or French as a Second or Foreign Language</t>
  </si>
  <si>
    <t>Teaching English as Second/Foreign Language/ESL Language Instructor</t>
  </si>
  <si>
    <t>Teaching French as a Second or Foreign Language</t>
  </si>
  <si>
    <t>Teaching English or French as a Second or Foreign Language, Other</t>
  </si>
  <si>
    <t>Adult Literacy Tutor/Instructor</t>
  </si>
  <si>
    <t>Computer Software Engineering</t>
  </si>
  <si>
    <t>Computer Engineering, Other</t>
  </si>
  <si>
    <t>Construction Engineering</t>
  </si>
  <si>
    <t>Forest Engineering</t>
  </si>
  <si>
    <t>14.3588</t>
  </si>
  <si>
    <t>Manufacturing Engineering</t>
  </si>
  <si>
    <t>Geological/Geophysical Engineering</t>
  </si>
  <si>
    <t>Engineering technologies/technicians.</t>
  </si>
  <si>
    <t>Architectural Engineering Technologies/Technicians</t>
  </si>
  <si>
    <t>Civil Engineering Technologies/Technicians</t>
  </si>
  <si>
    <t>Electrical Engineering Technologies/Technicians</t>
  </si>
  <si>
    <t>Electrical/Electronic/Communications Engr Technology/Technician</t>
  </si>
  <si>
    <t>Telecommunications Technology/Technician</t>
  </si>
  <si>
    <t>Electrical/Electronic Engineering Technologies/Technicians, Other</t>
  </si>
  <si>
    <t>Electromechanical Instrumentation and Maintenance Technologies/Technicians</t>
  </si>
  <si>
    <t>Electromechanical Technology/Electromechanical Engineering Tech</t>
  </si>
  <si>
    <t>Electromechanical Instrumentation/Maintenance Techs, Other</t>
  </si>
  <si>
    <t>Heating/AC/Refrigeration Technology/Technician</t>
  </si>
  <si>
    <t>Water Quality &amp; Wastewater Treatment Mgmt &amp; Recycling Tech</t>
  </si>
  <si>
    <t>Hazardous Materials Management and Waste Technology/Technician</t>
  </si>
  <si>
    <t>Industrial Technology/Technician</t>
  </si>
  <si>
    <t>Manufacturing Technology/Technician</t>
  </si>
  <si>
    <t>Industrial Safety Technology/Technician</t>
  </si>
  <si>
    <t>Construction Engineering Technologies</t>
  </si>
  <si>
    <t>Hydraulics and Fluid Power Technology/Technician</t>
  </si>
  <si>
    <t>Computer Engineering Technologies/Technicians</t>
  </si>
  <si>
    <t>Computer Hardware Technology/Technician</t>
  </si>
  <si>
    <t>Computer Software Technology/Technician</t>
  </si>
  <si>
    <t>Computer Engineering Technologies/Technicians, Other</t>
  </si>
  <si>
    <t>Drafting/Design Engineering Technologies/Technicians</t>
  </si>
  <si>
    <t>CAD/CADD Drafting and/or Design Technology/Technician</t>
  </si>
  <si>
    <t>Electrical/Electronics Drafting and Electrical/Elect CAD/CADD</t>
  </si>
  <si>
    <t>Engineering-Related Fields</t>
  </si>
  <si>
    <t>Foreign languages, literatures, and linguistics.</t>
  </si>
  <si>
    <t>Linguistics Comparative, and Related Language Studies and Services</t>
  </si>
  <si>
    <t>Linguistic/Comparative/Related Language Studies &amp; Services, Other</t>
  </si>
  <si>
    <t>African Languages, Literatures, and Linguistics</t>
  </si>
  <si>
    <t>East Asian Languages, Literatures, and Linguistics, General</t>
  </si>
  <si>
    <t>Korean Language and Literature</t>
  </si>
  <si>
    <t>Slavic, Baltic and Albanian Languages, Literatures, and Linguistics</t>
  </si>
  <si>
    <t>Slavic Languages, Literatures, and Linguistics, General</t>
  </si>
  <si>
    <t>Czech Language and Literature</t>
  </si>
  <si>
    <t>Polish Language and Literature</t>
  </si>
  <si>
    <t>Slavic/Baltic/Albanian Languages, Literatures, and Linguistics, Oth</t>
  </si>
  <si>
    <t>Germanic Languages, Literatures, and Linguistics, General</t>
  </si>
  <si>
    <t>Norwegian Language and Literature</t>
  </si>
  <si>
    <t>South Asian Languages, Literatures, and Linguistics, General</t>
  </si>
  <si>
    <t>Sanskrit/Classical Indian Languages, Literatures, and Linguistics</t>
  </si>
  <si>
    <t>Romance Languages, Literatures, and Linguistics, General</t>
  </si>
  <si>
    <t>American Indian/Native American Languages, Literatures and Linguistics</t>
  </si>
  <si>
    <t>Ancient Near Eastern/Biblical Languages, Lit &amp; Linguistics</t>
  </si>
  <si>
    <t>Middle/Near Eastern/Semitic Languages, Lit &amp; Linguistics, Other</t>
  </si>
  <si>
    <t>Classics/Classical Languages, Lit &amp; Linguistics, General</t>
  </si>
  <si>
    <t>Classics/Classical Languages, Lit &amp; Linguistics, Other</t>
  </si>
  <si>
    <t>Celtic Languages, Literatures, and Linguistics</t>
  </si>
  <si>
    <t>American Sign Language (ASL)</t>
  </si>
  <si>
    <t>American Sign Language, Other</t>
  </si>
  <si>
    <t>Family and consumer sciences/human sciences.</t>
  </si>
  <si>
    <t>Work and Family Studies</t>
  </si>
  <si>
    <t>Family and Consumer Sciences/Human Sciences Business Services</t>
  </si>
  <si>
    <t>Consumer Merchandising/Retailing Management</t>
  </si>
  <si>
    <t>Family/Consumer Sciences/Human Sciences Business Services, Other</t>
  </si>
  <si>
    <t>Family and Consumer Economics and Related Studies</t>
  </si>
  <si>
    <t>Facilities Planning and Management</t>
  </si>
  <si>
    <t>Adult Development and Aging</t>
  </si>
  <si>
    <t>Child Care and Support Services Management</t>
  </si>
  <si>
    <t>Apparel and Textiles, Other</t>
  </si>
  <si>
    <t>Legal professions and studies.</t>
  </si>
  <si>
    <t>Non-Professional General Legal Studies (Undergraduate)</t>
  </si>
  <si>
    <t>Legal Studies, General</t>
  </si>
  <si>
    <t>Law (LL.B, J.D.)</t>
  </si>
  <si>
    <t>Law (LLB, JD)</t>
  </si>
  <si>
    <t>Legal Research and Advanced Professional Studies (Post-LL.B./J.D.)</t>
  </si>
  <si>
    <t>Advanced Legal Research/Studies, Gen (LLM, MCL, MLI, MSL, JSD/SJD)</t>
  </si>
  <si>
    <t>Programs for Foreign Lawyers (LLM, MCL)</t>
  </si>
  <si>
    <t>American/US Law/Legal Studies/Jurisprudence (LLM, MCJ, JSD/SJD)</t>
  </si>
  <si>
    <t>Banking, Corporate, Finance, and Securities Law (LLM, JSD/SJD)</t>
  </si>
  <si>
    <t>Comparative Law (LLM, MCL, JSD/SJD)</t>
  </si>
  <si>
    <t>Energy, Environment, and Natural Resources Law (LLM, MS, JSD/SJD)</t>
  </si>
  <si>
    <t>Health Law (LLM, MJ, JSD/SJD)</t>
  </si>
  <si>
    <t>International Law and Legal Studies (LLM, JSD/SJD)</t>
  </si>
  <si>
    <t>International Business, Trade, and Tax Law (LLM, JSD/SJD)</t>
  </si>
  <si>
    <t>Tax Law/Taxation (LLM, JSD/SJD)</t>
  </si>
  <si>
    <t>Legal Research and Advanced Professional Studies, Other</t>
  </si>
  <si>
    <t>Legal Support Services</t>
  </si>
  <si>
    <t>Legal Support Services, Other</t>
  </si>
  <si>
    <t>Legal Professions and Studies, Other</t>
  </si>
  <si>
    <t>English language and literature/letters.</t>
  </si>
  <si>
    <t>Technical and Business Writing</t>
  </si>
  <si>
    <t>Liberal arts and sciences, general studies and humanities.</t>
  </si>
  <si>
    <t>Liberal Arts and Sciences, General Studies, and Humanities</t>
  </si>
  <si>
    <t>Library science.</t>
  </si>
  <si>
    <t>Biological and biomedical sciences.</t>
  </si>
  <si>
    <t>Biomedical Sciences, General</t>
  </si>
  <si>
    <t>Molecular Biochemistry</t>
  </si>
  <si>
    <t>Molecular Biophysics</t>
  </si>
  <si>
    <t>Structural Biology</t>
  </si>
  <si>
    <t>Biochemistry/Biophysics and Molecular Biology</t>
  </si>
  <si>
    <t>Biochemistry, Biophysics and Molecular Biology, Other</t>
  </si>
  <si>
    <t>Plant Molecular Biology</t>
  </si>
  <si>
    <t>Developmental Biology and Embryology</t>
  </si>
  <si>
    <t>Neuroanatomy</t>
  </si>
  <si>
    <t>Cell/Cellular and Molecular Biology</t>
  </si>
  <si>
    <t>Cell Biology and Anatomy</t>
  </si>
  <si>
    <t>Microbiology, General</t>
  </si>
  <si>
    <t>Microbiological Sciences and Immunology, Other</t>
  </si>
  <si>
    <t>Animal Behavior and Ethology</t>
  </si>
  <si>
    <t>Wildlife Biology</t>
  </si>
  <si>
    <t>Genetics</t>
  </si>
  <si>
    <t>Genetics, General</t>
  </si>
  <si>
    <t>Molecular Genetics</t>
  </si>
  <si>
    <t>26.0888</t>
  </si>
  <si>
    <t>Genetics, Other</t>
  </si>
  <si>
    <t>Physiology, Pathology and Related Sciences</t>
  </si>
  <si>
    <t>Molecular Physiology</t>
  </si>
  <si>
    <t>Cell Physiology</t>
  </si>
  <si>
    <t>Endocrinology</t>
  </si>
  <si>
    <t>Reproductive Biology</t>
  </si>
  <si>
    <t>Cardiovascular Science</t>
  </si>
  <si>
    <t>Exercise Physiology</t>
  </si>
  <si>
    <t>Oncology and Cancer Biology</t>
  </si>
  <si>
    <t>26.0988</t>
  </si>
  <si>
    <t>Physiology, Pathology, and Related Sciences, Other</t>
  </si>
  <si>
    <t>Pharmacology and Toxicology</t>
  </si>
  <si>
    <t>Molecular Pharmacology</t>
  </si>
  <si>
    <t>Molecular Toxicology</t>
  </si>
  <si>
    <t>Environmental Toxicology</t>
  </si>
  <si>
    <t>Biomathematics and Bioinformatics</t>
  </si>
  <si>
    <t>Bioinformatics</t>
  </si>
  <si>
    <t>Ecology, Evolution, Systematics and Population Biology</t>
  </si>
  <si>
    <t>Aquatic Biology/Limnology</t>
  </si>
  <si>
    <t>Environmental Biology</t>
  </si>
  <si>
    <t>Population Biology</t>
  </si>
  <si>
    <t>Conservation Biology</t>
  </si>
  <si>
    <t>Systematic Biology/Biological Systematics</t>
  </si>
  <si>
    <t>Ecology, Evolution, Systematics and Population Biology, Other</t>
  </si>
  <si>
    <t>Mathematics and statistics.</t>
  </si>
  <si>
    <t>Computational Mathematics</t>
  </si>
  <si>
    <t>Mathematical Statistics and Probability</t>
  </si>
  <si>
    <t>Statistics, Other</t>
  </si>
  <si>
    <t>Military technologies.</t>
  </si>
  <si>
    <t>Multi/interdisciplinary studies.</t>
  </si>
  <si>
    <t>Cultural Resource Management and Policy Analysis</t>
  </si>
  <si>
    <t>Accounting and Computer Science</t>
  </si>
  <si>
    <t>Behavioral Sciences</t>
  </si>
  <si>
    <t>Natural Sciences</t>
  </si>
  <si>
    <t>International/Global Studies</t>
  </si>
  <si>
    <t>Classical and Ancient Studies</t>
  </si>
  <si>
    <t>Ancient Studies/Civilization</t>
  </si>
  <si>
    <t>Classical/Ancient Mediterranean/Near Eastern Studies &amp; Archaeology</t>
  </si>
  <si>
    <t>Intercultural/Multicultural and Diversity Studies</t>
  </si>
  <si>
    <t>Cognitive Science</t>
  </si>
  <si>
    <t>Parks, recreation, leisure, and fitness studies.</t>
  </si>
  <si>
    <t>Parks, Recreation, Leisure, and Fitness Studies, Other</t>
  </si>
  <si>
    <t>Philosophy and religious studies.</t>
  </si>
  <si>
    <t>Logic</t>
  </si>
  <si>
    <t>Ethics</t>
  </si>
  <si>
    <t>Philosophy, Other</t>
  </si>
  <si>
    <t>Buddhist Studies</t>
  </si>
  <si>
    <t>Christian Studies</t>
  </si>
  <si>
    <t>Religion/Religious Studies, Other</t>
  </si>
  <si>
    <t>Theology and religious vocations.</t>
  </si>
  <si>
    <t>Divinity/Ministry (BD, MDiv)</t>
  </si>
  <si>
    <t>Rabbinical Studies (MHL/Rav)</t>
  </si>
  <si>
    <t>Talmudic Studies</t>
  </si>
  <si>
    <t>Youth Ministry</t>
  </si>
  <si>
    <t>Pastoral Counseling and Specialized Ministries, Other</t>
  </si>
  <si>
    <t>Physical sciences.</t>
  </si>
  <si>
    <t>Planetary Astronomy and Science</t>
  </si>
  <si>
    <t>Meteorology</t>
  </si>
  <si>
    <t>Atmospheric Sciences and Meteorology, Other</t>
  </si>
  <si>
    <t>Chemical Physics</t>
  </si>
  <si>
    <t>Hydrology and Water Resources Science</t>
  </si>
  <si>
    <t>Geochemistry and Petrology</t>
  </si>
  <si>
    <t>Science technologies/technicians.</t>
  </si>
  <si>
    <t>Personality Psychology</t>
  </si>
  <si>
    <t>Psychometrics and Quantitative Psychology</t>
  </si>
  <si>
    <t>Environmental Psychology</t>
  </si>
  <si>
    <t>Health Psychology</t>
  </si>
  <si>
    <t>Health/Medical Psychology</t>
  </si>
  <si>
    <t>Psychopharmacology</t>
  </si>
  <si>
    <t>Security and protective services.</t>
  </si>
  <si>
    <t>Juvenile Corrections</t>
  </si>
  <si>
    <t>Criminalistics and Criminal Science</t>
  </si>
  <si>
    <t>Securities Services Administration/Management</t>
  </si>
  <si>
    <t>Corrections Administration</t>
  </si>
  <si>
    <t>Fire Science/Fire-fighting</t>
  </si>
  <si>
    <t>Public administration and social service professions.</t>
  </si>
  <si>
    <t>Human Services, General</t>
  </si>
  <si>
    <t>Youth Services/Administration</t>
  </si>
  <si>
    <t>Social sciences.</t>
  </si>
  <si>
    <t>Anthropology, Other</t>
  </si>
  <si>
    <t>Geography, Other</t>
  </si>
  <si>
    <t>Canadian Government and Politics</t>
  </si>
  <si>
    <t>Construction trades.</t>
  </si>
  <si>
    <t>Construction Trades, General</t>
  </si>
  <si>
    <t>Building/Property Maintenance and Management</t>
  </si>
  <si>
    <t>Concrete Finishing/Concrete Finisher</t>
  </si>
  <si>
    <t>Drywall Installation/Drywaller</t>
  </si>
  <si>
    <t>Glazier</t>
  </si>
  <si>
    <t>Metal Building Assembly/Assembler</t>
  </si>
  <si>
    <t>Pipefitting/Pipefitter and Sprinkler Fitter</t>
  </si>
  <si>
    <t>Plumbing Technology/Plumber</t>
  </si>
  <si>
    <t>46.0588</t>
  </si>
  <si>
    <t>Mechanic and repair technologies/technicians.</t>
  </si>
  <si>
    <t>Mechanics and Repairers, General</t>
  </si>
  <si>
    <t>Security System Installation/Repair/Inspection Technology/Techn</t>
  </si>
  <si>
    <t>Heating, Air Conditioning, Ventilation and Refrigeration Maintenance Technology/Technician</t>
  </si>
  <si>
    <t>Heating/AC/Ventilation/Refrig Maint Technology/Technician</t>
  </si>
  <si>
    <t>Motorcycle Maintenance and Repair Technology/Technician</t>
  </si>
  <si>
    <t>Vehicle Emissions Inspection/Maintenance Technology/Technician</t>
  </si>
  <si>
    <t>Medium/Heavy Vehicle and Truck Technology/Technician</t>
  </si>
  <si>
    <t>Engine Machinist</t>
  </si>
  <si>
    <t>Precision production.</t>
  </si>
  <si>
    <t>Precision Production Trades, General</t>
  </si>
  <si>
    <t>Ironworking/Ironworker</t>
  </si>
  <si>
    <t>Boilermaking/Boilermaker</t>
  </si>
  <si>
    <t>Transportation and materials moving.</t>
  </si>
  <si>
    <t>Visual and performing arts.</t>
  </si>
  <si>
    <t>Crafts/Craft Design, Folk Art and Artisanry</t>
  </si>
  <si>
    <t>Ballet</t>
  </si>
  <si>
    <t>Dance, Other</t>
  </si>
  <si>
    <t>Illustration</t>
  </si>
  <si>
    <t>Drama/Theatre Arts and Stagecraft</t>
  </si>
  <si>
    <t>Directing and Theatrical Production</t>
  </si>
  <si>
    <t>50.0588</t>
  </si>
  <si>
    <t>Dramatic/Theatre Arts and Stagecraft, Other</t>
  </si>
  <si>
    <t>Jazz/Jazz Studies</t>
  </si>
  <si>
    <t>Violin, Viola, Guitar and Other Stringed Instruments</t>
  </si>
  <si>
    <t>Music Pedagogy</t>
  </si>
  <si>
    <t>Health professions and related clinical sciences.</t>
  </si>
  <si>
    <t>Health Services/Allied Health/Health Sciences, General</t>
  </si>
  <si>
    <t>Advanced/Graduate Dentistry and Oral Sciences (Cert, MS, PhD)</t>
  </si>
  <si>
    <t>Advanced General Dentistry (Cert, MS, PhD)</t>
  </si>
  <si>
    <t>Oral Biology and Oral Pathology (MS, PhD)</t>
  </si>
  <si>
    <t>Dental Public Health and Education (Cert, MS/MPH, PhD/DPH)</t>
  </si>
  <si>
    <t>Endodontics/Endodontology (Cert, MS, PhD)</t>
  </si>
  <si>
    <t>Oral/Maxillofacial Surgery (Cert, MS, PhD)</t>
  </si>
  <si>
    <t>Orthodontics/Orthodontology (Cert, MS, PhD)</t>
  </si>
  <si>
    <t>Pediatric Dentistry/Pedodontics (Cert, MS, PhD)</t>
  </si>
  <si>
    <t>Periodontics/Periodontology (Cert, MS, PhD)</t>
  </si>
  <si>
    <t>Prosthodontics/Prosthodontology (Cert, MS, PhD)</t>
  </si>
  <si>
    <t>Advanced/Graduate Dentistry and Oral Sciences, Other</t>
  </si>
  <si>
    <t>Medical Office Computer Specialist/Assistant</t>
  </si>
  <si>
    <t>Medical Office Assistant/Specialist</t>
  </si>
  <si>
    <t>Medical/Health Management and Clinical Assistant/Specialist</t>
  </si>
  <si>
    <t>Medical Reception/Receptionist</t>
  </si>
  <si>
    <t>Medical Insurance Coding Specialist/Coder</t>
  </si>
  <si>
    <t>Medical Insurance Specialist/Medical Biller</t>
  </si>
  <si>
    <t>Health/Medical Claims Examiner</t>
  </si>
  <si>
    <t>Medical Staff Services Technology/Technician</t>
  </si>
  <si>
    <t>Veterinary/Animal Health Technology/Technician/Veterinary Assistant</t>
  </si>
  <si>
    <t>Emergency Care Attendant (EMT Ambulance)</t>
  </si>
  <si>
    <t>Pathology/Pathologist Assistant</t>
  </si>
  <si>
    <t>Respiratory Therapy Technician/Assistant</t>
  </si>
  <si>
    <t>Chiropractic Assistant/Technician</t>
  </si>
  <si>
    <t>Allied Health and Medical Assisting Services, Other</t>
  </si>
  <si>
    <t>Electroneurodiagnostic/Electroencephalographic Tech/Tech</t>
  </si>
  <si>
    <t>Medical Radiologic Technology/Science - Radiation Therapist</t>
  </si>
  <si>
    <t>Radiologic Technology/Science - Radiographer</t>
  </si>
  <si>
    <t>Allied Health Diagnostic/Intervention/Treatment Professions, Oth</t>
  </si>
  <si>
    <t>Histologic Technology/Histotechnologist</t>
  </si>
  <si>
    <t>Histologic Technician</t>
  </si>
  <si>
    <t>Phlebotomy/Phlebotomist</t>
  </si>
  <si>
    <t>Cytogenetics/Genetics/Clinical Genetics Technology/Technologist</t>
  </si>
  <si>
    <t>Renal/Dialysis Technologist/Technician</t>
  </si>
  <si>
    <t>Pre-Nursing Studies</t>
  </si>
  <si>
    <t>Clinical Pastoral Counseling/Patient Counseling</t>
  </si>
  <si>
    <t>Mental Health Counseling/Counselor</t>
  </si>
  <si>
    <t>Genetic Counseling/Counselor</t>
  </si>
  <si>
    <t>Nursing/Registered Nurse (RN, ASN, BSN, MSN)</t>
  </si>
  <si>
    <t>Licensed Practical/Vocational Nurse Training</t>
  </si>
  <si>
    <t>Clinical Nurse Specialist</t>
  </si>
  <si>
    <t>Ophthalmic/Optometric Support Svcs and Allied Professions, Other</t>
  </si>
  <si>
    <t>Pharmacy (PharmD [USA], PharmD or BS/BPharm [Canada])</t>
  </si>
  <si>
    <t>Pharmacy Administration/Policy/Regulatory Affairs (MS, PhD)</t>
  </si>
  <si>
    <t>Medicinal and Pharmaceutical Chemistry (MS, PhD)</t>
  </si>
  <si>
    <t>Natural Products Chemistry and Pharmacognosy (MS, PhD)</t>
  </si>
  <si>
    <t>Pharmacoeconomics/Pharmaceutical Economics (MS, PhD)</t>
  </si>
  <si>
    <t>Clinical, Hospital, and Managed Care Pharmacy (MS, PhD)</t>
  </si>
  <si>
    <t>Industrial and Physical Pharmacy and Cosmetic Sciences (MS, PhD)</t>
  </si>
  <si>
    <t>Health/Medical  Physics</t>
  </si>
  <si>
    <t>Community Health and Preventive Medicine</t>
  </si>
  <si>
    <t>Maternal and Child Health</t>
  </si>
  <si>
    <t>Health Services Administration</t>
  </si>
  <si>
    <t>Kinesiotherapy/Kinesiotherapist</t>
  </si>
  <si>
    <t>Veterinary Biomedical and Clinical Sciences (Cert, MS, PhD)</t>
  </si>
  <si>
    <t>Veterinary Sciences/Veterinary Clinical Sci, Gen (Cert,MS,PhD)</t>
  </si>
  <si>
    <t>Veterinary Anatomy (Cert, MS, PhD)</t>
  </si>
  <si>
    <t>Veterinary Physiology (Cert, MS, PhD)</t>
  </si>
  <si>
    <t>Veterinary Microbiology and Immunobiology (Cert, MS, PhD)</t>
  </si>
  <si>
    <t>Veterinary Pathology and Pathobiology (Cert, MS, PhD)</t>
  </si>
  <si>
    <t>Large Animal/Food Animal &amp; Equine Surgery/Medicine (Cert,MS,PhD)</t>
  </si>
  <si>
    <t>Small/Companion Animal Surgery and Medicine (Cert, MS, PhD)</t>
  </si>
  <si>
    <t>Comparative and Laboratory Animal Medicine (Cert, MS, PhD)</t>
  </si>
  <si>
    <t>Veterinary Preventive Med Epidemiology/Public Hlth (Cert,MS,PhD)</t>
  </si>
  <si>
    <t>Veterinary Infectious Diseases (Cert, MS, PhD)</t>
  </si>
  <si>
    <t>Veterinary Biomedical and Clinical Sciences, Other (Cert, MS PhD)</t>
  </si>
  <si>
    <t>Medication Aide</t>
  </si>
  <si>
    <t>Health Aides/Attendants/Orderlies, Other</t>
  </si>
  <si>
    <t>Medical Informatics</t>
  </si>
  <si>
    <t>Dietetics and Clinical Nutrition Services</t>
  </si>
  <si>
    <t>Dietetics/Dietitian (RD)</t>
  </si>
  <si>
    <t>Clinical Nutrition/Nutritionist</t>
  </si>
  <si>
    <t>Dietetic Technician (DTR)</t>
  </si>
  <si>
    <t>Dietetics and Clinical Nutrition Services, Other</t>
  </si>
  <si>
    <t>Bioethics/Medical Ethics</t>
  </si>
  <si>
    <t>Alternative and Complementary Medicine and Medical Systems</t>
  </si>
  <si>
    <t>Acupuncture</t>
  </si>
  <si>
    <t>Traditional Chinese/Asian Medicine and Chinese Herbology</t>
  </si>
  <si>
    <t>Ayurvedic Medicine/Ayurveda</t>
  </si>
  <si>
    <t>51.3388</t>
  </si>
  <si>
    <t>Alternative and Complementary Medicine and Medical Systems, Other</t>
  </si>
  <si>
    <t>Alternative and Complementary Medical Support Services</t>
  </si>
  <si>
    <t>Direct Entry Midwifery (LM, CPM)</t>
  </si>
  <si>
    <t>Alternative and Complementary Medical Support Services, Other</t>
  </si>
  <si>
    <t>Somatic Bodywork and Related Therapeutic Services</t>
  </si>
  <si>
    <t>Asian Bodywork Therapy</t>
  </si>
  <si>
    <t>Somatic Bodywork and Related Therapeutic Services, Other</t>
  </si>
  <si>
    <t>Movement and Mind-Body Therapies and Education</t>
  </si>
  <si>
    <t>Energy and Biologically Based Therapies</t>
  </si>
  <si>
    <t>Herbalism/Herbalist</t>
  </si>
  <si>
    <t>Business, management, marketing, and related support services.</t>
  </si>
  <si>
    <t>Customer Service Management</t>
  </si>
  <si>
    <t>E-Commerce/Electronic Commerce</t>
  </si>
  <si>
    <t>Transportation/Transportation Management</t>
  </si>
  <si>
    <t>Business Administration, Management and Operations, Other</t>
  </si>
  <si>
    <t>Accounting and Finance</t>
  </si>
  <si>
    <t>Accounting and Business/Management</t>
  </si>
  <si>
    <t>Parts, Warehousing, and Inventory Management Operations</t>
  </si>
  <si>
    <t>Customer Service Support/Call Center/Teleservice Operation</t>
  </si>
  <si>
    <t>Small Business Administration/Management</t>
  </si>
  <si>
    <t>Credit Management</t>
  </si>
  <si>
    <t>Hotel/Motel Administration/Management</t>
  </si>
  <si>
    <t>Restaurant/Food Services Management</t>
  </si>
  <si>
    <t>Resort Management</t>
  </si>
  <si>
    <t>52.0988</t>
  </si>
  <si>
    <t>Labor Studies</t>
  </si>
  <si>
    <t>Human Resources Development</t>
  </si>
  <si>
    <t>Information Resources Management/CIO Training</t>
  </si>
  <si>
    <t>Knowledge Management</t>
  </si>
  <si>
    <t>General Sales, Merchandising and Related Marketing Operations</t>
  </si>
  <si>
    <t>General Merchandising/Sales/Related Marketing Operations, Other</t>
  </si>
  <si>
    <t>Specialized Sales, Merchandising, and Marketing Operations</t>
  </si>
  <si>
    <t>Vehicle and Vehicle Parts and Accessories Marketing Operations</t>
  </si>
  <si>
    <t>Business and Personal/Financial Services Marketing Operations</t>
  </si>
  <si>
    <t>Specialized Merchandising, Sales, and Marketing Operations, Other</t>
  </si>
  <si>
    <t>Construction Management</t>
  </si>
  <si>
    <t>Business, Management, Marketing &amp; Related Support Services, Other</t>
  </si>
  <si>
    <t>History  (new)   instructional programs that focus on the study and interpretation of past events, institutions, issues, and cultures.</t>
  </si>
  <si>
    <t>American  History (United States)</t>
  </si>
  <si>
    <t>Asian History</t>
  </si>
  <si>
    <t>Undesignated field of study</t>
  </si>
  <si>
    <t>95.95</t>
  </si>
  <si>
    <t>Grand total</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</si>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</sst>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b/>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2" fillId="0" borderId="0"/>
  </cellStyleXfs>
  <cellXfs count="10">
    <xf numFmtId="0" fontId="0" fillId="0" borderId="0" xfId="0"/>
    <xf numFmtId="0" fontId="0" fillId="0" borderId="0" xfId="0" quotePrefix="1" applyNumberFormat="1"/>
    <xf numFmtId="0" fontId="4" fillId="0" borderId="0" xfId="0" quotePrefix="1" applyNumberFormat="1" applyFont="1"/>
    <xf numFmtId="0" fontId="4" fillId="0" borderId="0" xfId="0" applyFont="1"/>
    <xf numFmtId="0" fontId="3" fillId="0" borderId="0" xfId="1"/>
    <xf numFmtId="0" fontId="0" fillId="0" borderId="0" xfId="0" applyNumberFormat="1"/>
    <xf numFmtId="49" fontId="2" fillId="0" borderId="0" xfId="2" applyNumberFormat="1"/>
    <xf numFmtId="0" fontId="2" fillId="0" borderId="0" xfId="2"/>
    <xf numFmtId="0" fontId="1" fillId="0" borderId="0" xfId="2" applyFont="1"/>
    <xf numFmtId="0" fontId="2" fillId="0" borderId="0" xfId="2" applyNumberFormat="1"/>
  </cellXfs>
  <cellStyles count="3">
    <cellStyle name="Normal" xfId="0" builtinId="0"/>
    <cellStyle name="Normal 2" xfId="1" xr:uid="{F52791CD-64D7-1946-88D1-59DDF4040D1D}"/>
    <cellStyle name="Normal 3" xfId="2" xr:uid="{5E809BDA-D18A-4E4A-A916-7170E6E18EFD}"/>
  </cellStyles>
  <dxfs count="8">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auto="1"/>
        <name val="Arial"/>
        <family val="2"/>
        <scheme val="none"/>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39" totalsRowShown="0" headerRowDxfId="7">
  <autoFilter ref="A1:G2039" xr:uid="{00000000-0009-0000-0100-000001000000}"/>
  <sortState xmlns:xlrd2="http://schemas.microsoft.com/office/spreadsheetml/2017/richdata2" ref="A2:G2022">
    <sortCondition ref="C1:C2022"/>
  </sortState>
  <tableColumns count="7">
    <tableColumn id="1" xr3:uid="{00000000-0010-0000-0000-000001000000}" name="ID" dataDxfId="6"/>
    <tableColumn id="2" xr3:uid="{00000000-0010-0000-0000-000002000000}" name="CIPFAMILY" dataDxfId="5"/>
    <tableColumn id="3" xr3:uid="{00000000-0010-0000-0000-000003000000}" name="CIPCode" dataDxfId="4"/>
    <tableColumn id="4" xr3:uid="{00000000-0010-0000-0000-000004000000}" name="ACTIONCODE"/>
    <tableColumn id="5" xr3:uid="{00000000-0010-0000-0000-000005000000}" name="ReportUnder"/>
    <tableColumn id="6" xr3:uid="{00000000-0010-0000-0000-000006000000}" name="CIPTITLE" dataDxfId="3"/>
    <tableColumn id="7" xr3:uid="{00000000-0010-0000-0000-000007000000}" name="CIPDESCR"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BFE256-5519-104F-B3E4-3264E84F58AF}" name="Table2" displayName="Table2" ref="A1:D1562" totalsRowShown="0" headerRowCellStyle="Normal 2">
  <autoFilter ref="A1:D1562" xr:uid="{487328F4-31CB-6B47-9D3A-5FCA9E5891DE}"/>
  <tableColumns count="4">
    <tableColumn id="1" xr3:uid="{305EDEEE-9BA4-EC4A-9B41-933313EA2A06}" name="CIPFamily" dataCellStyle="Normal 3"/>
    <tableColumn id="2" xr3:uid="{92F7B6B1-1C37-104B-B954-B40D07EE417F}" name="CIPCode" dataDxfId="1" dataCellStyle="Normal 3"/>
    <tableColumn id="3" xr3:uid="{EE16FF35-8A57-2C47-A086-3A1A3029FC58}" name="CIPTitle" dataDxfId="0" dataCellStyle="Normal 3"/>
    <tableColumn id="4" xr3:uid="{D40F3EFF-ECAC-4E46-AFFD-A877053D46B7}" name="match" dataCellStyle="Normal 3">
      <calculatedColumnFormula>VLOOKUP(B2,Table1[[CIPCode]:[CIPTITLE]],4,FALSE)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62"/>
  <sheetViews>
    <sheetView workbookViewId="0">
      <pane ySplit="1" topLeftCell="A1441" activePane="bottomLeft" state="frozenSplit"/>
      <selection pane="bottomLeft" activeCell="E1462" sqref="E1462"/>
    </sheetView>
  </sheetViews>
  <sheetFormatPr baseColWidth="10" defaultRowHeight="13" x14ac:dyDescent="0.15"/>
  <cols>
    <col min="1" max="2" width="8.83203125" customWidth="1"/>
    <col min="3" max="3" width="45.1640625" customWidth="1"/>
    <col min="4" max="4" width="30.6640625" customWidth="1"/>
    <col min="5" max="256" width="8.83203125" customWidth="1"/>
  </cols>
  <sheetData>
    <row r="1" spans="1:5" s="3" customFormat="1" x14ac:dyDescent="0.15">
      <c r="A1" s="2" t="s">
        <v>17842</v>
      </c>
      <c r="B1" s="2" t="s">
        <v>17843</v>
      </c>
      <c r="C1" s="2" t="s">
        <v>17844</v>
      </c>
      <c r="D1" s="2" t="s">
        <v>17845</v>
      </c>
      <c r="E1" s="2" t="s">
        <v>17846</v>
      </c>
    </row>
    <row r="2" spans="1:5" x14ac:dyDescent="0.15">
      <c r="A2" s="1" t="s">
        <v>17847</v>
      </c>
      <c r="B2" s="1" t="s">
        <v>17848</v>
      </c>
      <c r="C2" s="1" t="s">
        <v>17849</v>
      </c>
      <c r="D2" s="1" t="s">
        <v>17850</v>
      </c>
      <c r="E2" s="1" t="s">
        <v>17851</v>
      </c>
    </row>
    <row r="3" spans="1:5" x14ac:dyDescent="0.15">
      <c r="A3" s="1" t="s">
        <v>17847</v>
      </c>
      <c r="B3" s="1" t="s">
        <v>17852</v>
      </c>
      <c r="C3" s="1" t="s">
        <v>17853</v>
      </c>
      <c r="D3" s="1" t="s">
        <v>17854</v>
      </c>
      <c r="E3" s="1" t="s">
        <v>17855</v>
      </c>
    </row>
    <row r="4" spans="1:5" x14ac:dyDescent="0.15">
      <c r="A4" s="1" t="s">
        <v>17847</v>
      </c>
      <c r="B4" s="1" t="s">
        <v>17856</v>
      </c>
      <c r="C4" s="1" t="s">
        <v>17857</v>
      </c>
      <c r="D4" s="1" t="s">
        <v>17858</v>
      </c>
      <c r="E4" s="1" t="s">
        <v>17859</v>
      </c>
    </row>
    <row r="5" spans="1:5" x14ac:dyDescent="0.15">
      <c r="A5" s="1" t="s">
        <v>17847</v>
      </c>
      <c r="B5" s="1" t="s">
        <v>17860</v>
      </c>
      <c r="C5" s="1" t="s">
        <v>17861</v>
      </c>
      <c r="D5" s="1" t="s">
        <v>17862</v>
      </c>
      <c r="E5" s="1" t="s">
        <v>17863</v>
      </c>
    </row>
    <row r="6" spans="1:5" x14ac:dyDescent="0.15">
      <c r="A6" s="1" t="s">
        <v>17847</v>
      </c>
      <c r="B6" s="1" t="s">
        <v>17864</v>
      </c>
      <c r="C6" s="1" t="s">
        <v>17865</v>
      </c>
      <c r="D6" s="1" t="s">
        <v>17866</v>
      </c>
      <c r="E6" s="1" t="s">
        <v>17867</v>
      </c>
    </row>
    <row r="7" spans="1:5" x14ac:dyDescent="0.15">
      <c r="A7" s="1" t="s">
        <v>17847</v>
      </c>
      <c r="B7" s="1" t="s">
        <v>17868</v>
      </c>
      <c r="C7" s="1" t="s">
        <v>17869</v>
      </c>
      <c r="D7" s="1" t="s">
        <v>17870</v>
      </c>
      <c r="E7" s="1" t="s">
        <v>17871</v>
      </c>
    </row>
    <row r="8" spans="1:5" x14ac:dyDescent="0.15">
      <c r="A8" s="1" t="s">
        <v>17847</v>
      </c>
      <c r="B8" s="1" t="s">
        <v>17872</v>
      </c>
      <c r="C8" s="1" t="s">
        <v>17873</v>
      </c>
      <c r="D8" s="1" t="s">
        <v>17874</v>
      </c>
      <c r="E8" s="1" t="s">
        <v>17875</v>
      </c>
    </row>
    <row r="9" spans="1:5" x14ac:dyDescent="0.15">
      <c r="A9" s="1" t="s">
        <v>17847</v>
      </c>
      <c r="B9" s="1" t="s">
        <v>17876</v>
      </c>
      <c r="C9" s="1" t="s">
        <v>17877</v>
      </c>
      <c r="D9" s="1" t="s">
        <v>17878</v>
      </c>
      <c r="E9" s="1" t="s">
        <v>17879</v>
      </c>
    </row>
    <row r="10" spans="1:5" x14ac:dyDescent="0.15">
      <c r="A10" s="1" t="s">
        <v>17847</v>
      </c>
      <c r="B10" s="1" t="s">
        <v>17880</v>
      </c>
      <c r="C10" s="1" t="s">
        <v>17881</v>
      </c>
      <c r="D10" s="1" t="s">
        <v>17882</v>
      </c>
      <c r="E10" s="1" t="s">
        <v>17883</v>
      </c>
    </row>
    <row r="11" spans="1:5" x14ac:dyDescent="0.15">
      <c r="A11" s="1" t="s">
        <v>17847</v>
      </c>
      <c r="B11" s="1" t="s">
        <v>17884</v>
      </c>
      <c r="C11" s="1" t="s">
        <v>17885</v>
      </c>
      <c r="D11" s="1" t="s">
        <v>17886</v>
      </c>
      <c r="E11" s="1" t="s">
        <v>17887</v>
      </c>
    </row>
    <row r="12" spans="1:5" x14ac:dyDescent="0.15">
      <c r="A12" s="1" t="s">
        <v>17847</v>
      </c>
      <c r="B12" s="1" t="s">
        <v>17888</v>
      </c>
      <c r="C12" s="1" t="s">
        <v>17889</v>
      </c>
      <c r="D12" s="1" t="s">
        <v>17890</v>
      </c>
      <c r="E12" s="1" t="s">
        <v>17891</v>
      </c>
    </row>
    <row r="13" spans="1:5" x14ac:dyDescent="0.15">
      <c r="A13" s="1" t="s">
        <v>17847</v>
      </c>
      <c r="B13" s="1" t="s">
        <v>17892</v>
      </c>
      <c r="C13" s="1" t="s">
        <v>17893</v>
      </c>
      <c r="D13" s="1" t="s">
        <v>17894</v>
      </c>
      <c r="E13" s="1" t="s">
        <v>17895</v>
      </c>
    </row>
    <row r="14" spans="1:5" x14ac:dyDescent="0.15">
      <c r="A14" s="1" t="s">
        <v>17847</v>
      </c>
      <c r="B14" s="1" t="s">
        <v>17896</v>
      </c>
      <c r="C14" s="1" t="s">
        <v>17897</v>
      </c>
      <c r="D14" s="1" t="s">
        <v>17898</v>
      </c>
      <c r="E14" s="1" t="s">
        <v>17899</v>
      </c>
    </row>
    <row r="15" spans="1:5" x14ac:dyDescent="0.15">
      <c r="A15" s="1" t="s">
        <v>17847</v>
      </c>
      <c r="B15" s="1" t="s">
        <v>17900</v>
      </c>
      <c r="C15" s="1" t="s">
        <v>17901</v>
      </c>
      <c r="D15" s="1" t="s">
        <v>17902</v>
      </c>
      <c r="E15" s="1" t="s">
        <v>17903</v>
      </c>
    </row>
    <row r="16" spans="1:5" x14ac:dyDescent="0.15">
      <c r="A16" s="1" t="s">
        <v>17847</v>
      </c>
      <c r="B16" s="1" t="s">
        <v>17904</v>
      </c>
      <c r="C16" s="1" t="s">
        <v>17905</v>
      </c>
      <c r="D16" s="1" t="s">
        <v>17906</v>
      </c>
      <c r="E16" s="1" t="s">
        <v>17907</v>
      </c>
    </row>
    <row r="17" spans="1:5" x14ac:dyDescent="0.15">
      <c r="A17" s="1" t="s">
        <v>17847</v>
      </c>
      <c r="B17" s="1" t="s">
        <v>17908</v>
      </c>
      <c r="C17" s="1" t="s">
        <v>17909</v>
      </c>
      <c r="D17" s="1" t="s">
        <v>17910</v>
      </c>
      <c r="E17" s="1" t="s">
        <v>17911</v>
      </c>
    </row>
    <row r="18" spans="1:5" x14ac:dyDescent="0.15">
      <c r="A18" s="1" t="s">
        <v>17847</v>
      </c>
      <c r="B18" s="1" t="s">
        <v>17912</v>
      </c>
      <c r="C18" s="1" t="s">
        <v>17913</v>
      </c>
      <c r="D18" s="1" t="s">
        <v>17914</v>
      </c>
      <c r="E18" s="1" t="s">
        <v>17915</v>
      </c>
    </row>
    <row r="19" spans="1:5" x14ac:dyDescent="0.15">
      <c r="A19" s="1" t="s">
        <v>17847</v>
      </c>
      <c r="B19" s="1" t="s">
        <v>17916</v>
      </c>
      <c r="C19" s="1" t="s">
        <v>17917</v>
      </c>
      <c r="D19" s="1" t="s">
        <v>17918</v>
      </c>
      <c r="E19" s="1" t="s">
        <v>17919</v>
      </c>
    </row>
    <row r="20" spans="1:5" x14ac:dyDescent="0.15">
      <c r="A20" s="1" t="s">
        <v>17847</v>
      </c>
      <c r="B20" s="1" t="s">
        <v>17920</v>
      </c>
      <c r="C20" s="1" t="s">
        <v>17921</v>
      </c>
      <c r="D20" s="1" t="s">
        <v>17922</v>
      </c>
      <c r="E20" s="1" t="s">
        <v>17923</v>
      </c>
    </row>
    <row r="21" spans="1:5" x14ac:dyDescent="0.15">
      <c r="A21" s="1" t="s">
        <v>17847</v>
      </c>
      <c r="B21" s="1" t="s">
        <v>17924</v>
      </c>
      <c r="C21" s="1" t="s">
        <v>17925</v>
      </c>
      <c r="D21" s="1" t="s">
        <v>17926</v>
      </c>
      <c r="E21" s="1" t="s">
        <v>17927</v>
      </c>
    </row>
    <row r="22" spans="1:5" x14ac:dyDescent="0.15">
      <c r="A22" s="1" t="s">
        <v>17847</v>
      </c>
      <c r="B22" s="1" t="s">
        <v>17928</v>
      </c>
      <c r="C22" s="1" t="s">
        <v>17929</v>
      </c>
      <c r="D22" s="1" t="s">
        <v>17930</v>
      </c>
      <c r="E22" s="1" t="s">
        <v>17931</v>
      </c>
    </row>
    <row r="23" spans="1:5" x14ac:dyDescent="0.15">
      <c r="A23" s="1" t="s">
        <v>17847</v>
      </c>
      <c r="B23" s="1" t="s">
        <v>17932</v>
      </c>
      <c r="C23" s="1" t="s">
        <v>17933</v>
      </c>
      <c r="D23" s="1" t="s">
        <v>17934</v>
      </c>
      <c r="E23" s="1" t="s">
        <v>17935</v>
      </c>
    </row>
    <row r="24" spans="1:5" x14ac:dyDescent="0.15">
      <c r="A24" s="1" t="s">
        <v>17847</v>
      </c>
      <c r="B24" s="1" t="s">
        <v>17936</v>
      </c>
      <c r="C24" s="1" t="s">
        <v>17937</v>
      </c>
      <c r="D24" s="1" t="s">
        <v>17938</v>
      </c>
      <c r="E24" s="1" t="s">
        <v>17939</v>
      </c>
    </row>
    <row r="25" spans="1:5" x14ac:dyDescent="0.15">
      <c r="A25" s="1" t="s">
        <v>17847</v>
      </c>
      <c r="B25" s="1" t="s">
        <v>17940</v>
      </c>
      <c r="C25" s="1" t="s">
        <v>17941</v>
      </c>
      <c r="D25" s="1" t="s">
        <v>17942</v>
      </c>
      <c r="E25" s="1" t="s">
        <v>17943</v>
      </c>
    </row>
    <row r="26" spans="1:5" x14ac:dyDescent="0.15">
      <c r="A26" s="1" t="s">
        <v>17847</v>
      </c>
      <c r="B26" s="1" t="s">
        <v>17944</v>
      </c>
      <c r="C26" s="1" t="s">
        <v>17945</v>
      </c>
      <c r="D26" s="1" t="s">
        <v>17946</v>
      </c>
      <c r="E26" s="1" t="s">
        <v>17947</v>
      </c>
    </row>
    <row r="27" spans="1:5" x14ac:dyDescent="0.15">
      <c r="A27" s="1" t="s">
        <v>17847</v>
      </c>
      <c r="B27" s="1" t="s">
        <v>17948</v>
      </c>
      <c r="C27" s="1" t="s">
        <v>17949</v>
      </c>
      <c r="D27" s="1" t="s">
        <v>17950</v>
      </c>
      <c r="E27" s="1" t="s">
        <v>17951</v>
      </c>
    </row>
    <row r="28" spans="1:5" x14ac:dyDescent="0.15">
      <c r="A28" s="1" t="s">
        <v>17847</v>
      </c>
      <c r="B28" s="1" t="s">
        <v>17952</v>
      </c>
      <c r="C28" s="1" t="s">
        <v>17953</v>
      </c>
      <c r="D28" s="1" t="s">
        <v>17954</v>
      </c>
      <c r="E28" s="1" t="s">
        <v>17955</v>
      </c>
    </row>
    <row r="29" spans="1:5" x14ac:dyDescent="0.15">
      <c r="A29" s="1" t="s">
        <v>17847</v>
      </c>
      <c r="B29" s="1" t="s">
        <v>17956</v>
      </c>
      <c r="C29" s="1" t="s">
        <v>17957</v>
      </c>
      <c r="D29" s="1" t="s">
        <v>17958</v>
      </c>
      <c r="E29" s="1" t="s">
        <v>17959</v>
      </c>
    </row>
    <row r="30" spans="1:5" x14ac:dyDescent="0.15">
      <c r="A30" s="1" t="s">
        <v>17847</v>
      </c>
      <c r="B30" s="1" t="s">
        <v>17960</v>
      </c>
      <c r="C30" s="1" t="s">
        <v>17961</v>
      </c>
      <c r="D30" s="1" t="s">
        <v>17962</v>
      </c>
      <c r="E30" s="1" t="s">
        <v>17963</v>
      </c>
    </row>
    <row r="31" spans="1:5" x14ac:dyDescent="0.15">
      <c r="A31" s="1" t="s">
        <v>17847</v>
      </c>
      <c r="B31" s="1" t="s">
        <v>17964</v>
      </c>
      <c r="C31" s="1" t="s">
        <v>17965</v>
      </c>
      <c r="D31" s="1" t="s">
        <v>17966</v>
      </c>
      <c r="E31" s="1" t="s">
        <v>17967</v>
      </c>
    </row>
    <row r="32" spans="1:5" x14ac:dyDescent="0.15">
      <c r="A32" s="1" t="s">
        <v>17847</v>
      </c>
      <c r="B32" s="1" t="s">
        <v>17968</v>
      </c>
      <c r="C32" s="1" t="s">
        <v>17969</v>
      </c>
      <c r="D32" s="1" t="s">
        <v>17970</v>
      </c>
      <c r="E32" s="1" t="s">
        <v>17971</v>
      </c>
    </row>
    <row r="33" spans="1:5" x14ac:dyDescent="0.15">
      <c r="A33" s="1" t="s">
        <v>17847</v>
      </c>
      <c r="B33" s="1" t="s">
        <v>17972</v>
      </c>
      <c r="C33" s="1" t="s">
        <v>17973</v>
      </c>
      <c r="D33" s="1" t="s">
        <v>17974</v>
      </c>
      <c r="E33" s="1" t="s">
        <v>17975</v>
      </c>
    </row>
    <row r="34" spans="1:5" x14ac:dyDescent="0.15">
      <c r="A34" s="1" t="s">
        <v>17847</v>
      </c>
      <c r="B34" s="1" t="s">
        <v>17976</v>
      </c>
      <c r="C34" s="1" t="s">
        <v>17977</v>
      </c>
      <c r="D34" s="1" t="s">
        <v>17978</v>
      </c>
      <c r="E34" s="1" t="s">
        <v>17979</v>
      </c>
    </row>
    <row r="35" spans="1:5" x14ac:dyDescent="0.15">
      <c r="A35" s="1" t="s">
        <v>17847</v>
      </c>
      <c r="B35" s="1" t="s">
        <v>17980</v>
      </c>
      <c r="C35" s="1" t="s">
        <v>17977</v>
      </c>
      <c r="D35" s="1" t="s">
        <v>17981</v>
      </c>
      <c r="E35" s="1" t="s">
        <v>17982</v>
      </c>
    </row>
    <row r="36" spans="1:5" x14ac:dyDescent="0.15">
      <c r="A36" s="1" t="s">
        <v>17847</v>
      </c>
      <c r="B36" s="1" t="s">
        <v>17983</v>
      </c>
      <c r="C36" s="1" t="s">
        <v>17984</v>
      </c>
      <c r="D36" s="1" t="s">
        <v>17985</v>
      </c>
      <c r="E36" s="1" t="s">
        <v>17986</v>
      </c>
    </row>
    <row r="37" spans="1:5" x14ac:dyDescent="0.15">
      <c r="A37" s="1" t="s">
        <v>17847</v>
      </c>
      <c r="B37" s="1" t="s">
        <v>17987</v>
      </c>
      <c r="C37" s="1" t="s">
        <v>17984</v>
      </c>
      <c r="D37" s="1" t="s">
        <v>17985</v>
      </c>
      <c r="E37" s="1" t="s">
        <v>17988</v>
      </c>
    </row>
    <row r="38" spans="1:5" x14ac:dyDescent="0.15">
      <c r="A38" s="1" t="s">
        <v>17989</v>
      </c>
      <c r="B38" s="1" t="s">
        <v>17990</v>
      </c>
      <c r="C38" s="1" t="s">
        <v>17991</v>
      </c>
      <c r="D38" s="1" t="s">
        <v>17992</v>
      </c>
      <c r="E38" s="1" t="s">
        <v>17993</v>
      </c>
    </row>
    <row r="39" spans="1:5" x14ac:dyDescent="0.15">
      <c r="A39" s="1" t="s">
        <v>17989</v>
      </c>
      <c r="B39" s="1" t="s">
        <v>17994</v>
      </c>
      <c r="C39" s="1" t="s">
        <v>17995</v>
      </c>
      <c r="D39" s="1" t="s">
        <v>17996</v>
      </c>
      <c r="E39" s="1" t="s">
        <v>17997</v>
      </c>
    </row>
    <row r="40" spans="1:5" x14ac:dyDescent="0.15">
      <c r="A40" s="1" t="s">
        <v>17989</v>
      </c>
      <c r="B40" s="1" t="s">
        <v>17998</v>
      </c>
      <c r="C40" s="1" t="s">
        <v>17999</v>
      </c>
      <c r="D40" s="1" t="s">
        <v>18000</v>
      </c>
      <c r="E40" s="1" t="s">
        <v>18001</v>
      </c>
    </row>
    <row r="41" spans="1:5" x14ac:dyDescent="0.15">
      <c r="A41" s="1" t="s">
        <v>17989</v>
      </c>
      <c r="B41" s="1" t="s">
        <v>18002</v>
      </c>
      <c r="C41" s="1" t="s">
        <v>18003</v>
      </c>
      <c r="D41" s="1" t="s">
        <v>18004</v>
      </c>
      <c r="E41" s="1" t="s">
        <v>18005</v>
      </c>
    </row>
    <row r="42" spans="1:5" x14ac:dyDescent="0.15">
      <c r="A42" s="1" t="s">
        <v>17989</v>
      </c>
      <c r="B42" s="1" t="s">
        <v>18006</v>
      </c>
      <c r="C42" s="1" t="s">
        <v>18007</v>
      </c>
      <c r="D42" s="1" t="s">
        <v>18008</v>
      </c>
      <c r="E42" s="1" t="s">
        <v>18009</v>
      </c>
    </row>
    <row r="43" spans="1:5" x14ac:dyDescent="0.15">
      <c r="A43" s="1" t="s">
        <v>17989</v>
      </c>
      <c r="B43" s="1" t="s">
        <v>18010</v>
      </c>
      <c r="C43" s="1" t="s">
        <v>18011</v>
      </c>
      <c r="D43" s="1" t="s">
        <v>18012</v>
      </c>
      <c r="E43" s="1" t="s">
        <v>18013</v>
      </c>
    </row>
    <row r="44" spans="1:5" x14ac:dyDescent="0.15">
      <c r="A44" s="1" t="s">
        <v>17989</v>
      </c>
      <c r="B44" s="1" t="s">
        <v>18014</v>
      </c>
      <c r="C44" s="1" t="s">
        <v>18015</v>
      </c>
      <c r="D44" s="1" t="s">
        <v>18016</v>
      </c>
      <c r="E44" s="1" t="s">
        <v>18017</v>
      </c>
    </row>
    <row r="45" spans="1:5" x14ac:dyDescent="0.15">
      <c r="A45" s="1" t="s">
        <v>17989</v>
      </c>
      <c r="B45" s="1" t="s">
        <v>18018</v>
      </c>
      <c r="C45" s="1" t="s">
        <v>18019</v>
      </c>
      <c r="D45" s="1" t="s">
        <v>18020</v>
      </c>
      <c r="E45" s="1" t="s">
        <v>18021</v>
      </c>
    </row>
    <row r="46" spans="1:5" x14ac:dyDescent="0.15">
      <c r="A46" s="1" t="s">
        <v>17989</v>
      </c>
      <c r="B46" s="1" t="s">
        <v>18022</v>
      </c>
      <c r="C46" s="1" t="s">
        <v>18023</v>
      </c>
      <c r="D46" s="1" t="s">
        <v>18024</v>
      </c>
      <c r="E46" s="1" t="s">
        <v>18025</v>
      </c>
    </row>
    <row r="47" spans="1:5" x14ac:dyDescent="0.15">
      <c r="A47" s="1" t="s">
        <v>17989</v>
      </c>
      <c r="B47" s="1" t="s">
        <v>18026</v>
      </c>
      <c r="C47" s="1" t="s">
        <v>18027</v>
      </c>
      <c r="D47" s="1" t="s">
        <v>18028</v>
      </c>
      <c r="E47" s="1" t="s">
        <v>18029</v>
      </c>
    </row>
    <row r="48" spans="1:5" x14ac:dyDescent="0.15">
      <c r="A48" s="1" t="s">
        <v>17989</v>
      </c>
      <c r="B48" s="1" t="s">
        <v>18030</v>
      </c>
      <c r="C48" s="1" t="s">
        <v>18031</v>
      </c>
      <c r="D48" s="1" t="s">
        <v>18032</v>
      </c>
      <c r="E48" s="1" t="s">
        <v>18033</v>
      </c>
    </row>
    <row r="49" spans="1:5" x14ac:dyDescent="0.15">
      <c r="A49" s="1" t="s">
        <v>17989</v>
      </c>
      <c r="B49" s="1" t="s">
        <v>18034</v>
      </c>
      <c r="C49" s="1" t="s">
        <v>18035</v>
      </c>
      <c r="D49" s="1" t="s">
        <v>18036</v>
      </c>
      <c r="E49" s="1" t="s">
        <v>18037</v>
      </c>
    </row>
    <row r="50" spans="1:5" x14ac:dyDescent="0.15">
      <c r="A50" s="1" t="s">
        <v>17989</v>
      </c>
      <c r="B50" s="1" t="s">
        <v>18038</v>
      </c>
      <c r="C50" s="1" t="s">
        <v>18039</v>
      </c>
      <c r="D50" s="1" t="s">
        <v>18040</v>
      </c>
      <c r="E50" s="1" t="s">
        <v>18041</v>
      </c>
    </row>
    <row r="51" spans="1:5" x14ac:dyDescent="0.15">
      <c r="A51" s="1" t="s">
        <v>17989</v>
      </c>
      <c r="B51" s="1" t="s">
        <v>18042</v>
      </c>
      <c r="C51" s="1" t="s">
        <v>18043</v>
      </c>
      <c r="D51" s="1" t="s">
        <v>18044</v>
      </c>
      <c r="E51" s="1" t="s">
        <v>18045</v>
      </c>
    </row>
    <row r="52" spans="1:5" x14ac:dyDescent="0.15">
      <c r="A52" s="1" t="s">
        <v>17989</v>
      </c>
      <c r="B52" s="1" t="s">
        <v>18046</v>
      </c>
      <c r="C52" s="1" t="s">
        <v>18043</v>
      </c>
      <c r="D52" s="1" t="s">
        <v>18047</v>
      </c>
      <c r="E52" s="1" t="s">
        <v>18048</v>
      </c>
    </row>
    <row r="53" spans="1:5" x14ac:dyDescent="0.15">
      <c r="A53" s="1" t="s">
        <v>17989</v>
      </c>
      <c r="B53" s="1" t="s">
        <v>18049</v>
      </c>
      <c r="C53" s="1" t="s">
        <v>18050</v>
      </c>
      <c r="D53" s="1" t="s">
        <v>18051</v>
      </c>
      <c r="E53" s="1" t="s">
        <v>18052</v>
      </c>
    </row>
    <row r="54" spans="1:5" x14ac:dyDescent="0.15">
      <c r="A54" s="1" t="s">
        <v>17989</v>
      </c>
      <c r="B54" s="1" t="s">
        <v>18053</v>
      </c>
      <c r="C54" s="1" t="s">
        <v>18054</v>
      </c>
      <c r="D54" s="1" t="s">
        <v>18055</v>
      </c>
      <c r="E54" s="1" t="s">
        <v>18056</v>
      </c>
    </row>
    <row r="55" spans="1:5" x14ac:dyDescent="0.15">
      <c r="A55" s="1" t="s">
        <v>17989</v>
      </c>
      <c r="B55" s="1" t="s">
        <v>18057</v>
      </c>
      <c r="C55" s="1" t="s">
        <v>18058</v>
      </c>
      <c r="D55" s="1" t="s">
        <v>18059</v>
      </c>
      <c r="E55" s="1" t="s">
        <v>18060</v>
      </c>
    </row>
    <row r="56" spans="1:5" x14ac:dyDescent="0.15">
      <c r="A56" s="1" t="s">
        <v>17989</v>
      </c>
      <c r="B56" s="1" t="s">
        <v>18061</v>
      </c>
      <c r="C56" s="1" t="s">
        <v>18062</v>
      </c>
      <c r="D56" s="1" t="s">
        <v>18063</v>
      </c>
      <c r="E56" s="1" t="s">
        <v>18064</v>
      </c>
    </row>
    <row r="57" spans="1:5" x14ac:dyDescent="0.15">
      <c r="A57" s="1" t="s">
        <v>17989</v>
      </c>
      <c r="B57" s="1" t="s">
        <v>18065</v>
      </c>
      <c r="C57" s="1" t="s">
        <v>18066</v>
      </c>
      <c r="D57" s="1" t="s">
        <v>18067</v>
      </c>
      <c r="E57" s="1" t="s">
        <v>18068</v>
      </c>
    </row>
    <row r="58" spans="1:5" x14ac:dyDescent="0.15">
      <c r="A58" s="1" t="s">
        <v>17989</v>
      </c>
      <c r="B58" s="1" t="s">
        <v>18069</v>
      </c>
      <c r="C58" s="1" t="s">
        <v>18070</v>
      </c>
      <c r="D58" s="1" t="s">
        <v>18071</v>
      </c>
      <c r="E58" s="1" t="s">
        <v>18072</v>
      </c>
    </row>
    <row r="59" spans="1:5" x14ac:dyDescent="0.15">
      <c r="A59" s="1" t="s">
        <v>17989</v>
      </c>
      <c r="B59" s="1" t="s">
        <v>18073</v>
      </c>
      <c r="C59" s="1" t="s">
        <v>18074</v>
      </c>
      <c r="D59" s="1" t="s">
        <v>18075</v>
      </c>
      <c r="E59" s="1" t="s">
        <v>18076</v>
      </c>
    </row>
    <row r="60" spans="1:5" x14ac:dyDescent="0.15">
      <c r="A60" s="1" t="s">
        <v>17989</v>
      </c>
      <c r="B60" s="1" t="s">
        <v>18077</v>
      </c>
      <c r="C60" s="1" t="s">
        <v>18078</v>
      </c>
      <c r="D60" s="1" t="s">
        <v>18079</v>
      </c>
      <c r="E60" s="1" t="s">
        <v>18080</v>
      </c>
    </row>
    <row r="61" spans="1:5" x14ac:dyDescent="0.15">
      <c r="A61" s="1" t="s">
        <v>17989</v>
      </c>
      <c r="B61" s="1" t="s">
        <v>18081</v>
      </c>
      <c r="C61" s="1" t="s">
        <v>18082</v>
      </c>
      <c r="D61" s="1" t="s">
        <v>18083</v>
      </c>
      <c r="E61" s="1" t="s">
        <v>18084</v>
      </c>
    </row>
    <row r="62" spans="1:5" x14ac:dyDescent="0.15">
      <c r="A62" s="1" t="s">
        <v>17989</v>
      </c>
      <c r="B62" s="1" t="s">
        <v>18085</v>
      </c>
      <c r="C62" s="1" t="s">
        <v>18086</v>
      </c>
      <c r="D62" s="1" t="s">
        <v>18087</v>
      </c>
      <c r="E62" s="1" t="s">
        <v>18088</v>
      </c>
    </row>
    <row r="63" spans="1:5" x14ac:dyDescent="0.15">
      <c r="A63" s="1" t="s">
        <v>17989</v>
      </c>
      <c r="B63" s="1" t="s">
        <v>18089</v>
      </c>
      <c r="C63" s="1" t="s">
        <v>18090</v>
      </c>
      <c r="D63" s="1" t="s">
        <v>18091</v>
      </c>
      <c r="E63" s="1" t="s">
        <v>18092</v>
      </c>
    </row>
    <row r="64" spans="1:5" x14ac:dyDescent="0.15">
      <c r="A64" s="1" t="s">
        <v>17989</v>
      </c>
      <c r="B64" s="1" t="s">
        <v>18093</v>
      </c>
      <c r="C64" s="1" t="s">
        <v>18090</v>
      </c>
      <c r="D64" s="1" t="s">
        <v>18094</v>
      </c>
      <c r="E64" s="1" t="s">
        <v>18095</v>
      </c>
    </row>
    <row r="65" spans="1:5" x14ac:dyDescent="0.15">
      <c r="A65" s="1" t="s">
        <v>17989</v>
      </c>
      <c r="B65" s="1" t="s">
        <v>18096</v>
      </c>
      <c r="C65" s="1" t="s">
        <v>18097</v>
      </c>
      <c r="D65" s="1" t="s">
        <v>18098</v>
      </c>
      <c r="E65" s="1" t="s">
        <v>18099</v>
      </c>
    </row>
    <row r="66" spans="1:5" x14ac:dyDescent="0.15">
      <c r="A66" s="1" t="s">
        <v>17989</v>
      </c>
      <c r="B66" s="1" t="s">
        <v>18100</v>
      </c>
      <c r="C66" s="1" t="s">
        <v>18097</v>
      </c>
      <c r="D66" s="1" t="s">
        <v>18098</v>
      </c>
      <c r="E66" s="1" t="s">
        <v>18101</v>
      </c>
    </row>
    <row r="67" spans="1:5" x14ac:dyDescent="0.15">
      <c r="A67" s="1" t="s">
        <v>18102</v>
      </c>
      <c r="B67" s="1" t="s">
        <v>18103</v>
      </c>
      <c r="C67" s="1" t="s">
        <v>18104</v>
      </c>
      <c r="D67" s="1" t="s">
        <v>18105</v>
      </c>
      <c r="E67" s="1" t="s">
        <v>18106</v>
      </c>
    </row>
    <row r="68" spans="1:5" x14ac:dyDescent="0.15">
      <c r="A68" s="1" t="s">
        <v>18102</v>
      </c>
      <c r="B68" s="1" t="s">
        <v>18107</v>
      </c>
      <c r="C68" s="1" t="s">
        <v>18108</v>
      </c>
      <c r="D68" s="1" t="s">
        <v>18109</v>
      </c>
      <c r="E68" s="1" t="s">
        <v>18110</v>
      </c>
    </row>
    <row r="69" spans="1:5" x14ac:dyDescent="0.15">
      <c r="A69" s="1" t="s">
        <v>18102</v>
      </c>
      <c r="B69" s="1" t="s">
        <v>18111</v>
      </c>
      <c r="C69" s="1" t="s">
        <v>18112</v>
      </c>
      <c r="D69" s="1" t="s">
        <v>18113</v>
      </c>
      <c r="E69" s="1" t="s">
        <v>18114</v>
      </c>
    </row>
    <row r="70" spans="1:5" x14ac:dyDescent="0.15">
      <c r="A70" s="1" t="s">
        <v>18102</v>
      </c>
      <c r="B70" s="1" t="s">
        <v>18115</v>
      </c>
      <c r="C70" s="1" t="s">
        <v>18116</v>
      </c>
      <c r="D70" s="1" t="s">
        <v>18117</v>
      </c>
      <c r="E70" s="1" t="s">
        <v>18118</v>
      </c>
    </row>
    <row r="71" spans="1:5" x14ac:dyDescent="0.15">
      <c r="A71" s="1" t="s">
        <v>18102</v>
      </c>
      <c r="B71" s="1" t="s">
        <v>18119</v>
      </c>
      <c r="C71" s="1" t="s">
        <v>18120</v>
      </c>
      <c r="D71" s="1" t="s">
        <v>18121</v>
      </c>
      <c r="E71" s="1" t="s">
        <v>18122</v>
      </c>
    </row>
    <row r="72" spans="1:5" x14ac:dyDescent="0.15">
      <c r="A72" s="1" t="s">
        <v>18102</v>
      </c>
      <c r="B72" s="1" t="s">
        <v>18123</v>
      </c>
      <c r="C72" s="1" t="s">
        <v>18124</v>
      </c>
      <c r="D72" s="1" t="s">
        <v>18125</v>
      </c>
      <c r="E72" s="1" t="s">
        <v>18126</v>
      </c>
    </row>
    <row r="73" spans="1:5" x14ac:dyDescent="0.15">
      <c r="A73" s="1" t="s">
        <v>18102</v>
      </c>
      <c r="B73" s="1" t="s">
        <v>18127</v>
      </c>
      <c r="C73" s="1" t="s">
        <v>18128</v>
      </c>
      <c r="D73" s="1" t="s">
        <v>18129</v>
      </c>
      <c r="E73" s="1" t="s">
        <v>18130</v>
      </c>
    </row>
    <row r="74" spans="1:5" x14ac:dyDescent="0.15">
      <c r="A74" s="1" t="s">
        <v>18102</v>
      </c>
      <c r="B74" s="1" t="s">
        <v>18131</v>
      </c>
      <c r="C74" s="1" t="s">
        <v>18132</v>
      </c>
      <c r="D74" s="1" t="s">
        <v>18133</v>
      </c>
      <c r="E74" s="1" t="s">
        <v>18134</v>
      </c>
    </row>
    <row r="75" spans="1:5" x14ac:dyDescent="0.15">
      <c r="A75" s="1" t="s">
        <v>18102</v>
      </c>
      <c r="B75" s="1" t="s">
        <v>18135</v>
      </c>
      <c r="C75" s="1" t="s">
        <v>18136</v>
      </c>
      <c r="D75" s="1" t="s">
        <v>18137</v>
      </c>
      <c r="E75" s="1" t="s">
        <v>18138</v>
      </c>
    </row>
    <row r="76" spans="1:5" x14ac:dyDescent="0.15">
      <c r="A76" s="1" t="s">
        <v>18102</v>
      </c>
      <c r="B76" s="1" t="s">
        <v>18139</v>
      </c>
      <c r="C76" s="1" t="s">
        <v>18136</v>
      </c>
      <c r="D76" s="1" t="s">
        <v>18140</v>
      </c>
      <c r="E76" s="1" t="s">
        <v>18141</v>
      </c>
    </row>
    <row r="77" spans="1:5" x14ac:dyDescent="0.15">
      <c r="A77" s="1" t="s">
        <v>18102</v>
      </c>
      <c r="B77" s="1" t="s">
        <v>18142</v>
      </c>
      <c r="C77" s="1" t="s">
        <v>18143</v>
      </c>
      <c r="D77" s="1" t="s">
        <v>18144</v>
      </c>
      <c r="E77" s="1" t="s">
        <v>18145</v>
      </c>
    </row>
    <row r="78" spans="1:5" x14ac:dyDescent="0.15">
      <c r="A78" s="1" t="s">
        <v>18102</v>
      </c>
      <c r="B78" s="1" t="s">
        <v>18146</v>
      </c>
      <c r="C78" s="1" t="s">
        <v>18147</v>
      </c>
      <c r="D78" s="1" t="s">
        <v>18148</v>
      </c>
      <c r="E78" s="1" t="s">
        <v>18149</v>
      </c>
    </row>
    <row r="79" spans="1:5" x14ac:dyDescent="0.15">
      <c r="A79" s="1" t="s">
        <v>18102</v>
      </c>
      <c r="B79" s="1" t="s">
        <v>18150</v>
      </c>
      <c r="C79" s="1" t="s">
        <v>18151</v>
      </c>
      <c r="D79" s="1" t="s">
        <v>18152</v>
      </c>
      <c r="E79" s="1" t="s">
        <v>18153</v>
      </c>
    </row>
    <row r="80" spans="1:5" x14ac:dyDescent="0.15">
      <c r="A80" s="1" t="s">
        <v>18102</v>
      </c>
      <c r="B80" s="1" t="s">
        <v>18154</v>
      </c>
      <c r="C80" s="1" t="s">
        <v>18155</v>
      </c>
      <c r="D80" s="1" t="s">
        <v>18156</v>
      </c>
      <c r="E80" s="1" t="s">
        <v>18157</v>
      </c>
    </row>
    <row r="81" spans="1:5" x14ac:dyDescent="0.15">
      <c r="A81" s="1" t="s">
        <v>18102</v>
      </c>
      <c r="B81" s="1" t="s">
        <v>18158</v>
      </c>
      <c r="C81" s="1" t="s">
        <v>18159</v>
      </c>
      <c r="D81" s="1" t="s">
        <v>18160</v>
      </c>
      <c r="E81" s="1" t="s">
        <v>18161</v>
      </c>
    </row>
    <row r="82" spans="1:5" x14ac:dyDescent="0.15">
      <c r="A82" s="1" t="s">
        <v>18102</v>
      </c>
      <c r="B82" s="1" t="s">
        <v>18162</v>
      </c>
      <c r="C82" s="1" t="s">
        <v>18163</v>
      </c>
      <c r="D82" s="1" t="s">
        <v>18164</v>
      </c>
      <c r="E82" s="1" t="s">
        <v>18165</v>
      </c>
    </row>
    <row r="83" spans="1:5" x14ac:dyDescent="0.15">
      <c r="A83" s="1" t="s">
        <v>18102</v>
      </c>
      <c r="B83" s="1" t="s">
        <v>18166</v>
      </c>
      <c r="C83" s="1" t="s">
        <v>18167</v>
      </c>
      <c r="D83" s="1" t="s">
        <v>18168</v>
      </c>
      <c r="E83" s="1" t="s">
        <v>18169</v>
      </c>
    </row>
    <row r="84" spans="1:5" x14ac:dyDescent="0.15">
      <c r="A84" s="1" t="s">
        <v>18102</v>
      </c>
      <c r="B84" s="1" t="s">
        <v>18170</v>
      </c>
      <c r="C84" s="1" t="s">
        <v>18171</v>
      </c>
      <c r="D84" s="1" t="s">
        <v>18172</v>
      </c>
      <c r="E84" s="1" t="s">
        <v>18173</v>
      </c>
    </row>
    <row r="85" spans="1:5" x14ac:dyDescent="0.15">
      <c r="A85" s="1" t="s">
        <v>18102</v>
      </c>
      <c r="B85" s="1" t="s">
        <v>18174</v>
      </c>
      <c r="C85" s="1" t="s">
        <v>18175</v>
      </c>
      <c r="D85" s="1" t="s">
        <v>18176</v>
      </c>
      <c r="E85" s="1" t="s">
        <v>18177</v>
      </c>
    </row>
    <row r="86" spans="1:5" x14ac:dyDescent="0.15">
      <c r="A86" s="1" t="s">
        <v>18102</v>
      </c>
      <c r="B86" s="1" t="s">
        <v>18178</v>
      </c>
      <c r="C86" s="1" t="s">
        <v>18179</v>
      </c>
      <c r="D86" s="1" t="s">
        <v>18180</v>
      </c>
      <c r="E86" s="1" t="s">
        <v>18181</v>
      </c>
    </row>
    <row r="87" spans="1:5" x14ac:dyDescent="0.15">
      <c r="A87" s="1" t="s">
        <v>18102</v>
      </c>
      <c r="B87" s="1" t="s">
        <v>18182</v>
      </c>
      <c r="C87" s="1" t="s">
        <v>18183</v>
      </c>
      <c r="D87" s="1" t="s">
        <v>18184</v>
      </c>
      <c r="E87" s="1" t="s">
        <v>18185</v>
      </c>
    </row>
    <row r="88" spans="1:5" x14ac:dyDescent="0.15">
      <c r="A88" s="1" t="s">
        <v>18102</v>
      </c>
      <c r="B88" s="1" t="s">
        <v>18186</v>
      </c>
      <c r="C88" s="1" t="s">
        <v>18187</v>
      </c>
      <c r="D88" s="1" t="s">
        <v>18188</v>
      </c>
      <c r="E88" s="1" t="s">
        <v>18189</v>
      </c>
    </row>
    <row r="89" spans="1:5" x14ac:dyDescent="0.15">
      <c r="A89" s="1" t="s">
        <v>18102</v>
      </c>
      <c r="B89" s="1" t="s">
        <v>18190</v>
      </c>
      <c r="C89" s="1" t="s">
        <v>18187</v>
      </c>
      <c r="D89" s="1" t="s">
        <v>18191</v>
      </c>
      <c r="E89" s="1" t="s">
        <v>18192</v>
      </c>
    </row>
    <row r="90" spans="1:5" x14ac:dyDescent="0.15">
      <c r="A90" s="1" t="s">
        <v>18102</v>
      </c>
      <c r="B90" s="1" t="s">
        <v>18193</v>
      </c>
      <c r="C90" s="1" t="s">
        <v>18194</v>
      </c>
      <c r="D90" s="1" t="s">
        <v>18195</v>
      </c>
      <c r="E90" s="1" t="s">
        <v>18196</v>
      </c>
    </row>
    <row r="91" spans="1:5" x14ac:dyDescent="0.15">
      <c r="A91" s="1" t="s">
        <v>18102</v>
      </c>
      <c r="B91" s="1" t="s">
        <v>18197</v>
      </c>
      <c r="C91" s="1" t="s">
        <v>18194</v>
      </c>
      <c r="D91" s="1" t="s">
        <v>18198</v>
      </c>
      <c r="E91" s="1" t="s">
        <v>18199</v>
      </c>
    </row>
    <row r="92" spans="1:5" x14ac:dyDescent="0.15">
      <c r="A92" s="1" t="s">
        <v>18200</v>
      </c>
      <c r="B92" s="1" t="s">
        <v>18201</v>
      </c>
      <c r="C92" s="1" t="s">
        <v>18202</v>
      </c>
      <c r="D92" s="1" t="s">
        <v>18203</v>
      </c>
      <c r="E92" s="1" t="s">
        <v>18204</v>
      </c>
    </row>
    <row r="93" spans="1:5" x14ac:dyDescent="0.15">
      <c r="A93" s="1" t="s">
        <v>18200</v>
      </c>
      <c r="B93" s="1" t="s">
        <v>18205</v>
      </c>
      <c r="C93" s="1" t="s">
        <v>18206</v>
      </c>
      <c r="D93" s="1" t="s">
        <v>18207</v>
      </c>
      <c r="E93" s="1" t="s">
        <v>18208</v>
      </c>
    </row>
    <row r="94" spans="1:5" x14ac:dyDescent="0.15">
      <c r="A94" s="1" t="s">
        <v>18200</v>
      </c>
      <c r="B94" s="1" t="s">
        <v>18209</v>
      </c>
      <c r="C94" s="1" t="s">
        <v>18206</v>
      </c>
      <c r="D94" s="1" t="s">
        <v>18210</v>
      </c>
      <c r="E94" s="1" t="s">
        <v>18211</v>
      </c>
    </row>
    <row r="95" spans="1:5" x14ac:dyDescent="0.15">
      <c r="A95" s="1" t="s">
        <v>18200</v>
      </c>
      <c r="B95" s="1" t="s">
        <v>18212</v>
      </c>
      <c r="C95" s="1" t="s">
        <v>18213</v>
      </c>
      <c r="D95" s="1" t="s">
        <v>18214</v>
      </c>
      <c r="E95" s="1" t="s">
        <v>18215</v>
      </c>
    </row>
    <row r="96" spans="1:5" x14ac:dyDescent="0.15">
      <c r="A96" s="1" t="s">
        <v>18200</v>
      </c>
      <c r="B96" s="1" t="s">
        <v>18216</v>
      </c>
      <c r="C96" s="1" t="s">
        <v>18213</v>
      </c>
      <c r="D96" s="1" t="s">
        <v>18217</v>
      </c>
      <c r="E96" s="1" t="s">
        <v>18218</v>
      </c>
    </row>
    <row r="97" spans="1:5" x14ac:dyDescent="0.15">
      <c r="A97" s="1" t="s">
        <v>18200</v>
      </c>
      <c r="B97" s="1" t="s">
        <v>18219</v>
      </c>
      <c r="C97" s="1" t="s">
        <v>18220</v>
      </c>
      <c r="D97" s="1" t="s">
        <v>18221</v>
      </c>
      <c r="E97" s="1" t="s">
        <v>18222</v>
      </c>
    </row>
    <row r="98" spans="1:5" x14ac:dyDescent="0.15">
      <c r="A98" s="1" t="s">
        <v>18200</v>
      </c>
      <c r="B98" s="1" t="s">
        <v>18223</v>
      </c>
      <c r="C98" s="1" t="s">
        <v>18220</v>
      </c>
      <c r="D98" s="1" t="s">
        <v>18224</v>
      </c>
      <c r="E98" s="1" t="s">
        <v>18225</v>
      </c>
    </row>
    <row r="99" spans="1:5" x14ac:dyDescent="0.15">
      <c r="A99" s="1" t="s">
        <v>18200</v>
      </c>
      <c r="B99" s="1" t="s">
        <v>18226</v>
      </c>
      <c r="C99" s="1" t="s">
        <v>18227</v>
      </c>
      <c r="D99" s="1" t="s">
        <v>18228</v>
      </c>
      <c r="E99" s="1" t="s">
        <v>18229</v>
      </c>
    </row>
    <row r="100" spans="1:5" x14ac:dyDescent="0.15">
      <c r="A100" s="1" t="s">
        <v>18200</v>
      </c>
      <c r="B100" s="1" t="s">
        <v>18230</v>
      </c>
      <c r="C100" s="1" t="s">
        <v>18227</v>
      </c>
      <c r="D100" s="1" t="s">
        <v>17381</v>
      </c>
      <c r="E100" s="1" t="s">
        <v>17382</v>
      </c>
    </row>
    <row r="101" spans="1:5" x14ac:dyDescent="0.15">
      <c r="A101" s="1" t="s">
        <v>18200</v>
      </c>
      <c r="B101" s="1" t="s">
        <v>17383</v>
      </c>
      <c r="C101" s="1" t="s">
        <v>17384</v>
      </c>
      <c r="D101" s="1" t="s">
        <v>17385</v>
      </c>
      <c r="E101" s="1" t="s">
        <v>17386</v>
      </c>
    </row>
    <row r="102" spans="1:5" x14ac:dyDescent="0.15">
      <c r="A102" s="1" t="s">
        <v>18200</v>
      </c>
      <c r="B102" s="1" t="s">
        <v>17387</v>
      </c>
      <c r="C102" s="1" t="s">
        <v>17384</v>
      </c>
      <c r="D102" s="1" t="s">
        <v>17388</v>
      </c>
      <c r="E102" s="1" t="s">
        <v>17389</v>
      </c>
    </row>
    <row r="103" spans="1:5" x14ac:dyDescent="0.15">
      <c r="A103" s="1" t="s">
        <v>18200</v>
      </c>
      <c r="B103" s="1" t="s">
        <v>17390</v>
      </c>
      <c r="C103" s="1" t="s">
        <v>17391</v>
      </c>
      <c r="D103" s="1" t="s">
        <v>17392</v>
      </c>
      <c r="E103" s="1" t="s">
        <v>17393</v>
      </c>
    </row>
    <row r="104" spans="1:5" x14ac:dyDescent="0.15">
      <c r="A104" s="1" t="s">
        <v>18200</v>
      </c>
      <c r="B104" s="1" t="s">
        <v>17394</v>
      </c>
      <c r="C104" s="1" t="s">
        <v>17391</v>
      </c>
      <c r="D104" s="1" t="s">
        <v>17395</v>
      </c>
      <c r="E104" s="1" t="s">
        <v>17396</v>
      </c>
    </row>
    <row r="105" spans="1:5" x14ac:dyDescent="0.15">
      <c r="A105" s="1" t="s">
        <v>18200</v>
      </c>
      <c r="B105" s="1" t="s">
        <v>17397</v>
      </c>
      <c r="C105" s="1" t="s">
        <v>17398</v>
      </c>
      <c r="D105" s="1" t="s">
        <v>17399</v>
      </c>
      <c r="E105" s="1" t="s">
        <v>17400</v>
      </c>
    </row>
    <row r="106" spans="1:5" x14ac:dyDescent="0.15">
      <c r="A106" s="1" t="s">
        <v>18200</v>
      </c>
      <c r="B106" s="1" t="s">
        <v>17401</v>
      </c>
      <c r="C106" s="1" t="s">
        <v>17398</v>
      </c>
      <c r="D106" s="1" t="s">
        <v>17402</v>
      </c>
      <c r="E106" s="1" t="s">
        <v>17403</v>
      </c>
    </row>
    <row r="107" spans="1:5" x14ac:dyDescent="0.15">
      <c r="A107" s="1" t="s">
        <v>17404</v>
      </c>
      <c r="B107" s="1" t="s">
        <v>17405</v>
      </c>
      <c r="C107" s="1" t="s">
        <v>17406</v>
      </c>
      <c r="D107" s="1" t="s">
        <v>17407</v>
      </c>
      <c r="E107" s="1" t="s">
        <v>17408</v>
      </c>
    </row>
    <row r="108" spans="1:5" x14ac:dyDescent="0.15">
      <c r="A108" s="1" t="s">
        <v>17404</v>
      </c>
      <c r="B108" s="1" t="s">
        <v>17409</v>
      </c>
      <c r="C108" s="1" t="s">
        <v>17410</v>
      </c>
      <c r="D108" s="1" t="s">
        <v>17411</v>
      </c>
      <c r="E108" s="1" t="s">
        <v>17412</v>
      </c>
    </row>
    <row r="109" spans="1:5" x14ac:dyDescent="0.15">
      <c r="A109" s="1" t="s">
        <v>17404</v>
      </c>
      <c r="B109" s="1" t="s">
        <v>17413</v>
      </c>
      <c r="C109" s="1" t="s">
        <v>17414</v>
      </c>
      <c r="D109" s="1" t="s">
        <v>17415</v>
      </c>
      <c r="E109" s="1" t="s">
        <v>17416</v>
      </c>
    </row>
    <row r="110" spans="1:5" x14ac:dyDescent="0.15">
      <c r="A110" s="1" t="s">
        <v>17404</v>
      </c>
      <c r="B110" s="1" t="s">
        <v>17417</v>
      </c>
      <c r="C110" s="1" t="s">
        <v>17418</v>
      </c>
      <c r="D110" s="1" t="s">
        <v>17419</v>
      </c>
      <c r="E110" s="1" t="s">
        <v>17420</v>
      </c>
    </row>
    <row r="111" spans="1:5" x14ac:dyDescent="0.15">
      <c r="A111" s="1" t="s">
        <v>17404</v>
      </c>
      <c r="B111" s="1" t="s">
        <v>17421</v>
      </c>
      <c r="C111" s="1" t="s">
        <v>17422</v>
      </c>
      <c r="D111" s="1" t="s">
        <v>17423</v>
      </c>
      <c r="E111" s="1" t="s">
        <v>17424</v>
      </c>
    </row>
    <row r="112" spans="1:5" x14ac:dyDescent="0.15">
      <c r="A112" s="1" t="s">
        <v>17404</v>
      </c>
      <c r="B112" s="1" t="s">
        <v>17425</v>
      </c>
      <c r="C112" s="1" t="s">
        <v>17426</v>
      </c>
      <c r="D112" s="1" t="s">
        <v>17427</v>
      </c>
      <c r="E112" s="1" t="s">
        <v>17428</v>
      </c>
    </row>
    <row r="113" spans="1:5" x14ac:dyDescent="0.15">
      <c r="A113" s="1" t="s">
        <v>17404</v>
      </c>
      <c r="B113" s="1" t="s">
        <v>17429</v>
      </c>
      <c r="C113" s="1" t="s">
        <v>17430</v>
      </c>
      <c r="D113" s="1" t="s">
        <v>17431</v>
      </c>
      <c r="E113" s="1" t="s">
        <v>17432</v>
      </c>
    </row>
    <row r="114" spans="1:5" x14ac:dyDescent="0.15">
      <c r="A114" s="1" t="s">
        <v>17404</v>
      </c>
      <c r="B114" s="1" t="s">
        <v>17433</v>
      </c>
      <c r="C114" s="1" t="s">
        <v>17434</v>
      </c>
      <c r="D114" s="1" t="s">
        <v>17435</v>
      </c>
      <c r="E114" s="1" t="s">
        <v>17436</v>
      </c>
    </row>
    <row r="115" spans="1:5" x14ac:dyDescent="0.15">
      <c r="A115" s="1" t="s">
        <v>17404</v>
      </c>
      <c r="B115" s="1" t="s">
        <v>17437</v>
      </c>
      <c r="C115" s="1" t="s">
        <v>17438</v>
      </c>
      <c r="D115" s="1" t="s">
        <v>17439</v>
      </c>
      <c r="E115" s="1" t="s">
        <v>17440</v>
      </c>
    </row>
    <row r="116" spans="1:5" x14ac:dyDescent="0.15">
      <c r="A116" s="1" t="s">
        <v>17404</v>
      </c>
      <c r="B116" s="1" t="s">
        <v>17441</v>
      </c>
      <c r="C116" s="1" t="s">
        <v>17442</v>
      </c>
      <c r="D116" s="1" t="s">
        <v>17443</v>
      </c>
      <c r="E116" s="1" t="s">
        <v>17444</v>
      </c>
    </row>
    <row r="117" spans="1:5" x14ac:dyDescent="0.15">
      <c r="A117" s="1" t="s">
        <v>17404</v>
      </c>
      <c r="B117" s="1" t="s">
        <v>17445</v>
      </c>
      <c r="C117" s="1" t="s">
        <v>17446</v>
      </c>
      <c r="D117" s="1" t="s">
        <v>17447</v>
      </c>
      <c r="E117" s="1" t="s">
        <v>17448</v>
      </c>
    </row>
    <row r="118" spans="1:5" x14ac:dyDescent="0.15">
      <c r="A118" s="1" t="s">
        <v>17404</v>
      </c>
      <c r="B118" s="1" t="s">
        <v>17449</v>
      </c>
      <c r="C118" s="1" t="s">
        <v>17450</v>
      </c>
      <c r="D118" s="1" t="s">
        <v>17451</v>
      </c>
      <c r="E118" s="1" t="s">
        <v>17452</v>
      </c>
    </row>
    <row r="119" spans="1:5" x14ac:dyDescent="0.15">
      <c r="A119" s="1" t="s">
        <v>17404</v>
      </c>
      <c r="B119" s="1" t="s">
        <v>17453</v>
      </c>
      <c r="C119" s="1" t="s">
        <v>17454</v>
      </c>
      <c r="D119" s="1" t="s">
        <v>17455</v>
      </c>
      <c r="E119" s="1" t="s">
        <v>17456</v>
      </c>
    </row>
    <row r="120" spans="1:5" x14ac:dyDescent="0.15">
      <c r="A120" s="1" t="s">
        <v>17404</v>
      </c>
      <c r="B120" s="1" t="s">
        <v>17457</v>
      </c>
      <c r="C120" s="1" t="s">
        <v>17458</v>
      </c>
      <c r="D120" s="1" t="s">
        <v>17459</v>
      </c>
      <c r="E120" s="1" t="s">
        <v>17460</v>
      </c>
    </row>
    <row r="121" spans="1:5" x14ac:dyDescent="0.15">
      <c r="A121" s="1" t="s">
        <v>17404</v>
      </c>
      <c r="B121" s="1" t="s">
        <v>17461</v>
      </c>
      <c r="C121" s="1" t="s">
        <v>17462</v>
      </c>
      <c r="D121" s="1" t="s">
        <v>17463</v>
      </c>
      <c r="E121" s="1" t="s">
        <v>17464</v>
      </c>
    </row>
    <row r="122" spans="1:5" x14ac:dyDescent="0.15">
      <c r="A122" s="1" t="s">
        <v>17404</v>
      </c>
      <c r="B122" s="1" t="s">
        <v>17465</v>
      </c>
      <c r="C122" s="1" t="s">
        <v>17466</v>
      </c>
      <c r="D122" s="1" t="s">
        <v>17467</v>
      </c>
      <c r="E122" s="1" t="s">
        <v>17468</v>
      </c>
    </row>
    <row r="123" spans="1:5" x14ac:dyDescent="0.15">
      <c r="A123" s="1" t="s">
        <v>17404</v>
      </c>
      <c r="B123" s="1" t="s">
        <v>17469</v>
      </c>
      <c r="C123" s="1" t="s">
        <v>17470</v>
      </c>
      <c r="D123" s="1" t="s">
        <v>17471</v>
      </c>
      <c r="E123" s="1" t="s">
        <v>17472</v>
      </c>
    </row>
    <row r="124" spans="1:5" x14ac:dyDescent="0.15">
      <c r="A124" s="1" t="s">
        <v>17404</v>
      </c>
      <c r="B124" s="1" t="s">
        <v>17473</v>
      </c>
      <c r="C124" s="1" t="s">
        <v>17474</v>
      </c>
      <c r="D124" s="1" t="s">
        <v>17475</v>
      </c>
      <c r="E124" s="1" t="s">
        <v>17476</v>
      </c>
    </row>
    <row r="125" spans="1:5" x14ac:dyDescent="0.15">
      <c r="A125" s="1" t="s">
        <v>17404</v>
      </c>
      <c r="B125" s="1" t="s">
        <v>17477</v>
      </c>
      <c r="C125" s="1" t="s">
        <v>17478</v>
      </c>
      <c r="D125" s="1" t="s">
        <v>17479</v>
      </c>
      <c r="E125" s="1" t="s">
        <v>17480</v>
      </c>
    </row>
    <row r="126" spans="1:5" x14ac:dyDescent="0.15">
      <c r="A126" s="1" t="s">
        <v>17404</v>
      </c>
      <c r="B126" s="1" t="s">
        <v>17481</v>
      </c>
      <c r="C126" s="1" t="s">
        <v>17482</v>
      </c>
      <c r="D126" s="1" t="s">
        <v>17483</v>
      </c>
      <c r="E126" s="1" t="s">
        <v>17484</v>
      </c>
    </row>
    <row r="127" spans="1:5" x14ac:dyDescent="0.15">
      <c r="A127" s="1" t="s">
        <v>17404</v>
      </c>
      <c r="B127" s="1" t="s">
        <v>17485</v>
      </c>
      <c r="C127" s="1" t="s">
        <v>17486</v>
      </c>
      <c r="D127" s="1" t="s">
        <v>17487</v>
      </c>
      <c r="E127" s="1" t="s">
        <v>17488</v>
      </c>
    </row>
    <row r="128" spans="1:5" x14ac:dyDescent="0.15">
      <c r="A128" s="1" t="s">
        <v>17404</v>
      </c>
      <c r="B128" s="1" t="s">
        <v>17489</v>
      </c>
      <c r="C128" s="1" t="s">
        <v>17490</v>
      </c>
      <c r="D128" s="1" t="s">
        <v>17491</v>
      </c>
      <c r="E128" s="1" t="s">
        <v>17492</v>
      </c>
    </row>
    <row r="129" spans="1:5" x14ac:dyDescent="0.15">
      <c r="A129" s="1" t="s">
        <v>17404</v>
      </c>
      <c r="B129" s="1" t="s">
        <v>17493</v>
      </c>
      <c r="C129" s="1" t="s">
        <v>17494</v>
      </c>
      <c r="D129" s="1" t="s">
        <v>17495</v>
      </c>
      <c r="E129" s="1" t="s">
        <v>17496</v>
      </c>
    </row>
    <row r="130" spans="1:5" x14ac:dyDescent="0.15">
      <c r="A130" s="1" t="s">
        <v>17404</v>
      </c>
      <c r="B130" s="1" t="s">
        <v>17497</v>
      </c>
      <c r="C130" s="1" t="s">
        <v>17498</v>
      </c>
      <c r="D130" s="1" t="s">
        <v>17499</v>
      </c>
      <c r="E130" s="1" t="s">
        <v>17500</v>
      </c>
    </row>
    <row r="131" spans="1:5" x14ac:dyDescent="0.15">
      <c r="A131" s="1" t="s">
        <v>17404</v>
      </c>
      <c r="B131" s="1" t="s">
        <v>17501</v>
      </c>
      <c r="C131" s="1" t="s">
        <v>17502</v>
      </c>
      <c r="D131" s="1" t="s">
        <v>17503</v>
      </c>
      <c r="E131" s="1" t="s">
        <v>17504</v>
      </c>
    </row>
    <row r="132" spans="1:5" x14ac:dyDescent="0.15">
      <c r="A132" s="1" t="s">
        <v>17404</v>
      </c>
      <c r="B132" s="1" t="s">
        <v>17505</v>
      </c>
      <c r="C132" s="1" t="s">
        <v>17506</v>
      </c>
      <c r="D132" s="1" t="s">
        <v>17507</v>
      </c>
      <c r="E132" s="1" t="s">
        <v>17508</v>
      </c>
    </row>
    <row r="133" spans="1:5" x14ac:dyDescent="0.15">
      <c r="A133" s="1" t="s">
        <v>17404</v>
      </c>
      <c r="B133" s="1" t="s">
        <v>17509</v>
      </c>
      <c r="C133" s="1" t="s">
        <v>17510</v>
      </c>
      <c r="D133" s="1" t="s">
        <v>17511</v>
      </c>
      <c r="E133" s="1" t="s">
        <v>17512</v>
      </c>
    </row>
    <row r="134" spans="1:5" x14ac:dyDescent="0.15">
      <c r="A134" s="1" t="s">
        <v>17404</v>
      </c>
      <c r="B134" s="1" t="s">
        <v>17513</v>
      </c>
      <c r="C134" s="1" t="s">
        <v>17514</v>
      </c>
      <c r="D134" s="1" t="s">
        <v>17515</v>
      </c>
      <c r="E134" s="1" t="s">
        <v>17516</v>
      </c>
    </row>
    <row r="135" spans="1:5" x14ac:dyDescent="0.15">
      <c r="A135" s="1" t="s">
        <v>17404</v>
      </c>
      <c r="B135" s="1" t="s">
        <v>17517</v>
      </c>
      <c r="C135" s="1" t="s">
        <v>17514</v>
      </c>
      <c r="D135" s="1" t="s">
        <v>17515</v>
      </c>
      <c r="E135" s="1" t="s">
        <v>17518</v>
      </c>
    </row>
    <row r="136" spans="1:5" x14ac:dyDescent="0.15">
      <c r="A136" s="1" t="s">
        <v>17519</v>
      </c>
      <c r="B136" s="1" t="s">
        <v>17520</v>
      </c>
      <c r="C136" s="1" t="s">
        <v>17521</v>
      </c>
      <c r="D136" s="1" t="s">
        <v>17522</v>
      </c>
      <c r="E136" s="1" t="s">
        <v>17523</v>
      </c>
    </row>
    <row r="137" spans="1:5" x14ac:dyDescent="0.15">
      <c r="A137" s="1" t="s">
        <v>17519</v>
      </c>
      <c r="B137" s="1" t="s">
        <v>17524</v>
      </c>
      <c r="C137" s="1" t="s">
        <v>17525</v>
      </c>
      <c r="D137" s="1" t="s">
        <v>17526</v>
      </c>
      <c r="E137" s="1" t="s">
        <v>17527</v>
      </c>
    </row>
    <row r="138" spans="1:5" x14ac:dyDescent="0.15">
      <c r="A138" s="1" t="s">
        <v>17519</v>
      </c>
      <c r="B138" s="1" t="s">
        <v>17528</v>
      </c>
      <c r="C138" s="1" t="s">
        <v>17529</v>
      </c>
      <c r="D138" s="1" t="s">
        <v>17530</v>
      </c>
      <c r="E138" s="1" t="s">
        <v>17531</v>
      </c>
    </row>
    <row r="139" spans="1:5" x14ac:dyDescent="0.15">
      <c r="A139" s="1" t="s">
        <v>17519</v>
      </c>
      <c r="B139" s="1" t="s">
        <v>17532</v>
      </c>
      <c r="C139" s="1" t="s">
        <v>17533</v>
      </c>
      <c r="D139" s="1" t="s">
        <v>17534</v>
      </c>
      <c r="E139" s="1" t="s">
        <v>17535</v>
      </c>
    </row>
    <row r="140" spans="1:5" x14ac:dyDescent="0.15">
      <c r="A140" s="1" t="s">
        <v>17519</v>
      </c>
      <c r="B140" s="1" t="s">
        <v>17536</v>
      </c>
      <c r="C140" s="1" t="s">
        <v>17537</v>
      </c>
      <c r="D140" s="1" t="s">
        <v>17538</v>
      </c>
      <c r="E140" s="1" t="s">
        <v>17539</v>
      </c>
    </row>
    <row r="141" spans="1:5" x14ac:dyDescent="0.15">
      <c r="A141" s="1" t="s">
        <v>17519</v>
      </c>
      <c r="B141" s="1" t="s">
        <v>17540</v>
      </c>
      <c r="C141" s="1" t="s">
        <v>17541</v>
      </c>
      <c r="D141" s="1" t="s">
        <v>17542</v>
      </c>
      <c r="E141" s="1" t="s">
        <v>17543</v>
      </c>
    </row>
    <row r="142" spans="1:5" x14ac:dyDescent="0.15">
      <c r="A142" s="1" t="s">
        <v>17519</v>
      </c>
      <c r="B142" s="1" t="s">
        <v>17544</v>
      </c>
      <c r="C142" s="1" t="s">
        <v>17545</v>
      </c>
      <c r="D142" s="1" t="s">
        <v>17546</v>
      </c>
      <c r="E142" s="1" t="s">
        <v>17547</v>
      </c>
    </row>
    <row r="143" spans="1:5" x14ac:dyDescent="0.15">
      <c r="A143" s="1" t="s">
        <v>17519</v>
      </c>
      <c r="B143" s="1" t="s">
        <v>17548</v>
      </c>
      <c r="C143" s="1" t="s">
        <v>17549</v>
      </c>
      <c r="D143" s="1" t="s">
        <v>17550</v>
      </c>
      <c r="E143" s="1" t="s">
        <v>17551</v>
      </c>
    </row>
    <row r="144" spans="1:5" x14ac:dyDescent="0.15">
      <c r="A144" s="1" t="s">
        <v>17519</v>
      </c>
      <c r="B144" s="1" t="s">
        <v>17552</v>
      </c>
      <c r="C144" s="1" t="s">
        <v>17553</v>
      </c>
      <c r="D144" s="1" t="s">
        <v>17554</v>
      </c>
      <c r="E144" s="1" t="s">
        <v>17555</v>
      </c>
    </row>
    <row r="145" spans="1:5" x14ac:dyDescent="0.15">
      <c r="A145" s="1" t="s">
        <v>17519</v>
      </c>
      <c r="B145" s="1" t="s">
        <v>17556</v>
      </c>
      <c r="C145" s="1" t="s">
        <v>17557</v>
      </c>
      <c r="D145" s="1" t="s">
        <v>17558</v>
      </c>
      <c r="E145" s="1" t="s">
        <v>17559</v>
      </c>
    </row>
    <row r="146" spans="1:5" x14ac:dyDescent="0.15">
      <c r="A146" s="1" t="s">
        <v>17519</v>
      </c>
      <c r="B146" s="1" t="s">
        <v>17560</v>
      </c>
      <c r="C146" s="1" t="s">
        <v>17561</v>
      </c>
      <c r="D146" s="1" t="s">
        <v>17562</v>
      </c>
      <c r="E146" s="1" t="s">
        <v>17563</v>
      </c>
    </row>
    <row r="147" spans="1:5" x14ac:dyDescent="0.15">
      <c r="A147" s="1" t="s">
        <v>17519</v>
      </c>
      <c r="B147" s="1" t="s">
        <v>17564</v>
      </c>
      <c r="C147" s="1" t="s">
        <v>17561</v>
      </c>
      <c r="D147" s="1" t="s">
        <v>17565</v>
      </c>
      <c r="E147" s="1" t="s">
        <v>17566</v>
      </c>
    </row>
    <row r="148" spans="1:5" x14ac:dyDescent="0.15">
      <c r="A148" s="1" t="s">
        <v>17519</v>
      </c>
      <c r="B148" s="1" t="s">
        <v>17567</v>
      </c>
      <c r="C148" s="1" t="s">
        <v>17568</v>
      </c>
      <c r="D148" s="1" t="s">
        <v>17569</v>
      </c>
      <c r="E148" s="1" t="s">
        <v>17570</v>
      </c>
    </row>
    <row r="149" spans="1:5" x14ac:dyDescent="0.15">
      <c r="A149" s="1" t="s">
        <v>17519</v>
      </c>
      <c r="B149" s="1" t="s">
        <v>17571</v>
      </c>
      <c r="C149" s="1" t="s">
        <v>17568</v>
      </c>
      <c r="D149" s="1" t="s">
        <v>17572</v>
      </c>
      <c r="E149" s="1" t="s">
        <v>17573</v>
      </c>
    </row>
    <row r="150" spans="1:5" x14ac:dyDescent="0.15">
      <c r="A150" s="1" t="s">
        <v>17519</v>
      </c>
      <c r="B150" s="1" t="s">
        <v>17574</v>
      </c>
      <c r="C150" s="1" t="s">
        <v>17575</v>
      </c>
      <c r="D150" s="1" t="s">
        <v>17576</v>
      </c>
      <c r="E150" s="1" t="s">
        <v>17577</v>
      </c>
    </row>
    <row r="151" spans="1:5" x14ac:dyDescent="0.15">
      <c r="A151" s="1" t="s">
        <v>17519</v>
      </c>
      <c r="B151" s="1" t="s">
        <v>17578</v>
      </c>
      <c r="C151" s="1" t="s">
        <v>17575</v>
      </c>
      <c r="D151" s="1" t="s">
        <v>17579</v>
      </c>
      <c r="E151" s="1" t="s">
        <v>17580</v>
      </c>
    </row>
    <row r="152" spans="1:5" x14ac:dyDescent="0.15">
      <c r="A152" s="1" t="s">
        <v>17519</v>
      </c>
      <c r="B152" s="1" t="s">
        <v>17581</v>
      </c>
      <c r="C152" s="1" t="s">
        <v>17582</v>
      </c>
      <c r="D152" s="1" t="s">
        <v>17583</v>
      </c>
      <c r="E152" s="1" t="s">
        <v>17584</v>
      </c>
    </row>
    <row r="153" spans="1:5" x14ac:dyDescent="0.15">
      <c r="A153" s="1" t="s">
        <v>17519</v>
      </c>
      <c r="B153" s="1" t="s">
        <v>17585</v>
      </c>
      <c r="C153" s="1" t="s">
        <v>17582</v>
      </c>
      <c r="D153" s="1" t="s">
        <v>17586</v>
      </c>
      <c r="E153" s="1" t="s">
        <v>17587</v>
      </c>
    </row>
    <row r="154" spans="1:5" x14ac:dyDescent="0.15">
      <c r="A154" s="1" t="s">
        <v>17519</v>
      </c>
      <c r="B154" s="1" t="s">
        <v>17588</v>
      </c>
      <c r="C154" s="1" t="s">
        <v>17589</v>
      </c>
      <c r="D154" s="1" t="s">
        <v>17590</v>
      </c>
      <c r="E154" s="1" t="s">
        <v>17591</v>
      </c>
    </row>
    <row r="155" spans="1:5" x14ac:dyDescent="0.15">
      <c r="A155" s="1" t="s">
        <v>17519</v>
      </c>
      <c r="B155" s="1" t="s">
        <v>17592</v>
      </c>
      <c r="C155" s="1" t="s">
        <v>17593</v>
      </c>
      <c r="D155" s="1" t="s">
        <v>17594</v>
      </c>
      <c r="E155" s="1" t="s">
        <v>17595</v>
      </c>
    </row>
    <row r="156" spans="1:5" x14ac:dyDescent="0.15">
      <c r="A156" s="1" t="s">
        <v>17519</v>
      </c>
      <c r="B156" s="1" t="s">
        <v>17596</v>
      </c>
      <c r="C156" s="1" t="s">
        <v>17597</v>
      </c>
      <c r="D156" s="1" t="s">
        <v>17598</v>
      </c>
      <c r="E156" s="1" t="s">
        <v>17599</v>
      </c>
    </row>
    <row r="157" spans="1:5" x14ac:dyDescent="0.15">
      <c r="A157" s="1" t="s">
        <v>17519</v>
      </c>
      <c r="B157" s="1" t="s">
        <v>17600</v>
      </c>
      <c r="C157" s="1" t="s">
        <v>17601</v>
      </c>
      <c r="D157" s="1" t="s">
        <v>17602</v>
      </c>
      <c r="E157" s="1" t="s">
        <v>17603</v>
      </c>
    </row>
    <row r="158" spans="1:5" x14ac:dyDescent="0.15">
      <c r="A158" s="1" t="s">
        <v>17519</v>
      </c>
      <c r="B158" s="1" t="s">
        <v>17604</v>
      </c>
      <c r="C158" s="1" t="s">
        <v>17605</v>
      </c>
      <c r="D158" s="1" t="s">
        <v>17606</v>
      </c>
      <c r="E158" s="1" t="s">
        <v>17607</v>
      </c>
    </row>
    <row r="159" spans="1:5" x14ac:dyDescent="0.15">
      <c r="A159" s="1" t="s">
        <v>17519</v>
      </c>
      <c r="B159" s="1" t="s">
        <v>17608</v>
      </c>
      <c r="C159" s="1" t="s">
        <v>17609</v>
      </c>
      <c r="D159" s="1" t="s">
        <v>17610</v>
      </c>
      <c r="E159" s="1" t="s">
        <v>17611</v>
      </c>
    </row>
    <row r="160" spans="1:5" x14ac:dyDescent="0.15">
      <c r="A160" s="1" t="s">
        <v>17519</v>
      </c>
      <c r="B160" s="1" t="s">
        <v>17612</v>
      </c>
      <c r="C160" s="1" t="s">
        <v>17613</v>
      </c>
      <c r="D160" s="1" t="s">
        <v>17614</v>
      </c>
      <c r="E160" s="1" t="s">
        <v>17615</v>
      </c>
    </row>
    <row r="161" spans="1:5" x14ac:dyDescent="0.15">
      <c r="A161" s="1" t="s">
        <v>17519</v>
      </c>
      <c r="B161" s="1" t="s">
        <v>17616</v>
      </c>
      <c r="C161" s="1" t="s">
        <v>17617</v>
      </c>
      <c r="D161" s="1" t="s">
        <v>17618</v>
      </c>
      <c r="E161" s="1" t="s">
        <v>17619</v>
      </c>
    </row>
    <row r="162" spans="1:5" x14ac:dyDescent="0.15">
      <c r="A162" s="1" t="s">
        <v>17519</v>
      </c>
      <c r="B162" s="1" t="s">
        <v>17620</v>
      </c>
      <c r="C162" s="1" t="s">
        <v>17621</v>
      </c>
      <c r="D162" s="1" t="s">
        <v>17622</v>
      </c>
      <c r="E162" s="1" t="s">
        <v>17623</v>
      </c>
    </row>
    <row r="163" spans="1:5" x14ac:dyDescent="0.15">
      <c r="A163" s="1" t="s">
        <v>17519</v>
      </c>
      <c r="B163" s="1" t="s">
        <v>17624</v>
      </c>
      <c r="C163" s="1" t="s">
        <v>17625</v>
      </c>
      <c r="D163" s="1" t="s">
        <v>17626</v>
      </c>
      <c r="E163" s="1" t="s">
        <v>17627</v>
      </c>
    </row>
    <row r="164" spans="1:5" x14ac:dyDescent="0.15">
      <c r="A164" s="1" t="s">
        <v>17519</v>
      </c>
      <c r="B164" s="1" t="s">
        <v>17628</v>
      </c>
      <c r="C164" s="1" t="s">
        <v>17629</v>
      </c>
      <c r="D164" s="1" t="s">
        <v>17630</v>
      </c>
      <c r="E164" s="1" t="s">
        <v>17631</v>
      </c>
    </row>
    <row r="165" spans="1:5" x14ac:dyDescent="0.15">
      <c r="A165" s="1" t="s">
        <v>17519</v>
      </c>
      <c r="B165" s="1" t="s">
        <v>17632</v>
      </c>
      <c r="C165" s="1" t="s">
        <v>17633</v>
      </c>
      <c r="D165" s="1" t="s">
        <v>17634</v>
      </c>
      <c r="E165" s="1" t="s">
        <v>17635</v>
      </c>
    </row>
    <row r="166" spans="1:5" x14ac:dyDescent="0.15">
      <c r="A166" s="1" t="s">
        <v>17519</v>
      </c>
      <c r="B166" s="1" t="s">
        <v>17636</v>
      </c>
      <c r="C166" s="1" t="s">
        <v>17637</v>
      </c>
      <c r="D166" s="1" t="s">
        <v>17638</v>
      </c>
      <c r="E166" s="1" t="s">
        <v>17639</v>
      </c>
    </row>
    <row r="167" spans="1:5" x14ac:dyDescent="0.15">
      <c r="A167" s="1" t="s">
        <v>17519</v>
      </c>
      <c r="B167" s="1" t="s">
        <v>17640</v>
      </c>
      <c r="C167" s="1" t="s">
        <v>17641</v>
      </c>
      <c r="D167" s="1" t="s">
        <v>17642</v>
      </c>
      <c r="E167" s="1" t="s">
        <v>17643</v>
      </c>
    </row>
    <row r="168" spans="1:5" x14ac:dyDescent="0.15">
      <c r="A168" s="1" t="s">
        <v>17519</v>
      </c>
      <c r="B168" s="1" t="s">
        <v>17644</v>
      </c>
      <c r="C168" s="1" t="s">
        <v>17645</v>
      </c>
      <c r="D168" s="1" t="s">
        <v>17646</v>
      </c>
      <c r="E168" s="1" t="s">
        <v>17647</v>
      </c>
    </row>
    <row r="169" spans="1:5" x14ac:dyDescent="0.15">
      <c r="A169" s="1" t="s">
        <v>17519</v>
      </c>
      <c r="B169" s="1" t="s">
        <v>17648</v>
      </c>
      <c r="C169" s="1" t="s">
        <v>17649</v>
      </c>
      <c r="D169" s="1" t="s">
        <v>17650</v>
      </c>
      <c r="E169" s="1" t="s">
        <v>17651</v>
      </c>
    </row>
    <row r="170" spans="1:5" x14ac:dyDescent="0.15">
      <c r="A170" s="1" t="s">
        <v>17519</v>
      </c>
      <c r="B170" s="1" t="s">
        <v>17652</v>
      </c>
      <c r="C170" s="1" t="s">
        <v>17653</v>
      </c>
      <c r="D170" s="1" t="s">
        <v>17654</v>
      </c>
      <c r="E170" s="1" t="s">
        <v>17655</v>
      </c>
    </row>
    <row r="171" spans="1:5" x14ac:dyDescent="0.15">
      <c r="A171" s="1" t="s">
        <v>17519</v>
      </c>
      <c r="B171" s="1" t="s">
        <v>17656</v>
      </c>
      <c r="C171" s="1" t="s">
        <v>17657</v>
      </c>
      <c r="D171" s="1" t="s">
        <v>17658</v>
      </c>
      <c r="E171" s="1" t="s">
        <v>17659</v>
      </c>
    </row>
    <row r="172" spans="1:5" x14ac:dyDescent="0.15">
      <c r="A172" s="1" t="s">
        <v>17519</v>
      </c>
      <c r="B172" s="1" t="s">
        <v>17660</v>
      </c>
      <c r="C172" s="1" t="s">
        <v>17661</v>
      </c>
      <c r="D172" s="1" t="s">
        <v>17662</v>
      </c>
      <c r="E172" s="1" t="s">
        <v>17663</v>
      </c>
    </row>
    <row r="173" spans="1:5" x14ac:dyDescent="0.15">
      <c r="A173" s="1" t="s">
        <v>17519</v>
      </c>
      <c r="B173" s="1" t="s">
        <v>17664</v>
      </c>
      <c r="C173" s="1" t="s">
        <v>17661</v>
      </c>
      <c r="D173" s="1" t="s">
        <v>17665</v>
      </c>
      <c r="E173" s="1" t="s">
        <v>17666</v>
      </c>
    </row>
    <row r="174" spans="1:5" x14ac:dyDescent="0.15">
      <c r="A174" s="1" t="s">
        <v>17519</v>
      </c>
      <c r="B174" s="1" t="s">
        <v>17667</v>
      </c>
      <c r="C174" s="1" t="s">
        <v>17668</v>
      </c>
      <c r="D174" s="1" t="s">
        <v>17669</v>
      </c>
      <c r="E174" s="1" t="s">
        <v>17670</v>
      </c>
    </row>
    <row r="175" spans="1:5" x14ac:dyDescent="0.15">
      <c r="A175" s="1" t="s">
        <v>17519</v>
      </c>
      <c r="B175" s="1" t="s">
        <v>17671</v>
      </c>
      <c r="C175" s="1" t="s">
        <v>17672</v>
      </c>
      <c r="D175" s="1" t="s">
        <v>17673</v>
      </c>
      <c r="E175" s="1" t="s">
        <v>17674</v>
      </c>
    </row>
    <row r="176" spans="1:5" x14ac:dyDescent="0.15">
      <c r="A176" s="1" t="s">
        <v>17519</v>
      </c>
      <c r="B176" s="1" t="s">
        <v>17675</v>
      </c>
      <c r="C176" s="1" t="s">
        <v>17676</v>
      </c>
      <c r="D176" s="1" t="s">
        <v>17677</v>
      </c>
      <c r="E176" s="1" t="s">
        <v>17678</v>
      </c>
    </row>
    <row r="177" spans="1:5" x14ac:dyDescent="0.15">
      <c r="A177" s="1" t="s">
        <v>17519</v>
      </c>
      <c r="B177" s="1" t="s">
        <v>17679</v>
      </c>
      <c r="C177" s="1" t="s">
        <v>17680</v>
      </c>
      <c r="D177" s="1" t="s">
        <v>17681</v>
      </c>
      <c r="E177" s="1" t="s">
        <v>17682</v>
      </c>
    </row>
    <row r="178" spans="1:5" x14ac:dyDescent="0.15">
      <c r="A178" s="1" t="s">
        <v>17519</v>
      </c>
      <c r="B178" s="1" t="s">
        <v>17683</v>
      </c>
      <c r="C178" s="1" t="s">
        <v>17684</v>
      </c>
      <c r="D178" s="1" t="s">
        <v>17685</v>
      </c>
      <c r="E178" s="1" t="s">
        <v>17686</v>
      </c>
    </row>
    <row r="179" spans="1:5" x14ac:dyDescent="0.15">
      <c r="A179" s="1" t="s">
        <v>17519</v>
      </c>
      <c r="B179" s="1" t="s">
        <v>17687</v>
      </c>
      <c r="C179" s="1" t="s">
        <v>17688</v>
      </c>
      <c r="D179" s="1" t="s">
        <v>17689</v>
      </c>
      <c r="E179" s="1" t="s">
        <v>17690</v>
      </c>
    </row>
    <row r="180" spans="1:5" x14ac:dyDescent="0.15">
      <c r="A180" s="1" t="s">
        <v>17519</v>
      </c>
      <c r="B180" s="1" t="s">
        <v>17691</v>
      </c>
      <c r="C180" s="1" t="s">
        <v>17692</v>
      </c>
      <c r="D180" s="1" t="s">
        <v>17693</v>
      </c>
      <c r="E180" s="1" t="s">
        <v>17694</v>
      </c>
    </row>
    <row r="181" spans="1:5" x14ac:dyDescent="0.15">
      <c r="A181" s="1" t="s">
        <v>17519</v>
      </c>
      <c r="B181" s="1" t="s">
        <v>17695</v>
      </c>
      <c r="C181" s="1" t="s">
        <v>17696</v>
      </c>
      <c r="D181" s="1" t="s">
        <v>17697</v>
      </c>
      <c r="E181" s="1" t="s">
        <v>17698</v>
      </c>
    </row>
    <row r="182" spans="1:5" x14ac:dyDescent="0.15">
      <c r="A182" s="1" t="s">
        <v>17519</v>
      </c>
      <c r="B182" s="1" t="s">
        <v>17699</v>
      </c>
      <c r="C182" s="1" t="s">
        <v>17700</v>
      </c>
      <c r="D182" s="1" t="s">
        <v>17701</v>
      </c>
      <c r="E182" s="1" t="s">
        <v>17702</v>
      </c>
    </row>
    <row r="183" spans="1:5" x14ac:dyDescent="0.15">
      <c r="A183" s="1" t="s">
        <v>17519</v>
      </c>
      <c r="B183" s="1" t="s">
        <v>17703</v>
      </c>
      <c r="C183" s="1" t="s">
        <v>17704</v>
      </c>
      <c r="D183" s="1" t="s">
        <v>17705</v>
      </c>
      <c r="E183" s="1" t="s">
        <v>17706</v>
      </c>
    </row>
    <row r="184" spans="1:5" x14ac:dyDescent="0.15">
      <c r="A184" s="1" t="s">
        <v>17519</v>
      </c>
      <c r="B184" s="1" t="s">
        <v>17707</v>
      </c>
      <c r="C184" s="1" t="s">
        <v>17704</v>
      </c>
      <c r="D184" s="1" t="s">
        <v>17708</v>
      </c>
      <c r="E184" s="1" t="s">
        <v>17709</v>
      </c>
    </row>
    <row r="185" spans="1:5" x14ac:dyDescent="0.15">
      <c r="A185" s="1" t="s">
        <v>17519</v>
      </c>
      <c r="B185" s="1" t="s">
        <v>17710</v>
      </c>
      <c r="C185" s="1" t="s">
        <v>17711</v>
      </c>
      <c r="D185" s="1" t="s">
        <v>17712</v>
      </c>
      <c r="E185" s="1" t="s">
        <v>17713</v>
      </c>
    </row>
    <row r="186" spans="1:5" x14ac:dyDescent="0.15">
      <c r="A186" s="1" t="s">
        <v>17519</v>
      </c>
      <c r="B186" s="1" t="s">
        <v>17714</v>
      </c>
      <c r="C186" s="1" t="s">
        <v>17711</v>
      </c>
      <c r="D186" s="1" t="s">
        <v>17712</v>
      </c>
      <c r="E186" s="1" t="s">
        <v>17715</v>
      </c>
    </row>
    <row r="187" spans="1:5" x14ac:dyDescent="0.15">
      <c r="A187" s="1" t="s">
        <v>17716</v>
      </c>
      <c r="B187" s="1" t="s">
        <v>17717</v>
      </c>
      <c r="C187" s="1" t="s">
        <v>17718</v>
      </c>
      <c r="D187" s="1" t="s">
        <v>17719</v>
      </c>
      <c r="E187" s="1" t="s">
        <v>17720</v>
      </c>
    </row>
    <row r="188" spans="1:5" x14ac:dyDescent="0.15">
      <c r="A188" s="1" t="s">
        <v>17716</v>
      </c>
      <c r="B188" s="1" t="s">
        <v>17721</v>
      </c>
      <c r="C188" s="1" t="s">
        <v>17722</v>
      </c>
      <c r="D188" s="1" t="s">
        <v>17723</v>
      </c>
      <c r="E188" s="1" t="s">
        <v>17724</v>
      </c>
    </row>
    <row r="189" spans="1:5" x14ac:dyDescent="0.15">
      <c r="A189" s="1" t="s">
        <v>17716</v>
      </c>
      <c r="B189" s="1" t="s">
        <v>17725</v>
      </c>
      <c r="C189" s="1" t="s">
        <v>17722</v>
      </c>
      <c r="D189" s="1" t="s">
        <v>17726</v>
      </c>
      <c r="E189" s="1" t="s">
        <v>17727</v>
      </c>
    </row>
    <row r="190" spans="1:5" x14ac:dyDescent="0.15">
      <c r="A190" s="1" t="s">
        <v>17716</v>
      </c>
      <c r="B190" s="1" t="s">
        <v>17728</v>
      </c>
      <c r="C190" s="1" t="s">
        <v>17729</v>
      </c>
      <c r="D190" s="1" t="s">
        <v>17730</v>
      </c>
      <c r="E190" s="1" t="s">
        <v>17731</v>
      </c>
    </row>
    <row r="191" spans="1:5" x14ac:dyDescent="0.15">
      <c r="A191" s="1" t="s">
        <v>17716</v>
      </c>
      <c r="B191" s="1" t="s">
        <v>17732</v>
      </c>
      <c r="C191" s="1" t="s">
        <v>17729</v>
      </c>
      <c r="D191" s="1" t="s">
        <v>17733</v>
      </c>
      <c r="E191" s="1" t="s">
        <v>17734</v>
      </c>
    </row>
    <row r="192" spans="1:5" x14ac:dyDescent="0.15">
      <c r="A192" s="1" t="s">
        <v>17716</v>
      </c>
      <c r="B192" s="1" t="s">
        <v>17735</v>
      </c>
      <c r="C192" s="1" t="s">
        <v>17736</v>
      </c>
      <c r="D192" s="1" t="s">
        <v>17737</v>
      </c>
      <c r="E192" s="1" t="s">
        <v>17738</v>
      </c>
    </row>
    <row r="193" spans="1:5" x14ac:dyDescent="0.15">
      <c r="A193" s="1" t="s">
        <v>17716</v>
      </c>
      <c r="B193" s="1" t="s">
        <v>17739</v>
      </c>
      <c r="C193" s="1" t="s">
        <v>17740</v>
      </c>
      <c r="D193" s="1" t="s">
        <v>17741</v>
      </c>
      <c r="E193" s="1" t="s">
        <v>17742</v>
      </c>
    </row>
    <row r="194" spans="1:5" x14ac:dyDescent="0.15">
      <c r="A194" s="1" t="s">
        <v>17716</v>
      </c>
      <c r="B194" s="1" t="s">
        <v>17743</v>
      </c>
      <c r="C194" s="1" t="s">
        <v>17744</v>
      </c>
      <c r="D194" s="1" t="s">
        <v>17745</v>
      </c>
      <c r="E194" s="1" t="s">
        <v>17746</v>
      </c>
    </row>
    <row r="195" spans="1:5" x14ac:dyDescent="0.15">
      <c r="A195" s="1" t="s">
        <v>17716</v>
      </c>
      <c r="B195" s="1" t="s">
        <v>17747</v>
      </c>
      <c r="C195" s="1" t="s">
        <v>17748</v>
      </c>
      <c r="D195" s="1" t="s">
        <v>17749</v>
      </c>
      <c r="E195" s="1" t="s">
        <v>17750</v>
      </c>
    </row>
    <row r="196" spans="1:5" x14ac:dyDescent="0.15">
      <c r="A196" s="1" t="s">
        <v>17716</v>
      </c>
      <c r="B196" s="1" t="s">
        <v>17751</v>
      </c>
      <c r="C196" s="1" t="s">
        <v>17752</v>
      </c>
      <c r="D196" s="1" t="s">
        <v>17753</v>
      </c>
      <c r="E196" s="1" t="s">
        <v>17754</v>
      </c>
    </row>
    <row r="197" spans="1:5" x14ac:dyDescent="0.15">
      <c r="A197" s="1" t="s">
        <v>17716</v>
      </c>
      <c r="B197" s="1" t="s">
        <v>17755</v>
      </c>
      <c r="C197" s="1" t="s">
        <v>17756</v>
      </c>
      <c r="D197" s="1" t="s">
        <v>17757</v>
      </c>
      <c r="E197" s="1" t="s">
        <v>17758</v>
      </c>
    </row>
    <row r="198" spans="1:5" x14ac:dyDescent="0.15">
      <c r="A198" s="1" t="s">
        <v>17716</v>
      </c>
      <c r="B198" s="1" t="s">
        <v>17759</v>
      </c>
      <c r="C198" s="1" t="s">
        <v>17756</v>
      </c>
      <c r="D198" s="1" t="s">
        <v>17760</v>
      </c>
      <c r="E198" s="1" t="s">
        <v>17761</v>
      </c>
    </row>
    <row r="199" spans="1:5" x14ac:dyDescent="0.15">
      <c r="A199" s="1" t="s">
        <v>17716</v>
      </c>
      <c r="B199" s="1" t="s">
        <v>17762</v>
      </c>
      <c r="C199" s="1" t="s">
        <v>17763</v>
      </c>
      <c r="D199" s="1" t="s">
        <v>17764</v>
      </c>
      <c r="E199" s="1" t="s">
        <v>17765</v>
      </c>
    </row>
    <row r="200" spans="1:5" x14ac:dyDescent="0.15">
      <c r="A200" s="1" t="s">
        <v>17716</v>
      </c>
      <c r="B200" s="1" t="s">
        <v>17766</v>
      </c>
      <c r="C200" s="1" t="s">
        <v>17763</v>
      </c>
      <c r="D200" s="1" t="s">
        <v>17767</v>
      </c>
      <c r="E200" s="1" t="s">
        <v>17768</v>
      </c>
    </row>
    <row r="201" spans="1:5" x14ac:dyDescent="0.15">
      <c r="A201" s="1" t="s">
        <v>17716</v>
      </c>
      <c r="B201" s="1" t="s">
        <v>17769</v>
      </c>
      <c r="C201" s="1" t="s">
        <v>17770</v>
      </c>
      <c r="D201" s="1" t="s">
        <v>17771</v>
      </c>
      <c r="E201" s="1" t="s">
        <v>17772</v>
      </c>
    </row>
    <row r="202" spans="1:5" x14ac:dyDescent="0.15">
      <c r="A202" s="1" t="s">
        <v>17716</v>
      </c>
      <c r="B202" s="1" t="s">
        <v>17773</v>
      </c>
      <c r="C202" s="1" t="s">
        <v>17770</v>
      </c>
      <c r="D202" s="1" t="s">
        <v>17771</v>
      </c>
      <c r="E202" s="1" t="s">
        <v>17774</v>
      </c>
    </row>
    <row r="203" spans="1:5" x14ac:dyDescent="0.15">
      <c r="A203" s="1" t="s">
        <v>17775</v>
      </c>
      <c r="B203" s="1" t="s">
        <v>17776</v>
      </c>
      <c r="C203" s="1" t="s">
        <v>17777</v>
      </c>
      <c r="D203" s="1" t="s">
        <v>17778</v>
      </c>
      <c r="E203" s="1" t="s">
        <v>17779</v>
      </c>
    </row>
    <row r="204" spans="1:5" x14ac:dyDescent="0.15">
      <c r="A204" s="1" t="s">
        <v>17775</v>
      </c>
      <c r="B204" s="1" t="s">
        <v>17780</v>
      </c>
      <c r="C204" s="1" t="s">
        <v>17777</v>
      </c>
      <c r="D204" s="1" t="s">
        <v>17781</v>
      </c>
      <c r="E204" s="1" t="s">
        <v>17782</v>
      </c>
    </row>
    <row r="205" spans="1:5" x14ac:dyDescent="0.15">
      <c r="A205" s="1" t="s">
        <v>17775</v>
      </c>
      <c r="B205" s="1" t="s">
        <v>17783</v>
      </c>
      <c r="C205" s="1" t="s">
        <v>17784</v>
      </c>
      <c r="D205" s="1" t="s">
        <v>17785</v>
      </c>
      <c r="E205" s="1" t="s">
        <v>17786</v>
      </c>
    </row>
    <row r="206" spans="1:5" x14ac:dyDescent="0.15">
      <c r="A206" s="1" t="s">
        <v>17775</v>
      </c>
      <c r="B206" s="1" t="s">
        <v>17787</v>
      </c>
      <c r="C206" s="1" t="s">
        <v>17788</v>
      </c>
      <c r="D206" s="1" t="s">
        <v>17789</v>
      </c>
      <c r="E206" s="1" t="s">
        <v>17790</v>
      </c>
    </row>
    <row r="207" spans="1:5" x14ac:dyDescent="0.15">
      <c r="A207" s="1" t="s">
        <v>17775</v>
      </c>
      <c r="B207" s="1" t="s">
        <v>17791</v>
      </c>
      <c r="C207" s="1" t="s">
        <v>17792</v>
      </c>
      <c r="D207" s="1" t="s">
        <v>17793</v>
      </c>
      <c r="E207" s="1" t="s">
        <v>17794</v>
      </c>
    </row>
    <row r="208" spans="1:5" x14ac:dyDescent="0.15">
      <c r="A208" s="1" t="s">
        <v>17775</v>
      </c>
      <c r="B208" s="1" t="s">
        <v>17795</v>
      </c>
      <c r="C208" s="1" t="s">
        <v>17796</v>
      </c>
      <c r="D208" s="1" t="s">
        <v>17797</v>
      </c>
      <c r="E208" s="1" t="s">
        <v>17798</v>
      </c>
    </row>
    <row r="209" spans="1:5" x14ac:dyDescent="0.15">
      <c r="A209" s="1" t="s">
        <v>17799</v>
      </c>
      <c r="B209" s="1" t="s">
        <v>17800</v>
      </c>
      <c r="C209" s="1" t="s">
        <v>17801</v>
      </c>
      <c r="D209" s="1" t="s">
        <v>17802</v>
      </c>
      <c r="E209" s="1" t="s">
        <v>17803</v>
      </c>
    </row>
    <row r="210" spans="1:5" x14ac:dyDescent="0.15">
      <c r="A210" s="1" t="s">
        <v>17799</v>
      </c>
      <c r="B210" s="1" t="s">
        <v>17804</v>
      </c>
      <c r="C210" s="1" t="s">
        <v>17805</v>
      </c>
      <c r="D210" s="1" t="s">
        <v>17806</v>
      </c>
      <c r="E210" s="1" t="s">
        <v>17807</v>
      </c>
    </row>
    <row r="211" spans="1:5" x14ac:dyDescent="0.15">
      <c r="A211" s="1" t="s">
        <v>17799</v>
      </c>
      <c r="B211" s="1" t="s">
        <v>17808</v>
      </c>
      <c r="C211" s="1" t="s">
        <v>17805</v>
      </c>
      <c r="D211" s="1" t="s">
        <v>17809</v>
      </c>
      <c r="E211" s="1" t="s">
        <v>17810</v>
      </c>
    </row>
    <row r="212" spans="1:5" x14ac:dyDescent="0.15">
      <c r="A212" s="1" t="s">
        <v>17799</v>
      </c>
      <c r="B212" s="1" t="s">
        <v>17811</v>
      </c>
      <c r="C212" s="1" t="s">
        <v>17812</v>
      </c>
      <c r="D212" s="1" t="s">
        <v>17813</v>
      </c>
      <c r="E212" s="1" t="s">
        <v>17814</v>
      </c>
    </row>
    <row r="213" spans="1:5" x14ac:dyDescent="0.15">
      <c r="A213" s="1" t="s">
        <v>17799</v>
      </c>
      <c r="B213" s="1" t="s">
        <v>17815</v>
      </c>
      <c r="C213" s="1" t="s">
        <v>17812</v>
      </c>
      <c r="D213" s="1" t="s">
        <v>17816</v>
      </c>
      <c r="E213" s="1" t="s">
        <v>17817</v>
      </c>
    </row>
    <row r="214" spans="1:5" x14ac:dyDescent="0.15">
      <c r="A214" s="1" t="s">
        <v>17799</v>
      </c>
      <c r="B214" s="1" t="s">
        <v>17818</v>
      </c>
      <c r="C214" s="1" t="s">
        <v>17819</v>
      </c>
      <c r="D214" s="1" t="s">
        <v>17820</v>
      </c>
      <c r="E214" s="1" t="s">
        <v>17821</v>
      </c>
    </row>
    <row r="215" spans="1:5" x14ac:dyDescent="0.15">
      <c r="A215" s="1" t="s">
        <v>17799</v>
      </c>
      <c r="B215" s="1" t="s">
        <v>17822</v>
      </c>
      <c r="C215" s="1" t="s">
        <v>17823</v>
      </c>
      <c r="D215" s="1" t="s">
        <v>17820</v>
      </c>
      <c r="E215" s="1" t="s">
        <v>17824</v>
      </c>
    </row>
    <row r="216" spans="1:5" x14ac:dyDescent="0.15">
      <c r="A216" s="1" t="s">
        <v>17799</v>
      </c>
      <c r="B216" s="1" t="s">
        <v>17825</v>
      </c>
      <c r="C216" s="1" t="s">
        <v>17826</v>
      </c>
      <c r="D216" s="1" t="s">
        <v>17827</v>
      </c>
      <c r="E216" s="1" t="s">
        <v>17828</v>
      </c>
    </row>
    <row r="217" spans="1:5" x14ac:dyDescent="0.15">
      <c r="A217" s="1" t="s">
        <v>17799</v>
      </c>
      <c r="B217" s="1" t="s">
        <v>17829</v>
      </c>
      <c r="C217" s="1" t="s">
        <v>17826</v>
      </c>
      <c r="D217" s="1" t="s">
        <v>17830</v>
      </c>
      <c r="E217" s="1" t="s">
        <v>17831</v>
      </c>
    </row>
    <row r="218" spans="1:5" x14ac:dyDescent="0.15">
      <c r="A218" s="1" t="s">
        <v>17799</v>
      </c>
      <c r="B218" s="1" t="s">
        <v>17832</v>
      </c>
      <c r="C218" s="1" t="s">
        <v>17833</v>
      </c>
      <c r="D218" s="1" t="s">
        <v>17834</v>
      </c>
      <c r="E218" s="1" t="s">
        <v>17835</v>
      </c>
    </row>
    <row r="219" spans="1:5" x14ac:dyDescent="0.15">
      <c r="A219" s="1" t="s">
        <v>17799</v>
      </c>
      <c r="B219" s="1" t="s">
        <v>17836</v>
      </c>
      <c r="C219" s="1" t="s">
        <v>17833</v>
      </c>
      <c r="D219" s="1" t="s">
        <v>17837</v>
      </c>
      <c r="E219" s="1" t="s">
        <v>17838</v>
      </c>
    </row>
    <row r="220" spans="1:5" x14ac:dyDescent="0.15">
      <c r="A220" s="1" t="s">
        <v>17799</v>
      </c>
      <c r="B220" s="1" t="s">
        <v>17839</v>
      </c>
      <c r="C220" s="1" t="s">
        <v>17840</v>
      </c>
      <c r="D220" s="1" t="s">
        <v>17088</v>
      </c>
      <c r="E220" s="1" t="s">
        <v>17089</v>
      </c>
    </row>
    <row r="221" spans="1:5" x14ac:dyDescent="0.15">
      <c r="A221" s="1" t="s">
        <v>17799</v>
      </c>
      <c r="B221" s="1" t="s">
        <v>17090</v>
      </c>
      <c r="C221" s="1" t="s">
        <v>17840</v>
      </c>
      <c r="D221" s="1" t="s">
        <v>17091</v>
      </c>
      <c r="E221" s="1" t="s">
        <v>17092</v>
      </c>
    </row>
    <row r="222" spans="1:5" x14ac:dyDescent="0.15">
      <c r="A222" s="1" t="s">
        <v>17799</v>
      </c>
      <c r="B222" s="1" t="s">
        <v>17093</v>
      </c>
      <c r="C222" s="1" t="s">
        <v>17094</v>
      </c>
      <c r="D222" s="1" t="s">
        <v>17095</v>
      </c>
      <c r="E222" s="1" t="s">
        <v>17096</v>
      </c>
    </row>
    <row r="223" spans="1:5" x14ac:dyDescent="0.15">
      <c r="A223" s="1" t="s">
        <v>17799</v>
      </c>
      <c r="B223" s="1" t="s">
        <v>17097</v>
      </c>
      <c r="C223" s="1" t="s">
        <v>17094</v>
      </c>
      <c r="D223" s="1" t="s">
        <v>17098</v>
      </c>
      <c r="E223" s="1" t="s">
        <v>17099</v>
      </c>
    </row>
    <row r="224" spans="1:5" x14ac:dyDescent="0.15">
      <c r="A224" s="1" t="s">
        <v>17100</v>
      </c>
      <c r="B224" s="1" t="s">
        <v>17101</v>
      </c>
      <c r="C224" s="1" t="s">
        <v>17102</v>
      </c>
      <c r="D224" s="1" t="s">
        <v>17103</v>
      </c>
      <c r="E224" s="1" t="s">
        <v>17104</v>
      </c>
    </row>
    <row r="225" spans="1:5" x14ac:dyDescent="0.15">
      <c r="A225" s="1" t="s">
        <v>17100</v>
      </c>
      <c r="B225" s="1" t="s">
        <v>17105</v>
      </c>
      <c r="C225" s="1" t="s">
        <v>17106</v>
      </c>
      <c r="D225" s="1" t="s">
        <v>17107</v>
      </c>
      <c r="E225" s="1" t="s">
        <v>17108</v>
      </c>
    </row>
    <row r="226" spans="1:5" x14ac:dyDescent="0.15">
      <c r="A226" s="1" t="s">
        <v>17100</v>
      </c>
      <c r="B226" s="1" t="s">
        <v>17109</v>
      </c>
      <c r="C226" s="1" t="s">
        <v>17110</v>
      </c>
      <c r="D226" s="1" t="s">
        <v>17111</v>
      </c>
      <c r="E226" s="1" t="s">
        <v>17112</v>
      </c>
    </row>
    <row r="227" spans="1:5" x14ac:dyDescent="0.15">
      <c r="A227" s="1" t="s">
        <v>17100</v>
      </c>
      <c r="B227" s="1" t="s">
        <v>17113</v>
      </c>
      <c r="C227" s="1" t="s">
        <v>17114</v>
      </c>
      <c r="D227" s="1" t="s">
        <v>17115</v>
      </c>
      <c r="E227" s="1" t="s">
        <v>17116</v>
      </c>
    </row>
    <row r="228" spans="1:5" x14ac:dyDescent="0.15">
      <c r="A228" s="1" t="s">
        <v>17100</v>
      </c>
      <c r="B228" s="1" t="s">
        <v>17117</v>
      </c>
      <c r="C228" s="1" t="s">
        <v>17118</v>
      </c>
      <c r="D228" s="1" t="s">
        <v>17119</v>
      </c>
      <c r="E228" s="1" t="s">
        <v>17120</v>
      </c>
    </row>
    <row r="229" spans="1:5" x14ac:dyDescent="0.15">
      <c r="A229" s="1" t="s">
        <v>17100</v>
      </c>
      <c r="B229" s="1" t="s">
        <v>17121</v>
      </c>
      <c r="C229" s="1" t="s">
        <v>17122</v>
      </c>
      <c r="D229" s="1" t="s">
        <v>17123</v>
      </c>
      <c r="E229" s="1" t="s">
        <v>17124</v>
      </c>
    </row>
    <row r="230" spans="1:5" x14ac:dyDescent="0.15">
      <c r="A230" s="1" t="s">
        <v>17100</v>
      </c>
      <c r="B230" s="1" t="s">
        <v>17125</v>
      </c>
      <c r="C230" s="1" t="s">
        <v>17122</v>
      </c>
      <c r="D230" s="1" t="s">
        <v>17126</v>
      </c>
      <c r="E230" s="1" t="s">
        <v>17127</v>
      </c>
    </row>
    <row r="231" spans="1:5" x14ac:dyDescent="0.15">
      <c r="A231" s="1" t="s">
        <v>17100</v>
      </c>
      <c r="B231" s="1" t="s">
        <v>17128</v>
      </c>
      <c r="C231" s="1" t="s">
        <v>17129</v>
      </c>
      <c r="D231" s="1" t="s">
        <v>17130</v>
      </c>
      <c r="E231" s="1" t="s">
        <v>17131</v>
      </c>
    </row>
    <row r="232" spans="1:5" x14ac:dyDescent="0.15">
      <c r="A232" s="1" t="s">
        <v>17100</v>
      </c>
      <c r="B232" s="1" t="s">
        <v>17132</v>
      </c>
      <c r="C232" s="1" t="s">
        <v>17133</v>
      </c>
      <c r="D232" s="1" t="s">
        <v>17134</v>
      </c>
      <c r="E232" s="1" t="s">
        <v>17135</v>
      </c>
    </row>
    <row r="233" spans="1:5" x14ac:dyDescent="0.15">
      <c r="A233" s="1" t="s">
        <v>17136</v>
      </c>
      <c r="B233" s="1" t="s">
        <v>17137</v>
      </c>
      <c r="C233" s="1" t="s">
        <v>17138</v>
      </c>
      <c r="D233" s="1" t="s">
        <v>17139</v>
      </c>
      <c r="E233" s="1" t="s">
        <v>17140</v>
      </c>
    </row>
    <row r="234" spans="1:5" x14ac:dyDescent="0.15">
      <c r="A234" s="1" t="s">
        <v>17136</v>
      </c>
      <c r="B234" s="1" t="s">
        <v>17141</v>
      </c>
      <c r="C234" s="1" t="s">
        <v>17142</v>
      </c>
      <c r="D234" s="1" t="s">
        <v>17143</v>
      </c>
      <c r="E234" s="1" t="s">
        <v>17144</v>
      </c>
    </row>
    <row r="235" spans="1:5" x14ac:dyDescent="0.15">
      <c r="A235" s="1" t="s">
        <v>17136</v>
      </c>
      <c r="B235" s="1" t="s">
        <v>17145</v>
      </c>
      <c r="C235" s="1" t="s">
        <v>17146</v>
      </c>
      <c r="D235" s="1" t="s">
        <v>17147</v>
      </c>
      <c r="E235" s="1" t="s">
        <v>17148</v>
      </c>
    </row>
    <row r="236" spans="1:5" x14ac:dyDescent="0.15">
      <c r="A236" s="1" t="s">
        <v>17136</v>
      </c>
      <c r="B236" s="1" t="s">
        <v>17149</v>
      </c>
      <c r="C236" s="1" t="s">
        <v>17150</v>
      </c>
      <c r="D236" s="1" t="s">
        <v>17151</v>
      </c>
      <c r="E236" s="1" t="s">
        <v>17152</v>
      </c>
    </row>
    <row r="237" spans="1:5" x14ac:dyDescent="0.15">
      <c r="A237" s="1" t="s">
        <v>17136</v>
      </c>
      <c r="B237" s="1" t="s">
        <v>17153</v>
      </c>
      <c r="C237" s="1" t="s">
        <v>17154</v>
      </c>
      <c r="D237" s="1" t="s">
        <v>17155</v>
      </c>
      <c r="E237" s="1" t="s">
        <v>17156</v>
      </c>
    </row>
    <row r="238" spans="1:5" x14ac:dyDescent="0.15">
      <c r="A238" s="1" t="s">
        <v>17136</v>
      </c>
      <c r="B238" s="1" t="s">
        <v>17157</v>
      </c>
      <c r="C238" s="1" t="s">
        <v>17154</v>
      </c>
      <c r="D238" s="1" t="s">
        <v>17158</v>
      </c>
      <c r="E238" s="1" t="s">
        <v>17159</v>
      </c>
    </row>
    <row r="239" spans="1:5" x14ac:dyDescent="0.15">
      <c r="A239" s="1" t="s">
        <v>17136</v>
      </c>
      <c r="B239" s="1" t="s">
        <v>17160</v>
      </c>
      <c r="C239" s="1" t="s">
        <v>17161</v>
      </c>
      <c r="D239" s="1" t="s">
        <v>17162</v>
      </c>
      <c r="E239" s="1" t="s">
        <v>17163</v>
      </c>
    </row>
    <row r="240" spans="1:5" x14ac:dyDescent="0.15">
      <c r="A240" s="1" t="s">
        <v>17136</v>
      </c>
      <c r="B240" s="1" t="s">
        <v>17164</v>
      </c>
      <c r="C240" s="1" t="s">
        <v>17165</v>
      </c>
      <c r="D240" s="1" t="s">
        <v>17166</v>
      </c>
      <c r="E240" s="1" t="s">
        <v>17167</v>
      </c>
    </row>
    <row r="241" spans="1:5" x14ac:dyDescent="0.15">
      <c r="A241" s="1" t="s">
        <v>17136</v>
      </c>
      <c r="B241" s="1" t="s">
        <v>17168</v>
      </c>
      <c r="C241" s="1" t="s">
        <v>17169</v>
      </c>
      <c r="D241" s="1" t="s">
        <v>17170</v>
      </c>
      <c r="E241" s="1" t="s">
        <v>17171</v>
      </c>
    </row>
    <row r="242" spans="1:5" x14ac:dyDescent="0.15">
      <c r="A242" s="1" t="s">
        <v>17136</v>
      </c>
      <c r="B242" s="1" t="s">
        <v>17172</v>
      </c>
      <c r="C242" s="1" t="s">
        <v>17173</v>
      </c>
      <c r="D242" s="1" t="s">
        <v>17174</v>
      </c>
      <c r="E242" s="1" t="s">
        <v>17175</v>
      </c>
    </row>
    <row r="243" spans="1:5" x14ac:dyDescent="0.15">
      <c r="A243" s="1" t="s">
        <v>17136</v>
      </c>
      <c r="B243" s="1" t="s">
        <v>17176</v>
      </c>
      <c r="C243" s="1" t="s">
        <v>17177</v>
      </c>
      <c r="D243" s="1" t="s">
        <v>17178</v>
      </c>
      <c r="E243" s="1" t="s">
        <v>17179</v>
      </c>
    </row>
    <row r="244" spans="1:5" x14ac:dyDescent="0.15">
      <c r="A244" s="1" t="s">
        <v>17136</v>
      </c>
      <c r="B244" s="1" t="s">
        <v>17180</v>
      </c>
      <c r="C244" s="1" t="s">
        <v>17181</v>
      </c>
      <c r="D244" s="1" t="s">
        <v>17182</v>
      </c>
      <c r="E244" s="1" t="s">
        <v>17183</v>
      </c>
    </row>
    <row r="245" spans="1:5" x14ac:dyDescent="0.15">
      <c r="A245" s="1" t="s">
        <v>17136</v>
      </c>
      <c r="B245" s="1" t="s">
        <v>17184</v>
      </c>
      <c r="C245" s="1" t="s">
        <v>17185</v>
      </c>
      <c r="D245" s="1" t="s">
        <v>17186</v>
      </c>
      <c r="E245" s="1" t="s">
        <v>17187</v>
      </c>
    </row>
    <row r="246" spans="1:5" x14ac:dyDescent="0.15">
      <c r="A246" s="1" t="s">
        <v>17136</v>
      </c>
      <c r="B246" s="1" t="s">
        <v>17188</v>
      </c>
      <c r="C246" s="1" t="s">
        <v>17189</v>
      </c>
      <c r="D246" s="1" t="s">
        <v>17190</v>
      </c>
      <c r="E246" s="1" t="s">
        <v>17191</v>
      </c>
    </row>
    <row r="247" spans="1:5" x14ac:dyDescent="0.15">
      <c r="A247" s="1" t="s">
        <v>17136</v>
      </c>
      <c r="B247" s="1" t="s">
        <v>17192</v>
      </c>
      <c r="C247" s="1" t="s">
        <v>17193</v>
      </c>
      <c r="D247" s="1" t="s">
        <v>17194</v>
      </c>
      <c r="E247" s="1" t="s">
        <v>17195</v>
      </c>
    </row>
    <row r="248" spans="1:5" x14ac:dyDescent="0.15">
      <c r="A248" s="1" t="s">
        <v>17136</v>
      </c>
      <c r="B248" s="1" t="s">
        <v>17196</v>
      </c>
      <c r="C248" s="1" t="s">
        <v>17197</v>
      </c>
      <c r="D248" s="1" t="s">
        <v>17198</v>
      </c>
      <c r="E248" s="1" t="s">
        <v>17199</v>
      </c>
    </row>
    <row r="249" spans="1:5" x14ac:dyDescent="0.15">
      <c r="A249" s="1" t="s">
        <v>17136</v>
      </c>
      <c r="B249" s="1" t="s">
        <v>17200</v>
      </c>
      <c r="C249" s="1" t="s">
        <v>17201</v>
      </c>
      <c r="D249" s="1" t="s">
        <v>17202</v>
      </c>
      <c r="E249" s="1" t="s">
        <v>17203</v>
      </c>
    </row>
    <row r="250" spans="1:5" x14ac:dyDescent="0.15">
      <c r="A250" s="1" t="s">
        <v>17136</v>
      </c>
      <c r="B250" s="1" t="s">
        <v>17204</v>
      </c>
      <c r="C250" s="1" t="s">
        <v>17205</v>
      </c>
      <c r="D250" s="1" t="s">
        <v>17206</v>
      </c>
      <c r="E250" s="1" t="s">
        <v>17207</v>
      </c>
    </row>
    <row r="251" spans="1:5" x14ac:dyDescent="0.15">
      <c r="A251" s="1" t="s">
        <v>17136</v>
      </c>
      <c r="B251" s="1" t="s">
        <v>17208</v>
      </c>
      <c r="C251" s="1" t="s">
        <v>17209</v>
      </c>
      <c r="D251" s="1" t="s">
        <v>17210</v>
      </c>
      <c r="E251" s="1" t="s">
        <v>17211</v>
      </c>
    </row>
    <row r="252" spans="1:5" x14ac:dyDescent="0.15">
      <c r="A252" s="1" t="s">
        <v>17136</v>
      </c>
      <c r="B252" s="1" t="s">
        <v>17212</v>
      </c>
      <c r="C252" s="1" t="s">
        <v>17213</v>
      </c>
      <c r="D252" s="1" t="s">
        <v>17214</v>
      </c>
      <c r="E252" s="1" t="s">
        <v>17215</v>
      </c>
    </row>
    <row r="253" spans="1:5" x14ac:dyDescent="0.15">
      <c r="A253" s="1" t="s">
        <v>17136</v>
      </c>
      <c r="B253" s="1" t="s">
        <v>17216</v>
      </c>
      <c r="C253" s="1" t="s">
        <v>17217</v>
      </c>
      <c r="D253" s="1" t="s">
        <v>17218</v>
      </c>
      <c r="E253" s="1" t="s">
        <v>17219</v>
      </c>
    </row>
    <row r="254" spans="1:5" x14ac:dyDescent="0.15">
      <c r="A254" s="1" t="s">
        <v>17136</v>
      </c>
      <c r="B254" s="1" t="s">
        <v>17220</v>
      </c>
      <c r="C254" s="1" t="s">
        <v>17221</v>
      </c>
      <c r="D254" s="1" t="s">
        <v>17222</v>
      </c>
      <c r="E254" s="1" t="s">
        <v>17223</v>
      </c>
    </row>
    <row r="255" spans="1:5" x14ac:dyDescent="0.15">
      <c r="A255" s="1" t="s">
        <v>17224</v>
      </c>
      <c r="B255" s="1" t="s">
        <v>17225</v>
      </c>
      <c r="C255" s="1" t="s">
        <v>17226</v>
      </c>
      <c r="D255" s="1" t="s">
        <v>17227</v>
      </c>
      <c r="E255" s="1" t="s">
        <v>17228</v>
      </c>
    </row>
    <row r="256" spans="1:5" x14ac:dyDescent="0.15">
      <c r="A256" s="1" t="s">
        <v>17224</v>
      </c>
      <c r="B256" s="1" t="s">
        <v>17229</v>
      </c>
      <c r="C256" s="1" t="s">
        <v>17226</v>
      </c>
      <c r="D256" s="1" t="s">
        <v>17230</v>
      </c>
      <c r="E256" s="1" t="s">
        <v>17231</v>
      </c>
    </row>
    <row r="257" spans="1:5" x14ac:dyDescent="0.15">
      <c r="A257" s="1" t="s">
        <v>17224</v>
      </c>
      <c r="B257" s="1" t="s">
        <v>17232</v>
      </c>
      <c r="C257" s="1" t="s">
        <v>17226</v>
      </c>
      <c r="D257" s="1" t="s">
        <v>17233</v>
      </c>
      <c r="E257" s="1" t="s">
        <v>17234</v>
      </c>
    </row>
    <row r="258" spans="1:5" x14ac:dyDescent="0.15">
      <c r="A258" s="1" t="s">
        <v>17235</v>
      </c>
      <c r="B258" s="1" t="s">
        <v>17236</v>
      </c>
      <c r="C258" s="1" t="s">
        <v>17237</v>
      </c>
      <c r="D258" s="1" t="s">
        <v>17238</v>
      </c>
      <c r="E258" s="1" t="s">
        <v>17239</v>
      </c>
    </row>
    <row r="259" spans="1:5" x14ac:dyDescent="0.15">
      <c r="A259" s="1" t="s">
        <v>17235</v>
      </c>
      <c r="B259" s="1" t="s">
        <v>17240</v>
      </c>
      <c r="C259" s="1" t="s">
        <v>17241</v>
      </c>
      <c r="D259" s="1" t="s">
        <v>17242</v>
      </c>
      <c r="E259" s="1" t="s">
        <v>17243</v>
      </c>
    </row>
    <row r="260" spans="1:5" x14ac:dyDescent="0.15">
      <c r="A260" s="1" t="s">
        <v>17235</v>
      </c>
      <c r="B260" s="1" t="s">
        <v>17244</v>
      </c>
      <c r="C260" s="1" t="s">
        <v>17241</v>
      </c>
      <c r="D260" s="1" t="s">
        <v>17245</v>
      </c>
      <c r="E260" s="1" t="s">
        <v>17246</v>
      </c>
    </row>
    <row r="261" spans="1:5" x14ac:dyDescent="0.15">
      <c r="A261" s="1" t="s">
        <v>17235</v>
      </c>
      <c r="B261" s="1" t="s">
        <v>17247</v>
      </c>
      <c r="C261" s="1" t="s">
        <v>17248</v>
      </c>
      <c r="D261" s="1" t="s">
        <v>17249</v>
      </c>
      <c r="E261" s="1" t="s">
        <v>17250</v>
      </c>
    </row>
    <row r="262" spans="1:5" x14ac:dyDescent="0.15">
      <c r="A262" s="1" t="s">
        <v>17235</v>
      </c>
      <c r="B262" s="1" t="s">
        <v>17251</v>
      </c>
      <c r="C262" s="1" t="s">
        <v>17248</v>
      </c>
      <c r="D262" s="1" t="s">
        <v>17252</v>
      </c>
      <c r="E262" s="1" t="s">
        <v>17253</v>
      </c>
    </row>
    <row r="263" spans="1:5" x14ac:dyDescent="0.15">
      <c r="A263" s="1" t="s">
        <v>17235</v>
      </c>
      <c r="B263" s="1" t="s">
        <v>17254</v>
      </c>
      <c r="C263" s="1" t="s">
        <v>17255</v>
      </c>
      <c r="D263" s="1" t="s">
        <v>17256</v>
      </c>
      <c r="E263" s="1" t="s">
        <v>17257</v>
      </c>
    </row>
    <row r="264" spans="1:5" x14ac:dyDescent="0.15">
      <c r="A264" s="1" t="s">
        <v>17235</v>
      </c>
      <c r="B264" s="1" t="s">
        <v>17258</v>
      </c>
      <c r="C264" s="1" t="s">
        <v>17255</v>
      </c>
      <c r="D264" s="1" t="s">
        <v>17259</v>
      </c>
      <c r="E264" s="1" t="s">
        <v>17260</v>
      </c>
    </row>
    <row r="265" spans="1:5" x14ac:dyDescent="0.15">
      <c r="A265" s="1" t="s">
        <v>17235</v>
      </c>
      <c r="B265" s="1" t="s">
        <v>17261</v>
      </c>
      <c r="C265" s="1" t="s">
        <v>17262</v>
      </c>
      <c r="D265" s="1" t="s">
        <v>17263</v>
      </c>
      <c r="E265" s="1" t="s">
        <v>17264</v>
      </c>
    </row>
    <row r="266" spans="1:5" x14ac:dyDescent="0.15">
      <c r="A266" s="1" t="s">
        <v>17235</v>
      </c>
      <c r="B266" s="1" t="s">
        <v>17265</v>
      </c>
      <c r="C266" s="1" t="s">
        <v>17262</v>
      </c>
      <c r="D266" s="1" t="s">
        <v>17266</v>
      </c>
      <c r="E266" s="1" t="s">
        <v>17267</v>
      </c>
    </row>
    <row r="267" spans="1:5" x14ac:dyDescent="0.15">
      <c r="A267" s="1" t="s">
        <v>17235</v>
      </c>
      <c r="B267" s="1" t="s">
        <v>17268</v>
      </c>
      <c r="C267" s="1" t="s">
        <v>17269</v>
      </c>
      <c r="D267" s="1" t="s">
        <v>17270</v>
      </c>
      <c r="E267" s="1" t="s">
        <v>17271</v>
      </c>
    </row>
    <row r="268" spans="1:5" x14ac:dyDescent="0.15">
      <c r="A268" s="1" t="s">
        <v>17235</v>
      </c>
      <c r="B268" s="1" t="s">
        <v>17272</v>
      </c>
      <c r="C268" s="1" t="s">
        <v>17269</v>
      </c>
      <c r="D268" s="1" t="s">
        <v>17273</v>
      </c>
      <c r="E268" s="1" t="s">
        <v>17274</v>
      </c>
    </row>
    <row r="269" spans="1:5" x14ac:dyDescent="0.15">
      <c r="A269" s="1" t="s">
        <v>17235</v>
      </c>
      <c r="B269" s="1" t="s">
        <v>17275</v>
      </c>
      <c r="C269" s="1" t="s">
        <v>17276</v>
      </c>
      <c r="D269" s="1" t="s">
        <v>17277</v>
      </c>
      <c r="E269" s="1" t="s">
        <v>17278</v>
      </c>
    </row>
    <row r="270" spans="1:5" x14ac:dyDescent="0.15">
      <c r="A270" s="1" t="s">
        <v>17235</v>
      </c>
      <c r="B270" s="1" t="s">
        <v>17279</v>
      </c>
      <c r="C270" s="1" t="s">
        <v>17276</v>
      </c>
      <c r="D270" s="1" t="s">
        <v>17280</v>
      </c>
      <c r="E270" s="1" t="s">
        <v>17281</v>
      </c>
    </row>
    <row r="271" spans="1:5" x14ac:dyDescent="0.15">
      <c r="A271" s="1" t="s">
        <v>17235</v>
      </c>
      <c r="B271" s="1" t="s">
        <v>17282</v>
      </c>
      <c r="C271" s="1" t="s">
        <v>17283</v>
      </c>
      <c r="D271" s="1" t="s">
        <v>17284</v>
      </c>
      <c r="E271" s="1" t="s">
        <v>17285</v>
      </c>
    </row>
    <row r="272" spans="1:5" x14ac:dyDescent="0.15">
      <c r="A272" s="1" t="s">
        <v>17235</v>
      </c>
      <c r="B272" s="1" t="s">
        <v>17286</v>
      </c>
      <c r="C272" s="1" t="s">
        <v>17283</v>
      </c>
      <c r="D272" s="1" t="s">
        <v>17287</v>
      </c>
      <c r="E272" s="1" t="s">
        <v>17288</v>
      </c>
    </row>
    <row r="273" spans="1:5" x14ac:dyDescent="0.15">
      <c r="A273" s="1" t="s">
        <v>17235</v>
      </c>
      <c r="B273" s="1" t="s">
        <v>17289</v>
      </c>
      <c r="C273" s="1" t="s">
        <v>17290</v>
      </c>
      <c r="D273" s="1" t="s">
        <v>17291</v>
      </c>
      <c r="E273" s="1" t="s">
        <v>17292</v>
      </c>
    </row>
    <row r="274" spans="1:5" x14ac:dyDescent="0.15">
      <c r="A274" s="1" t="s">
        <v>17235</v>
      </c>
      <c r="B274" s="1" t="s">
        <v>17293</v>
      </c>
      <c r="C274" s="1" t="s">
        <v>17290</v>
      </c>
      <c r="D274" s="1" t="s">
        <v>17294</v>
      </c>
      <c r="E274" s="1" t="s">
        <v>17295</v>
      </c>
    </row>
    <row r="275" spans="1:5" x14ac:dyDescent="0.15">
      <c r="A275" s="1" t="s">
        <v>17235</v>
      </c>
      <c r="B275" s="1" t="s">
        <v>17296</v>
      </c>
      <c r="C275" s="1" t="s">
        <v>17297</v>
      </c>
      <c r="D275" s="1" t="s">
        <v>17298</v>
      </c>
      <c r="E275" s="1" t="s">
        <v>17299</v>
      </c>
    </row>
    <row r="276" spans="1:5" x14ac:dyDescent="0.15">
      <c r="A276" s="1" t="s">
        <v>17235</v>
      </c>
      <c r="B276" s="1" t="s">
        <v>17300</v>
      </c>
      <c r="C276" s="1" t="s">
        <v>17297</v>
      </c>
      <c r="D276" s="1" t="s">
        <v>17301</v>
      </c>
      <c r="E276" s="1" t="s">
        <v>17302</v>
      </c>
    </row>
    <row r="277" spans="1:5" x14ac:dyDescent="0.15">
      <c r="A277" s="1" t="s">
        <v>17303</v>
      </c>
      <c r="B277" s="1" t="s">
        <v>17304</v>
      </c>
      <c r="C277" s="1" t="s">
        <v>17305</v>
      </c>
      <c r="D277" s="1" t="s">
        <v>17306</v>
      </c>
      <c r="E277" s="1" t="s">
        <v>17307</v>
      </c>
    </row>
    <row r="278" spans="1:5" x14ac:dyDescent="0.15">
      <c r="A278" s="1" t="s">
        <v>17303</v>
      </c>
      <c r="B278" s="1" t="s">
        <v>17308</v>
      </c>
      <c r="C278" s="1" t="s">
        <v>17305</v>
      </c>
      <c r="D278" s="1" t="s">
        <v>17309</v>
      </c>
      <c r="E278" s="1" t="s">
        <v>17310</v>
      </c>
    </row>
    <row r="279" spans="1:5" x14ac:dyDescent="0.15">
      <c r="A279" s="1" t="s">
        <v>17303</v>
      </c>
      <c r="B279" s="1" t="s">
        <v>17311</v>
      </c>
      <c r="C279" s="1" t="s">
        <v>17312</v>
      </c>
      <c r="D279" s="1" t="s">
        <v>17313</v>
      </c>
      <c r="E279" s="1" t="s">
        <v>17314</v>
      </c>
    </row>
    <row r="280" spans="1:5" x14ac:dyDescent="0.15">
      <c r="A280" s="1" t="s">
        <v>17303</v>
      </c>
      <c r="B280" s="1" t="s">
        <v>17315</v>
      </c>
      <c r="C280" s="1" t="s">
        <v>17312</v>
      </c>
      <c r="D280" s="1" t="s">
        <v>17316</v>
      </c>
      <c r="E280" s="1" t="s">
        <v>17317</v>
      </c>
    </row>
    <row r="281" spans="1:5" x14ac:dyDescent="0.15">
      <c r="A281" s="1" t="s">
        <v>17303</v>
      </c>
      <c r="B281" s="1" t="s">
        <v>17318</v>
      </c>
      <c r="C281" s="1" t="s">
        <v>17319</v>
      </c>
      <c r="D281" s="1" t="s">
        <v>17320</v>
      </c>
      <c r="E281" s="1" t="s">
        <v>17321</v>
      </c>
    </row>
    <row r="282" spans="1:5" x14ac:dyDescent="0.15">
      <c r="A282" s="1" t="s">
        <v>17303</v>
      </c>
      <c r="B282" s="1" t="s">
        <v>17322</v>
      </c>
      <c r="C282" s="1" t="s">
        <v>17319</v>
      </c>
      <c r="D282" s="1" t="s">
        <v>17323</v>
      </c>
      <c r="E282" s="1" t="s">
        <v>17324</v>
      </c>
    </row>
    <row r="283" spans="1:5" x14ac:dyDescent="0.15">
      <c r="A283" s="1" t="s">
        <v>17303</v>
      </c>
      <c r="B283" s="1" t="s">
        <v>17325</v>
      </c>
      <c r="C283" s="1" t="s">
        <v>17326</v>
      </c>
      <c r="D283" s="1" t="s">
        <v>17327</v>
      </c>
      <c r="E283" s="1" t="s">
        <v>17328</v>
      </c>
    </row>
    <row r="284" spans="1:5" x14ac:dyDescent="0.15">
      <c r="A284" s="1" t="s">
        <v>17303</v>
      </c>
      <c r="B284" s="1" t="s">
        <v>17329</v>
      </c>
      <c r="C284" s="1" t="s">
        <v>17326</v>
      </c>
      <c r="D284" s="1" t="s">
        <v>17330</v>
      </c>
      <c r="E284" s="1" t="s">
        <v>17331</v>
      </c>
    </row>
    <row r="285" spans="1:5" x14ac:dyDescent="0.15">
      <c r="A285" s="1" t="s">
        <v>17303</v>
      </c>
      <c r="B285" s="1" t="s">
        <v>17332</v>
      </c>
      <c r="C285" s="1" t="s">
        <v>17333</v>
      </c>
      <c r="D285" s="1" t="s">
        <v>17334</v>
      </c>
      <c r="E285" s="1" t="s">
        <v>17335</v>
      </c>
    </row>
    <row r="286" spans="1:5" x14ac:dyDescent="0.15">
      <c r="A286" s="1" t="s">
        <v>17303</v>
      </c>
      <c r="B286" s="1" t="s">
        <v>17336</v>
      </c>
      <c r="C286" s="1" t="s">
        <v>17333</v>
      </c>
      <c r="D286" s="1" t="s">
        <v>17337</v>
      </c>
      <c r="E286" s="1" t="s">
        <v>17338</v>
      </c>
    </row>
    <row r="287" spans="1:5" x14ac:dyDescent="0.15">
      <c r="A287" s="1" t="s">
        <v>17303</v>
      </c>
      <c r="B287" s="1" t="s">
        <v>17339</v>
      </c>
      <c r="C287" s="1" t="s">
        <v>17340</v>
      </c>
      <c r="D287" s="1" t="s">
        <v>17341</v>
      </c>
      <c r="E287" s="1" t="s">
        <v>17342</v>
      </c>
    </row>
    <row r="288" spans="1:5" x14ac:dyDescent="0.15">
      <c r="A288" s="1" t="s">
        <v>17303</v>
      </c>
      <c r="B288" s="1" t="s">
        <v>17343</v>
      </c>
      <c r="C288" s="1" t="s">
        <v>17340</v>
      </c>
      <c r="D288" s="1" t="s">
        <v>17344</v>
      </c>
      <c r="E288" s="1" t="s">
        <v>17345</v>
      </c>
    </row>
    <row r="289" spans="1:5" x14ac:dyDescent="0.15">
      <c r="A289" s="1" t="s">
        <v>17303</v>
      </c>
      <c r="B289" s="1" t="s">
        <v>17346</v>
      </c>
      <c r="C289" s="1" t="s">
        <v>17347</v>
      </c>
      <c r="D289" s="1" t="s">
        <v>17348</v>
      </c>
      <c r="E289" s="1" t="s">
        <v>17349</v>
      </c>
    </row>
    <row r="290" spans="1:5" x14ac:dyDescent="0.15">
      <c r="A290" s="1" t="s">
        <v>17303</v>
      </c>
      <c r="B290" s="1" t="s">
        <v>17350</v>
      </c>
      <c r="C290" s="1" t="s">
        <v>17347</v>
      </c>
      <c r="D290" s="1" t="s">
        <v>17351</v>
      </c>
      <c r="E290" s="1" t="s">
        <v>17352</v>
      </c>
    </row>
    <row r="291" spans="1:5" x14ac:dyDescent="0.15">
      <c r="A291" s="1" t="s">
        <v>17303</v>
      </c>
      <c r="B291" s="1" t="s">
        <v>17353</v>
      </c>
      <c r="C291" s="1" t="s">
        <v>17354</v>
      </c>
      <c r="D291" s="1" t="s">
        <v>17355</v>
      </c>
      <c r="E291" s="1" t="s">
        <v>17356</v>
      </c>
    </row>
    <row r="292" spans="1:5" x14ac:dyDescent="0.15">
      <c r="A292" s="1" t="s">
        <v>17303</v>
      </c>
      <c r="B292" s="1" t="s">
        <v>17357</v>
      </c>
      <c r="C292" s="1" t="s">
        <v>17354</v>
      </c>
      <c r="D292" s="1" t="s">
        <v>17358</v>
      </c>
      <c r="E292" s="1" t="s">
        <v>17359</v>
      </c>
    </row>
    <row r="293" spans="1:5" x14ac:dyDescent="0.15">
      <c r="A293" s="1" t="s">
        <v>17303</v>
      </c>
      <c r="B293" s="1" t="s">
        <v>17360</v>
      </c>
      <c r="C293" s="1" t="s">
        <v>17361</v>
      </c>
      <c r="D293" s="1" t="s">
        <v>17362</v>
      </c>
      <c r="E293" s="1" t="s">
        <v>17363</v>
      </c>
    </row>
    <row r="294" spans="1:5" x14ac:dyDescent="0.15">
      <c r="A294" s="1" t="s">
        <v>17303</v>
      </c>
      <c r="B294" s="1" t="s">
        <v>17364</v>
      </c>
      <c r="C294" s="1" t="s">
        <v>17361</v>
      </c>
      <c r="D294" s="1" t="s">
        <v>17365</v>
      </c>
      <c r="E294" s="1" t="s">
        <v>17366</v>
      </c>
    </row>
    <row r="295" spans="1:5" x14ac:dyDescent="0.15">
      <c r="A295" s="1" t="s">
        <v>17303</v>
      </c>
      <c r="B295" s="1" t="s">
        <v>17367</v>
      </c>
      <c r="C295" s="1" t="s">
        <v>17368</v>
      </c>
      <c r="D295" s="1" t="s">
        <v>17369</v>
      </c>
      <c r="E295" s="1" t="s">
        <v>17370</v>
      </c>
    </row>
    <row r="296" spans="1:5" x14ac:dyDescent="0.15">
      <c r="A296" s="1" t="s">
        <v>17303</v>
      </c>
      <c r="B296" s="1" t="s">
        <v>17371</v>
      </c>
      <c r="C296" s="1" t="s">
        <v>17368</v>
      </c>
      <c r="D296" s="1" t="s">
        <v>17372</v>
      </c>
      <c r="E296" s="1" t="s">
        <v>17373</v>
      </c>
    </row>
    <row r="297" spans="1:5" x14ac:dyDescent="0.15">
      <c r="A297" s="1" t="s">
        <v>17374</v>
      </c>
      <c r="B297" s="1" t="s">
        <v>17375</v>
      </c>
      <c r="C297" s="1" t="s">
        <v>17376</v>
      </c>
      <c r="D297" s="1" t="s">
        <v>17377</v>
      </c>
      <c r="E297" s="1" t="s">
        <v>17378</v>
      </c>
    </row>
    <row r="298" spans="1:5" x14ac:dyDescent="0.15">
      <c r="A298" s="1" t="s">
        <v>17374</v>
      </c>
      <c r="B298" s="1" t="s">
        <v>17379</v>
      </c>
      <c r="C298" s="1" t="s">
        <v>17380</v>
      </c>
      <c r="D298" s="1" t="s">
        <v>16840</v>
      </c>
      <c r="E298" s="1" t="s">
        <v>16841</v>
      </c>
    </row>
    <row r="299" spans="1:5" x14ac:dyDescent="0.15">
      <c r="A299" s="1" t="s">
        <v>17374</v>
      </c>
      <c r="B299" s="1" t="s">
        <v>16842</v>
      </c>
      <c r="C299" s="1" t="s">
        <v>16843</v>
      </c>
      <c r="D299" s="1" t="s">
        <v>16844</v>
      </c>
      <c r="E299" s="1" t="s">
        <v>16845</v>
      </c>
    </row>
    <row r="300" spans="1:5" x14ac:dyDescent="0.15">
      <c r="A300" s="1" t="s">
        <v>17100</v>
      </c>
      <c r="B300" s="1" t="s">
        <v>16846</v>
      </c>
      <c r="C300" s="1" t="s">
        <v>16847</v>
      </c>
      <c r="D300" s="1" t="s">
        <v>16848</v>
      </c>
      <c r="E300" s="1" t="s">
        <v>16849</v>
      </c>
    </row>
    <row r="301" spans="1:5" x14ac:dyDescent="0.15">
      <c r="A301" s="1" t="s">
        <v>17100</v>
      </c>
      <c r="B301" s="1" t="s">
        <v>16850</v>
      </c>
      <c r="C301" s="1" t="s">
        <v>16851</v>
      </c>
      <c r="D301" s="1" t="s">
        <v>16852</v>
      </c>
      <c r="E301" s="1" t="s">
        <v>16853</v>
      </c>
    </row>
    <row r="302" spans="1:5" x14ac:dyDescent="0.15">
      <c r="A302" s="1" t="s">
        <v>17100</v>
      </c>
      <c r="B302" s="1" t="s">
        <v>16854</v>
      </c>
      <c r="C302" s="1" t="s">
        <v>16855</v>
      </c>
      <c r="D302" s="1" t="s">
        <v>16856</v>
      </c>
      <c r="E302" s="1" t="s">
        <v>16857</v>
      </c>
    </row>
    <row r="303" spans="1:5" x14ac:dyDescent="0.15">
      <c r="A303" s="1" t="s">
        <v>17100</v>
      </c>
      <c r="B303" s="1" t="s">
        <v>16858</v>
      </c>
      <c r="C303" s="1" t="s">
        <v>16859</v>
      </c>
      <c r="D303" s="1" t="s">
        <v>16860</v>
      </c>
      <c r="E303" s="1" t="s">
        <v>16861</v>
      </c>
    </row>
    <row r="304" spans="1:5" x14ac:dyDescent="0.15">
      <c r="A304" s="1" t="s">
        <v>17100</v>
      </c>
      <c r="B304" s="1" t="s">
        <v>16862</v>
      </c>
      <c r="C304" s="1" t="s">
        <v>16863</v>
      </c>
      <c r="D304" s="1" t="s">
        <v>16864</v>
      </c>
      <c r="E304" s="1" t="s">
        <v>16865</v>
      </c>
    </row>
    <row r="305" spans="1:5" x14ac:dyDescent="0.15">
      <c r="A305" s="1" t="s">
        <v>17100</v>
      </c>
      <c r="B305" s="1" t="s">
        <v>16866</v>
      </c>
      <c r="C305" s="1" t="s">
        <v>16867</v>
      </c>
      <c r="D305" s="1" t="s">
        <v>16868</v>
      </c>
      <c r="E305" s="1" t="s">
        <v>16869</v>
      </c>
    </row>
    <row r="306" spans="1:5" x14ac:dyDescent="0.15">
      <c r="A306" s="1" t="s">
        <v>17100</v>
      </c>
      <c r="B306" s="1" t="s">
        <v>16870</v>
      </c>
      <c r="C306" s="1" t="s">
        <v>16871</v>
      </c>
      <c r="D306" s="1" t="s">
        <v>16872</v>
      </c>
      <c r="E306" s="1" t="s">
        <v>16873</v>
      </c>
    </row>
    <row r="307" spans="1:5" x14ac:dyDescent="0.15">
      <c r="A307" s="1" t="s">
        <v>17100</v>
      </c>
      <c r="B307" s="1" t="s">
        <v>16874</v>
      </c>
      <c r="C307" s="1" t="s">
        <v>16875</v>
      </c>
      <c r="D307" s="1" t="s">
        <v>16876</v>
      </c>
      <c r="E307" s="1" t="s">
        <v>16877</v>
      </c>
    </row>
    <row r="308" spans="1:5" x14ac:dyDescent="0.15">
      <c r="A308" s="1" t="s">
        <v>17100</v>
      </c>
      <c r="B308" s="1" t="s">
        <v>16878</v>
      </c>
      <c r="C308" s="1" t="s">
        <v>16879</v>
      </c>
      <c r="D308" s="1" t="s">
        <v>16880</v>
      </c>
      <c r="E308" s="1" t="s">
        <v>16881</v>
      </c>
    </row>
    <row r="309" spans="1:5" x14ac:dyDescent="0.15">
      <c r="A309" s="1" t="s">
        <v>17100</v>
      </c>
      <c r="B309" s="1" t="s">
        <v>16882</v>
      </c>
      <c r="C309" s="1" t="s">
        <v>16883</v>
      </c>
      <c r="D309" s="1" t="s">
        <v>16884</v>
      </c>
      <c r="E309" s="1" t="s">
        <v>16885</v>
      </c>
    </row>
    <row r="310" spans="1:5" x14ac:dyDescent="0.15">
      <c r="A310" s="1" t="s">
        <v>17100</v>
      </c>
      <c r="B310" s="1" t="s">
        <v>16886</v>
      </c>
      <c r="C310" s="1" t="s">
        <v>16887</v>
      </c>
      <c r="D310" s="1" t="s">
        <v>16888</v>
      </c>
      <c r="E310" s="1" t="s">
        <v>16889</v>
      </c>
    </row>
    <row r="311" spans="1:5" x14ac:dyDescent="0.15">
      <c r="A311" s="1" t="s">
        <v>17100</v>
      </c>
      <c r="B311" s="1" t="s">
        <v>16890</v>
      </c>
      <c r="C311" s="1" t="s">
        <v>16891</v>
      </c>
      <c r="D311" s="1" t="s">
        <v>16892</v>
      </c>
      <c r="E311" s="1" t="s">
        <v>16893</v>
      </c>
    </row>
    <row r="312" spans="1:5" x14ac:dyDescent="0.15">
      <c r="A312" s="1" t="s">
        <v>17100</v>
      </c>
      <c r="B312" s="1" t="s">
        <v>16894</v>
      </c>
      <c r="C312" s="1" t="s">
        <v>16895</v>
      </c>
      <c r="D312" s="1" t="s">
        <v>16896</v>
      </c>
      <c r="E312" s="1" t="s">
        <v>16897</v>
      </c>
    </row>
    <row r="313" spans="1:5" x14ac:dyDescent="0.15">
      <c r="A313" s="1" t="s">
        <v>17100</v>
      </c>
      <c r="B313" s="1" t="s">
        <v>16898</v>
      </c>
      <c r="C313" s="1" t="s">
        <v>16899</v>
      </c>
      <c r="D313" s="1" t="s">
        <v>16900</v>
      </c>
      <c r="E313" s="1" t="s">
        <v>16901</v>
      </c>
    </row>
    <row r="314" spans="1:5" x14ac:dyDescent="0.15">
      <c r="A314" s="1" t="s">
        <v>17100</v>
      </c>
      <c r="B314" s="1" t="s">
        <v>16902</v>
      </c>
      <c r="C314" s="1" t="s">
        <v>16903</v>
      </c>
      <c r="D314" s="1" t="s">
        <v>16904</v>
      </c>
      <c r="E314" s="1" t="s">
        <v>16905</v>
      </c>
    </row>
    <row r="315" spans="1:5" x14ac:dyDescent="0.15">
      <c r="A315" s="1" t="s">
        <v>17100</v>
      </c>
      <c r="B315" s="1" t="s">
        <v>16906</v>
      </c>
      <c r="C315" s="1" t="s">
        <v>16907</v>
      </c>
      <c r="D315" s="1" t="s">
        <v>16908</v>
      </c>
      <c r="E315" s="1" t="s">
        <v>16909</v>
      </c>
    </row>
    <row r="316" spans="1:5" x14ac:dyDescent="0.15">
      <c r="A316" s="1" t="s">
        <v>17100</v>
      </c>
      <c r="B316" s="1" t="s">
        <v>16910</v>
      </c>
      <c r="C316" s="1" t="s">
        <v>16907</v>
      </c>
      <c r="D316" s="1" t="s">
        <v>16908</v>
      </c>
      <c r="E316" s="1" t="s">
        <v>16911</v>
      </c>
    </row>
    <row r="317" spans="1:5" x14ac:dyDescent="0.15">
      <c r="A317" s="1" t="s">
        <v>16912</v>
      </c>
      <c r="B317" s="1" t="s">
        <v>16913</v>
      </c>
      <c r="C317" s="1" t="s">
        <v>16914</v>
      </c>
      <c r="D317" s="1" t="s">
        <v>16915</v>
      </c>
      <c r="E317" s="1" t="s">
        <v>16916</v>
      </c>
    </row>
    <row r="318" spans="1:5" x14ac:dyDescent="0.15">
      <c r="A318" s="1" t="s">
        <v>16912</v>
      </c>
      <c r="B318" s="1" t="s">
        <v>16917</v>
      </c>
      <c r="C318" s="1" t="s">
        <v>16918</v>
      </c>
      <c r="D318" s="1" t="s">
        <v>16919</v>
      </c>
      <c r="E318" s="1" t="s">
        <v>16920</v>
      </c>
    </row>
    <row r="319" spans="1:5" x14ac:dyDescent="0.15">
      <c r="A319" s="1" t="s">
        <v>16912</v>
      </c>
      <c r="B319" s="1" t="s">
        <v>16921</v>
      </c>
      <c r="C319" s="1" t="s">
        <v>16918</v>
      </c>
      <c r="D319" s="1" t="s">
        <v>16922</v>
      </c>
      <c r="E319" s="1" t="s">
        <v>16923</v>
      </c>
    </row>
    <row r="320" spans="1:5" x14ac:dyDescent="0.15">
      <c r="A320" s="1" t="s">
        <v>16912</v>
      </c>
      <c r="B320" s="1" t="s">
        <v>16924</v>
      </c>
      <c r="C320" s="1" t="s">
        <v>16925</v>
      </c>
      <c r="D320" s="1" t="s">
        <v>16926</v>
      </c>
      <c r="E320" s="1" t="s">
        <v>16927</v>
      </c>
    </row>
    <row r="321" spans="1:5" x14ac:dyDescent="0.15">
      <c r="A321" s="1" t="s">
        <v>16912</v>
      </c>
      <c r="B321" s="1" t="s">
        <v>16928</v>
      </c>
      <c r="C321" s="1" t="s">
        <v>16925</v>
      </c>
      <c r="D321" s="1" t="s">
        <v>16929</v>
      </c>
      <c r="E321" s="1" t="s">
        <v>16930</v>
      </c>
    </row>
    <row r="322" spans="1:5" x14ac:dyDescent="0.15">
      <c r="A322" s="1" t="s">
        <v>16912</v>
      </c>
      <c r="B322" s="1" t="s">
        <v>16931</v>
      </c>
      <c r="C322" s="1" t="s">
        <v>16932</v>
      </c>
      <c r="D322" s="1" t="s">
        <v>16933</v>
      </c>
      <c r="E322" s="1" t="s">
        <v>16934</v>
      </c>
    </row>
    <row r="323" spans="1:5" x14ac:dyDescent="0.15">
      <c r="A323" s="1" t="s">
        <v>16912</v>
      </c>
      <c r="B323" s="1" t="s">
        <v>16935</v>
      </c>
      <c r="C323" s="1" t="s">
        <v>16932</v>
      </c>
      <c r="D323" s="1" t="s">
        <v>16936</v>
      </c>
      <c r="E323" s="1" t="s">
        <v>16937</v>
      </c>
    </row>
    <row r="324" spans="1:5" x14ac:dyDescent="0.15">
      <c r="A324" s="1" t="s">
        <v>16912</v>
      </c>
      <c r="B324" s="1" t="s">
        <v>16938</v>
      </c>
      <c r="C324" s="1" t="s">
        <v>16939</v>
      </c>
      <c r="D324" s="1" t="s">
        <v>16940</v>
      </c>
      <c r="E324" s="1" t="s">
        <v>16941</v>
      </c>
    </row>
    <row r="325" spans="1:5" x14ac:dyDescent="0.15">
      <c r="A325" s="1" t="s">
        <v>16912</v>
      </c>
      <c r="B325" s="1" t="s">
        <v>16942</v>
      </c>
      <c r="C325" s="1" t="s">
        <v>16943</v>
      </c>
      <c r="D325" s="1" t="s">
        <v>16944</v>
      </c>
      <c r="E325" s="1" t="s">
        <v>16945</v>
      </c>
    </row>
    <row r="326" spans="1:5" x14ac:dyDescent="0.15">
      <c r="A326" s="1" t="s">
        <v>16912</v>
      </c>
      <c r="B326" s="1" t="s">
        <v>16946</v>
      </c>
      <c r="C326" s="1" t="s">
        <v>16947</v>
      </c>
      <c r="D326" s="1" t="s">
        <v>16948</v>
      </c>
      <c r="E326" s="1" t="s">
        <v>16949</v>
      </c>
    </row>
    <row r="327" spans="1:5" x14ac:dyDescent="0.15">
      <c r="A327" s="1" t="s">
        <v>16912</v>
      </c>
      <c r="B327" s="1" t="s">
        <v>16950</v>
      </c>
      <c r="C327" s="1" t="s">
        <v>16951</v>
      </c>
      <c r="D327" s="1" t="s">
        <v>16952</v>
      </c>
      <c r="E327" s="1" t="s">
        <v>16953</v>
      </c>
    </row>
    <row r="328" spans="1:5" x14ac:dyDescent="0.15">
      <c r="A328" s="1" t="s">
        <v>16912</v>
      </c>
      <c r="B328" s="1" t="s">
        <v>16954</v>
      </c>
      <c r="C328" s="1" t="s">
        <v>16955</v>
      </c>
      <c r="D328" s="1" t="s">
        <v>16956</v>
      </c>
      <c r="E328" s="1" t="s">
        <v>16957</v>
      </c>
    </row>
    <row r="329" spans="1:5" x14ac:dyDescent="0.15">
      <c r="A329" s="1" t="s">
        <v>16912</v>
      </c>
      <c r="B329" s="1" t="s">
        <v>16958</v>
      </c>
      <c r="C329" s="1" t="s">
        <v>16959</v>
      </c>
      <c r="D329" s="1" t="s">
        <v>16960</v>
      </c>
      <c r="E329" s="1" t="s">
        <v>16961</v>
      </c>
    </row>
    <row r="330" spans="1:5" x14ac:dyDescent="0.15">
      <c r="A330" s="1" t="s">
        <v>16912</v>
      </c>
      <c r="B330" s="1" t="s">
        <v>16962</v>
      </c>
      <c r="C330" s="1" t="s">
        <v>16963</v>
      </c>
      <c r="D330" s="1" t="s">
        <v>16964</v>
      </c>
      <c r="E330" s="1" t="s">
        <v>16965</v>
      </c>
    </row>
    <row r="331" spans="1:5" x14ac:dyDescent="0.15">
      <c r="A331" s="1" t="s">
        <v>16912</v>
      </c>
      <c r="B331" s="1" t="s">
        <v>16966</v>
      </c>
      <c r="C331" s="1" t="s">
        <v>16967</v>
      </c>
      <c r="D331" s="1" t="s">
        <v>16968</v>
      </c>
      <c r="E331" s="1" t="s">
        <v>16969</v>
      </c>
    </row>
    <row r="332" spans="1:5" x14ac:dyDescent="0.15">
      <c r="A332" s="1" t="s">
        <v>16912</v>
      </c>
      <c r="B332" s="1" t="s">
        <v>16970</v>
      </c>
      <c r="C332" s="1" t="s">
        <v>16971</v>
      </c>
      <c r="D332" s="1" t="s">
        <v>16972</v>
      </c>
      <c r="E332" s="1" t="s">
        <v>16973</v>
      </c>
    </row>
    <row r="333" spans="1:5" x14ac:dyDescent="0.15">
      <c r="A333" s="1" t="s">
        <v>16912</v>
      </c>
      <c r="B333" s="1" t="s">
        <v>16974</v>
      </c>
      <c r="C333" s="1" t="s">
        <v>16975</v>
      </c>
      <c r="D333" s="1" t="s">
        <v>16976</v>
      </c>
      <c r="E333" s="1" t="s">
        <v>16977</v>
      </c>
    </row>
    <row r="334" spans="1:5" x14ac:dyDescent="0.15">
      <c r="A334" s="1" t="s">
        <v>16912</v>
      </c>
      <c r="B334" s="1" t="s">
        <v>16978</v>
      </c>
      <c r="C334" s="1" t="s">
        <v>16975</v>
      </c>
      <c r="D334" s="1" t="s">
        <v>16979</v>
      </c>
      <c r="E334" s="1" t="s">
        <v>16980</v>
      </c>
    </row>
    <row r="335" spans="1:5" x14ac:dyDescent="0.15">
      <c r="A335" s="1" t="s">
        <v>16912</v>
      </c>
      <c r="B335" s="1" t="s">
        <v>16981</v>
      </c>
      <c r="C335" s="1" t="s">
        <v>16982</v>
      </c>
      <c r="D335" s="1" t="s">
        <v>16983</v>
      </c>
      <c r="E335" s="1" t="s">
        <v>16984</v>
      </c>
    </row>
    <row r="336" spans="1:5" x14ac:dyDescent="0.15">
      <c r="A336" s="1" t="s">
        <v>16912</v>
      </c>
      <c r="B336" s="1" t="s">
        <v>16985</v>
      </c>
      <c r="C336" s="1" t="s">
        <v>16986</v>
      </c>
      <c r="D336" s="1" t="s">
        <v>16987</v>
      </c>
      <c r="E336" s="1" t="s">
        <v>16988</v>
      </c>
    </row>
    <row r="337" spans="1:5" x14ac:dyDescent="0.15">
      <c r="A337" s="1" t="s">
        <v>16912</v>
      </c>
      <c r="B337" s="1" t="s">
        <v>16989</v>
      </c>
      <c r="C337" s="1" t="s">
        <v>16990</v>
      </c>
      <c r="D337" s="1" t="s">
        <v>16991</v>
      </c>
      <c r="E337" s="1" t="s">
        <v>16992</v>
      </c>
    </row>
    <row r="338" spans="1:5" x14ac:dyDescent="0.15">
      <c r="A338" s="1" t="s">
        <v>16912</v>
      </c>
      <c r="B338" s="1" t="s">
        <v>16993</v>
      </c>
      <c r="C338" s="1" t="s">
        <v>16994</v>
      </c>
      <c r="D338" s="1" t="s">
        <v>16995</v>
      </c>
      <c r="E338" s="1" t="s">
        <v>16996</v>
      </c>
    </row>
    <row r="339" spans="1:5" x14ac:dyDescent="0.15">
      <c r="A339" s="1" t="s">
        <v>16912</v>
      </c>
      <c r="B339" s="1" t="s">
        <v>16997</v>
      </c>
      <c r="C339" s="1" t="s">
        <v>16998</v>
      </c>
      <c r="D339" s="1" t="s">
        <v>16999</v>
      </c>
      <c r="E339" s="1" t="s">
        <v>17000</v>
      </c>
    </row>
    <row r="340" spans="1:5" x14ac:dyDescent="0.15">
      <c r="A340" s="1" t="s">
        <v>16912</v>
      </c>
      <c r="B340" s="1" t="s">
        <v>17001</v>
      </c>
      <c r="C340" s="1" t="s">
        <v>17002</v>
      </c>
      <c r="D340" s="1" t="s">
        <v>17003</v>
      </c>
      <c r="E340" s="1" t="s">
        <v>17004</v>
      </c>
    </row>
    <row r="341" spans="1:5" x14ac:dyDescent="0.15">
      <c r="A341" s="1" t="s">
        <v>16912</v>
      </c>
      <c r="B341" s="1" t="s">
        <v>17005</v>
      </c>
      <c r="C341" s="1" t="s">
        <v>17002</v>
      </c>
      <c r="D341" s="1" t="s">
        <v>17006</v>
      </c>
      <c r="E341" s="1" t="s">
        <v>17007</v>
      </c>
    </row>
    <row r="342" spans="1:5" x14ac:dyDescent="0.15">
      <c r="A342" s="1" t="s">
        <v>16912</v>
      </c>
      <c r="B342" s="1" t="s">
        <v>17008</v>
      </c>
      <c r="C342" s="1" t="s">
        <v>17009</v>
      </c>
      <c r="D342" s="1" t="s">
        <v>17010</v>
      </c>
      <c r="E342" s="1" t="s">
        <v>17011</v>
      </c>
    </row>
    <row r="343" spans="1:5" x14ac:dyDescent="0.15">
      <c r="A343" s="1" t="s">
        <v>16912</v>
      </c>
      <c r="B343" s="1" t="s">
        <v>17012</v>
      </c>
      <c r="C343" s="1" t="s">
        <v>17009</v>
      </c>
      <c r="D343" s="1" t="s">
        <v>17013</v>
      </c>
      <c r="E343" s="1" t="s">
        <v>17014</v>
      </c>
    </row>
    <row r="344" spans="1:5" x14ac:dyDescent="0.15">
      <c r="A344" s="1" t="s">
        <v>16912</v>
      </c>
      <c r="B344" s="1" t="s">
        <v>17015</v>
      </c>
      <c r="C344" s="1" t="s">
        <v>17016</v>
      </c>
      <c r="D344" s="1" t="s">
        <v>17017</v>
      </c>
      <c r="E344" s="1" t="s">
        <v>17018</v>
      </c>
    </row>
    <row r="345" spans="1:5" x14ac:dyDescent="0.15">
      <c r="A345" s="1" t="s">
        <v>16912</v>
      </c>
      <c r="B345" s="1" t="s">
        <v>17019</v>
      </c>
      <c r="C345" s="1" t="s">
        <v>17016</v>
      </c>
      <c r="D345" s="1" t="s">
        <v>17020</v>
      </c>
      <c r="E345" s="1" t="s">
        <v>17021</v>
      </c>
    </row>
    <row r="346" spans="1:5" x14ac:dyDescent="0.15">
      <c r="A346" s="1" t="s">
        <v>16912</v>
      </c>
      <c r="B346" s="1" t="s">
        <v>17022</v>
      </c>
      <c r="C346" s="1" t="s">
        <v>17023</v>
      </c>
      <c r="D346" s="1" t="s">
        <v>17024</v>
      </c>
      <c r="E346" s="1" t="s">
        <v>17025</v>
      </c>
    </row>
    <row r="347" spans="1:5" x14ac:dyDescent="0.15">
      <c r="A347" s="1" t="s">
        <v>16912</v>
      </c>
      <c r="B347" s="1" t="s">
        <v>17026</v>
      </c>
      <c r="C347" s="1" t="s">
        <v>17027</v>
      </c>
      <c r="D347" s="1" t="s">
        <v>17028</v>
      </c>
      <c r="E347" s="1" t="s">
        <v>17029</v>
      </c>
    </row>
    <row r="348" spans="1:5" x14ac:dyDescent="0.15">
      <c r="A348" s="1" t="s">
        <v>16912</v>
      </c>
      <c r="B348" s="1" t="s">
        <v>17030</v>
      </c>
      <c r="C348" s="1" t="s">
        <v>17031</v>
      </c>
      <c r="D348" s="1" t="s">
        <v>17032</v>
      </c>
      <c r="E348" s="1" t="s">
        <v>17033</v>
      </c>
    </row>
    <row r="349" spans="1:5" x14ac:dyDescent="0.15">
      <c r="A349" s="1" t="s">
        <v>16912</v>
      </c>
      <c r="B349" s="1" t="s">
        <v>17034</v>
      </c>
      <c r="C349" s="1" t="s">
        <v>17035</v>
      </c>
      <c r="D349" s="1" t="s">
        <v>17036</v>
      </c>
      <c r="E349" s="1" t="s">
        <v>17037</v>
      </c>
    </row>
    <row r="350" spans="1:5" x14ac:dyDescent="0.15">
      <c r="A350" s="1" t="s">
        <v>16912</v>
      </c>
      <c r="B350" s="1" t="s">
        <v>17038</v>
      </c>
      <c r="C350" s="1" t="s">
        <v>17039</v>
      </c>
      <c r="D350" s="1" t="s">
        <v>17040</v>
      </c>
      <c r="E350" s="1" t="s">
        <v>17041</v>
      </c>
    </row>
    <row r="351" spans="1:5" x14ac:dyDescent="0.15">
      <c r="A351" s="1" t="s">
        <v>16912</v>
      </c>
      <c r="B351" s="1" t="s">
        <v>17042</v>
      </c>
      <c r="C351" s="1" t="s">
        <v>17043</v>
      </c>
      <c r="D351" s="1" t="s">
        <v>17044</v>
      </c>
      <c r="E351" s="1" t="s">
        <v>17045</v>
      </c>
    </row>
    <row r="352" spans="1:5" x14ac:dyDescent="0.15">
      <c r="A352" s="1" t="s">
        <v>16912</v>
      </c>
      <c r="B352" s="1" t="s">
        <v>17046</v>
      </c>
      <c r="C352" s="1" t="s">
        <v>17047</v>
      </c>
      <c r="D352" s="1" t="s">
        <v>17048</v>
      </c>
      <c r="E352" s="1" t="s">
        <v>17049</v>
      </c>
    </row>
    <row r="353" spans="1:5" x14ac:dyDescent="0.15">
      <c r="A353" s="1" t="s">
        <v>16912</v>
      </c>
      <c r="B353" s="1" t="s">
        <v>17050</v>
      </c>
      <c r="C353" s="1" t="s">
        <v>17051</v>
      </c>
      <c r="D353" s="1" t="s">
        <v>17052</v>
      </c>
      <c r="E353" s="1" t="s">
        <v>17053</v>
      </c>
    </row>
    <row r="354" spans="1:5" x14ac:dyDescent="0.15">
      <c r="A354" s="1" t="s">
        <v>16912</v>
      </c>
      <c r="B354" s="1" t="s">
        <v>17054</v>
      </c>
      <c r="C354" s="1" t="s">
        <v>17055</v>
      </c>
      <c r="D354" s="1" t="s">
        <v>17056</v>
      </c>
      <c r="E354" s="1" t="s">
        <v>17057</v>
      </c>
    </row>
    <row r="355" spans="1:5" x14ac:dyDescent="0.15">
      <c r="A355" s="1" t="s">
        <v>16912</v>
      </c>
      <c r="B355" s="1" t="s">
        <v>17058</v>
      </c>
      <c r="C355" s="1" t="s">
        <v>17059</v>
      </c>
      <c r="D355" s="1" t="s">
        <v>17060</v>
      </c>
      <c r="E355" s="1" t="s">
        <v>17061</v>
      </c>
    </row>
    <row r="356" spans="1:5" x14ac:dyDescent="0.15">
      <c r="A356" s="1" t="s">
        <v>16912</v>
      </c>
      <c r="B356" s="1" t="s">
        <v>17062</v>
      </c>
      <c r="C356" s="1" t="s">
        <v>17063</v>
      </c>
      <c r="D356" s="1" t="s">
        <v>17064</v>
      </c>
      <c r="E356" s="1" t="s">
        <v>17065</v>
      </c>
    </row>
    <row r="357" spans="1:5" x14ac:dyDescent="0.15">
      <c r="A357" s="1" t="s">
        <v>16912</v>
      </c>
      <c r="B357" s="1" t="s">
        <v>17066</v>
      </c>
      <c r="C357" s="1" t="s">
        <v>17067</v>
      </c>
      <c r="D357" s="1" t="s">
        <v>17068</v>
      </c>
      <c r="E357" s="1" t="s">
        <v>17069</v>
      </c>
    </row>
    <row r="358" spans="1:5" x14ac:dyDescent="0.15">
      <c r="A358" s="1" t="s">
        <v>16912</v>
      </c>
      <c r="B358" s="1" t="s">
        <v>17070</v>
      </c>
      <c r="C358" s="1" t="s">
        <v>17071</v>
      </c>
      <c r="D358" s="1" t="s">
        <v>17072</v>
      </c>
      <c r="E358" s="1" t="s">
        <v>17073</v>
      </c>
    </row>
    <row r="359" spans="1:5" x14ac:dyDescent="0.15">
      <c r="A359" s="1" t="s">
        <v>16912</v>
      </c>
      <c r="B359" s="1" t="s">
        <v>17074</v>
      </c>
      <c r="C359" s="1" t="s">
        <v>17075</v>
      </c>
      <c r="D359" s="1" t="s">
        <v>17076</v>
      </c>
      <c r="E359" s="1" t="s">
        <v>17077</v>
      </c>
    </row>
    <row r="360" spans="1:5" x14ac:dyDescent="0.15">
      <c r="A360" s="1" t="s">
        <v>16912</v>
      </c>
      <c r="B360" s="1" t="s">
        <v>17078</v>
      </c>
      <c r="C360" s="1" t="s">
        <v>17079</v>
      </c>
      <c r="D360" s="1" t="s">
        <v>17080</v>
      </c>
      <c r="E360" s="1" t="s">
        <v>17081</v>
      </c>
    </row>
    <row r="361" spans="1:5" x14ac:dyDescent="0.15">
      <c r="A361" s="1" t="s">
        <v>16912</v>
      </c>
      <c r="B361" s="1" t="s">
        <v>17082</v>
      </c>
      <c r="C361" s="1" t="s">
        <v>17083</v>
      </c>
      <c r="D361" s="1" t="s">
        <v>17084</v>
      </c>
      <c r="E361" s="1" t="s">
        <v>17085</v>
      </c>
    </row>
    <row r="362" spans="1:5" x14ac:dyDescent="0.15">
      <c r="A362" s="1" t="s">
        <v>16912</v>
      </c>
      <c r="B362" s="1" t="s">
        <v>17086</v>
      </c>
      <c r="C362" s="1" t="s">
        <v>17087</v>
      </c>
      <c r="D362" s="1" t="s">
        <v>16493</v>
      </c>
      <c r="E362" s="1" t="s">
        <v>16494</v>
      </c>
    </row>
    <row r="363" spans="1:5" x14ac:dyDescent="0.15">
      <c r="A363" s="1" t="s">
        <v>16912</v>
      </c>
      <c r="B363" s="1" t="s">
        <v>16495</v>
      </c>
      <c r="C363" s="1" t="s">
        <v>16496</v>
      </c>
      <c r="D363" s="1" t="s">
        <v>16497</v>
      </c>
      <c r="E363" s="1" t="s">
        <v>16498</v>
      </c>
    </row>
    <row r="364" spans="1:5" x14ac:dyDescent="0.15">
      <c r="A364" s="1" t="s">
        <v>16912</v>
      </c>
      <c r="B364" s="1" t="s">
        <v>16499</v>
      </c>
      <c r="C364" s="1" t="s">
        <v>16500</v>
      </c>
      <c r="D364" s="1" t="s">
        <v>16501</v>
      </c>
      <c r="E364" s="1" t="s">
        <v>16502</v>
      </c>
    </row>
    <row r="365" spans="1:5" x14ac:dyDescent="0.15">
      <c r="A365" s="1" t="s">
        <v>16912</v>
      </c>
      <c r="B365" s="1" t="s">
        <v>16503</v>
      </c>
      <c r="C365" s="1" t="s">
        <v>16504</v>
      </c>
      <c r="D365" s="1" t="s">
        <v>16505</v>
      </c>
      <c r="E365" s="1" t="s">
        <v>16506</v>
      </c>
    </row>
    <row r="366" spans="1:5" x14ac:dyDescent="0.15">
      <c r="A366" s="1" t="s">
        <v>16912</v>
      </c>
      <c r="B366" s="1" t="s">
        <v>16507</v>
      </c>
      <c r="C366" s="1" t="s">
        <v>16508</v>
      </c>
      <c r="D366" s="1" t="s">
        <v>16509</v>
      </c>
      <c r="E366" s="1" t="s">
        <v>16510</v>
      </c>
    </row>
    <row r="367" spans="1:5" x14ac:dyDescent="0.15">
      <c r="A367" s="1" t="s">
        <v>16912</v>
      </c>
      <c r="B367" s="1" t="s">
        <v>16511</v>
      </c>
      <c r="C367" s="1" t="s">
        <v>16512</v>
      </c>
      <c r="D367" s="1" t="s">
        <v>16513</v>
      </c>
      <c r="E367" s="1" t="s">
        <v>16514</v>
      </c>
    </row>
    <row r="368" spans="1:5" x14ac:dyDescent="0.15">
      <c r="A368" s="1" t="s">
        <v>16912</v>
      </c>
      <c r="B368" s="1" t="s">
        <v>16515</v>
      </c>
      <c r="C368" s="1" t="s">
        <v>16516</v>
      </c>
      <c r="D368" s="1" t="s">
        <v>16517</v>
      </c>
      <c r="E368" s="1" t="s">
        <v>16518</v>
      </c>
    </row>
    <row r="369" spans="1:5" x14ac:dyDescent="0.15">
      <c r="A369" s="1" t="s">
        <v>16912</v>
      </c>
      <c r="B369" s="1" t="s">
        <v>16519</v>
      </c>
      <c r="C369" s="1" t="s">
        <v>16520</v>
      </c>
      <c r="D369" s="1" t="s">
        <v>16521</v>
      </c>
      <c r="E369" s="1" t="s">
        <v>16522</v>
      </c>
    </row>
    <row r="370" spans="1:5" x14ac:dyDescent="0.15">
      <c r="A370" s="1" t="s">
        <v>16912</v>
      </c>
      <c r="B370" s="1" t="s">
        <v>16523</v>
      </c>
      <c r="C370" s="1" t="s">
        <v>16524</v>
      </c>
      <c r="D370" s="1" t="s">
        <v>16525</v>
      </c>
      <c r="E370" s="1" t="s">
        <v>16526</v>
      </c>
    </row>
    <row r="371" spans="1:5" x14ac:dyDescent="0.15">
      <c r="A371" s="1" t="s">
        <v>16912</v>
      </c>
      <c r="B371" s="1" t="s">
        <v>16527</v>
      </c>
      <c r="C371" s="1" t="s">
        <v>16528</v>
      </c>
      <c r="D371" s="1" t="s">
        <v>16529</v>
      </c>
      <c r="E371" s="1" t="s">
        <v>16530</v>
      </c>
    </row>
    <row r="372" spans="1:5" x14ac:dyDescent="0.15">
      <c r="A372" s="1" t="s">
        <v>16912</v>
      </c>
      <c r="B372" s="1" t="s">
        <v>16531</v>
      </c>
      <c r="C372" s="1" t="s">
        <v>16532</v>
      </c>
      <c r="D372" s="1" t="s">
        <v>16533</v>
      </c>
      <c r="E372" s="1" t="s">
        <v>16534</v>
      </c>
    </row>
    <row r="373" spans="1:5" x14ac:dyDescent="0.15">
      <c r="A373" s="1" t="s">
        <v>16912</v>
      </c>
      <c r="B373" s="1" t="s">
        <v>16535</v>
      </c>
      <c r="C373" s="1" t="s">
        <v>16536</v>
      </c>
      <c r="D373" s="1" t="s">
        <v>16537</v>
      </c>
      <c r="E373" s="1" t="s">
        <v>16538</v>
      </c>
    </row>
    <row r="374" spans="1:5" x14ac:dyDescent="0.15">
      <c r="A374" s="1" t="s">
        <v>16912</v>
      </c>
      <c r="B374" s="1" t="s">
        <v>16539</v>
      </c>
      <c r="C374" s="1" t="s">
        <v>16540</v>
      </c>
      <c r="D374" s="1" t="s">
        <v>16541</v>
      </c>
      <c r="E374" s="1" t="s">
        <v>16542</v>
      </c>
    </row>
    <row r="375" spans="1:5" x14ac:dyDescent="0.15">
      <c r="A375" s="1" t="s">
        <v>16912</v>
      </c>
      <c r="B375" s="1" t="s">
        <v>16543</v>
      </c>
      <c r="C375" s="1" t="s">
        <v>16544</v>
      </c>
      <c r="D375" s="1" t="s">
        <v>16545</v>
      </c>
      <c r="E375" s="1" t="s">
        <v>16546</v>
      </c>
    </row>
    <row r="376" spans="1:5" x14ac:dyDescent="0.15">
      <c r="A376" s="1" t="s">
        <v>16912</v>
      </c>
      <c r="B376" s="1" t="s">
        <v>16547</v>
      </c>
      <c r="C376" s="1" t="s">
        <v>16548</v>
      </c>
      <c r="D376" s="1" t="s">
        <v>16549</v>
      </c>
      <c r="E376" s="1" t="s">
        <v>16550</v>
      </c>
    </row>
    <row r="377" spans="1:5" x14ac:dyDescent="0.15">
      <c r="A377" s="1" t="s">
        <v>16912</v>
      </c>
      <c r="B377" s="1" t="s">
        <v>16551</v>
      </c>
      <c r="C377" s="1" t="s">
        <v>16552</v>
      </c>
      <c r="D377" s="1" t="s">
        <v>16553</v>
      </c>
      <c r="E377" s="1" t="s">
        <v>16554</v>
      </c>
    </row>
    <row r="378" spans="1:5" x14ac:dyDescent="0.15">
      <c r="A378" s="1" t="s">
        <v>16912</v>
      </c>
      <c r="B378" s="1" t="s">
        <v>16555</v>
      </c>
      <c r="C378" s="1" t="s">
        <v>16556</v>
      </c>
      <c r="D378" s="1" t="s">
        <v>16557</v>
      </c>
      <c r="E378" s="1" t="s">
        <v>16558</v>
      </c>
    </row>
    <row r="379" spans="1:5" x14ac:dyDescent="0.15">
      <c r="A379" s="1" t="s">
        <v>16912</v>
      </c>
      <c r="B379" s="1" t="s">
        <v>16559</v>
      </c>
      <c r="C379" s="1" t="s">
        <v>16560</v>
      </c>
      <c r="D379" s="1" t="s">
        <v>16561</v>
      </c>
      <c r="E379" s="1" t="s">
        <v>16562</v>
      </c>
    </row>
    <row r="380" spans="1:5" x14ac:dyDescent="0.15">
      <c r="A380" s="1" t="s">
        <v>16912</v>
      </c>
      <c r="B380" s="1" t="s">
        <v>16563</v>
      </c>
      <c r="C380" s="1" t="s">
        <v>16564</v>
      </c>
      <c r="D380" s="1" t="s">
        <v>16565</v>
      </c>
      <c r="E380" s="1" t="s">
        <v>16566</v>
      </c>
    </row>
    <row r="381" spans="1:5" x14ac:dyDescent="0.15">
      <c r="A381" s="1" t="s">
        <v>16912</v>
      </c>
      <c r="B381" s="1" t="s">
        <v>16567</v>
      </c>
      <c r="C381" s="1" t="s">
        <v>16568</v>
      </c>
      <c r="D381" s="1" t="s">
        <v>16569</v>
      </c>
      <c r="E381" s="1" t="s">
        <v>16570</v>
      </c>
    </row>
    <row r="382" spans="1:5" x14ac:dyDescent="0.15">
      <c r="A382" s="1" t="s">
        <v>16912</v>
      </c>
      <c r="B382" s="1" t="s">
        <v>16571</v>
      </c>
      <c r="C382" s="1" t="s">
        <v>16572</v>
      </c>
      <c r="D382" s="1" t="s">
        <v>16573</v>
      </c>
      <c r="E382" s="1" t="s">
        <v>16574</v>
      </c>
    </row>
    <row r="383" spans="1:5" x14ac:dyDescent="0.15">
      <c r="A383" s="1" t="s">
        <v>16912</v>
      </c>
      <c r="B383" s="1" t="s">
        <v>16575</v>
      </c>
      <c r="C383" s="1" t="s">
        <v>16576</v>
      </c>
      <c r="D383" s="1" t="s">
        <v>16577</v>
      </c>
      <c r="E383" s="1" t="s">
        <v>16578</v>
      </c>
    </row>
    <row r="384" spans="1:5" x14ac:dyDescent="0.15">
      <c r="A384" s="1" t="s">
        <v>16912</v>
      </c>
      <c r="B384" s="1" t="s">
        <v>16579</v>
      </c>
      <c r="C384" s="1" t="s">
        <v>16580</v>
      </c>
      <c r="D384" s="1" t="s">
        <v>16581</v>
      </c>
      <c r="E384" s="1" t="s">
        <v>16582</v>
      </c>
    </row>
    <row r="385" spans="1:5" x14ac:dyDescent="0.15">
      <c r="A385" s="1" t="s">
        <v>16912</v>
      </c>
      <c r="B385" s="1" t="s">
        <v>16583</v>
      </c>
      <c r="C385" s="1" t="s">
        <v>16584</v>
      </c>
      <c r="D385" s="1" t="s">
        <v>16585</v>
      </c>
      <c r="E385" s="1" t="s">
        <v>16586</v>
      </c>
    </row>
    <row r="386" spans="1:5" x14ac:dyDescent="0.15">
      <c r="A386" s="1" t="s">
        <v>16912</v>
      </c>
      <c r="B386" s="1" t="s">
        <v>16587</v>
      </c>
      <c r="C386" s="1" t="s">
        <v>16588</v>
      </c>
      <c r="D386" s="1" t="s">
        <v>16589</v>
      </c>
      <c r="E386" s="1" t="s">
        <v>16590</v>
      </c>
    </row>
    <row r="387" spans="1:5" x14ac:dyDescent="0.15">
      <c r="A387" s="1" t="s">
        <v>16912</v>
      </c>
      <c r="B387" s="1" t="s">
        <v>16591</v>
      </c>
      <c r="C387" s="1" t="s">
        <v>16592</v>
      </c>
      <c r="D387" s="1" t="s">
        <v>16593</v>
      </c>
      <c r="E387" s="1" t="s">
        <v>16594</v>
      </c>
    </row>
    <row r="388" spans="1:5" x14ac:dyDescent="0.15">
      <c r="A388" s="1" t="s">
        <v>16912</v>
      </c>
      <c r="B388" s="1" t="s">
        <v>16595</v>
      </c>
      <c r="C388" s="1" t="s">
        <v>16596</v>
      </c>
      <c r="D388" s="1" t="s">
        <v>16597</v>
      </c>
      <c r="E388" s="1" t="s">
        <v>16598</v>
      </c>
    </row>
    <row r="389" spans="1:5" x14ac:dyDescent="0.15">
      <c r="A389" s="1" t="s">
        <v>16912</v>
      </c>
      <c r="B389" s="1" t="s">
        <v>16599</v>
      </c>
      <c r="C389" s="1" t="s">
        <v>16600</v>
      </c>
      <c r="D389" s="1" t="s">
        <v>16601</v>
      </c>
      <c r="E389" s="1" t="s">
        <v>16602</v>
      </c>
    </row>
    <row r="390" spans="1:5" x14ac:dyDescent="0.15">
      <c r="A390" s="1" t="s">
        <v>16912</v>
      </c>
      <c r="B390" s="1" t="s">
        <v>16603</v>
      </c>
      <c r="C390" s="1" t="s">
        <v>16604</v>
      </c>
      <c r="D390" s="1" t="s">
        <v>16605</v>
      </c>
      <c r="E390" s="1" t="s">
        <v>16606</v>
      </c>
    </row>
    <row r="391" spans="1:5" x14ac:dyDescent="0.15">
      <c r="A391" s="1" t="s">
        <v>16912</v>
      </c>
      <c r="B391" s="1" t="s">
        <v>16607</v>
      </c>
      <c r="C391" s="1" t="s">
        <v>16608</v>
      </c>
      <c r="D391" s="1" t="s">
        <v>16609</v>
      </c>
      <c r="E391" s="1" t="s">
        <v>16610</v>
      </c>
    </row>
    <row r="392" spans="1:5" x14ac:dyDescent="0.15">
      <c r="A392" s="1" t="s">
        <v>16912</v>
      </c>
      <c r="B392" s="1" t="s">
        <v>16611</v>
      </c>
      <c r="C392" s="1" t="s">
        <v>16612</v>
      </c>
      <c r="D392" s="1" t="s">
        <v>16613</v>
      </c>
      <c r="E392" s="1" t="s">
        <v>16614</v>
      </c>
    </row>
    <row r="393" spans="1:5" x14ac:dyDescent="0.15">
      <c r="A393" s="1" t="s">
        <v>16912</v>
      </c>
      <c r="B393" s="1" t="s">
        <v>16615</v>
      </c>
      <c r="C393" s="1" t="s">
        <v>16616</v>
      </c>
      <c r="D393" s="1" t="s">
        <v>16617</v>
      </c>
      <c r="E393" s="1" t="s">
        <v>16618</v>
      </c>
    </row>
    <row r="394" spans="1:5" x14ac:dyDescent="0.15">
      <c r="A394" s="1" t="s">
        <v>16912</v>
      </c>
      <c r="B394" s="1" t="s">
        <v>16619</v>
      </c>
      <c r="C394" s="1" t="s">
        <v>16620</v>
      </c>
      <c r="D394" s="1" t="s">
        <v>16621</v>
      </c>
      <c r="E394" s="1" t="s">
        <v>16622</v>
      </c>
    </row>
    <row r="395" spans="1:5" x14ac:dyDescent="0.15">
      <c r="A395" s="1" t="s">
        <v>16912</v>
      </c>
      <c r="B395" s="1" t="s">
        <v>16623</v>
      </c>
      <c r="C395" s="1" t="s">
        <v>16624</v>
      </c>
      <c r="D395" s="1" t="s">
        <v>16625</v>
      </c>
      <c r="E395" s="1" t="s">
        <v>16626</v>
      </c>
    </row>
    <row r="396" spans="1:5" x14ac:dyDescent="0.15">
      <c r="A396" s="1" t="s">
        <v>16912</v>
      </c>
      <c r="B396" s="1" t="s">
        <v>16627</v>
      </c>
      <c r="C396" s="1" t="s">
        <v>16628</v>
      </c>
      <c r="D396" s="1" t="s">
        <v>16629</v>
      </c>
      <c r="E396" s="1" t="s">
        <v>16630</v>
      </c>
    </row>
    <row r="397" spans="1:5" x14ac:dyDescent="0.15">
      <c r="A397" s="1" t="s">
        <v>16912</v>
      </c>
      <c r="B397" s="1" t="s">
        <v>16631</v>
      </c>
      <c r="C397" s="1" t="s">
        <v>16632</v>
      </c>
      <c r="D397" s="1" t="s">
        <v>16633</v>
      </c>
      <c r="E397" s="1" t="s">
        <v>16634</v>
      </c>
    </row>
    <row r="398" spans="1:5" x14ac:dyDescent="0.15">
      <c r="A398" s="1" t="s">
        <v>16912</v>
      </c>
      <c r="B398" s="1" t="s">
        <v>16635</v>
      </c>
      <c r="C398" s="1" t="s">
        <v>16636</v>
      </c>
      <c r="D398" s="1" t="s">
        <v>16637</v>
      </c>
      <c r="E398" s="1" t="s">
        <v>16638</v>
      </c>
    </row>
    <row r="399" spans="1:5" x14ac:dyDescent="0.15">
      <c r="A399" s="1" t="s">
        <v>16912</v>
      </c>
      <c r="B399" s="1" t="s">
        <v>16639</v>
      </c>
      <c r="C399" s="1" t="s">
        <v>16640</v>
      </c>
      <c r="D399" s="1" t="s">
        <v>16641</v>
      </c>
      <c r="E399" s="1" t="s">
        <v>16642</v>
      </c>
    </row>
    <row r="400" spans="1:5" x14ac:dyDescent="0.15">
      <c r="A400" s="1" t="s">
        <v>16912</v>
      </c>
      <c r="B400" s="1" t="s">
        <v>16643</v>
      </c>
      <c r="C400" s="1" t="s">
        <v>16644</v>
      </c>
      <c r="D400" s="1" t="s">
        <v>16645</v>
      </c>
      <c r="E400" s="1" t="s">
        <v>16646</v>
      </c>
    </row>
    <row r="401" spans="1:5" x14ac:dyDescent="0.15">
      <c r="A401" s="1" t="s">
        <v>16912</v>
      </c>
      <c r="B401" s="1" t="s">
        <v>16647</v>
      </c>
      <c r="C401" s="1" t="s">
        <v>16648</v>
      </c>
      <c r="D401" s="1" t="s">
        <v>16649</v>
      </c>
      <c r="E401" s="1" t="s">
        <v>16650</v>
      </c>
    </row>
    <row r="402" spans="1:5" x14ac:dyDescent="0.15">
      <c r="A402" s="1" t="s">
        <v>16912</v>
      </c>
      <c r="B402" s="1" t="s">
        <v>16651</v>
      </c>
      <c r="C402" s="1" t="s">
        <v>16652</v>
      </c>
      <c r="D402" s="1" t="s">
        <v>16653</v>
      </c>
      <c r="E402" s="1" t="s">
        <v>16654</v>
      </c>
    </row>
    <row r="403" spans="1:5" x14ac:dyDescent="0.15">
      <c r="A403" s="1" t="s">
        <v>16912</v>
      </c>
      <c r="B403" s="1" t="s">
        <v>16655</v>
      </c>
      <c r="C403" s="1" t="s">
        <v>16652</v>
      </c>
      <c r="D403" s="1" t="s">
        <v>16656</v>
      </c>
      <c r="E403" s="1" t="s">
        <v>16657</v>
      </c>
    </row>
    <row r="404" spans="1:5" x14ac:dyDescent="0.15">
      <c r="A404" s="1" t="s">
        <v>16912</v>
      </c>
      <c r="B404" s="1" t="s">
        <v>16658</v>
      </c>
      <c r="C404" s="1" t="s">
        <v>16659</v>
      </c>
      <c r="D404" s="1" t="s">
        <v>16660</v>
      </c>
      <c r="E404" s="1" t="s">
        <v>16661</v>
      </c>
    </row>
    <row r="405" spans="1:5" x14ac:dyDescent="0.15">
      <c r="A405" s="1" t="s">
        <v>16912</v>
      </c>
      <c r="B405" s="1" t="s">
        <v>16662</v>
      </c>
      <c r="C405" s="1" t="s">
        <v>16659</v>
      </c>
      <c r="D405" s="1" t="s">
        <v>16663</v>
      </c>
      <c r="E405" s="1" t="s">
        <v>16664</v>
      </c>
    </row>
    <row r="406" spans="1:5" x14ac:dyDescent="0.15">
      <c r="A406" s="1" t="s">
        <v>16912</v>
      </c>
      <c r="B406" s="1" t="s">
        <v>16665</v>
      </c>
      <c r="C406" s="1" t="s">
        <v>16666</v>
      </c>
      <c r="D406" s="1" t="s">
        <v>16667</v>
      </c>
      <c r="E406" s="1" t="s">
        <v>16668</v>
      </c>
    </row>
    <row r="407" spans="1:5" x14ac:dyDescent="0.15">
      <c r="A407" s="1" t="s">
        <v>16912</v>
      </c>
      <c r="B407" s="1" t="s">
        <v>16669</v>
      </c>
      <c r="C407" s="1" t="s">
        <v>16666</v>
      </c>
      <c r="D407" s="1" t="s">
        <v>16670</v>
      </c>
      <c r="E407" s="1" t="s">
        <v>16671</v>
      </c>
    </row>
    <row r="408" spans="1:5" x14ac:dyDescent="0.15">
      <c r="A408" s="1" t="s">
        <v>16672</v>
      </c>
      <c r="B408" s="1" t="s">
        <v>16673</v>
      </c>
      <c r="C408" s="1" t="s">
        <v>16674</v>
      </c>
      <c r="D408" s="1" t="s">
        <v>16675</v>
      </c>
      <c r="E408" s="1" t="s">
        <v>16676</v>
      </c>
    </row>
    <row r="409" spans="1:5" x14ac:dyDescent="0.15">
      <c r="A409" s="1" t="s">
        <v>16672</v>
      </c>
      <c r="B409" s="1" t="s">
        <v>16677</v>
      </c>
      <c r="C409" s="1" t="s">
        <v>16678</v>
      </c>
      <c r="D409" s="1" t="s">
        <v>16679</v>
      </c>
      <c r="E409" s="1" t="s">
        <v>16680</v>
      </c>
    </row>
    <row r="410" spans="1:5" x14ac:dyDescent="0.15">
      <c r="A410" s="1" t="s">
        <v>16672</v>
      </c>
      <c r="B410" s="1" t="s">
        <v>16681</v>
      </c>
      <c r="C410" s="1" t="s">
        <v>16678</v>
      </c>
      <c r="D410" s="1" t="s">
        <v>16682</v>
      </c>
      <c r="E410" s="1" t="s">
        <v>16683</v>
      </c>
    </row>
    <row r="411" spans="1:5" x14ac:dyDescent="0.15">
      <c r="A411" s="1" t="s">
        <v>16672</v>
      </c>
      <c r="B411" s="1" t="s">
        <v>16684</v>
      </c>
      <c r="C411" s="1" t="s">
        <v>16685</v>
      </c>
      <c r="D411" s="1" t="s">
        <v>16686</v>
      </c>
      <c r="E411" s="1" t="s">
        <v>16687</v>
      </c>
    </row>
    <row r="412" spans="1:5" x14ac:dyDescent="0.15">
      <c r="A412" s="1" t="s">
        <v>16672</v>
      </c>
      <c r="B412" s="1" t="s">
        <v>16688</v>
      </c>
      <c r="C412" s="1" t="s">
        <v>16685</v>
      </c>
      <c r="D412" s="1" t="s">
        <v>16689</v>
      </c>
      <c r="E412" s="1" t="s">
        <v>16690</v>
      </c>
    </row>
    <row r="413" spans="1:5" x14ac:dyDescent="0.15">
      <c r="A413" s="1" t="s">
        <v>16672</v>
      </c>
      <c r="B413" s="1" t="s">
        <v>16691</v>
      </c>
      <c r="C413" s="1" t="s">
        <v>16692</v>
      </c>
      <c r="D413" s="1" t="s">
        <v>16693</v>
      </c>
      <c r="E413" s="1" t="s">
        <v>16694</v>
      </c>
    </row>
    <row r="414" spans="1:5" x14ac:dyDescent="0.15">
      <c r="A414" s="1" t="s">
        <v>16672</v>
      </c>
      <c r="B414" s="1" t="s">
        <v>16695</v>
      </c>
      <c r="C414" s="1" t="s">
        <v>16692</v>
      </c>
      <c r="D414" s="1" t="s">
        <v>16696</v>
      </c>
      <c r="E414" s="1" t="s">
        <v>16697</v>
      </c>
    </row>
    <row r="415" spans="1:5" x14ac:dyDescent="0.15">
      <c r="A415" s="1" t="s">
        <v>16672</v>
      </c>
      <c r="B415" s="1" t="s">
        <v>16698</v>
      </c>
      <c r="C415" s="1" t="s">
        <v>16699</v>
      </c>
      <c r="D415" s="1" t="s">
        <v>16700</v>
      </c>
      <c r="E415" s="1" t="s">
        <v>16701</v>
      </c>
    </row>
    <row r="416" spans="1:5" x14ac:dyDescent="0.15">
      <c r="A416" s="1" t="s">
        <v>16672</v>
      </c>
      <c r="B416" s="1" t="s">
        <v>16702</v>
      </c>
      <c r="C416" s="1" t="s">
        <v>16699</v>
      </c>
      <c r="D416" s="1" t="s">
        <v>16703</v>
      </c>
      <c r="E416" s="1" t="s">
        <v>16704</v>
      </c>
    </row>
    <row r="417" spans="1:5" x14ac:dyDescent="0.15">
      <c r="A417" s="1" t="s">
        <v>16672</v>
      </c>
      <c r="B417" s="1" t="s">
        <v>16705</v>
      </c>
      <c r="C417" s="1" t="s">
        <v>16706</v>
      </c>
      <c r="D417" s="1" t="s">
        <v>16707</v>
      </c>
      <c r="E417" s="1" t="s">
        <v>16708</v>
      </c>
    </row>
    <row r="418" spans="1:5" x14ac:dyDescent="0.15">
      <c r="A418" s="1" t="s">
        <v>16672</v>
      </c>
      <c r="B418" s="1" t="s">
        <v>16709</v>
      </c>
      <c r="C418" s="1" t="s">
        <v>16706</v>
      </c>
      <c r="D418" s="1" t="s">
        <v>16710</v>
      </c>
      <c r="E418" s="1" t="s">
        <v>16711</v>
      </c>
    </row>
    <row r="419" spans="1:5" x14ac:dyDescent="0.15">
      <c r="A419" s="1" t="s">
        <v>16672</v>
      </c>
      <c r="B419" s="1" t="s">
        <v>16712</v>
      </c>
      <c r="C419" s="1" t="s">
        <v>16713</v>
      </c>
      <c r="D419" s="1" t="s">
        <v>16714</v>
      </c>
      <c r="E419" s="1" t="s">
        <v>16715</v>
      </c>
    </row>
    <row r="420" spans="1:5" x14ac:dyDescent="0.15">
      <c r="A420" s="1" t="s">
        <v>16672</v>
      </c>
      <c r="B420" s="1" t="s">
        <v>16716</v>
      </c>
      <c r="C420" s="1" t="s">
        <v>16713</v>
      </c>
      <c r="D420" s="1" t="s">
        <v>16717</v>
      </c>
      <c r="E420" s="1" t="s">
        <v>16718</v>
      </c>
    </row>
    <row r="421" spans="1:5" x14ac:dyDescent="0.15">
      <c r="A421" s="1" t="s">
        <v>16672</v>
      </c>
      <c r="B421" s="1" t="s">
        <v>16719</v>
      </c>
      <c r="C421" s="1" t="s">
        <v>16720</v>
      </c>
      <c r="D421" s="1" t="s">
        <v>16721</v>
      </c>
      <c r="E421" s="1" t="s">
        <v>16722</v>
      </c>
    </row>
    <row r="422" spans="1:5" x14ac:dyDescent="0.15">
      <c r="A422" s="1" t="s">
        <v>16672</v>
      </c>
      <c r="B422" s="1" t="s">
        <v>16723</v>
      </c>
      <c r="C422" s="1" t="s">
        <v>16720</v>
      </c>
      <c r="D422" s="1" t="s">
        <v>16724</v>
      </c>
      <c r="E422" s="1" t="s">
        <v>16725</v>
      </c>
    </row>
    <row r="423" spans="1:5" x14ac:dyDescent="0.15">
      <c r="A423" s="1" t="s">
        <v>16672</v>
      </c>
      <c r="B423" s="1" t="s">
        <v>16726</v>
      </c>
      <c r="C423" s="1" t="s">
        <v>16727</v>
      </c>
      <c r="D423" s="1" t="s">
        <v>16728</v>
      </c>
      <c r="E423" s="1" t="s">
        <v>16729</v>
      </c>
    </row>
    <row r="424" spans="1:5" x14ac:dyDescent="0.15">
      <c r="A424" s="1" t="s">
        <v>16672</v>
      </c>
      <c r="B424" s="1" t="s">
        <v>16730</v>
      </c>
      <c r="C424" s="1" t="s">
        <v>16731</v>
      </c>
      <c r="D424" s="1" t="s">
        <v>16732</v>
      </c>
      <c r="E424" s="1" t="s">
        <v>16733</v>
      </c>
    </row>
    <row r="425" spans="1:5" x14ac:dyDescent="0.15">
      <c r="A425" s="1" t="s">
        <v>16672</v>
      </c>
      <c r="B425" s="1" t="s">
        <v>16734</v>
      </c>
      <c r="C425" s="1" t="s">
        <v>16735</v>
      </c>
      <c r="D425" s="1" t="s">
        <v>16736</v>
      </c>
      <c r="E425" s="1" t="s">
        <v>16737</v>
      </c>
    </row>
    <row r="426" spans="1:5" x14ac:dyDescent="0.15">
      <c r="A426" s="1" t="s">
        <v>16672</v>
      </c>
      <c r="B426" s="1" t="s">
        <v>16738</v>
      </c>
      <c r="C426" s="1" t="s">
        <v>16739</v>
      </c>
      <c r="D426" s="1" t="s">
        <v>16740</v>
      </c>
      <c r="E426" s="1" t="s">
        <v>16741</v>
      </c>
    </row>
    <row r="427" spans="1:5" x14ac:dyDescent="0.15">
      <c r="A427" s="1" t="s">
        <v>16672</v>
      </c>
      <c r="B427" s="1" t="s">
        <v>16742</v>
      </c>
      <c r="C427" s="1" t="s">
        <v>16743</v>
      </c>
      <c r="D427" s="1" t="s">
        <v>16744</v>
      </c>
      <c r="E427" s="1" t="s">
        <v>16745</v>
      </c>
    </row>
    <row r="428" spans="1:5" x14ac:dyDescent="0.15">
      <c r="A428" s="1" t="s">
        <v>16672</v>
      </c>
      <c r="B428" s="1" t="s">
        <v>16746</v>
      </c>
      <c r="C428" s="1" t="s">
        <v>16747</v>
      </c>
      <c r="D428" s="1" t="s">
        <v>16748</v>
      </c>
      <c r="E428" s="1" t="s">
        <v>16749</v>
      </c>
    </row>
    <row r="429" spans="1:5" x14ac:dyDescent="0.15">
      <c r="A429" s="1" t="s">
        <v>16672</v>
      </c>
      <c r="B429" s="1" t="s">
        <v>16750</v>
      </c>
      <c r="C429" s="1" t="s">
        <v>16751</v>
      </c>
      <c r="D429" s="1" t="s">
        <v>16752</v>
      </c>
      <c r="E429" s="1" t="s">
        <v>16753</v>
      </c>
    </row>
    <row r="430" spans="1:5" x14ac:dyDescent="0.15">
      <c r="A430" s="1" t="s">
        <v>16672</v>
      </c>
      <c r="B430" s="1" t="s">
        <v>16754</v>
      </c>
      <c r="C430" s="1" t="s">
        <v>16755</v>
      </c>
      <c r="D430" s="1" t="s">
        <v>16756</v>
      </c>
      <c r="E430" s="1" t="s">
        <v>16757</v>
      </c>
    </row>
    <row r="431" spans="1:5" x14ac:dyDescent="0.15">
      <c r="A431" s="1" t="s">
        <v>16672</v>
      </c>
      <c r="B431" s="1" t="s">
        <v>16758</v>
      </c>
      <c r="C431" s="1" t="s">
        <v>16755</v>
      </c>
      <c r="D431" s="1" t="s">
        <v>16759</v>
      </c>
      <c r="E431" s="1" t="s">
        <v>16760</v>
      </c>
    </row>
    <row r="432" spans="1:5" x14ac:dyDescent="0.15">
      <c r="A432" s="1" t="s">
        <v>16672</v>
      </c>
      <c r="B432" s="1" t="s">
        <v>16761</v>
      </c>
      <c r="C432" s="1" t="s">
        <v>16762</v>
      </c>
      <c r="D432" s="1" t="s">
        <v>16763</v>
      </c>
      <c r="E432" s="1" t="s">
        <v>16764</v>
      </c>
    </row>
    <row r="433" spans="1:5" x14ac:dyDescent="0.15">
      <c r="A433" s="1" t="s">
        <v>16672</v>
      </c>
      <c r="B433" s="1" t="s">
        <v>16765</v>
      </c>
      <c r="C433" s="1" t="s">
        <v>16762</v>
      </c>
      <c r="D433" s="1" t="s">
        <v>16766</v>
      </c>
      <c r="E433" s="1" t="s">
        <v>16767</v>
      </c>
    </row>
    <row r="434" spans="1:5" x14ac:dyDescent="0.15">
      <c r="A434" s="1" t="s">
        <v>16672</v>
      </c>
      <c r="B434" s="1" t="s">
        <v>16768</v>
      </c>
      <c r="C434" s="1" t="s">
        <v>16769</v>
      </c>
      <c r="D434" s="1" t="s">
        <v>16770</v>
      </c>
      <c r="E434" s="1" t="s">
        <v>16771</v>
      </c>
    </row>
    <row r="435" spans="1:5" x14ac:dyDescent="0.15">
      <c r="A435" s="1" t="s">
        <v>16672</v>
      </c>
      <c r="B435" s="1" t="s">
        <v>16772</v>
      </c>
      <c r="C435" s="1" t="s">
        <v>16769</v>
      </c>
      <c r="D435" s="1" t="s">
        <v>16773</v>
      </c>
      <c r="E435" s="1" t="s">
        <v>16774</v>
      </c>
    </row>
    <row r="436" spans="1:5" x14ac:dyDescent="0.15">
      <c r="A436" s="1" t="s">
        <v>16672</v>
      </c>
      <c r="B436" s="1" t="s">
        <v>16775</v>
      </c>
      <c r="C436" s="1" t="s">
        <v>16776</v>
      </c>
      <c r="D436" s="1" t="s">
        <v>16777</v>
      </c>
      <c r="E436" s="1" t="s">
        <v>16778</v>
      </c>
    </row>
    <row r="437" spans="1:5" x14ac:dyDescent="0.15">
      <c r="A437" s="1" t="s">
        <v>16672</v>
      </c>
      <c r="B437" s="1" t="s">
        <v>16779</v>
      </c>
      <c r="C437" s="1" t="s">
        <v>16776</v>
      </c>
      <c r="D437" s="1" t="s">
        <v>16780</v>
      </c>
      <c r="E437" s="1" t="s">
        <v>16781</v>
      </c>
    </row>
    <row r="438" spans="1:5" x14ac:dyDescent="0.15">
      <c r="A438" s="1" t="s">
        <v>16672</v>
      </c>
      <c r="B438" s="1" t="s">
        <v>16782</v>
      </c>
      <c r="C438" s="1" t="s">
        <v>16783</v>
      </c>
      <c r="D438" s="1" t="s">
        <v>16784</v>
      </c>
      <c r="E438" s="1" t="s">
        <v>16785</v>
      </c>
    </row>
    <row r="439" spans="1:5" x14ac:dyDescent="0.15">
      <c r="A439" s="1" t="s">
        <v>16672</v>
      </c>
      <c r="B439" s="1" t="s">
        <v>16786</v>
      </c>
      <c r="C439" s="1" t="s">
        <v>16783</v>
      </c>
      <c r="D439" s="1" t="s">
        <v>16787</v>
      </c>
      <c r="E439" s="1" t="s">
        <v>16788</v>
      </c>
    </row>
    <row r="440" spans="1:5" x14ac:dyDescent="0.15">
      <c r="A440" s="1" t="s">
        <v>16672</v>
      </c>
      <c r="B440" s="1" t="s">
        <v>16789</v>
      </c>
      <c r="C440" s="1" t="s">
        <v>16790</v>
      </c>
      <c r="D440" s="1" t="s">
        <v>16791</v>
      </c>
      <c r="E440" s="1" t="s">
        <v>16792</v>
      </c>
    </row>
    <row r="441" spans="1:5" x14ac:dyDescent="0.15">
      <c r="A441" s="1" t="s">
        <v>16672</v>
      </c>
      <c r="B441" s="1" t="s">
        <v>16793</v>
      </c>
      <c r="C441" s="1" t="s">
        <v>16790</v>
      </c>
      <c r="D441" s="1" t="s">
        <v>16794</v>
      </c>
      <c r="E441" s="1" t="s">
        <v>16795</v>
      </c>
    </row>
    <row r="442" spans="1:5" x14ac:dyDescent="0.15">
      <c r="A442" s="1" t="s">
        <v>16672</v>
      </c>
      <c r="B442" s="1" t="s">
        <v>16796</v>
      </c>
      <c r="C442" s="1" t="s">
        <v>16797</v>
      </c>
      <c r="D442" s="1" t="s">
        <v>16798</v>
      </c>
      <c r="E442" s="1" t="s">
        <v>16799</v>
      </c>
    </row>
    <row r="443" spans="1:5" x14ac:dyDescent="0.15">
      <c r="A443" s="1" t="s">
        <v>16672</v>
      </c>
      <c r="B443" s="1" t="s">
        <v>16800</v>
      </c>
      <c r="C443" s="1" t="s">
        <v>16797</v>
      </c>
      <c r="D443" s="1" t="s">
        <v>16801</v>
      </c>
      <c r="E443" s="1" t="s">
        <v>16802</v>
      </c>
    </row>
    <row r="444" spans="1:5" x14ac:dyDescent="0.15">
      <c r="A444" s="1" t="s">
        <v>16672</v>
      </c>
      <c r="B444" s="1" t="s">
        <v>16803</v>
      </c>
      <c r="C444" s="1" t="s">
        <v>16804</v>
      </c>
      <c r="D444" s="1" t="s">
        <v>16805</v>
      </c>
      <c r="E444" s="1" t="s">
        <v>16806</v>
      </c>
    </row>
    <row r="445" spans="1:5" x14ac:dyDescent="0.15">
      <c r="A445" s="1" t="s">
        <v>16672</v>
      </c>
      <c r="B445" s="1" t="s">
        <v>16807</v>
      </c>
      <c r="C445" s="1" t="s">
        <v>16804</v>
      </c>
      <c r="D445" s="1" t="s">
        <v>16808</v>
      </c>
      <c r="E445" s="1" t="s">
        <v>16809</v>
      </c>
    </row>
    <row r="446" spans="1:5" x14ac:dyDescent="0.15">
      <c r="A446" s="1" t="s">
        <v>16672</v>
      </c>
      <c r="B446" s="1" t="s">
        <v>16810</v>
      </c>
      <c r="C446" s="1" t="s">
        <v>16811</v>
      </c>
      <c r="D446" s="1" t="s">
        <v>16812</v>
      </c>
      <c r="E446" s="1" t="s">
        <v>16813</v>
      </c>
    </row>
    <row r="447" spans="1:5" x14ac:dyDescent="0.15">
      <c r="A447" s="1" t="s">
        <v>16672</v>
      </c>
      <c r="B447" s="1" t="s">
        <v>16814</v>
      </c>
      <c r="C447" s="1" t="s">
        <v>16811</v>
      </c>
      <c r="D447" s="1" t="s">
        <v>16815</v>
      </c>
      <c r="E447" s="1" t="s">
        <v>16816</v>
      </c>
    </row>
    <row r="448" spans="1:5" x14ac:dyDescent="0.15">
      <c r="A448" s="1" t="s">
        <v>16672</v>
      </c>
      <c r="B448" s="1" t="s">
        <v>16817</v>
      </c>
      <c r="C448" s="1" t="s">
        <v>16818</v>
      </c>
      <c r="D448" s="1" t="s">
        <v>16819</v>
      </c>
      <c r="E448" s="1" t="s">
        <v>16820</v>
      </c>
    </row>
    <row r="449" spans="1:5" x14ac:dyDescent="0.15">
      <c r="A449" s="1" t="s">
        <v>16672</v>
      </c>
      <c r="B449" s="1" t="s">
        <v>16821</v>
      </c>
      <c r="C449" s="1" t="s">
        <v>16818</v>
      </c>
      <c r="D449" s="1" t="s">
        <v>16822</v>
      </c>
      <c r="E449" s="1" t="s">
        <v>16823</v>
      </c>
    </row>
    <row r="450" spans="1:5" x14ac:dyDescent="0.15">
      <c r="A450" s="1" t="s">
        <v>16672</v>
      </c>
      <c r="B450" s="1" t="s">
        <v>16824</v>
      </c>
      <c r="C450" s="1" t="s">
        <v>16825</v>
      </c>
      <c r="D450" s="1" t="s">
        <v>16826</v>
      </c>
      <c r="E450" s="1" t="s">
        <v>16827</v>
      </c>
    </row>
    <row r="451" spans="1:5" x14ac:dyDescent="0.15">
      <c r="A451" s="1" t="s">
        <v>16672</v>
      </c>
      <c r="B451" s="1" t="s">
        <v>16828</v>
      </c>
      <c r="C451" s="1" t="s">
        <v>16825</v>
      </c>
      <c r="D451" s="1" t="s">
        <v>16829</v>
      </c>
      <c r="E451" s="1" t="s">
        <v>16830</v>
      </c>
    </row>
    <row r="452" spans="1:5" x14ac:dyDescent="0.15">
      <c r="A452" s="1" t="s">
        <v>16672</v>
      </c>
      <c r="B452" s="1" t="s">
        <v>16831</v>
      </c>
      <c r="C452" s="1" t="s">
        <v>16832</v>
      </c>
      <c r="D452" s="1" t="s">
        <v>16833</v>
      </c>
      <c r="E452" s="1" t="s">
        <v>16834</v>
      </c>
    </row>
    <row r="453" spans="1:5" x14ac:dyDescent="0.15">
      <c r="A453" s="1" t="s">
        <v>16672</v>
      </c>
      <c r="B453" s="1" t="s">
        <v>16835</v>
      </c>
      <c r="C453" s="1" t="s">
        <v>16832</v>
      </c>
      <c r="D453" s="1" t="s">
        <v>16836</v>
      </c>
      <c r="E453" s="1" t="s">
        <v>16837</v>
      </c>
    </row>
    <row r="454" spans="1:5" x14ac:dyDescent="0.15">
      <c r="A454" s="1" t="s">
        <v>16672</v>
      </c>
      <c r="B454" s="1" t="s">
        <v>16838</v>
      </c>
      <c r="C454" s="1" t="s">
        <v>16839</v>
      </c>
      <c r="D454" s="1" t="s">
        <v>16256</v>
      </c>
      <c r="E454" s="1" t="s">
        <v>16257</v>
      </c>
    </row>
    <row r="455" spans="1:5" x14ac:dyDescent="0.15">
      <c r="A455" s="1" t="s">
        <v>16672</v>
      </c>
      <c r="B455" s="1" t="s">
        <v>16258</v>
      </c>
      <c r="C455" s="1" t="s">
        <v>16839</v>
      </c>
      <c r="D455" s="1" t="s">
        <v>16259</v>
      </c>
      <c r="E455" s="1" t="s">
        <v>16260</v>
      </c>
    </row>
    <row r="456" spans="1:5" x14ac:dyDescent="0.15">
      <c r="A456" s="1" t="s">
        <v>16672</v>
      </c>
      <c r="B456" s="1" t="s">
        <v>16261</v>
      </c>
      <c r="C456" s="1" t="s">
        <v>16262</v>
      </c>
      <c r="D456" s="1" t="s">
        <v>16263</v>
      </c>
      <c r="E456" s="1" t="s">
        <v>16264</v>
      </c>
    </row>
    <row r="457" spans="1:5" x14ac:dyDescent="0.15">
      <c r="A457" s="1" t="s">
        <v>16672</v>
      </c>
      <c r="B457" s="1" t="s">
        <v>16265</v>
      </c>
      <c r="C457" s="1" t="s">
        <v>16262</v>
      </c>
      <c r="D457" s="1" t="s">
        <v>16266</v>
      </c>
      <c r="E457" s="1" t="s">
        <v>16267</v>
      </c>
    </row>
    <row r="458" spans="1:5" x14ac:dyDescent="0.15">
      <c r="A458" s="1" t="s">
        <v>16672</v>
      </c>
      <c r="B458" s="1" t="s">
        <v>16268</v>
      </c>
      <c r="C458" s="1" t="s">
        <v>16269</v>
      </c>
      <c r="D458" s="1" t="s">
        <v>16270</v>
      </c>
      <c r="E458" s="1" t="s">
        <v>16271</v>
      </c>
    </row>
    <row r="459" spans="1:5" x14ac:dyDescent="0.15">
      <c r="A459" s="1" t="s">
        <v>16672</v>
      </c>
      <c r="B459" s="1" t="s">
        <v>16272</v>
      </c>
      <c r="C459" s="1" t="s">
        <v>16269</v>
      </c>
      <c r="D459" s="1" t="s">
        <v>16273</v>
      </c>
      <c r="E459" s="1" t="s">
        <v>16274</v>
      </c>
    </row>
    <row r="460" spans="1:5" x14ac:dyDescent="0.15">
      <c r="A460" s="1" t="s">
        <v>16672</v>
      </c>
      <c r="B460" s="1" t="s">
        <v>16275</v>
      </c>
      <c r="C460" s="1" t="s">
        <v>16276</v>
      </c>
      <c r="D460" s="1" t="s">
        <v>16277</v>
      </c>
      <c r="E460" s="1" t="s">
        <v>16278</v>
      </c>
    </row>
    <row r="461" spans="1:5" x14ac:dyDescent="0.15">
      <c r="A461" s="1" t="s">
        <v>16672</v>
      </c>
      <c r="B461" s="1" t="s">
        <v>16279</v>
      </c>
      <c r="C461" s="1" t="s">
        <v>16276</v>
      </c>
      <c r="D461" s="1" t="s">
        <v>16280</v>
      </c>
      <c r="E461" s="1" t="s">
        <v>16281</v>
      </c>
    </row>
    <row r="462" spans="1:5" x14ac:dyDescent="0.15">
      <c r="A462" s="1" t="s">
        <v>16672</v>
      </c>
      <c r="B462" s="1" t="s">
        <v>16282</v>
      </c>
      <c r="C462" s="1" t="s">
        <v>16283</v>
      </c>
      <c r="D462" s="1" t="s">
        <v>16284</v>
      </c>
      <c r="E462" s="1" t="s">
        <v>16285</v>
      </c>
    </row>
    <row r="463" spans="1:5" x14ac:dyDescent="0.15">
      <c r="A463" s="1" t="s">
        <v>16672</v>
      </c>
      <c r="B463" s="1" t="s">
        <v>16286</v>
      </c>
      <c r="C463" s="1" t="s">
        <v>16283</v>
      </c>
      <c r="D463" s="1" t="s">
        <v>16287</v>
      </c>
      <c r="E463" s="1" t="s">
        <v>16288</v>
      </c>
    </row>
    <row r="464" spans="1:5" x14ac:dyDescent="0.15">
      <c r="A464" s="1" t="s">
        <v>16672</v>
      </c>
      <c r="B464" s="1" t="s">
        <v>16289</v>
      </c>
      <c r="C464" s="1" t="s">
        <v>16290</v>
      </c>
      <c r="D464" s="1" t="s">
        <v>16291</v>
      </c>
      <c r="E464" s="1" t="s">
        <v>16292</v>
      </c>
    </row>
    <row r="465" spans="1:5" x14ac:dyDescent="0.15">
      <c r="A465" s="1" t="s">
        <v>16672</v>
      </c>
      <c r="B465" s="1" t="s">
        <v>16293</v>
      </c>
      <c r="C465" s="1" t="s">
        <v>16290</v>
      </c>
      <c r="D465" s="1" t="s">
        <v>16294</v>
      </c>
      <c r="E465" s="1" t="s">
        <v>16295</v>
      </c>
    </row>
    <row r="466" spans="1:5" x14ac:dyDescent="0.15">
      <c r="A466" s="1" t="s">
        <v>16672</v>
      </c>
      <c r="B466" s="1" t="s">
        <v>16296</v>
      </c>
      <c r="C466" s="1" t="s">
        <v>16297</v>
      </c>
      <c r="D466" s="1" t="s">
        <v>16298</v>
      </c>
      <c r="E466" s="1" t="s">
        <v>16299</v>
      </c>
    </row>
    <row r="467" spans="1:5" x14ac:dyDescent="0.15">
      <c r="A467" s="1" t="s">
        <v>16672</v>
      </c>
      <c r="B467" s="1" t="s">
        <v>16300</v>
      </c>
      <c r="C467" s="1" t="s">
        <v>16297</v>
      </c>
      <c r="D467" s="1" t="s">
        <v>16301</v>
      </c>
      <c r="E467" s="1" t="s">
        <v>16302</v>
      </c>
    </row>
    <row r="468" spans="1:5" x14ac:dyDescent="0.15">
      <c r="A468" s="1" t="s">
        <v>16672</v>
      </c>
      <c r="B468" s="1" t="s">
        <v>16303</v>
      </c>
      <c r="C468" s="1" t="s">
        <v>16304</v>
      </c>
      <c r="D468" s="1" t="s">
        <v>16305</v>
      </c>
      <c r="E468" s="1" t="s">
        <v>16306</v>
      </c>
    </row>
    <row r="469" spans="1:5" x14ac:dyDescent="0.15">
      <c r="A469" s="1" t="s">
        <v>16672</v>
      </c>
      <c r="B469" s="1" t="s">
        <v>16307</v>
      </c>
      <c r="C469" s="1" t="s">
        <v>16304</v>
      </c>
      <c r="D469" s="1" t="s">
        <v>16308</v>
      </c>
      <c r="E469" s="1" t="s">
        <v>16309</v>
      </c>
    </row>
    <row r="470" spans="1:5" x14ac:dyDescent="0.15">
      <c r="A470" s="1" t="s">
        <v>16672</v>
      </c>
      <c r="B470" s="1" t="s">
        <v>16310</v>
      </c>
      <c r="C470" s="1" t="s">
        <v>16311</v>
      </c>
      <c r="D470" s="1" t="s">
        <v>16312</v>
      </c>
      <c r="E470" s="1" t="s">
        <v>16313</v>
      </c>
    </row>
    <row r="471" spans="1:5" x14ac:dyDescent="0.15">
      <c r="A471" s="1" t="s">
        <v>16672</v>
      </c>
      <c r="B471" s="1" t="s">
        <v>16314</v>
      </c>
      <c r="C471" s="1" t="s">
        <v>16311</v>
      </c>
      <c r="D471" s="1" t="s">
        <v>16315</v>
      </c>
      <c r="E471" s="1" t="s">
        <v>16316</v>
      </c>
    </row>
    <row r="472" spans="1:5" x14ac:dyDescent="0.15">
      <c r="A472" s="1" t="s">
        <v>16672</v>
      </c>
      <c r="B472" s="1" t="s">
        <v>16317</v>
      </c>
      <c r="C472" s="1" t="s">
        <v>16318</v>
      </c>
      <c r="D472" s="1" t="s">
        <v>16319</v>
      </c>
      <c r="E472" s="1" t="s">
        <v>16320</v>
      </c>
    </row>
    <row r="473" spans="1:5" x14ac:dyDescent="0.15">
      <c r="A473" s="1" t="s">
        <v>16672</v>
      </c>
      <c r="B473" s="1" t="s">
        <v>16321</v>
      </c>
      <c r="C473" s="1" t="s">
        <v>16318</v>
      </c>
      <c r="D473" s="1" t="s">
        <v>16322</v>
      </c>
      <c r="E473" s="1" t="s">
        <v>16323</v>
      </c>
    </row>
    <row r="474" spans="1:5" x14ac:dyDescent="0.15">
      <c r="A474" s="1" t="s">
        <v>16672</v>
      </c>
      <c r="B474" s="1" t="s">
        <v>16324</v>
      </c>
      <c r="C474" s="1" t="s">
        <v>16325</v>
      </c>
      <c r="D474" s="1" t="s">
        <v>16326</v>
      </c>
      <c r="E474" s="1" t="s">
        <v>16327</v>
      </c>
    </row>
    <row r="475" spans="1:5" x14ac:dyDescent="0.15">
      <c r="A475" s="1" t="s">
        <v>16672</v>
      </c>
      <c r="B475" s="1" t="s">
        <v>16328</v>
      </c>
      <c r="C475" s="1" t="s">
        <v>16325</v>
      </c>
      <c r="D475" s="1" t="s">
        <v>16329</v>
      </c>
      <c r="E475" s="1" t="s">
        <v>16330</v>
      </c>
    </row>
    <row r="476" spans="1:5" x14ac:dyDescent="0.15">
      <c r="A476" s="1" t="s">
        <v>16672</v>
      </c>
      <c r="B476" s="1" t="s">
        <v>16331</v>
      </c>
      <c r="C476" s="1" t="s">
        <v>16332</v>
      </c>
      <c r="D476" s="1" t="s">
        <v>16333</v>
      </c>
      <c r="E476" s="1" t="s">
        <v>16334</v>
      </c>
    </row>
    <row r="477" spans="1:5" x14ac:dyDescent="0.15">
      <c r="A477" s="1" t="s">
        <v>16672</v>
      </c>
      <c r="B477" s="1" t="s">
        <v>16335</v>
      </c>
      <c r="C477" s="1" t="s">
        <v>16332</v>
      </c>
      <c r="D477" s="1" t="s">
        <v>16336</v>
      </c>
      <c r="E477" s="1" t="s">
        <v>16337</v>
      </c>
    </row>
    <row r="478" spans="1:5" x14ac:dyDescent="0.15">
      <c r="A478" s="1" t="s">
        <v>16338</v>
      </c>
      <c r="B478" s="1" t="s">
        <v>16339</v>
      </c>
      <c r="C478" s="1" t="s">
        <v>16340</v>
      </c>
      <c r="D478" s="1" t="s">
        <v>16341</v>
      </c>
      <c r="E478" s="1" t="s">
        <v>16342</v>
      </c>
    </row>
    <row r="479" spans="1:5" x14ac:dyDescent="0.15">
      <c r="A479" s="1" t="s">
        <v>16338</v>
      </c>
      <c r="B479" s="1" t="s">
        <v>16343</v>
      </c>
      <c r="C479" s="1" t="s">
        <v>16344</v>
      </c>
      <c r="D479" s="1" t="s">
        <v>16345</v>
      </c>
      <c r="E479" s="1" t="s">
        <v>16346</v>
      </c>
    </row>
    <row r="480" spans="1:5" x14ac:dyDescent="0.15">
      <c r="A480" s="1" t="s">
        <v>16338</v>
      </c>
      <c r="B480" s="1" t="s">
        <v>16347</v>
      </c>
      <c r="C480" s="1" t="s">
        <v>16348</v>
      </c>
      <c r="D480" s="1" t="s">
        <v>16349</v>
      </c>
      <c r="E480" s="1" t="s">
        <v>16350</v>
      </c>
    </row>
    <row r="481" spans="1:5" x14ac:dyDescent="0.15">
      <c r="A481" s="1" t="s">
        <v>16338</v>
      </c>
      <c r="B481" s="1" t="s">
        <v>16351</v>
      </c>
      <c r="C481" s="1" t="s">
        <v>16352</v>
      </c>
      <c r="D481" s="1" t="s">
        <v>16353</v>
      </c>
      <c r="E481" s="1" t="s">
        <v>16354</v>
      </c>
    </row>
    <row r="482" spans="1:5" x14ac:dyDescent="0.15">
      <c r="A482" s="1" t="s">
        <v>16338</v>
      </c>
      <c r="B482" s="1" t="s">
        <v>16355</v>
      </c>
      <c r="C482" s="1" t="s">
        <v>16356</v>
      </c>
      <c r="D482" s="1" t="s">
        <v>16357</v>
      </c>
      <c r="E482" s="1" t="s">
        <v>16358</v>
      </c>
    </row>
    <row r="483" spans="1:5" x14ac:dyDescent="0.15">
      <c r="A483" s="1" t="s">
        <v>16338</v>
      </c>
      <c r="B483" s="1" t="s">
        <v>16359</v>
      </c>
      <c r="C483" s="1" t="s">
        <v>16360</v>
      </c>
      <c r="D483" s="1" t="s">
        <v>16361</v>
      </c>
      <c r="E483" s="1" t="s">
        <v>16362</v>
      </c>
    </row>
    <row r="484" spans="1:5" x14ac:dyDescent="0.15">
      <c r="A484" s="1" t="s">
        <v>16338</v>
      </c>
      <c r="B484" s="1" t="s">
        <v>16363</v>
      </c>
      <c r="C484" s="1" t="s">
        <v>16364</v>
      </c>
      <c r="D484" s="1" t="s">
        <v>16365</v>
      </c>
      <c r="E484" s="1" t="s">
        <v>16366</v>
      </c>
    </row>
    <row r="485" spans="1:5" x14ac:dyDescent="0.15">
      <c r="A485" s="1" t="s">
        <v>16338</v>
      </c>
      <c r="B485" s="1" t="s">
        <v>16367</v>
      </c>
      <c r="C485" s="1" t="s">
        <v>16368</v>
      </c>
      <c r="D485" s="1" t="s">
        <v>16369</v>
      </c>
      <c r="E485" s="1" t="s">
        <v>16370</v>
      </c>
    </row>
    <row r="486" spans="1:5" x14ac:dyDescent="0.15">
      <c r="A486" s="1" t="s">
        <v>16338</v>
      </c>
      <c r="B486" s="1" t="s">
        <v>16371</v>
      </c>
      <c r="C486" s="1" t="s">
        <v>16372</v>
      </c>
      <c r="D486" s="1" t="s">
        <v>16373</v>
      </c>
      <c r="E486" s="1" t="s">
        <v>16374</v>
      </c>
    </row>
    <row r="487" spans="1:5" x14ac:dyDescent="0.15">
      <c r="A487" s="1" t="s">
        <v>16338</v>
      </c>
      <c r="B487" s="1" t="s">
        <v>16375</v>
      </c>
      <c r="C487" s="1" t="s">
        <v>16376</v>
      </c>
      <c r="D487" s="1" t="s">
        <v>16377</v>
      </c>
      <c r="E487" s="1" t="s">
        <v>16378</v>
      </c>
    </row>
    <row r="488" spans="1:5" x14ac:dyDescent="0.15">
      <c r="A488" s="1" t="s">
        <v>16338</v>
      </c>
      <c r="B488" s="1" t="s">
        <v>16379</v>
      </c>
      <c r="C488" s="1" t="s">
        <v>16380</v>
      </c>
      <c r="D488" s="1" t="s">
        <v>16381</v>
      </c>
      <c r="E488" s="1" t="s">
        <v>16382</v>
      </c>
    </row>
    <row r="489" spans="1:5" x14ac:dyDescent="0.15">
      <c r="A489" s="1" t="s">
        <v>16338</v>
      </c>
      <c r="B489" s="1" t="s">
        <v>16383</v>
      </c>
      <c r="C489" s="1" t="s">
        <v>16384</v>
      </c>
      <c r="D489" s="1" t="s">
        <v>16385</v>
      </c>
      <c r="E489" s="1" t="s">
        <v>16386</v>
      </c>
    </row>
    <row r="490" spans="1:5" x14ac:dyDescent="0.15">
      <c r="A490" s="1" t="s">
        <v>16338</v>
      </c>
      <c r="B490" s="1" t="s">
        <v>16387</v>
      </c>
      <c r="C490" s="1" t="s">
        <v>16388</v>
      </c>
      <c r="D490" s="1" t="s">
        <v>16389</v>
      </c>
      <c r="E490" s="1" t="s">
        <v>16390</v>
      </c>
    </row>
    <row r="491" spans="1:5" x14ac:dyDescent="0.15">
      <c r="A491" s="1" t="s">
        <v>16338</v>
      </c>
      <c r="B491" s="1" t="s">
        <v>16391</v>
      </c>
      <c r="C491" s="1" t="s">
        <v>16392</v>
      </c>
      <c r="D491" s="1" t="s">
        <v>16393</v>
      </c>
      <c r="E491" s="1" t="s">
        <v>16394</v>
      </c>
    </row>
    <row r="492" spans="1:5" x14ac:dyDescent="0.15">
      <c r="A492" s="1" t="s">
        <v>16338</v>
      </c>
      <c r="B492" s="1" t="s">
        <v>16395</v>
      </c>
      <c r="C492" s="1" t="s">
        <v>16396</v>
      </c>
      <c r="D492" s="1" t="s">
        <v>16397</v>
      </c>
      <c r="E492" s="1" t="s">
        <v>16398</v>
      </c>
    </row>
    <row r="493" spans="1:5" x14ac:dyDescent="0.15">
      <c r="A493" s="1" t="s">
        <v>16338</v>
      </c>
      <c r="B493" s="1" t="s">
        <v>16399</v>
      </c>
      <c r="C493" s="1" t="s">
        <v>16400</v>
      </c>
      <c r="D493" s="1" t="s">
        <v>16401</v>
      </c>
      <c r="E493" s="1" t="s">
        <v>16402</v>
      </c>
    </row>
    <row r="494" spans="1:5" x14ac:dyDescent="0.15">
      <c r="A494" s="1" t="s">
        <v>16338</v>
      </c>
      <c r="B494" s="1" t="s">
        <v>16403</v>
      </c>
      <c r="C494" s="1" t="s">
        <v>16404</v>
      </c>
      <c r="D494" s="1" t="s">
        <v>16405</v>
      </c>
      <c r="E494" s="1" t="s">
        <v>16406</v>
      </c>
    </row>
    <row r="495" spans="1:5" x14ac:dyDescent="0.15">
      <c r="A495" s="1" t="s">
        <v>16338</v>
      </c>
      <c r="B495" s="1" t="s">
        <v>16407</v>
      </c>
      <c r="C495" s="1" t="s">
        <v>16408</v>
      </c>
      <c r="D495" s="1" t="s">
        <v>16409</v>
      </c>
      <c r="E495" s="1" t="s">
        <v>16410</v>
      </c>
    </row>
    <row r="496" spans="1:5" x14ac:dyDescent="0.15">
      <c r="A496" s="1" t="s">
        <v>16338</v>
      </c>
      <c r="B496" s="1" t="s">
        <v>16411</v>
      </c>
      <c r="C496" s="1" t="s">
        <v>16412</v>
      </c>
      <c r="D496" s="1" t="s">
        <v>16413</v>
      </c>
      <c r="E496" s="1" t="s">
        <v>16414</v>
      </c>
    </row>
    <row r="497" spans="1:5" x14ac:dyDescent="0.15">
      <c r="A497" s="1" t="s">
        <v>16338</v>
      </c>
      <c r="B497" s="1" t="s">
        <v>16415</v>
      </c>
      <c r="C497" s="1" t="s">
        <v>16416</v>
      </c>
      <c r="D497" s="1" t="s">
        <v>16417</v>
      </c>
      <c r="E497" s="1" t="s">
        <v>16418</v>
      </c>
    </row>
    <row r="498" spans="1:5" x14ac:dyDescent="0.15">
      <c r="A498" s="1" t="s">
        <v>16338</v>
      </c>
      <c r="B498" s="1" t="s">
        <v>16419</v>
      </c>
      <c r="C498" s="1" t="s">
        <v>16420</v>
      </c>
      <c r="D498" s="1" t="s">
        <v>16421</v>
      </c>
      <c r="E498" s="1" t="s">
        <v>16422</v>
      </c>
    </row>
    <row r="499" spans="1:5" x14ac:dyDescent="0.15">
      <c r="A499" s="1" t="s">
        <v>16338</v>
      </c>
      <c r="B499" s="1" t="s">
        <v>16423</v>
      </c>
      <c r="C499" s="1" t="s">
        <v>16424</v>
      </c>
      <c r="D499" s="1" t="s">
        <v>16425</v>
      </c>
      <c r="E499" s="1" t="s">
        <v>16426</v>
      </c>
    </row>
    <row r="500" spans="1:5" x14ac:dyDescent="0.15">
      <c r="A500" s="1" t="s">
        <v>16338</v>
      </c>
      <c r="B500" s="1" t="s">
        <v>16427</v>
      </c>
      <c r="C500" s="1" t="s">
        <v>16428</v>
      </c>
      <c r="D500" s="1" t="s">
        <v>16429</v>
      </c>
      <c r="E500" s="1" t="s">
        <v>16430</v>
      </c>
    </row>
    <row r="501" spans="1:5" x14ac:dyDescent="0.15">
      <c r="A501" s="1" t="s">
        <v>16338</v>
      </c>
      <c r="B501" s="1" t="s">
        <v>16431</v>
      </c>
      <c r="C501" s="1" t="s">
        <v>16432</v>
      </c>
      <c r="D501" s="1" t="s">
        <v>16433</v>
      </c>
      <c r="E501" s="1" t="s">
        <v>16434</v>
      </c>
    </row>
    <row r="502" spans="1:5" x14ac:dyDescent="0.15">
      <c r="A502" s="1" t="s">
        <v>16338</v>
      </c>
      <c r="B502" s="1" t="s">
        <v>16435</v>
      </c>
      <c r="C502" s="1" t="s">
        <v>16436</v>
      </c>
      <c r="D502" s="1" t="s">
        <v>16437</v>
      </c>
      <c r="E502" s="1" t="s">
        <v>16438</v>
      </c>
    </row>
    <row r="503" spans="1:5" x14ac:dyDescent="0.15">
      <c r="A503" s="1" t="s">
        <v>16338</v>
      </c>
      <c r="B503" s="1" t="s">
        <v>16439</v>
      </c>
      <c r="C503" s="1" t="s">
        <v>16440</v>
      </c>
      <c r="D503" s="1" t="s">
        <v>16441</v>
      </c>
      <c r="E503" s="1" t="s">
        <v>16442</v>
      </c>
    </row>
    <row r="504" spans="1:5" x14ac:dyDescent="0.15">
      <c r="A504" s="1" t="s">
        <v>16338</v>
      </c>
      <c r="B504" s="1" t="s">
        <v>16443</v>
      </c>
      <c r="C504" s="1" t="s">
        <v>16444</v>
      </c>
      <c r="D504" s="1" t="s">
        <v>16445</v>
      </c>
      <c r="E504" s="1" t="s">
        <v>16446</v>
      </c>
    </row>
    <row r="505" spans="1:5" x14ac:dyDescent="0.15">
      <c r="A505" s="1" t="s">
        <v>16338</v>
      </c>
      <c r="B505" s="1" t="s">
        <v>16447</v>
      </c>
      <c r="C505" s="1" t="s">
        <v>16448</v>
      </c>
      <c r="D505" s="1" t="s">
        <v>16449</v>
      </c>
      <c r="E505" s="1" t="s">
        <v>16450</v>
      </c>
    </row>
    <row r="506" spans="1:5" x14ac:dyDescent="0.15">
      <c r="A506" s="1" t="s">
        <v>16338</v>
      </c>
      <c r="B506" s="1" t="s">
        <v>16451</v>
      </c>
      <c r="C506" s="1" t="s">
        <v>16452</v>
      </c>
      <c r="D506" s="1" t="s">
        <v>16453</v>
      </c>
      <c r="E506" s="1" t="s">
        <v>16454</v>
      </c>
    </row>
    <row r="507" spans="1:5" x14ac:dyDescent="0.15">
      <c r="A507" s="1" t="s">
        <v>16338</v>
      </c>
      <c r="B507" s="1" t="s">
        <v>16455</v>
      </c>
      <c r="C507" s="1" t="s">
        <v>16456</v>
      </c>
      <c r="D507" s="1" t="s">
        <v>16457</v>
      </c>
      <c r="E507" s="1" t="s">
        <v>16458</v>
      </c>
    </row>
    <row r="508" spans="1:5" x14ac:dyDescent="0.15">
      <c r="A508" s="1" t="s">
        <v>16338</v>
      </c>
      <c r="B508" s="1" t="s">
        <v>16459</v>
      </c>
      <c r="C508" s="1" t="s">
        <v>16460</v>
      </c>
      <c r="D508" s="1" t="s">
        <v>16461</v>
      </c>
      <c r="E508" s="1" t="s">
        <v>16462</v>
      </c>
    </row>
    <row r="509" spans="1:5" x14ac:dyDescent="0.15">
      <c r="A509" s="1" t="s">
        <v>16338</v>
      </c>
      <c r="B509" s="1" t="s">
        <v>16463</v>
      </c>
      <c r="C509" s="1" t="s">
        <v>16464</v>
      </c>
      <c r="D509" s="1" t="s">
        <v>16465</v>
      </c>
      <c r="E509" s="1" t="s">
        <v>16466</v>
      </c>
    </row>
    <row r="510" spans="1:5" x14ac:dyDescent="0.15">
      <c r="A510" s="1" t="s">
        <v>16338</v>
      </c>
      <c r="B510" s="1" t="s">
        <v>16467</v>
      </c>
      <c r="C510" s="1" t="s">
        <v>16468</v>
      </c>
      <c r="D510" s="1" t="s">
        <v>16469</v>
      </c>
      <c r="E510" s="1" t="s">
        <v>16470</v>
      </c>
    </row>
    <row r="511" spans="1:5" x14ac:dyDescent="0.15">
      <c r="A511" s="1" t="s">
        <v>16338</v>
      </c>
      <c r="B511" s="1" t="s">
        <v>16471</v>
      </c>
      <c r="C511" s="1" t="s">
        <v>16472</v>
      </c>
      <c r="D511" s="1" t="s">
        <v>16473</v>
      </c>
      <c r="E511" s="1" t="s">
        <v>16474</v>
      </c>
    </row>
    <row r="512" spans="1:5" x14ac:dyDescent="0.15">
      <c r="A512" s="1" t="s">
        <v>16338</v>
      </c>
      <c r="B512" s="1" t="s">
        <v>16475</v>
      </c>
      <c r="C512" s="1" t="s">
        <v>16476</v>
      </c>
      <c r="D512" s="1" t="s">
        <v>16477</v>
      </c>
      <c r="E512" s="1" t="s">
        <v>16478</v>
      </c>
    </row>
    <row r="513" spans="1:5" x14ac:dyDescent="0.15">
      <c r="A513" s="1" t="s">
        <v>16338</v>
      </c>
      <c r="B513" s="1" t="s">
        <v>16479</v>
      </c>
      <c r="C513" s="1" t="s">
        <v>16480</v>
      </c>
      <c r="D513" s="1" t="s">
        <v>16481</v>
      </c>
      <c r="E513" s="1" t="s">
        <v>16482</v>
      </c>
    </row>
    <row r="514" spans="1:5" x14ac:dyDescent="0.15">
      <c r="A514" s="1" t="s">
        <v>16338</v>
      </c>
      <c r="B514" s="1" t="s">
        <v>16483</v>
      </c>
      <c r="C514" s="1" t="s">
        <v>16484</v>
      </c>
      <c r="D514" s="1" t="s">
        <v>16485</v>
      </c>
      <c r="E514" s="1" t="s">
        <v>16486</v>
      </c>
    </row>
    <row r="515" spans="1:5" x14ac:dyDescent="0.15">
      <c r="A515" s="1" t="s">
        <v>16338</v>
      </c>
      <c r="B515" s="1" t="s">
        <v>16487</v>
      </c>
      <c r="C515" s="1" t="s">
        <v>16488</v>
      </c>
      <c r="D515" s="1" t="s">
        <v>16489</v>
      </c>
      <c r="E515" s="1" t="s">
        <v>16490</v>
      </c>
    </row>
    <row r="516" spans="1:5" x14ac:dyDescent="0.15">
      <c r="A516" s="1" t="s">
        <v>16338</v>
      </c>
      <c r="B516" s="1" t="s">
        <v>16491</v>
      </c>
      <c r="C516" s="1" t="s">
        <v>16492</v>
      </c>
      <c r="D516" s="1" t="s">
        <v>15916</v>
      </c>
      <c r="E516" s="1" t="s">
        <v>15917</v>
      </c>
    </row>
    <row r="517" spans="1:5" x14ac:dyDescent="0.15">
      <c r="A517" s="1" t="s">
        <v>16338</v>
      </c>
      <c r="B517" s="1" t="s">
        <v>15918</v>
      </c>
      <c r="C517" s="1" t="s">
        <v>15919</v>
      </c>
      <c r="D517" s="1" t="s">
        <v>15920</v>
      </c>
      <c r="E517" s="1" t="s">
        <v>15921</v>
      </c>
    </row>
    <row r="518" spans="1:5" x14ac:dyDescent="0.15">
      <c r="A518" s="1" t="s">
        <v>16338</v>
      </c>
      <c r="B518" s="1" t="s">
        <v>15922</v>
      </c>
      <c r="C518" s="1" t="s">
        <v>15923</v>
      </c>
      <c r="D518" s="1" t="s">
        <v>15924</v>
      </c>
      <c r="E518" s="1" t="s">
        <v>15925</v>
      </c>
    </row>
    <row r="519" spans="1:5" x14ac:dyDescent="0.15">
      <c r="A519" s="1" t="s">
        <v>16338</v>
      </c>
      <c r="B519" s="1" t="s">
        <v>15926</v>
      </c>
      <c r="C519" s="1" t="s">
        <v>15927</v>
      </c>
      <c r="D519" s="1" t="s">
        <v>15928</v>
      </c>
      <c r="E519" s="1" t="s">
        <v>15929</v>
      </c>
    </row>
    <row r="520" spans="1:5" x14ac:dyDescent="0.15">
      <c r="A520" s="1" t="s">
        <v>16338</v>
      </c>
      <c r="B520" s="1" t="s">
        <v>15930</v>
      </c>
      <c r="C520" s="1" t="s">
        <v>15931</v>
      </c>
      <c r="D520" s="1" t="s">
        <v>15932</v>
      </c>
      <c r="E520" s="1" t="s">
        <v>15933</v>
      </c>
    </row>
    <row r="521" spans="1:5" x14ac:dyDescent="0.15">
      <c r="A521" s="1" t="s">
        <v>16338</v>
      </c>
      <c r="B521" s="1" t="s">
        <v>15934</v>
      </c>
      <c r="C521" s="1" t="s">
        <v>15935</v>
      </c>
      <c r="D521" s="1" t="s">
        <v>15936</v>
      </c>
      <c r="E521" s="1" t="s">
        <v>15937</v>
      </c>
    </row>
    <row r="522" spans="1:5" x14ac:dyDescent="0.15">
      <c r="A522" s="1" t="s">
        <v>16338</v>
      </c>
      <c r="B522" s="1" t="s">
        <v>15938</v>
      </c>
      <c r="C522" s="1" t="s">
        <v>15939</v>
      </c>
      <c r="D522" s="1" t="s">
        <v>15940</v>
      </c>
      <c r="E522" s="1" t="s">
        <v>15941</v>
      </c>
    </row>
    <row r="523" spans="1:5" x14ac:dyDescent="0.15">
      <c r="A523" s="1" t="s">
        <v>16338</v>
      </c>
      <c r="B523" s="1" t="s">
        <v>15942</v>
      </c>
      <c r="C523" s="1" t="s">
        <v>15943</v>
      </c>
      <c r="D523" s="1" t="s">
        <v>15944</v>
      </c>
      <c r="E523" s="1" t="s">
        <v>15945</v>
      </c>
    </row>
    <row r="524" spans="1:5" x14ac:dyDescent="0.15">
      <c r="A524" s="1" t="s">
        <v>16338</v>
      </c>
      <c r="B524" s="1" t="s">
        <v>15946</v>
      </c>
      <c r="C524" s="1" t="s">
        <v>15947</v>
      </c>
      <c r="D524" s="1" t="s">
        <v>15948</v>
      </c>
      <c r="E524" s="1" t="s">
        <v>15949</v>
      </c>
    </row>
    <row r="525" spans="1:5" x14ac:dyDescent="0.15">
      <c r="A525" s="1" t="s">
        <v>16338</v>
      </c>
      <c r="B525" s="1" t="s">
        <v>15950</v>
      </c>
      <c r="C525" s="1" t="s">
        <v>15951</v>
      </c>
      <c r="D525" s="1" t="s">
        <v>15952</v>
      </c>
      <c r="E525" s="1" t="s">
        <v>15953</v>
      </c>
    </row>
    <row r="526" spans="1:5" x14ac:dyDescent="0.15">
      <c r="A526" s="1" t="s">
        <v>16338</v>
      </c>
      <c r="B526" s="1" t="s">
        <v>15954</v>
      </c>
      <c r="C526" s="1" t="s">
        <v>15955</v>
      </c>
      <c r="D526" s="1" t="s">
        <v>15956</v>
      </c>
      <c r="E526" s="1" t="s">
        <v>15957</v>
      </c>
    </row>
    <row r="527" spans="1:5" x14ac:dyDescent="0.15">
      <c r="A527" s="1" t="s">
        <v>16338</v>
      </c>
      <c r="B527" s="1" t="s">
        <v>15958</v>
      </c>
      <c r="C527" s="1" t="s">
        <v>15959</v>
      </c>
      <c r="D527" s="1" t="s">
        <v>15960</v>
      </c>
      <c r="E527" s="1" t="s">
        <v>15961</v>
      </c>
    </row>
    <row r="528" spans="1:5" x14ac:dyDescent="0.15">
      <c r="A528" s="1" t="s">
        <v>15962</v>
      </c>
      <c r="B528" s="1" t="s">
        <v>15963</v>
      </c>
      <c r="C528" s="1" t="s">
        <v>15964</v>
      </c>
      <c r="D528" s="1" t="s">
        <v>15965</v>
      </c>
      <c r="E528" s="1" t="s">
        <v>15966</v>
      </c>
    </row>
    <row r="529" spans="1:5" x14ac:dyDescent="0.15">
      <c r="A529" s="1" t="s">
        <v>15962</v>
      </c>
      <c r="B529" s="1" t="s">
        <v>15967</v>
      </c>
      <c r="C529" s="1" t="s">
        <v>15968</v>
      </c>
      <c r="D529" s="1" t="s">
        <v>15969</v>
      </c>
      <c r="E529" s="1" t="s">
        <v>15970</v>
      </c>
    </row>
    <row r="530" spans="1:5" x14ac:dyDescent="0.15">
      <c r="A530" s="1" t="s">
        <v>15962</v>
      </c>
      <c r="B530" s="1" t="s">
        <v>15971</v>
      </c>
      <c r="C530" s="1" t="s">
        <v>15972</v>
      </c>
      <c r="D530" s="1" t="s">
        <v>15973</v>
      </c>
      <c r="E530" s="1" t="s">
        <v>15974</v>
      </c>
    </row>
    <row r="531" spans="1:5" x14ac:dyDescent="0.15">
      <c r="A531" s="1" t="s">
        <v>15962</v>
      </c>
      <c r="B531" s="1" t="s">
        <v>15975</v>
      </c>
      <c r="C531" s="1" t="s">
        <v>15976</v>
      </c>
      <c r="D531" s="1" t="s">
        <v>15977</v>
      </c>
      <c r="E531" s="1" t="s">
        <v>15978</v>
      </c>
    </row>
    <row r="532" spans="1:5" x14ac:dyDescent="0.15">
      <c r="A532" s="1" t="s">
        <v>15962</v>
      </c>
      <c r="B532" s="1" t="s">
        <v>15979</v>
      </c>
      <c r="C532" s="1" t="s">
        <v>15980</v>
      </c>
      <c r="D532" s="1" t="s">
        <v>15981</v>
      </c>
      <c r="E532" s="1" t="s">
        <v>15982</v>
      </c>
    </row>
    <row r="533" spans="1:5" x14ac:dyDescent="0.15">
      <c r="A533" s="1" t="s">
        <v>15962</v>
      </c>
      <c r="B533" s="1" t="s">
        <v>15983</v>
      </c>
      <c r="C533" s="1" t="s">
        <v>15984</v>
      </c>
      <c r="D533" s="1" t="s">
        <v>15985</v>
      </c>
      <c r="E533" s="1" t="s">
        <v>15986</v>
      </c>
    </row>
    <row r="534" spans="1:5" x14ac:dyDescent="0.15">
      <c r="A534" s="1" t="s">
        <v>15962</v>
      </c>
      <c r="B534" s="1" t="s">
        <v>15987</v>
      </c>
      <c r="C534" s="1" t="s">
        <v>15988</v>
      </c>
      <c r="D534" s="1" t="s">
        <v>15989</v>
      </c>
      <c r="E534" s="1" t="s">
        <v>15990</v>
      </c>
    </row>
    <row r="535" spans="1:5" x14ac:dyDescent="0.15">
      <c r="A535" s="1" t="s">
        <v>15962</v>
      </c>
      <c r="B535" s="1" t="s">
        <v>15991</v>
      </c>
      <c r="C535" s="1" t="s">
        <v>15992</v>
      </c>
      <c r="D535" s="1" t="s">
        <v>15993</v>
      </c>
      <c r="E535" s="1" t="s">
        <v>15994</v>
      </c>
    </row>
    <row r="536" spans="1:5" x14ac:dyDescent="0.15">
      <c r="A536" s="1" t="s">
        <v>15962</v>
      </c>
      <c r="B536" s="1" t="s">
        <v>15995</v>
      </c>
      <c r="C536" s="1" t="s">
        <v>15996</v>
      </c>
      <c r="D536" s="1" t="s">
        <v>15997</v>
      </c>
      <c r="E536" s="1" t="s">
        <v>15998</v>
      </c>
    </row>
    <row r="537" spans="1:5" x14ac:dyDescent="0.15">
      <c r="A537" s="1" t="s">
        <v>15962</v>
      </c>
      <c r="B537" s="1" t="s">
        <v>15999</v>
      </c>
      <c r="C537" s="1" t="s">
        <v>16000</v>
      </c>
      <c r="D537" s="1" t="s">
        <v>16001</v>
      </c>
      <c r="E537" s="1" t="s">
        <v>16002</v>
      </c>
    </row>
    <row r="538" spans="1:5" x14ac:dyDescent="0.15">
      <c r="A538" s="1" t="s">
        <v>15962</v>
      </c>
      <c r="B538" s="1" t="s">
        <v>16003</v>
      </c>
      <c r="C538" s="1" t="s">
        <v>16004</v>
      </c>
      <c r="D538" s="1" t="s">
        <v>16005</v>
      </c>
      <c r="E538" s="1" t="s">
        <v>16006</v>
      </c>
    </row>
    <row r="539" spans="1:5" x14ac:dyDescent="0.15">
      <c r="A539" s="1" t="s">
        <v>15962</v>
      </c>
      <c r="B539" s="1" t="s">
        <v>16007</v>
      </c>
      <c r="C539" s="1" t="s">
        <v>16008</v>
      </c>
      <c r="D539" s="1" t="s">
        <v>16009</v>
      </c>
      <c r="E539" s="1" t="s">
        <v>16010</v>
      </c>
    </row>
    <row r="540" spans="1:5" x14ac:dyDescent="0.15">
      <c r="A540" s="1" t="s">
        <v>15962</v>
      </c>
      <c r="B540" s="1" t="s">
        <v>16011</v>
      </c>
      <c r="C540" s="1" t="s">
        <v>16000</v>
      </c>
      <c r="D540" s="1" t="s">
        <v>16001</v>
      </c>
      <c r="E540" s="1" t="s">
        <v>16012</v>
      </c>
    </row>
    <row r="541" spans="1:5" x14ac:dyDescent="0.15">
      <c r="A541" s="1" t="s">
        <v>15962</v>
      </c>
      <c r="B541" s="1" t="s">
        <v>16013</v>
      </c>
      <c r="C541" s="1" t="s">
        <v>16014</v>
      </c>
      <c r="D541" s="1" t="s">
        <v>16015</v>
      </c>
      <c r="E541" s="1" t="s">
        <v>16016</v>
      </c>
    </row>
    <row r="542" spans="1:5" x14ac:dyDescent="0.15">
      <c r="A542" s="1" t="s">
        <v>15962</v>
      </c>
      <c r="B542" s="1" t="s">
        <v>16017</v>
      </c>
      <c r="C542" s="1" t="s">
        <v>16018</v>
      </c>
      <c r="D542" s="1" t="s">
        <v>16019</v>
      </c>
      <c r="E542" s="1" t="s">
        <v>16020</v>
      </c>
    </row>
    <row r="543" spans="1:5" x14ac:dyDescent="0.15">
      <c r="A543" s="1" t="s">
        <v>15962</v>
      </c>
      <c r="B543" s="1" t="s">
        <v>16021</v>
      </c>
      <c r="C543" s="1" t="s">
        <v>16022</v>
      </c>
      <c r="D543" s="1" t="s">
        <v>16023</v>
      </c>
      <c r="E543" s="1" t="s">
        <v>16024</v>
      </c>
    </row>
    <row r="544" spans="1:5" x14ac:dyDescent="0.15">
      <c r="A544" s="1" t="s">
        <v>15962</v>
      </c>
      <c r="B544" s="1" t="s">
        <v>16025</v>
      </c>
      <c r="C544" s="1" t="s">
        <v>16026</v>
      </c>
      <c r="D544" s="1" t="s">
        <v>16027</v>
      </c>
      <c r="E544" s="1" t="s">
        <v>16028</v>
      </c>
    </row>
    <row r="545" spans="1:5" x14ac:dyDescent="0.15">
      <c r="A545" s="1" t="s">
        <v>15962</v>
      </c>
      <c r="B545" s="1" t="s">
        <v>16029</v>
      </c>
      <c r="C545" s="1" t="s">
        <v>16030</v>
      </c>
      <c r="D545" s="1" t="s">
        <v>16031</v>
      </c>
      <c r="E545" s="1" t="s">
        <v>16032</v>
      </c>
    </row>
    <row r="546" spans="1:5" x14ac:dyDescent="0.15">
      <c r="A546" s="1" t="s">
        <v>15962</v>
      </c>
      <c r="B546" s="1" t="s">
        <v>16033</v>
      </c>
      <c r="C546" s="1" t="s">
        <v>16034</v>
      </c>
      <c r="D546" s="1" t="s">
        <v>16035</v>
      </c>
      <c r="E546" s="1" t="s">
        <v>16036</v>
      </c>
    </row>
    <row r="547" spans="1:5" x14ac:dyDescent="0.15">
      <c r="A547" s="1" t="s">
        <v>15962</v>
      </c>
      <c r="B547" s="1" t="s">
        <v>16037</v>
      </c>
      <c r="C547" s="1" t="s">
        <v>16034</v>
      </c>
      <c r="D547" s="1" t="s">
        <v>16038</v>
      </c>
      <c r="E547" s="1" t="s">
        <v>16039</v>
      </c>
    </row>
    <row r="548" spans="1:5" x14ac:dyDescent="0.15">
      <c r="A548" s="1" t="s">
        <v>15962</v>
      </c>
      <c r="B548" s="1" t="s">
        <v>21047</v>
      </c>
      <c r="C548" s="1" t="s">
        <v>21048</v>
      </c>
      <c r="D548" s="1" t="s">
        <v>16038</v>
      </c>
      <c r="E548" s="1" t="s">
        <v>16039</v>
      </c>
    </row>
    <row r="549" spans="1:5" x14ac:dyDescent="0.15">
      <c r="A549" s="1" t="s">
        <v>15962</v>
      </c>
      <c r="B549" s="1" t="s">
        <v>16040</v>
      </c>
      <c r="C549" s="1" t="s">
        <v>16041</v>
      </c>
      <c r="D549" s="1" t="s">
        <v>16042</v>
      </c>
      <c r="E549" s="1" t="s">
        <v>16043</v>
      </c>
    </row>
    <row r="550" spans="1:5" x14ac:dyDescent="0.15">
      <c r="A550" s="1" t="s">
        <v>15962</v>
      </c>
      <c r="B550" s="1" t="s">
        <v>16044</v>
      </c>
      <c r="C550" s="1" t="s">
        <v>16041</v>
      </c>
      <c r="D550" s="1" t="s">
        <v>16045</v>
      </c>
      <c r="E550" s="1" t="s">
        <v>16046</v>
      </c>
    </row>
    <row r="551" spans="1:5" x14ac:dyDescent="0.15">
      <c r="A551" s="1" t="s">
        <v>15962</v>
      </c>
      <c r="B551" s="1" t="s">
        <v>16047</v>
      </c>
      <c r="C551" s="1" t="s">
        <v>16048</v>
      </c>
      <c r="D551" s="1" t="s">
        <v>16049</v>
      </c>
      <c r="E551" s="1" t="s">
        <v>16050</v>
      </c>
    </row>
    <row r="552" spans="1:5" x14ac:dyDescent="0.15">
      <c r="A552" s="1" t="s">
        <v>15962</v>
      </c>
      <c r="B552" s="1" t="s">
        <v>16051</v>
      </c>
      <c r="C552" s="1" t="s">
        <v>16052</v>
      </c>
      <c r="D552" s="1" t="s">
        <v>16053</v>
      </c>
      <c r="E552" s="1" t="s">
        <v>16054</v>
      </c>
    </row>
    <row r="553" spans="1:5" x14ac:dyDescent="0.15">
      <c r="A553" s="1" t="s">
        <v>15962</v>
      </c>
      <c r="B553" s="1" t="s">
        <v>16055</v>
      </c>
      <c r="C553" s="1" t="s">
        <v>16056</v>
      </c>
      <c r="D553" s="1" t="s">
        <v>16057</v>
      </c>
      <c r="E553" s="1" t="s">
        <v>16058</v>
      </c>
    </row>
    <row r="554" spans="1:5" x14ac:dyDescent="0.15">
      <c r="A554" s="1" t="s">
        <v>15962</v>
      </c>
      <c r="B554" s="1" t="s">
        <v>16059</v>
      </c>
      <c r="C554" s="1" t="s">
        <v>16060</v>
      </c>
      <c r="D554" s="1" t="s">
        <v>16061</v>
      </c>
      <c r="E554" s="1" t="s">
        <v>16062</v>
      </c>
    </row>
    <row r="555" spans="1:5" x14ac:dyDescent="0.15">
      <c r="A555" s="1" t="s">
        <v>15962</v>
      </c>
      <c r="B555" s="1" t="s">
        <v>16063</v>
      </c>
      <c r="C555" s="1" t="s">
        <v>16064</v>
      </c>
      <c r="D555" s="1" t="s">
        <v>16065</v>
      </c>
      <c r="E555" s="1" t="s">
        <v>16066</v>
      </c>
    </row>
    <row r="556" spans="1:5" x14ac:dyDescent="0.15">
      <c r="A556" s="1" t="s">
        <v>15962</v>
      </c>
      <c r="B556" s="1" t="s">
        <v>16067</v>
      </c>
      <c r="C556" s="1" t="s">
        <v>16068</v>
      </c>
      <c r="D556" s="1" t="s">
        <v>16069</v>
      </c>
      <c r="E556" s="1" t="s">
        <v>16070</v>
      </c>
    </row>
    <row r="557" spans="1:5" x14ac:dyDescent="0.15">
      <c r="A557" s="1" t="s">
        <v>15962</v>
      </c>
      <c r="B557" s="1" t="s">
        <v>16071</v>
      </c>
      <c r="C557" s="1" t="s">
        <v>16072</v>
      </c>
      <c r="D557" s="1" t="s">
        <v>16073</v>
      </c>
      <c r="E557" s="1" t="s">
        <v>16074</v>
      </c>
    </row>
    <row r="558" spans="1:5" x14ac:dyDescent="0.15">
      <c r="A558" s="1" t="s">
        <v>15962</v>
      </c>
      <c r="B558" s="1" t="s">
        <v>16075</v>
      </c>
      <c r="C558" s="1" t="s">
        <v>16076</v>
      </c>
      <c r="D558" s="1" t="s">
        <v>16077</v>
      </c>
      <c r="E558" s="1" t="s">
        <v>16078</v>
      </c>
    </row>
    <row r="559" spans="1:5" x14ac:dyDescent="0.15">
      <c r="A559" s="1" t="s">
        <v>15962</v>
      </c>
      <c r="B559" s="1" t="s">
        <v>16079</v>
      </c>
      <c r="C559" s="1" t="s">
        <v>16080</v>
      </c>
      <c r="D559" s="1" t="s">
        <v>16081</v>
      </c>
      <c r="E559" s="1" t="s">
        <v>16082</v>
      </c>
    </row>
    <row r="560" spans="1:5" x14ac:dyDescent="0.15">
      <c r="A560" s="1" t="s">
        <v>15962</v>
      </c>
      <c r="B560" s="1" t="s">
        <v>16083</v>
      </c>
      <c r="C560" s="1" t="s">
        <v>16084</v>
      </c>
      <c r="D560" s="1" t="s">
        <v>16085</v>
      </c>
      <c r="E560" s="1" t="s">
        <v>16086</v>
      </c>
    </row>
    <row r="561" spans="1:5" x14ac:dyDescent="0.15">
      <c r="A561" s="1" t="s">
        <v>15962</v>
      </c>
      <c r="B561" s="1" t="s">
        <v>16087</v>
      </c>
      <c r="C561" s="1" t="s">
        <v>16088</v>
      </c>
      <c r="D561" s="1" t="s">
        <v>16089</v>
      </c>
      <c r="E561" s="1" t="s">
        <v>16090</v>
      </c>
    </row>
    <row r="562" spans="1:5" x14ac:dyDescent="0.15">
      <c r="A562" s="1" t="s">
        <v>15962</v>
      </c>
      <c r="B562" s="1" t="s">
        <v>16091</v>
      </c>
      <c r="C562" s="1" t="s">
        <v>16092</v>
      </c>
      <c r="D562" s="1" t="s">
        <v>16093</v>
      </c>
      <c r="E562" s="1" t="s">
        <v>16094</v>
      </c>
    </row>
    <row r="563" spans="1:5" x14ac:dyDescent="0.15">
      <c r="A563" s="1" t="s">
        <v>15962</v>
      </c>
      <c r="B563" s="1" t="s">
        <v>16095</v>
      </c>
      <c r="C563" s="1" t="s">
        <v>16096</v>
      </c>
      <c r="D563" s="1" t="s">
        <v>16097</v>
      </c>
      <c r="E563" s="1" t="s">
        <v>16098</v>
      </c>
    </row>
    <row r="564" spans="1:5" x14ac:dyDescent="0.15">
      <c r="A564" s="1" t="s">
        <v>15962</v>
      </c>
      <c r="B564" s="1" t="s">
        <v>16099</v>
      </c>
      <c r="C564" s="1" t="s">
        <v>16100</v>
      </c>
      <c r="D564" s="1" t="s">
        <v>16101</v>
      </c>
      <c r="E564" s="1" t="s">
        <v>16102</v>
      </c>
    </row>
    <row r="565" spans="1:5" x14ac:dyDescent="0.15">
      <c r="A565" s="1" t="s">
        <v>15962</v>
      </c>
      <c r="B565" s="1" t="s">
        <v>16103</v>
      </c>
      <c r="C565" s="1" t="s">
        <v>16104</v>
      </c>
      <c r="D565" s="1" t="s">
        <v>16105</v>
      </c>
      <c r="E565" s="1" t="s">
        <v>16106</v>
      </c>
    </row>
    <row r="566" spans="1:5" x14ac:dyDescent="0.15">
      <c r="A566" s="1" t="s">
        <v>15962</v>
      </c>
      <c r="B566" s="1" t="s">
        <v>16107</v>
      </c>
      <c r="C566" s="1" t="s">
        <v>16108</v>
      </c>
      <c r="D566" s="1" t="s">
        <v>16109</v>
      </c>
      <c r="E566" s="1" t="s">
        <v>16110</v>
      </c>
    </row>
    <row r="567" spans="1:5" x14ac:dyDescent="0.15">
      <c r="A567" s="1" t="s">
        <v>15962</v>
      </c>
      <c r="B567" s="1" t="s">
        <v>16111</v>
      </c>
      <c r="C567" s="1" t="s">
        <v>16108</v>
      </c>
      <c r="D567" s="1" t="s">
        <v>16109</v>
      </c>
      <c r="E567" s="1" t="s">
        <v>16112</v>
      </c>
    </row>
    <row r="568" spans="1:5" x14ac:dyDescent="0.15">
      <c r="A568" s="1" t="s">
        <v>17136</v>
      </c>
      <c r="B568" s="1" t="s">
        <v>16113</v>
      </c>
      <c r="C568" s="1" t="s">
        <v>17138</v>
      </c>
      <c r="D568" s="1" t="s">
        <v>16114</v>
      </c>
      <c r="E568" s="1" t="s">
        <v>16115</v>
      </c>
    </row>
    <row r="569" spans="1:5" x14ac:dyDescent="0.15">
      <c r="A569" s="1" t="s">
        <v>17136</v>
      </c>
      <c r="B569" s="1" t="s">
        <v>16116</v>
      </c>
      <c r="C569" s="1" t="s">
        <v>17138</v>
      </c>
      <c r="D569" s="1" t="s">
        <v>16117</v>
      </c>
      <c r="E569" s="1" t="s">
        <v>16118</v>
      </c>
    </row>
    <row r="570" spans="1:5" x14ac:dyDescent="0.15">
      <c r="A570" s="1" t="s">
        <v>17136</v>
      </c>
      <c r="B570" s="1" t="s">
        <v>16119</v>
      </c>
      <c r="C570" s="1" t="s">
        <v>16120</v>
      </c>
      <c r="D570" s="1" t="s">
        <v>16121</v>
      </c>
      <c r="E570" s="1" t="s">
        <v>16122</v>
      </c>
    </row>
    <row r="571" spans="1:5" x14ac:dyDescent="0.15">
      <c r="A571" s="1" t="s">
        <v>17136</v>
      </c>
      <c r="B571" s="1" t="s">
        <v>16123</v>
      </c>
      <c r="C571" s="1" t="s">
        <v>16124</v>
      </c>
      <c r="D571" s="1" t="s">
        <v>16125</v>
      </c>
      <c r="E571" s="1" t="s">
        <v>16126</v>
      </c>
    </row>
    <row r="572" spans="1:5" x14ac:dyDescent="0.15">
      <c r="A572" s="1" t="s">
        <v>17136</v>
      </c>
      <c r="B572" s="1" t="s">
        <v>16127</v>
      </c>
      <c r="C572" s="1" t="s">
        <v>16128</v>
      </c>
      <c r="D572" s="1" t="s">
        <v>16129</v>
      </c>
      <c r="E572" s="1" t="s">
        <v>16130</v>
      </c>
    </row>
    <row r="573" spans="1:5" x14ac:dyDescent="0.15">
      <c r="A573" s="1" t="s">
        <v>17136</v>
      </c>
      <c r="B573" s="1" t="s">
        <v>16131</v>
      </c>
      <c r="C573" s="1" t="s">
        <v>16132</v>
      </c>
      <c r="D573" s="1" t="s">
        <v>16133</v>
      </c>
      <c r="E573" s="1" t="s">
        <v>16134</v>
      </c>
    </row>
    <row r="574" spans="1:5" x14ac:dyDescent="0.15">
      <c r="A574" s="1" t="s">
        <v>17136</v>
      </c>
      <c r="B574" s="1" t="s">
        <v>16135</v>
      </c>
      <c r="C574" s="1" t="s">
        <v>16136</v>
      </c>
      <c r="D574" s="1" t="s">
        <v>16137</v>
      </c>
      <c r="E574" s="1" t="s">
        <v>16138</v>
      </c>
    </row>
    <row r="575" spans="1:5" x14ac:dyDescent="0.15">
      <c r="A575" s="1" t="s">
        <v>17136</v>
      </c>
      <c r="B575" s="1" t="s">
        <v>16139</v>
      </c>
      <c r="C575" s="1" t="s">
        <v>16140</v>
      </c>
      <c r="D575" s="1" t="s">
        <v>16141</v>
      </c>
      <c r="E575" s="1" t="s">
        <v>16142</v>
      </c>
    </row>
    <row r="576" spans="1:5" x14ac:dyDescent="0.15">
      <c r="A576" s="1" t="s">
        <v>17136</v>
      </c>
      <c r="B576" s="1" t="s">
        <v>16143</v>
      </c>
      <c r="C576" s="1" t="s">
        <v>16140</v>
      </c>
      <c r="D576" s="1" t="s">
        <v>16144</v>
      </c>
      <c r="E576" s="1" t="s">
        <v>16145</v>
      </c>
    </row>
    <row r="577" spans="1:5" x14ac:dyDescent="0.15">
      <c r="A577" s="1" t="s">
        <v>17136</v>
      </c>
      <c r="B577" s="1" t="s">
        <v>16146</v>
      </c>
      <c r="C577" s="1" t="s">
        <v>16147</v>
      </c>
      <c r="D577" s="1" t="s">
        <v>16148</v>
      </c>
      <c r="E577" s="1" t="s">
        <v>16149</v>
      </c>
    </row>
    <row r="578" spans="1:5" x14ac:dyDescent="0.15">
      <c r="A578" s="1" t="s">
        <v>17136</v>
      </c>
      <c r="B578" s="1" t="s">
        <v>16150</v>
      </c>
      <c r="C578" s="1" t="s">
        <v>16147</v>
      </c>
      <c r="D578" s="1" t="s">
        <v>16151</v>
      </c>
      <c r="E578" s="1" t="s">
        <v>16152</v>
      </c>
    </row>
    <row r="579" spans="1:5" x14ac:dyDescent="0.15">
      <c r="A579" s="1" t="s">
        <v>16153</v>
      </c>
      <c r="B579" s="1" t="s">
        <v>16154</v>
      </c>
      <c r="C579" s="1" t="s">
        <v>16155</v>
      </c>
      <c r="D579" s="1" t="s">
        <v>16156</v>
      </c>
      <c r="E579" s="1" t="s">
        <v>16157</v>
      </c>
    </row>
    <row r="580" spans="1:5" x14ac:dyDescent="0.15">
      <c r="A580" s="1" t="s">
        <v>16153</v>
      </c>
      <c r="B580" s="1" t="s">
        <v>16158</v>
      </c>
      <c r="C580" s="1" t="s">
        <v>16159</v>
      </c>
      <c r="D580" s="1" t="s">
        <v>16160</v>
      </c>
      <c r="E580" s="1" t="s">
        <v>16161</v>
      </c>
    </row>
    <row r="581" spans="1:5" x14ac:dyDescent="0.15">
      <c r="A581" s="1" t="s">
        <v>16153</v>
      </c>
      <c r="B581" s="1" t="s">
        <v>16162</v>
      </c>
      <c r="C581" s="1" t="s">
        <v>16163</v>
      </c>
      <c r="D581" s="1" t="s">
        <v>16164</v>
      </c>
      <c r="E581" s="1" t="s">
        <v>16165</v>
      </c>
    </row>
    <row r="582" spans="1:5" x14ac:dyDescent="0.15">
      <c r="A582" s="1" t="s">
        <v>16153</v>
      </c>
      <c r="B582" s="1" t="s">
        <v>16166</v>
      </c>
      <c r="C582" s="1" t="s">
        <v>16167</v>
      </c>
      <c r="D582" s="1" t="s">
        <v>16168</v>
      </c>
      <c r="E582" s="1" t="s">
        <v>16169</v>
      </c>
    </row>
    <row r="583" spans="1:5" x14ac:dyDescent="0.15">
      <c r="A583" s="1" t="s">
        <v>16153</v>
      </c>
      <c r="B583" s="1" t="s">
        <v>16170</v>
      </c>
      <c r="C583" s="1" t="s">
        <v>16171</v>
      </c>
      <c r="D583" s="1" t="s">
        <v>16172</v>
      </c>
      <c r="E583" s="1" t="s">
        <v>16173</v>
      </c>
    </row>
    <row r="584" spans="1:5" x14ac:dyDescent="0.15">
      <c r="A584" s="1" t="s">
        <v>16153</v>
      </c>
      <c r="B584" s="1" t="s">
        <v>16174</v>
      </c>
      <c r="C584" s="1" t="s">
        <v>16175</v>
      </c>
      <c r="D584" s="1" t="s">
        <v>16176</v>
      </c>
      <c r="E584" s="1" t="s">
        <v>16177</v>
      </c>
    </row>
    <row r="585" spans="1:5" x14ac:dyDescent="0.15">
      <c r="A585" s="1" t="s">
        <v>16153</v>
      </c>
      <c r="B585" s="1" t="s">
        <v>16178</v>
      </c>
      <c r="C585" s="1" t="s">
        <v>16179</v>
      </c>
      <c r="D585" s="1" t="s">
        <v>16180</v>
      </c>
      <c r="E585" s="1" t="s">
        <v>16181</v>
      </c>
    </row>
    <row r="586" spans="1:5" x14ac:dyDescent="0.15">
      <c r="A586" s="1" t="s">
        <v>16153</v>
      </c>
      <c r="B586" s="1" t="s">
        <v>16182</v>
      </c>
      <c r="C586" s="1" t="s">
        <v>16183</v>
      </c>
      <c r="D586" s="1" t="s">
        <v>16184</v>
      </c>
      <c r="E586" s="1" t="s">
        <v>16185</v>
      </c>
    </row>
    <row r="587" spans="1:5" x14ac:dyDescent="0.15">
      <c r="A587" s="1" t="s">
        <v>16153</v>
      </c>
      <c r="B587" s="1" t="s">
        <v>16186</v>
      </c>
      <c r="C587" s="1" t="s">
        <v>16187</v>
      </c>
      <c r="D587" s="1" t="s">
        <v>16188</v>
      </c>
      <c r="E587" s="1" t="s">
        <v>16189</v>
      </c>
    </row>
    <row r="588" spans="1:5" x14ac:dyDescent="0.15">
      <c r="A588" s="1" t="s">
        <v>16153</v>
      </c>
      <c r="B588" s="1" t="s">
        <v>16190</v>
      </c>
      <c r="C588" s="1" t="s">
        <v>16191</v>
      </c>
      <c r="D588" s="1" t="s">
        <v>16192</v>
      </c>
      <c r="E588" s="1" t="s">
        <v>16193</v>
      </c>
    </row>
    <row r="589" spans="1:5" x14ac:dyDescent="0.15">
      <c r="A589" s="1" t="s">
        <v>16153</v>
      </c>
      <c r="B589" s="1" t="s">
        <v>16194</v>
      </c>
      <c r="C589" s="1" t="s">
        <v>16195</v>
      </c>
      <c r="D589" s="1" t="s">
        <v>16196</v>
      </c>
      <c r="E589" s="1" t="s">
        <v>16197</v>
      </c>
    </row>
    <row r="590" spans="1:5" x14ac:dyDescent="0.15">
      <c r="A590" s="1" t="s">
        <v>16153</v>
      </c>
      <c r="B590" s="1" t="s">
        <v>16198</v>
      </c>
      <c r="C590" s="1" t="s">
        <v>16199</v>
      </c>
      <c r="D590" s="1" t="s">
        <v>16200</v>
      </c>
      <c r="E590" s="1" t="s">
        <v>16201</v>
      </c>
    </row>
    <row r="591" spans="1:5" x14ac:dyDescent="0.15">
      <c r="A591" s="1" t="s">
        <v>16153</v>
      </c>
      <c r="B591" s="1" t="s">
        <v>16202</v>
      </c>
      <c r="C591" s="1" t="s">
        <v>16203</v>
      </c>
      <c r="D591" s="1" t="s">
        <v>16204</v>
      </c>
      <c r="E591" s="1" t="s">
        <v>16205</v>
      </c>
    </row>
    <row r="592" spans="1:5" x14ac:dyDescent="0.15">
      <c r="A592" s="1" t="s">
        <v>16153</v>
      </c>
      <c r="B592" s="1" t="s">
        <v>16206</v>
      </c>
      <c r="C592" s="1" t="s">
        <v>16207</v>
      </c>
      <c r="D592" s="1" t="s">
        <v>16208</v>
      </c>
      <c r="E592" s="1" t="s">
        <v>16209</v>
      </c>
    </row>
    <row r="593" spans="1:5" x14ac:dyDescent="0.15">
      <c r="A593" s="1" t="s">
        <v>16153</v>
      </c>
      <c r="B593" s="1" t="s">
        <v>16210</v>
      </c>
      <c r="C593" s="1" t="s">
        <v>16211</v>
      </c>
      <c r="D593" s="1" t="s">
        <v>16212</v>
      </c>
      <c r="E593" s="1" t="s">
        <v>16213</v>
      </c>
    </row>
    <row r="594" spans="1:5" x14ac:dyDescent="0.15">
      <c r="A594" s="1" t="s">
        <v>16153</v>
      </c>
      <c r="B594" s="1" t="s">
        <v>16214</v>
      </c>
      <c r="C594" s="1" t="s">
        <v>16215</v>
      </c>
      <c r="D594" s="1" t="s">
        <v>16216</v>
      </c>
      <c r="E594" s="1" t="s">
        <v>16217</v>
      </c>
    </row>
    <row r="595" spans="1:5" x14ac:dyDescent="0.15">
      <c r="A595" s="1" t="s">
        <v>16153</v>
      </c>
      <c r="B595" s="1" t="s">
        <v>16218</v>
      </c>
      <c r="C595" s="1" t="s">
        <v>16219</v>
      </c>
      <c r="D595" s="1" t="s">
        <v>16220</v>
      </c>
      <c r="E595" s="1" t="s">
        <v>16221</v>
      </c>
    </row>
    <row r="596" spans="1:5" x14ac:dyDescent="0.15">
      <c r="A596" s="1" t="s">
        <v>16153</v>
      </c>
      <c r="B596" s="1" t="s">
        <v>16222</v>
      </c>
      <c r="C596" s="1" t="s">
        <v>16223</v>
      </c>
      <c r="D596" s="1" t="s">
        <v>16224</v>
      </c>
      <c r="E596" s="1" t="s">
        <v>16225</v>
      </c>
    </row>
    <row r="597" spans="1:5" x14ac:dyDescent="0.15">
      <c r="A597" s="1" t="s">
        <v>16153</v>
      </c>
      <c r="B597" s="1" t="s">
        <v>16226</v>
      </c>
      <c r="C597" s="1" t="s">
        <v>16227</v>
      </c>
      <c r="D597" s="1" t="s">
        <v>16228</v>
      </c>
      <c r="E597" s="1" t="s">
        <v>16229</v>
      </c>
    </row>
    <row r="598" spans="1:5" x14ac:dyDescent="0.15">
      <c r="A598" s="1" t="s">
        <v>16153</v>
      </c>
      <c r="B598" s="1" t="s">
        <v>16230</v>
      </c>
      <c r="C598" s="1" t="s">
        <v>16231</v>
      </c>
      <c r="D598" s="1" t="s">
        <v>16232</v>
      </c>
      <c r="E598" s="1" t="s">
        <v>16233</v>
      </c>
    </row>
    <row r="599" spans="1:5" x14ac:dyDescent="0.15">
      <c r="A599" s="1" t="s">
        <v>16153</v>
      </c>
      <c r="B599" s="1" t="s">
        <v>16234</v>
      </c>
      <c r="C599" s="1" t="s">
        <v>16235</v>
      </c>
      <c r="D599" s="1" t="s">
        <v>16236</v>
      </c>
      <c r="E599" s="1" t="s">
        <v>16237</v>
      </c>
    </row>
    <row r="600" spans="1:5" x14ac:dyDescent="0.15">
      <c r="A600" s="1" t="s">
        <v>16153</v>
      </c>
      <c r="B600" s="1" t="s">
        <v>16238</v>
      </c>
      <c r="C600" s="1" t="s">
        <v>16239</v>
      </c>
      <c r="D600" s="1" t="s">
        <v>16240</v>
      </c>
      <c r="E600" s="1" t="s">
        <v>16241</v>
      </c>
    </row>
    <row r="601" spans="1:5" x14ac:dyDescent="0.15">
      <c r="A601" s="1" t="s">
        <v>16153</v>
      </c>
      <c r="B601" s="1" t="s">
        <v>16242</v>
      </c>
      <c r="C601" s="1" t="s">
        <v>16243</v>
      </c>
      <c r="D601" s="1" t="s">
        <v>16244</v>
      </c>
      <c r="E601" s="1" t="s">
        <v>16245</v>
      </c>
    </row>
    <row r="602" spans="1:5" x14ac:dyDescent="0.15">
      <c r="A602" s="1" t="s">
        <v>16153</v>
      </c>
      <c r="B602" s="1" t="s">
        <v>16246</v>
      </c>
      <c r="C602" s="1" t="s">
        <v>16247</v>
      </c>
      <c r="D602" s="1" t="s">
        <v>16248</v>
      </c>
      <c r="E602" s="1" t="s">
        <v>16249</v>
      </c>
    </row>
    <row r="603" spans="1:5" x14ac:dyDescent="0.15">
      <c r="A603" s="1" t="s">
        <v>16153</v>
      </c>
      <c r="B603" s="1" t="s">
        <v>16250</v>
      </c>
      <c r="C603" s="1" t="s">
        <v>16251</v>
      </c>
      <c r="D603" s="1" t="s">
        <v>16252</v>
      </c>
      <c r="E603" s="1" t="s">
        <v>16253</v>
      </c>
    </row>
    <row r="604" spans="1:5" x14ac:dyDescent="0.15">
      <c r="A604" s="1" t="s">
        <v>16153</v>
      </c>
      <c r="B604" s="1" t="s">
        <v>16254</v>
      </c>
      <c r="C604" s="1" t="s">
        <v>16255</v>
      </c>
      <c r="D604" s="1" t="s">
        <v>15576</v>
      </c>
      <c r="E604" s="1" t="s">
        <v>15577</v>
      </c>
    </row>
    <row r="605" spans="1:5" x14ac:dyDescent="0.15">
      <c r="A605" s="1" t="s">
        <v>16153</v>
      </c>
      <c r="B605" s="1" t="s">
        <v>15578</v>
      </c>
      <c r="C605" s="1" t="s">
        <v>16255</v>
      </c>
      <c r="D605" s="1" t="s">
        <v>15579</v>
      </c>
      <c r="E605" s="1" t="s">
        <v>15580</v>
      </c>
    </row>
    <row r="606" spans="1:5" x14ac:dyDescent="0.15">
      <c r="A606" s="1" t="s">
        <v>16153</v>
      </c>
      <c r="B606" s="1" t="s">
        <v>15581</v>
      </c>
      <c r="C606" s="1" t="s">
        <v>15582</v>
      </c>
      <c r="D606" s="1" t="s">
        <v>15583</v>
      </c>
      <c r="E606" s="1" t="s">
        <v>15584</v>
      </c>
    </row>
    <row r="607" spans="1:5" x14ac:dyDescent="0.15">
      <c r="A607" s="1" t="s">
        <v>16153</v>
      </c>
      <c r="B607" s="1" t="s">
        <v>15585</v>
      </c>
      <c r="C607" s="1" t="s">
        <v>15586</v>
      </c>
      <c r="D607" s="1" t="s">
        <v>15587</v>
      </c>
      <c r="E607" s="1" t="s">
        <v>15588</v>
      </c>
    </row>
    <row r="608" spans="1:5" x14ac:dyDescent="0.15">
      <c r="A608" s="1" t="s">
        <v>16153</v>
      </c>
      <c r="B608" s="1" t="s">
        <v>15589</v>
      </c>
      <c r="C608" s="1" t="s">
        <v>15590</v>
      </c>
      <c r="D608" s="1" t="s">
        <v>15591</v>
      </c>
      <c r="E608" s="1" t="s">
        <v>15592</v>
      </c>
    </row>
    <row r="609" spans="1:5" x14ac:dyDescent="0.15">
      <c r="A609" s="1" t="s">
        <v>16153</v>
      </c>
      <c r="B609" s="1" t="s">
        <v>15593</v>
      </c>
      <c r="C609" s="1" t="s">
        <v>16255</v>
      </c>
      <c r="D609" s="1" t="s">
        <v>15594</v>
      </c>
      <c r="E609" s="1" t="s">
        <v>15595</v>
      </c>
    </row>
    <row r="610" spans="1:5" x14ac:dyDescent="0.15">
      <c r="A610" s="1" t="s">
        <v>16153</v>
      </c>
      <c r="B610" s="1" t="s">
        <v>15596</v>
      </c>
      <c r="C610" s="1" t="s">
        <v>15597</v>
      </c>
      <c r="D610" s="1" t="s">
        <v>15598</v>
      </c>
      <c r="E610" s="1" t="s">
        <v>15599</v>
      </c>
    </row>
    <row r="611" spans="1:5" x14ac:dyDescent="0.15">
      <c r="A611" s="1" t="s">
        <v>16153</v>
      </c>
      <c r="B611" s="1" t="s">
        <v>15600</v>
      </c>
      <c r="C611" s="1" t="s">
        <v>15597</v>
      </c>
      <c r="D611" s="1" t="s">
        <v>15601</v>
      </c>
      <c r="E611" s="1" t="s">
        <v>15602</v>
      </c>
    </row>
    <row r="612" spans="1:5" x14ac:dyDescent="0.15">
      <c r="A612" s="1" t="s">
        <v>16153</v>
      </c>
      <c r="B612" s="1" t="s">
        <v>15603</v>
      </c>
      <c r="C612" s="1" t="s">
        <v>15604</v>
      </c>
      <c r="D612" s="1" t="s">
        <v>15605</v>
      </c>
      <c r="E612" s="1" t="s">
        <v>15606</v>
      </c>
    </row>
    <row r="613" spans="1:5" x14ac:dyDescent="0.15">
      <c r="A613" s="1" t="s">
        <v>16153</v>
      </c>
      <c r="B613" s="1" t="s">
        <v>15607</v>
      </c>
      <c r="C613" s="1" t="s">
        <v>15597</v>
      </c>
      <c r="D613" s="1" t="s">
        <v>15608</v>
      </c>
      <c r="E613" s="1" t="s">
        <v>15609</v>
      </c>
    </row>
    <row r="614" spans="1:5" x14ac:dyDescent="0.15">
      <c r="A614" s="1" t="s">
        <v>16153</v>
      </c>
      <c r="B614" s="1" t="s">
        <v>15610</v>
      </c>
      <c r="C614" s="1" t="s">
        <v>15611</v>
      </c>
      <c r="D614" s="1" t="s">
        <v>15612</v>
      </c>
      <c r="E614" s="1" t="s">
        <v>15613</v>
      </c>
    </row>
    <row r="615" spans="1:5" x14ac:dyDescent="0.15">
      <c r="A615" s="1" t="s">
        <v>16153</v>
      </c>
      <c r="B615" s="1" t="s">
        <v>15614</v>
      </c>
      <c r="C615" s="1" t="s">
        <v>15615</v>
      </c>
      <c r="D615" s="1" t="s">
        <v>15616</v>
      </c>
      <c r="E615" s="1" t="s">
        <v>15617</v>
      </c>
    </row>
    <row r="616" spans="1:5" x14ac:dyDescent="0.15">
      <c r="A616" s="1" t="s">
        <v>16153</v>
      </c>
      <c r="B616" s="1" t="s">
        <v>15618</v>
      </c>
      <c r="C616" s="1" t="s">
        <v>15619</v>
      </c>
      <c r="D616" s="1" t="s">
        <v>15620</v>
      </c>
      <c r="E616" s="1" t="s">
        <v>15621</v>
      </c>
    </row>
    <row r="617" spans="1:5" x14ac:dyDescent="0.15">
      <c r="A617" s="1" t="s">
        <v>16153</v>
      </c>
      <c r="B617" s="1" t="s">
        <v>15622</v>
      </c>
      <c r="C617" s="1" t="s">
        <v>15623</v>
      </c>
      <c r="D617" s="1" t="s">
        <v>15624</v>
      </c>
      <c r="E617" s="1" t="s">
        <v>15625</v>
      </c>
    </row>
    <row r="618" spans="1:5" x14ac:dyDescent="0.15">
      <c r="A618" s="1" t="s">
        <v>16153</v>
      </c>
      <c r="B618" s="1" t="s">
        <v>15626</v>
      </c>
      <c r="C618" s="1" t="s">
        <v>15627</v>
      </c>
      <c r="D618" s="1" t="s">
        <v>15628</v>
      </c>
      <c r="E618" s="1" t="s">
        <v>15629</v>
      </c>
    </row>
    <row r="619" spans="1:5" x14ac:dyDescent="0.15">
      <c r="A619" s="1" t="s">
        <v>16153</v>
      </c>
      <c r="B619" s="1" t="s">
        <v>15630</v>
      </c>
      <c r="C619" s="1" t="s">
        <v>15631</v>
      </c>
      <c r="D619" s="1" t="s">
        <v>15632</v>
      </c>
      <c r="E619" s="1" t="s">
        <v>15633</v>
      </c>
    </row>
    <row r="620" spans="1:5" x14ac:dyDescent="0.15">
      <c r="A620" s="1" t="s">
        <v>16153</v>
      </c>
      <c r="B620" s="1" t="s">
        <v>15634</v>
      </c>
      <c r="C620" s="1" t="s">
        <v>15635</v>
      </c>
      <c r="D620" s="1" t="s">
        <v>15636</v>
      </c>
      <c r="E620" s="1" t="s">
        <v>15637</v>
      </c>
    </row>
    <row r="621" spans="1:5" x14ac:dyDescent="0.15">
      <c r="A621" s="1" t="s">
        <v>16153</v>
      </c>
      <c r="B621" s="1" t="s">
        <v>15638</v>
      </c>
      <c r="C621" s="1" t="s">
        <v>15639</v>
      </c>
      <c r="D621" s="1" t="s">
        <v>15640</v>
      </c>
      <c r="E621" s="1" t="s">
        <v>15641</v>
      </c>
    </row>
    <row r="622" spans="1:5" x14ac:dyDescent="0.15">
      <c r="A622" s="1" t="s">
        <v>16153</v>
      </c>
      <c r="B622" s="1" t="s">
        <v>15642</v>
      </c>
      <c r="C622" s="1" t="s">
        <v>15639</v>
      </c>
      <c r="D622" s="1" t="s">
        <v>15643</v>
      </c>
      <c r="E622" s="1" t="s">
        <v>15644</v>
      </c>
    </row>
    <row r="623" spans="1:5" x14ac:dyDescent="0.15">
      <c r="A623" s="1" t="s">
        <v>15645</v>
      </c>
      <c r="B623" s="1" t="s">
        <v>15646</v>
      </c>
      <c r="C623" s="1" t="s">
        <v>15647</v>
      </c>
      <c r="D623" s="1" t="s">
        <v>15648</v>
      </c>
      <c r="E623" s="1" t="s">
        <v>15649</v>
      </c>
    </row>
    <row r="624" spans="1:5" x14ac:dyDescent="0.15">
      <c r="A624" s="1" t="s">
        <v>15645</v>
      </c>
      <c r="B624" s="1" t="s">
        <v>15650</v>
      </c>
      <c r="C624" s="1" t="s">
        <v>15647</v>
      </c>
      <c r="D624" s="1" t="s">
        <v>15651</v>
      </c>
      <c r="E624" s="1" t="s">
        <v>15652</v>
      </c>
    </row>
    <row r="625" spans="1:5" x14ac:dyDescent="0.15">
      <c r="A625" s="1" t="s">
        <v>15645</v>
      </c>
      <c r="B625" s="1" t="s">
        <v>15653</v>
      </c>
      <c r="C625" s="1" t="s">
        <v>15647</v>
      </c>
      <c r="D625" s="1" t="s">
        <v>15654</v>
      </c>
      <c r="E625" s="1" t="s">
        <v>15655</v>
      </c>
    </row>
    <row r="626" spans="1:5" x14ac:dyDescent="0.15">
      <c r="A626" s="1" t="s">
        <v>15656</v>
      </c>
      <c r="B626" s="1" t="s">
        <v>15657</v>
      </c>
      <c r="C626" s="1" t="s">
        <v>15658</v>
      </c>
      <c r="D626" s="1" t="s">
        <v>15659</v>
      </c>
      <c r="E626" s="1" t="s">
        <v>15660</v>
      </c>
    </row>
    <row r="627" spans="1:5" x14ac:dyDescent="0.15">
      <c r="A627" s="1" t="s">
        <v>15656</v>
      </c>
      <c r="B627" s="1" t="s">
        <v>15661</v>
      </c>
      <c r="C627" s="1" t="s">
        <v>15662</v>
      </c>
      <c r="D627" s="1" t="s">
        <v>15663</v>
      </c>
      <c r="E627" s="1" t="s">
        <v>15664</v>
      </c>
    </row>
    <row r="628" spans="1:5" x14ac:dyDescent="0.15">
      <c r="A628" s="1" t="s">
        <v>15656</v>
      </c>
      <c r="B628" s="1" t="s">
        <v>15665</v>
      </c>
      <c r="C628" s="1" t="s">
        <v>15666</v>
      </c>
      <c r="D628" s="1" t="s">
        <v>15667</v>
      </c>
      <c r="E628" s="1" t="s">
        <v>15668</v>
      </c>
    </row>
    <row r="629" spans="1:5" x14ac:dyDescent="0.15">
      <c r="A629" s="1" t="s">
        <v>15656</v>
      </c>
      <c r="B629" s="1" t="s">
        <v>15669</v>
      </c>
      <c r="C629" s="1" t="s">
        <v>15670</v>
      </c>
      <c r="D629" s="1" t="s">
        <v>15671</v>
      </c>
      <c r="E629" s="1" t="s">
        <v>15672</v>
      </c>
    </row>
    <row r="630" spans="1:5" x14ac:dyDescent="0.15">
      <c r="A630" s="1" t="s">
        <v>15656</v>
      </c>
      <c r="B630" s="1" t="s">
        <v>15673</v>
      </c>
      <c r="C630" s="1" t="s">
        <v>15674</v>
      </c>
      <c r="D630" s="1" t="s">
        <v>15675</v>
      </c>
      <c r="E630" s="1" t="s">
        <v>15676</v>
      </c>
    </row>
    <row r="631" spans="1:5" x14ac:dyDescent="0.15">
      <c r="A631" s="1" t="s">
        <v>15656</v>
      </c>
      <c r="B631" s="1" t="s">
        <v>15677</v>
      </c>
      <c r="C631" s="1" t="s">
        <v>15678</v>
      </c>
      <c r="D631" s="1" t="s">
        <v>15679</v>
      </c>
      <c r="E631" s="1" t="s">
        <v>15680</v>
      </c>
    </row>
    <row r="632" spans="1:5" x14ac:dyDescent="0.15">
      <c r="A632" s="1" t="s">
        <v>15656</v>
      </c>
      <c r="B632" s="1" t="s">
        <v>15681</v>
      </c>
      <c r="C632" s="1" t="s">
        <v>15682</v>
      </c>
      <c r="D632" s="1" t="s">
        <v>15683</v>
      </c>
      <c r="E632" s="1" t="s">
        <v>15684</v>
      </c>
    </row>
    <row r="633" spans="1:5" x14ac:dyDescent="0.15">
      <c r="A633" s="1" t="s">
        <v>15685</v>
      </c>
      <c r="B633" s="1" t="s">
        <v>15686</v>
      </c>
      <c r="C633" s="1" t="s">
        <v>15687</v>
      </c>
      <c r="D633" s="1" t="s">
        <v>15688</v>
      </c>
      <c r="E633" s="1" t="s">
        <v>15689</v>
      </c>
    </row>
    <row r="634" spans="1:5" x14ac:dyDescent="0.15">
      <c r="A634" s="1" t="s">
        <v>15685</v>
      </c>
      <c r="B634" s="1" t="s">
        <v>15690</v>
      </c>
      <c r="C634" s="1" t="s">
        <v>15691</v>
      </c>
      <c r="D634" s="1" t="s">
        <v>15692</v>
      </c>
      <c r="E634" s="1" t="s">
        <v>15693</v>
      </c>
    </row>
    <row r="635" spans="1:5" x14ac:dyDescent="0.15">
      <c r="A635" s="1" t="s">
        <v>15685</v>
      </c>
      <c r="B635" s="1" t="s">
        <v>15694</v>
      </c>
      <c r="C635" s="1" t="s">
        <v>15691</v>
      </c>
      <c r="D635" s="1" t="s">
        <v>15695</v>
      </c>
      <c r="E635" s="1" t="s">
        <v>15696</v>
      </c>
    </row>
    <row r="636" spans="1:5" x14ac:dyDescent="0.15">
      <c r="A636" s="1" t="s">
        <v>15685</v>
      </c>
      <c r="B636" s="1" t="s">
        <v>15697</v>
      </c>
      <c r="C636" s="1" t="s">
        <v>15698</v>
      </c>
      <c r="D636" s="1" t="s">
        <v>15699</v>
      </c>
      <c r="E636" s="1" t="s">
        <v>15700</v>
      </c>
    </row>
    <row r="637" spans="1:5" x14ac:dyDescent="0.15">
      <c r="A637" s="1" t="s">
        <v>15685</v>
      </c>
      <c r="B637" s="1" t="s">
        <v>15701</v>
      </c>
      <c r="C637" s="1" t="s">
        <v>15698</v>
      </c>
      <c r="D637" s="1" t="s">
        <v>15702</v>
      </c>
      <c r="E637" s="1" t="s">
        <v>15703</v>
      </c>
    </row>
    <row r="638" spans="1:5" x14ac:dyDescent="0.15">
      <c r="A638" s="1" t="s">
        <v>15685</v>
      </c>
      <c r="B638" s="1" t="s">
        <v>15704</v>
      </c>
      <c r="C638" s="1" t="s">
        <v>15705</v>
      </c>
      <c r="D638" s="1" t="s">
        <v>15706</v>
      </c>
      <c r="E638" s="1" t="s">
        <v>15707</v>
      </c>
    </row>
    <row r="639" spans="1:5" x14ac:dyDescent="0.15">
      <c r="A639" s="1" t="s">
        <v>15685</v>
      </c>
      <c r="B639" s="1" t="s">
        <v>15708</v>
      </c>
      <c r="C639" s="1" t="s">
        <v>15705</v>
      </c>
      <c r="D639" s="1" t="s">
        <v>15709</v>
      </c>
      <c r="E639" s="1" t="s">
        <v>15710</v>
      </c>
    </row>
    <row r="640" spans="1:5" x14ac:dyDescent="0.15">
      <c r="A640" s="1" t="s">
        <v>15685</v>
      </c>
      <c r="B640" s="1" t="s">
        <v>15711</v>
      </c>
      <c r="C640" s="1" t="s">
        <v>15712</v>
      </c>
      <c r="D640" s="1" t="s">
        <v>15713</v>
      </c>
      <c r="E640" s="1" t="s">
        <v>15714</v>
      </c>
    </row>
    <row r="641" spans="1:5" x14ac:dyDescent="0.15">
      <c r="A641" s="1" t="s">
        <v>15685</v>
      </c>
      <c r="B641" s="1" t="s">
        <v>15715</v>
      </c>
      <c r="C641" s="1" t="s">
        <v>15712</v>
      </c>
      <c r="D641" s="1" t="s">
        <v>15716</v>
      </c>
      <c r="E641" s="1" t="s">
        <v>15717</v>
      </c>
    </row>
    <row r="642" spans="1:5" x14ac:dyDescent="0.15">
      <c r="A642" s="1" t="s">
        <v>15685</v>
      </c>
      <c r="B642" s="1" t="s">
        <v>15718</v>
      </c>
      <c r="C642" s="1" t="s">
        <v>15719</v>
      </c>
      <c r="D642" s="1" t="s">
        <v>15720</v>
      </c>
      <c r="E642" s="1" t="s">
        <v>15721</v>
      </c>
    </row>
    <row r="643" spans="1:5" x14ac:dyDescent="0.15">
      <c r="A643" s="1" t="s">
        <v>15685</v>
      </c>
      <c r="B643" s="1" t="s">
        <v>15722</v>
      </c>
      <c r="C643" s="1" t="s">
        <v>15719</v>
      </c>
      <c r="D643" s="1" t="s">
        <v>15723</v>
      </c>
      <c r="E643" s="1" t="s">
        <v>15724</v>
      </c>
    </row>
    <row r="644" spans="1:5" x14ac:dyDescent="0.15">
      <c r="A644" s="1" t="s">
        <v>15685</v>
      </c>
      <c r="B644" s="1" t="s">
        <v>15725</v>
      </c>
      <c r="C644" s="1" t="s">
        <v>15726</v>
      </c>
      <c r="D644" s="1" t="s">
        <v>15727</v>
      </c>
      <c r="E644" s="1" t="s">
        <v>15728</v>
      </c>
    </row>
    <row r="645" spans="1:5" x14ac:dyDescent="0.15">
      <c r="A645" s="1" t="s">
        <v>15685</v>
      </c>
      <c r="B645" s="1" t="s">
        <v>15729</v>
      </c>
      <c r="C645" s="1" t="s">
        <v>15726</v>
      </c>
      <c r="D645" s="1" t="s">
        <v>15730</v>
      </c>
      <c r="E645" s="1" t="s">
        <v>15731</v>
      </c>
    </row>
    <row r="646" spans="1:5" x14ac:dyDescent="0.15">
      <c r="A646" s="1" t="s">
        <v>15685</v>
      </c>
      <c r="B646" s="1" t="s">
        <v>15732</v>
      </c>
      <c r="C646" s="1" t="s">
        <v>15733</v>
      </c>
      <c r="D646" s="1" t="s">
        <v>15734</v>
      </c>
      <c r="E646" s="1" t="s">
        <v>15735</v>
      </c>
    </row>
    <row r="647" spans="1:5" x14ac:dyDescent="0.15">
      <c r="A647" s="1" t="s">
        <v>15685</v>
      </c>
      <c r="B647" s="1" t="s">
        <v>15736</v>
      </c>
      <c r="C647" s="1" t="s">
        <v>15733</v>
      </c>
      <c r="D647" s="1" t="s">
        <v>15737</v>
      </c>
      <c r="E647" s="1" t="s">
        <v>15738</v>
      </c>
    </row>
    <row r="648" spans="1:5" x14ac:dyDescent="0.15">
      <c r="A648" s="1" t="s">
        <v>15685</v>
      </c>
      <c r="B648" s="1" t="s">
        <v>15739</v>
      </c>
      <c r="C648" s="1" t="s">
        <v>15740</v>
      </c>
      <c r="D648" s="1" t="s">
        <v>15741</v>
      </c>
      <c r="E648" s="1" t="s">
        <v>15742</v>
      </c>
    </row>
    <row r="649" spans="1:5" x14ac:dyDescent="0.15">
      <c r="A649" s="1" t="s">
        <v>15685</v>
      </c>
      <c r="B649" s="1" t="s">
        <v>15743</v>
      </c>
      <c r="C649" s="1" t="s">
        <v>15740</v>
      </c>
      <c r="D649" s="1" t="s">
        <v>15744</v>
      </c>
      <c r="E649" s="1" t="s">
        <v>15745</v>
      </c>
    </row>
    <row r="650" spans="1:5" x14ac:dyDescent="0.15">
      <c r="A650" s="1" t="s">
        <v>15685</v>
      </c>
      <c r="B650" s="1" t="s">
        <v>15746</v>
      </c>
      <c r="C650" s="1" t="s">
        <v>15747</v>
      </c>
      <c r="D650" s="1" t="s">
        <v>15748</v>
      </c>
      <c r="E650" s="1" t="s">
        <v>15749</v>
      </c>
    </row>
    <row r="651" spans="1:5" x14ac:dyDescent="0.15">
      <c r="A651" s="1" t="s">
        <v>15685</v>
      </c>
      <c r="B651" s="1" t="s">
        <v>15750</v>
      </c>
      <c r="C651" s="1" t="s">
        <v>15747</v>
      </c>
      <c r="D651" s="1" t="s">
        <v>15751</v>
      </c>
      <c r="E651" s="1" t="s">
        <v>15752</v>
      </c>
    </row>
    <row r="652" spans="1:5" x14ac:dyDescent="0.15">
      <c r="A652" s="1" t="s">
        <v>15753</v>
      </c>
      <c r="B652" s="1" t="s">
        <v>15754</v>
      </c>
      <c r="C652" s="1" t="s">
        <v>15755</v>
      </c>
      <c r="D652" s="1" t="s">
        <v>15756</v>
      </c>
      <c r="E652" s="1" t="s">
        <v>15757</v>
      </c>
    </row>
    <row r="653" spans="1:5" x14ac:dyDescent="0.15">
      <c r="A653" s="1" t="s">
        <v>15753</v>
      </c>
      <c r="B653" s="1" t="s">
        <v>15758</v>
      </c>
      <c r="C653" s="1" t="s">
        <v>15759</v>
      </c>
      <c r="D653" s="1" t="s">
        <v>15760</v>
      </c>
      <c r="E653" s="1" t="s">
        <v>15761</v>
      </c>
    </row>
    <row r="654" spans="1:5" x14ac:dyDescent="0.15">
      <c r="A654" s="1" t="s">
        <v>15753</v>
      </c>
      <c r="B654" s="1" t="s">
        <v>15762</v>
      </c>
      <c r="C654" s="1" t="s">
        <v>15763</v>
      </c>
      <c r="D654" s="1" t="s">
        <v>15764</v>
      </c>
      <c r="E654" s="1" t="s">
        <v>15765</v>
      </c>
    </row>
    <row r="655" spans="1:5" x14ac:dyDescent="0.15">
      <c r="A655" s="1" t="s">
        <v>15753</v>
      </c>
      <c r="B655" s="1" t="s">
        <v>15766</v>
      </c>
      <c r="C655" s="1" t="s">
        <v>15767</v>
      </c>
      <c r="D655" s="1" t="s">
        <v>15768</v>
      </c>
      <c r="E655" s="1" t="s">
        <v>15769</v>
      </c>
    </row>
    <row r="656" spans="1:5" x14ac:dyDescent="0.15">
      <c r="A656" s="1" t="s">
        <v>15753</v>
      </c>
      <c r="B656" s="1" t="s">
        <v>15770</v>
      </c>
      <c r="C656" s="1" t="s">
        <v>15771</v>
      </c>
      <c r="D656" s="1" t="s">
        <v>15772</v>
      </c>
      <c r="E656" s="1" t="s">
        <v>15773</v>
      </c>
    </row>
    <row r="657" spans="1:5" x14ac:dyDescent="0.15">
      <c r="A657" s="1" t="s">
        <v>15753</v>
      </c>
      <c r="B657" s="1" t="s">
        <v>15774</v>
      </c>
      <c r="C657" s="1" t="s">
        <v>15775</v>
      </c>
      <c r="D657" s="1" t="s">
        <v>15776</v>
      </c>
      <c r="E657" s="1" t="s">
        <v>15777</v>
      </c>
    </row>
    <row r="658" spans="1:5" x14ac:dyDescent="0.15">
      <c r="A658" s="1" t="s">
        <v>15778</v>
      </c>
      <c r="B658" s="1" t="s">
        <v>15779</v>
      </c>
      <c r="C658" s="1" t="s">
        <v>15780</v>
      </c>
      <c r="D658" s="1" t="s">
        <v>15781</v>
      </c>
      <c r="E658" s="1" t="s">
        <v>15782</v>
      </c>
    </row>
    <row r="659" spans="1:5" x14ac:dyDescent="0.15">
      <c r="A659" s="1" t="s">
        <v>15778</v>
      </c>
      <c r="B659" s="1" t="s">
        <v>15783</v>
      </c>
      <c r="C659" s="1" t="s">
        <v>15784</v>
      </c>
      <c r="D659" s="1" t="s">
        <v>15785</v>
      </c>
      <c r="E659" s="1" t="s">
        <v>15786</v>
      </c>
    </row>
    <row r="660" spans="1:5" x14ac:dyDescent="0.15">
      <c r="A660" s="1" t="s">
        <v>15778</v>
      </c>
      <c r="B660" s="1" t="s">
        <v>15787</v>
      </c>
      <c r="C660" s="1" t="s">
        <v>15784</v>
      </c>
      <c r="D660" s="1" t="s">
        <v>15788</v>
      </c>
      <c r="E660" s="1" t="s">
        <v>15789</v>
      </c>
    </row>
    <row r="661" spans="1:5" x14ac:dyDescent="0.15">
      <c r="A661" s="1" t="s">
        <v>15778</v>
      </c>
      <c r="B661" s="1" t="s">
        <v>15790</v>
      </c>
      <c r="C661" s="1" t="s">
        <v>15791</v>
      </c>
      <c r="D661" s="1" t="s">
        <v>15792</v>
      </c>
      <c r="E661" s="1" t="s">
        <v>15793</v>
      </c>
    </row>
    <row r="662" spans="1:5" x14ac:dyDescent="0.15">
      <c r="A662" s="1" t="s">
        <v>15778</v>
      </c>
      <c r="B662" s="1" t="s">
        <v>15794</v>
      </c>
      <c r="C662" s="1" t="s">
        <v>15791</v>
      </c>
      <c r="D662" s="1" t="s">
        <v>15795</v>
      </c>
      <c r="E662" s="1" t="s">
        <v>15796</v>
      </c>
    </row>
    <row r="663" spans="1:5" x14ac:dyDescent="0.15">
      <c r="A663" s="1" t="s">
        <v>15778</v>
      </c>
      <c r="B663" s="1" t="s">
        <v>15797</v>
      </c>
      <c r="C663" s="1" t="s">
        <v>15798</v>
      </c>
      <c r="D663" s="1" t="s">
        <v>15799</v>
      </c>
      <c r="E663" s="1" t="s">
        <v>15800</v>
      </c>
    </row>
    <row r="664" spans="1:5" x14ac:dyDescent="0.15">
      <c r="A664" s="1" t="s">
        <v>15778</v>
      </c>
      <c r="B664" s="1" t="s">
        <v>15801</v>
      </c>
      <c r="C664" s="1" t="s">
        <v>15798</v>
      </c>
      <c r="D664" s="1" t="s">
        <v>15799</v>
      </c>
      <c r="E664" s="1" t="s">
        <v>15802</v>
      </c>
    </row>
    <row r="665" spans="1:5" x14ac:dyDescent="0.15">
      <c r="A665" s="1" t="s">
        <v>15803</v>
      </c>
      <c r="B665" s="1" t="s">
        <v>15804</v>
      </c>
      <c r="C665" s="1" t="s">
        <v>15805</v>
      </c>
      <c r="D665" s="1" t="s">
        <v>15806</v>
      </c>
      <c r="E665" s="1" t="s">
        <v>15807</v>
      </c>
    </row>
    <row r="666" spans="1:5" x14ac:dyDescent="0.15">
      <c r="A666" s="1" t="s">
        <v>15803</v>
      </c>
      <c r="B666" s="1" t="s">
        <v>15808</v>
      </c>
      <c r="C666" s="1" t="s">
        <v>15809</v>
      </c>
      <c r="D666" s="1" t="s">
        <v>15810</v>
      </c>
      <c r="E666" s="1" t="s">
        <v>15811</v>
      </c>
    </row>
    <row r="667" spans="1:5" x14ac:dyDescent="0.15">
      <c r="A667" s="1" t="s">
        <v>15803</v>
      </c>
      <c r="B667" s="1" t="s">
        <v>15812</v>
      </c>
      <c r="C667" s="1" t="s">
        <v>15809</v>
      </c>
      <c r="D667" s="1" t="s">
        <v>15813</v>
      </c>
      <c r="E667" s="1" t="s">
        <v>15814</v>
      </c>
    </row>
    <row r="668" spans="1:5" x14ac:dyDescent="0.15">
      <c r="A668" s="1" t="s">
        <v>15803</v>
      </c>
      <c r="B668" s="1" t="s">
        <v>15815</v>
      </c>
      <c r="C668" s="1" t="s">
        <v>15816</v>
      </c>
      <c r="D668" s="1" t="s">
        <v>15817</v>
      </c>
      <c r="E668" s="1" t="s">
        <v>15818</v>
      </c>
    </row>
    <row r="669" spans="1:5" x14ac:dyDescent="0.15">
      <c r="A669" s="1" t="s">
        <v>15803</v>
      </c>
      <c r="B669" s="1" t="s">
        <v>15819</v>
      </c>
      <c r="C669" s="1" t="s">
        <v>15820</v>
      </c>
      <c r="D669" s="1" t="s">
        <v>15821</v>
      </c>
      <c r="E669" s="1" t="s">
        <v>15822</v>
      </c>
    </row>
    <row r="670" spans="1:5" x14ac:dyDescent="0.15">
      <c r="A670" s="1" t="s">
        <v>15803</v>
      </c>
      <c r="B670" s="1" t="s">
        <v>15823</v>
      </c>
      <c r="C670" s="1" t="s">
        <v>15824</v>
      </c>
      <c r="D670" s="1" t="s">
        <v>15825</v>
      </c>
      <c r="E670" s="1" t="s">
        <v>15826</v>
      </c>
    </row>
    <row r="671" spans="1:5" x14ac:dyDescent="0.15">
      <c r="A671" s="1" t="s">
        <v>15803</v>
      </c>
      <c r="B671" s="1" t="s">
        <v>15827</v>
      </c>
      <c r="C671" s="1" t="s">
        <v>15828</v>
      </c>
      <c r="D671" s="1" t="s">
        <v>15829</v>
      </c>
      <c r="E671" s="1" t="s">
        <v>15830</v>
      </c>
    </row>
    <row r="672" spans="1:5" x14ac:dyDescent="0.15">
      <c r="A672" s="1" t="s">
        <v>15803</v>
      </c>
      <c r="B672" s="1" t="s">
        <v>15831</v>
      </c>
      <c r="C672" s="1" t="s">
        <v>15832</v>
      </c>
      <c r="D672" s="1" t="s">
        <v>15833</v>
      </c>
      <c r="E672" s="1" t="s">
        <v>15834</v>
      </c>
    </row>
    <row r="673" spans="1:5" x14ac:dyDescent="0.15">
      <c r="A673" s="1" t="s">
        <v>15803</v>
      </c>
      <c r="B673" s="1" t="s">
        <v>15835</v>
      </c>
      <c r="C673" s="1" t="s">
        <v>15836</v>
      </c>
      <c r="D673" s="1" t="s">
        <v>15837</v>
      </c>
      <c r="E673" s="1" t="s">
        <v>15838</v>
      </c>
    </row>
    <row r="674" spans="1:5" x14ac:dyDescent="0.15">
      <c r="A674" s="1" t="s">
        <v>15803</v>
      </c>
      <c r="B674" s="1" t="s">
        <v>15839</v>
      </c>
      <c r="C674" s="1" t="s">
        <v>15840</v>
      </c>
      <c r="D674" s="1" t="s">
        <v>15841</v>
      </c>
      <c r="E674" s="1" t="s">
        <v>15842</v>
      </c>
    </row>
    <row r="675" spans="1:5" x14ac:dyDescent="0.15">
      <c r="A675" s="1" t="s">
        <v>15803</v>
      </c>
      <c r="B675" s="1" t="s">
        <v>15843</v>
      </c>
      <c r="C675" s="1" t="s">
        <v>15844</v>
      </c>
      <c r="D675" s="1" t="s">
        <v>15845</v>
      </c>
      <c r="E675" s="1" t="s">
        <v>15846</v>
      </c>
    </row>
    <row r="676" spans="1:5" x14ac:dyDescent="0.15">
      <c r="A676" s="1" t="s">
        <v>15803</v>
      </c>
      <c r="B676" s="1" t="s">
        <v>15847</v>
      </c>
      <c r="C676" s="1" t="s">
        <v>15848</v>
      </c>
      <c r="D676" s="1" t="s">
        <v>15849</v>
      </c>
      <c r="E676" s="1" t="s">
        <v>15850</v>
      </c>
    </row>
    <row r="677" spans="1:5" x14ac:dyDescent="0.15">
      <c r="A677" s="1" t="s">
        <v>15803</v>
      </c>
      <c r="B677" s="1" t="s">
        <v>15851</v>
      </c>
      <c r="C677" s="1" t="s">
        <v>15852</v>
      </c>
      <c r="D677" s="1" t="s">
        <v>15853</v>
      </c>
      <c r="E677" s="1" t="s">
        <v>15854</v>
      </c>
    </row>
    <row r="678" spans="1:5" x14ac:dyDescent="0.15">
      <c r="A678" s="1" t="s">
        <v>15803</v>
      </c>
      <c r="B678" s="1" t="s">
        <v>15855</v>
      </c>
      <c r="C678" s="1" t="s">
        <v>15856</v>
      </c>
      <c r="D678" s="1" t="s">
        <v>15857</v>
      </c>
      <c r="E678" s="1" t="s">
        <v>15858</v>
      </c>
    </row>
    <row r="679" spans="1:5" x14ac:dyDescent="0.15">
      <c r="A679" s="1" t="s">
        <v>15803</v>
      </c>
      <c r="B679" s="1" t="s">
        <v>15859</v>
      </c>
      <c r="C679" s="1" t="s">
        <v>15860</v>
      </c>
      <c r="D679" s="1" t="s">
        <v>15861</v>
      </c>
      <c r="E679" s="1" t="s">
        <v>15862</v>
      </c>
    </row>
    <row r="680" spans="1:5" x14ac:dyDescent="0.15">
      <c r="A680" s="1" t="s">
        <v>15803</v>
      </c>
      <c r="B680" s="1" t="s">
        <v>15863</v>
      </c>
      <c r="C680" s="1" t="s">
        <v>15864</v>
      </c>
      <c r="D680" s="1" t="s">
        <v>15865</v>
      </c>
      <c r="E680" s="1" t="s">
        <v>15866</v>
      </c>
    </row>
    <row r="681" spans="1:5" x14ac:dyDescent="0.15">
      <c r="A681" s="1" t="s">
        <v>15803</v>
      </c>
      <c r="B681" s="1" t="s">
        <v>15867</v>
      </c>
      <c r="C681" s="1" t="s">
        <v>15864</v>
      </c>
      <c r="D681" s="1" t="s">
        <v>15868</v>
      </c>
      <c r="E681" s="1" t="s">
        <v>15869</v>
      </c>
    </row>
    <row r="682" spans="1:5" x14ac:dyDescent="0.15">
      <c r="A682" s="1" t="s">
        <v>15803</v>
      </c>
      <c r="B682" s="1" t="s">
        <v>15870</v>
      </c>
      <c r="C682" s="1" t="s">
        <v>15871</v>
      </c>
      <c r="D682" s="1" t="s">
        <v>15872</v>
      </c>
      <c r="E682" s="1" t="s">
        <v>15873</v>
      </c>
    </row>
    <row r="683" spans="1:5" x14ac:dyDescent="0.15">
      <c r="A683" s="1" t="s">
        <v>15803</v>
      </c>
      <c r="B683" s="1" t="s">
        <v>15874</v>
      </c>
      <c r="C683" s="1" t="s">
        <v>15875</v>
      </c>
      <c r="D683" s="1" t="s">
        <v>15876</v>
      </c>
      <c r="E683" s="1" t="s">
        <v>15877</v>
      </c>
    </row>
    <row r="684" spans="1:5" x14ac:dyDescent="0.15">
      <c r="A684" s="1" t="s">
        <v>15803</v>
      </c>
      <c r="B684" s="1" t="s">
        <v>15878</v>
      </c>
      <c r="C684" s="1" t="s">
        <v>15879</v>
      </c>
      <c r="D684" s="1" t="s">
        <v>15880</v>
      </c>
      <c r="E684" s="1" t="s">
        <v>15881</v>
      </c>
    </row>
    <row r="685" spans="1:5" x14ac:dyDescent="0.15">
      <c r="A685" s="1" t="s">
        <v>15803</v>
      </c>
      <c r="B685" s="1" t="s">
        <v>15882</v>
      </c>
      <c r="C685" s="1" t="s">
        <v>15883</v>
      </c>
      <c r="D685" s="1" t="s">
        <v>15884</v>
      </c>
      <c r="E685" s="1" t="s">
        <v>15885</v>
      </c>
    </row>
    <row r="686" spans="1:5" x14ac:dyDescent="0.15">
      <c r="A686" s="1" t="s">
        <v>15803</v>
      </c>
      <c r="B686" s="1" t="s">
        <v>15886</v>
      </c>
      <c r="C686" s="1" t="s">
        <v>15887</v>
      </c>
      <c r="D686" s="1" t="s">
        <v>15888</v>
      </c>
      <c r="E686" s="1" t="s">
        <v>15889</v>
      </c>
    </row>
    <row r="687" spans="1:5" x14ac:dyDescent="0.15">
      <c r="A687" s="1" t="s">
        <v>15803</v>
      </c>
      <c r="B687" s="1" t="s">
        <v>15890</v>
      </c>
      <c r="C687" s="1" t="s">
        <v>15891</v>
      </c>
      <c r="D687" s="1" t="s">
        <v>15892</v>
      </c>
      <c r="E687" s="1" t="s">
        <v>15893</v>
      </c>
    </row>
    <row r="688" spans="1:5" x14ac:dyDescent="0.15">
      <c r="A688" s="1" t="s">
        <v>15803</v>
      </c>
      <c r="B688" s="1" t="s">
        <v>15894</v>
      </c>
      <c r="C688" s="1" t="s">
        <v>15895</v>
      </c>
      <c r="D688" s="1" t="s">
        <v>15896</v>
      </c>
      <c r="E688" s="1" t="s">
        <v>15897</v>
      </c>
    </row>
    <row r="689" spans="1:5" x14ac:dyDescent="0.15">
      <c r="A689" s="1" t="s">
        <v>15803</v>
      </c>
      <c r="B689" s="1" t="s">
        <v>15898</v>
      </c>
      <c r="C689" s="1" t="s">
        <v>15899</v>
      </c>
      <c r="D689" s="1" t="s">
        <v>15900</v>
      </c>
      <c r="E689" s="1" t="s">
        <v>15901</v>
      </c>
    </row>
    <row r="690" spans="1:5" x14ac:dyDescent="0.15">
      <c r="A690" s="1" t="s">
        <v>15803</v>
      </c>
      <c r="B690" s="1" t="s">
        <v>15902</v>
      </c>
      <c r="C690" s="1" t="s">
        <v>15903</v>
      </c>
      <c r="D690" s="1" t="s">
        <v>15904</v>
      </c>
      <c r="E690" s="1" t="s">
        <v>15905</v>
      </c>
    </row>
    <row r="691" spans="1:5" x14ac:dyDescent="0.15">
      <c r="A691" s="1" t="s">
        <v>15803</v>
      </c>
      <c r="B691" s="1" t="s">
        <v>15906</v>
      </c>
      <c r="C691" s="1" t="s">
        <v>15907</v>
      </c>
      <c r="D691" s="1" t="s">
        <v>15908</v>
      </c>
      <c r="E691" s="1" t="s">
        <v>15909</v>
      </c>
    </row>
    <row r="692" spans="1:5" x14ac:dyDescent="0.15">
      <c r="A692" s="1" t="s">
        <v>15803</v>
      </c>
      <c r="B692" s="1" t="s">
        <v>15910</v>
      </c>
      <c r="C692" s="1" t="s">
        <v>15911</v>
      </c>
      <c r="D692" s="1" t="s">
        <v>15912</v>
      </c>
      <c r="E692" s="1" t="s">
        <v>15913</v>
      </c>
    </row>
    <row r="693" spans="1:5" x14ac:dyDescent="0.15">
      <c r="A693" s="1" t="s">
        <v>15803</v>
      </c>
      <c r="B693" s="1" t="s">
        <v>15914</v>
      </c>
      <c r="C693" s="1" t="s">
        <v>15915</v>
      </c>
      <c r="D693" s="1" t="s">
        <v>15143</v>
      </c>
      <c r="E693" s="1" t="s">
        <v>15144</v>
      </c>
    </row>
    <row r="694" spans="1:5" x14ac:dyDescent="0.15">
      <c r="A694" s="1" t="s">
        <v>15803</v>
      </c>
      <c r="B694" s="1" t="s">
        <v>15145</v>
      </c>
      <c r="C694" s="1" t="s">
        <v>15146</v>
      </c>
      <c r="D694" s="1" t="s">
        <v>15147</v>
      </c>
      <c r="E694" s="1" t="s">
        <v>15148</v>
      </c>
    </row>
    <row r="695" spans="1:5" x14ac:dyDescent="0.15">
      <c r="A695" s="1" t="s">
        <v>15803</v>
      </c>
      <c r="B695" s="1" t="s">
        <v>15149</v>
      </c>
      <c r="C695" s="1" t="s">
        <v>15150</v>
      </c>
      <c r="D695" s="1" t="s">
        <v>15151</v>
      </c>
      <c r="E695" s="1" t="s">
        <v>15152</v>
      </c>
    </row>
    <row r="696" spans="1:5" x14ac:dyDescent="0.15">
      <c r="A696" s="1" t="s">
        <v>15803</v>
      </c>
      <c r="B696" s="1" t="s">
        <v>15153</v>
      </c>
      <c r="C696" s="1" t="s">
        <v>15154</v>
      </c>
      <c r="D696" s="1" t="s">
        <v>15155</v>
      </c>
      <c r="E696" s="1" t="s">
        <v>15156</v>
      </c>
    </row>
    <row r="697" spans="1:5" x14ac:dyDescent="0.15">
      <c r="A697" s="1" t="s">
        <v>15803</v>
      </c>
      <c r="B697" s="1" t="s">
        <v>15157</v>
      </c>
      <c r="C697" s="1" t="s">
        <v>15158</v>
      </c>
      <c r="D697" s="1" t="s">
        <v>15159</v>
      </c>
      <c r="E697" s="1" t="s">
        <v>15160</v>
      </c>
    </row>
    <row r="698" spans="1:5" x14ac:dyDescent="0.15">
      <c r="A698" s="1" t="s">
        <v>15803</v>
      </c>
      <c r="B698" s="1" t="s">
        <v>15161</v>
      </c>
      <c r="C698" s="1" t="s">
        <v>15162</v>
      </c>
      <c r="D698" s="1" t="s">
        <v>15163</v>
      </c>
      <c r="E698" s="1" t="s">
        <v>15164</v>
      </c>
    </row>
    <row r="699" spans="1:5" x14ac:dyDescent="0.15">
      <c r="A699" s="1" t="s">
        <v>15803</v>
      </c>
      <c r="B699" s="1" t="s">
        <v>15165</v>
      </c>
      <c r="C699" s="1" t="s">
        <v>15166</v>
      </c>
      <c r="D699" s="1" t="s">
        <v>15167</v>
      </c>
      <c r="E699" s="1" t="s">
        <v>15168</v>
      </c>
    </row>
    <row r="700" spans="1:5" x14ac:dyDescent="0.15">
      <c r="A700" s="1" t="s">
        <v>15803</v>
      </c>
      <c r="B700" s="1" t="s">
        <v>15169</v>
      </c>
      <c r="C700" s="1" t="s">
        <v>15170</v>
      </c>
      <c r="D700" s="1" t="s">
        <v>15171</v>
      </c>
      <c r="E700" s="1" t="s">
        <v>15172</v>
      </c>
    </row>
    <row r="701" spans="1:5" x14ac:dyDescent="0.15">
      <c r="A701" s="1" t="s">
        <v>15803</v>
      </c>
      <c r="B701" s="1" t="s">
        <v>15173</v>
      </c>
      <c r="C701" s="1" t="s">
        <v>15174</v>
      </c>
      <c r="D701" s="1" t="s">
        <v>15175</v>
      </c>
      <c r="E701" s="1" t="s">
        <v>15176</v>
      </c>
    </row>
    <row r="702" spans="1:5" x14ac:dyDescent="0.15">
      <c r="A702" s="1" t="s">
        <v>15803</v>
      </c>
      <c r="B702" s="1" t="s">
        <v>15177</v>
      </c>
      <c r="C702" s="1" t="s">
        <v>15178</v>
      </c>
      <c r="D702" s="1" t="s">
        <v>15179</v>
      </c>
      <c r="E702" s="1" t="s">
        <v>15180</v>
      </c>
    </row>
    <row r="703" spans="1:5" x14ac:dyDescent="0.15">
      <c r="A703" s="1" t="s">
        <v>15803</v>
      </c>
      <c r="B703" s="1" t="s">
        <v>15181</v>
      </c>
      <c r="C703" s="1" t="s">
        <v>15182</v>
      </c>
      <c r="D703" s="1" t="s">
        <v>15183</v>
      </c>
      <c r="E703" s="1" t="s">
        <v>15184</v>
      </c>
    </row>
    <row r="704" spans="1:5" x14ac:dyDescent="0.15">
      <c r="A704" s="1" t="s">
        <v>15803</v>
      </c>
      <c r="B704" s="1" t="s">
        <v>15185</v>
      </c>
      <c r="C704" s="1" t="s">
        <v>15186</v>
      </c>
      <c r="D704" s="1" t="s">
        <v>15187</v>
      </c>
      <c r="E704" s="1" t="s">
        <v>15188</v>
      </c>
    </row>
    <row r="705" spans="1:5" x14ac:dyDescent="0.15">
      <c r="A705" s="1" t="s">
        <v>15803</v>
      </c>
      <c r="B705" s="1" t="s">
        <v>15189</v>
      </c>
      <c r="C705" s="1" t="s">
        <v>15190</v>
      </c>
      <c r="D705" s="1" t="s">
        <v>15191</v>
      </c>
      <c r="E705" s="1" t="s">
        <v>15192</v>
      </c>
    </row>
    <row r="706" spans="1:5" x14ac:dyDescent="0.15">
      <c r="A706" s="1" t="s">
        <v>15803</v>
      </c>
      <c r="B706" s="1" t="s">
        <v>15193</v>
      </c>
      <c r="C706" s="1" t="s">
        <v>15194</v>
      </c>
      <c r="D706" s="1" t="s">
        <v>15195</v>
      </c>
      <c r="E706" s="1" t="s">
        <v>15196</v>
      </c>
    </row>
    <row r="707" spans="1:5" x14ac:dyDescent="0.15">
      <c r="A707" s="1" t="s">
        <v>15803</v>
      </c>
      <c r="B707" s="1" t="s">
        <v>15197</v>
      </c>
      <c r="C707" s="1" t="s">
        <v>15194</v>
      </c>
      <c r="D707" s="1" t="s">
        <v>15195</v>
      </c>
      <c r="E707" s="1" t="s">
        <v>15198</v>
      </c>
    </row>
    <row r="708" spans="1:5" x14ac:dyDescent="0.15">
      <c r="A708" s="1" t="s">
        <v>15199</v>
      </c>
      <c r="B708" s="1" t="s">
        <v>15200</v>
      </c>
      <c r="C708" s="1" t="s">
        <v>15201</v>
      </c>
      <c r="D708" s="1" t="s">
        <v>15202</v>
      </c>
      <c r="E708" s="1" t="s">
        <v>15203</v>
      </c>
    </row>
    <row r="709" spans="1:5" x14ac:dyDescent="0.15">
      <c r="A709" s="1" t="s">
        <v>15199</v>
      </c>
      <c r="B709" s="1" t="s">
        <v>15204</v>
      </c>
      <c r="C709" s="1" t="s">
        <v>15201</v>
      </c>
      <c r="D709" s="1" t="s">
        <v>15205</v>
      </c>
      <c r="E709" s="1" t="s">
        <v>15206</v>
      </c>
    </row>
    <row r="710" spans="1:5" x14ac:dyDescent="0.15">
      <c r="A710" s="1" t="s">
        <v>15199</v>
      </c>
      <c r="B710" s="1" t="s">
        <v>15207</v>
      </c>
      <c r="C710" s="1" t="s">
        <v>15201</v>
      </c>
      <c r="D710" s="1" t="s">
        <v>15208</v>
      </c>
      <c r="E710" s="1" t="s">
        <v>15209</v>
      </c>
    </row>
    <row r="711" spans="1:5" x14ac:dyDescent="0.15">
      <c r="A711" s="1" t="s">
        <v>15199</v>
      </c>
      <c r="B711" s="1" t="s">
        <v>15210</v>
      </c>
      <c r="C711" s="1" t="s">
        <v>15211</v>
      </c>
      <c r="D711" s="1" t="s">
        <v>15212</v>
      </c>
      <c r="E711" s="1" t="s">
        <v>15213</v>
      </c>
    </row>
    <row r="712" spans="1:5" x14ac:dyDescent="0.15">
      <c r="A712" s="1" t="s">
        <v>15199</v>
      </c>
      <c r="B712" s="1" t="s">
        <v>15214</v>
      </c>
      <c r="C712" s="1" t="s">
        <v>15215</v>
      </c>
      <c r="D712" s="1" t="s">
        <v>15216</v>
      </c>
      <c r="E712" s="1" t="s">
        <v>15217</v>
      </c>
    </row>
    <row r="713" spans="1:5" x14ac:dyDescent="0.15">
      <c r="A713" s="1" t="s">
        <v>15199</v>
      </c>
      <c r="B713" s="1" t="s">
        <v>15218</v>
      </c>
      <c r="C713" s="1" t="s">
        <v>15219</v>
      </c>
      <c r="D713" s="1" t="s">
        <v>15220</v>
      </c>
      <c r="E713" s="1" t="s">
        <v>15221</v>
      </c>
    </row>
    <row r="714" spans="1:5" x14ac:dyDescent="0.15">
      <c r="A714" s="1" t="s">
        <v>15199</v>
      </c>
      <c r="B714" s="1" t="s">
        <v>15222</v>
      </c>
      <c r="C714" s="1" t="s">
        <v>15223</v>
      </c>
      <c r="D714" s="1" t="s">
        <v>15224</v>
      </c>
      <c r="E714" s="1" t="s">
        <v>15225</v>
      </c>
    </row>
    <row r="715" spans="1:5" x14ac:dyDescent="0.15">
      <c r="A715" s="1" t="s">
        <v>15199</v>
      </c>
      <c r="B715" s="1" t="s">
        <v>15226</v>
      </c>
      <c r="C715" s="1" t="s">
        <v>15227</v>
      </c>
      <c r="D715" s="1" t="s">
        <v>15228</v>
      </c>
      <c r="E715" s="1" t="s">
        <v>15229</v>
      </c>
    </row>
    <row r="716" spans="1:5" x14ac:dyDescent="0.15">
      <c r="A716" s="1" t="s">
        <v>15199</v>
      </c>
      <c r="B716" s="1" t="s">
        <v>15230</v>
      </c>
      <c r="C716" s="1" t="s">
        <v>15227</v>
      </c>
      <c r="D716" s="1" t="s">
        <v>15231</v>
      </c>
      <c r="E716" s="1" t="s">
        <v>15232</v>
      </c>
    </row>
    <row r="717" spans="1:5" x14ac:dyDescent="0.15">
      <c r="A717" s="1" t="s">
        <v>15199</v>
      </c>
      <c r="B717" s="1" t="s">
        <v>15233</v>
      </c>
      <c r="C717" s="1" t="s">
        <v>15234</v>
      </c>
      <c r="D717" s="1" t="s">
        <v>15235</v>
      </c>
      <c r="E717" s="1" t="s">
        <v>15236</v>
      </c>
    </row>
    <row r="718" spans="1:5" x14ac:dyDescent="0.15">
      <c r="A718" s="1" t="s">
        <v>15199</v>
      </c>
      <c r="B718" s="1" t="s">
        <v>15237</v>
      </c>
      <c r="C718" s="1" t="s">
        <v>15234</v>
      </c>
      <c r="D718" s="1" t="s">
        <v>15238</v>
      </c>
      <c r="E718" s="1" t="s">
        <v>15239</v>
      </c>
    </row>
    <row r="719" spans="1:5" x14ac:dyDescent="0.15">
      <c r="A719" s="1" t="s">
        <v>15240</v>
      </c>
      <c r="B719" s="1" t="s">
        <v>15241</v>
      </c>
      <c r="C719" s="1" t="s">
        <v>15242</v>
      </c>
      <c r="D719" s="1" t="s">
        <v>15243</v>
      </c>
      <c r="E719" s="1" t="s">
        <v>15244</v>
      </c>
    </row>
    <row r="720" spans="1:5" x14ac:dyDescent="0.15">
      <c r="A720" s="1" t="s">
        <v>15240</v>
      </c>
      <c r="B720" s="1" t="s">
        <v>15245</v>
      </c>
      <c r="C720" s="1" t="s">
        <v>15246</v>
      </c>
      <c r="D720" s="1" t="s">
        <v>15247</v>
      </c>
      <c r="E720" s="1" t="s">
        <v>15248</v>
      </c>
    </row>
    <row r="721" spans="1:5" x14ac:dyDescent="0.15">
      <c r="A721" s="1" t="s">
        <v>15240</v>
      </c>
      <c r="B721" s="1" t="s">
        <v>15249</v>
      </c>
      <c r="C721" s="1" t="s">
        <v>15250</v>
      </c>
      <c r="D721" s="1" t="s">
        <v>15251</v>
      </c>
      <c r="E721" s="1" t="s">
        <v>15252</v>
      </c>
    </row>
    <row r="722" spans="1:5" x14ac:dyDescent="0.15">
      <c r="A722" s="1" t="s">
        <v>15240</v>
      </c>
      <c r="B722" s="1" t="s">
        <v>15253</v>
      </c>
      <c r="C722" s="1" t="s">
        <v>15254</v>
      </c>
      <c r="D722" s="1" t="s">
        <v>15255</v>
      </c>
      <c r="E722" s="1" t="s">
        <v>15256</v>
      </c>
    </row>
    <row r="723" spans="1:5" x14ac:dyDescent="0.15">
      <c r="A723" s="1" t="s">
        <v>15240</v>
      </c>
      <c r="B723" s="1" t="s">
        <v>15257</v>
      </c>
      <c r="C723" s="1" t="s">
        <v>15258</v>
      </c>
      <c r="D723" s="1" t="s">
        <v>15259</v>
      </c>
      <c r="E723" s="1" t="s">
        <v>15260</v>
      </c>
    </row>
    <row r="724" spans="1:5" x14ac:dyDescent="0.15">
      <c r="A724" s="1" t="s">
        <v>15240</v>
      </c>
      <c r="B724" s="1" t="s">
        <v>15261</v>
      </c>
      <c r="C724" s="1" t="s">
        <v>15262</v>
      </c>
      <c r="D724" s="1" t="s">
        <v>15263</v>
      </c>
      <c r="E724" s="1" t="s">
        <v>15264</v>
      </c>
    </row>
    <row r="725" spans="1:5" x14ac:dyDescent="0.15">
      <c r="A725" s="1" t="s">
        <v>15240</v>
      </c>
      <c r="B725" s="1" t="s">
        <v>15265</v>
      </c>
      <c r="C725" s="1" t="s">
        <v>15266</v>
      </c>
      <c r="D725" s="1" t="s">
        <v>15267</v>
      </c>
      <c r="E725" s="1" t="s">
        <v>15268</v>
      </c>
    </row>
    <row r="726" spans="1:5" x14ac:dyDescent="0.15">
      <c r="A726" s="1" t="s">
        <v>17235</v>
      </c>
      <c r="B726" s="1" t="s">
        <v>15269</v>
      </c>
      <c r="C726" s="1" t="s">
        <v>15270</v>
      </c>
      <c r="D726" s="1" t="s">
        <v>15271</v>
      </c>
      <c r="E726" s="1" t="s">
        <v>15272</v>
      </c>
    </row>
    <row r="727" spans="1:5" x14ac:dyDescent="0.15">
      <c r="A727" s="1" t="s">
        <v>17235</v>
      </c>
      <c r="B727" s="1" t="s">
        <v>15273</v>
      </c>
      <c r="C727" s="1" t="s">
        <v>15270</v>
      </c>
      <c r="D727" s="1" t="s">
        <v>15274</v>
      </c>
      <c r="E727" s="1" t="s">
        <v>15275</v>
      </c>
    </row>
    <row r="728" spans="1:5" x14ac:dyDescent="0.15">
      <c r="A728" s="1" t="s">
        <v>17235</v>
      </c>
      <c r="B728" s="1" t="s">
        <v>15276</v>
      </c>
      <c r="C728" s="1" t="s">
        <v>15277</v>
      </c>
      <c r="D728" s="1" t="s">
        <v>15278</v>
      </c>
      <c r="E728" s="1" t="s">
        <v>15279</v>
      </c>
    </row>
    <row r="729" spans="1:5" x14ac:dyDescent="0.15">
      <c r="A729" s="1" t="s">
        <v>17235</v>
      </c>
      <c r="B729" s="1" t="s">
        <v>15280</v>
      </c>
      <c r="C729" s="1" t="s">
        <v>15277</v>
      </c>
      <c r="D729" s="1" t="s">
        <v>15278</v>
      </c>
      <c r="E729" s="1" t="s">
        <v>15281</v>
      </c>
    </row>
    <row r="730" spans="1:5" x14ac:dyDescent="0.15">
      <c r="A730" s="1" t="s">
        <v>15282</v>
      </c>
      <c r="B730" s="1" t="s">
        <v>15283</v>
      </c>
      <c r="C730" s="1" t="s">
        <v>15284</v>
      </c>
      <c r="D730" s="1" t="s">
        <v>15285</v>
      </c>
      <c r="E730" s="1" t="s">
        <v>15286</v>
      </c>
    </row>
    <row r="731" spans="1:5" x14ac:dyDescent="0.15">
      <c r="A731" s="1" t="s">
        <v>15282</v>
      </c>
      <c r="B731" s="1" t="s">
        <v>15287</v>
      </c>
      <c r="C731" s="1" t="s">
        <v>15288</v>
      </c>
      <c r="D731" s="1" t="s">
        <v>15289</v>
      </c>
      <c r="E731" s="1" t="s">
        <v>15290</v>
      </c>
    </row>
    <row r="732" spans="1:5" x14ac:dyDescent="0.15">
      <c r="A732" s="1" t="s">
        <v>15282</v>
      </c>
      <c r="B732" s="1" t="s">
        <v>15291</v>
      </c>
      <c r="C732" s="1" t="s">
        <v>15288</v>
      </c>
      <c r="D732" s="1" t="s">
        <v>15292</v>
      </c>
      <c r="E732" s="1" t="s">
        <v>15293</v>
      </c>
    </row>
    <row r="733" spans="1:5" x14ac:dyDescent="0.15">
      <c r="A733" s="1" t="s">
        <v>15282</v>
      </c>
      <c r="B733" s="1" t="s">
        <v>15294</v>
      </c>
      <c r="C733" s="1" t="s">
        <v>15295</v>
      </c>
      <c r="D733" s="1" t="s">
        <v>15296</v>
      </c>
      <c r="E733" s="1" t="s">
        <v>15297</v>
      </c>
    </row>
    <row r="734" spans="1:5" x14ac:dyDescent="0.15">
      <c r="A734" s="1" t="s">
        <v>15282</v>
      </c>
      <c r="B734" s="1" t="s">
        <v>15298</v>
      </c>
      <c r="C734" s="1" t="s">
        <v>15295</v>
      </c>
      <c r="D734" s="1" t="s">
        <v>15299</v>
      </c>
      <c r="E734" s="1" t="s">
        <v>15300</v>
      </c>
    </row>
    <row r="735" spans="1:5" x14ac:dyDescent="0.15">
      <c r="A735" s="1" t="s">
        <v>15282</v>
      </c>
      <c r="B735" s="1" t="s">
        <v>15301</v>
      </c>
      <c r="C735" s="1" t="s">
        <v>15302</v>
      </c>
      <c r="D735" s="1" t="s">
        <v>15303</v>
      </c>
      <c r="E735" s="1" t="s">
        <v>15304</v>
      </c>
    </row>
    <row r="736" spans="1:5" x14ac:dyDescent="0.15">
      <c r="A736" s="1" t="s">
        <v>15282</v>
      </c>
      <c r="B736" s="1" t="s">
        <v>15305</v>
      </c>
      <c r="C736" s="1" t="s">
        <v>15306</v>
      </c>
      <c r="D736" s="1" t="s">
        <v>15307</v>
      </c>
      <c r="E736" s="1" t="s">
        <v>15308</v>
      </c>
    </row>
    <row r="737" spans="1:5" x14ac:dyDescent="0.15">
      <c r="A737" s="1" t="s">
        <v>15282</v>
      </c>
      <c r="B737" s="1" t="s">
        <v>15309</v>
      </c>
      <c r="C737" s="1" t="s">
        <v>15310</v>
      </c>
      <c r="D737" s="1" t="s">
        <v>15311</v>
      </c>
      <c r="E737" s="1" t="s">
        <v>15312</v>
      </c>
    </row>
    <row r="738" spans="1:5" x14ac:dyDescent="0.15">
      <c r="A738" s="1" t="s">
        <v>15282</v>
      </c>
      <c r="B738" s="1" t="s">
        <v>15313</v>
      </c>
      <c r="C738" s="1" t="s">
        <v>15314</v>
      </c>
      <c r="D738" s="1" t="s">
        <v>15315</v>
      </c>
      <c r="E738" s="1" t="s">
        <v>15316</v>
      </c>
    </row>
    <row r="739" spans="1:5" x14ac:dyDescent="0.15">
      <c r="A739" s="1" t="s">
        <v>15282</v>
      </c>
      <c r="B739" s="1" t="s">
        <v>15317</v>
      </c>
      <c r="C739" s="1" t="s">
        <v>15318</v>
      </c>
      <c r="D739" s="1" t="s">
        <v>15319</v>
      </c>
      <c r="E739" s="1" t="s">
        <v>15320</v>
      </c>
    </row>
    <row r="740" spans="1:5" x14ac:dyDescent="0.15">
      <c r="A740" s="1" t="s">
        <v>15282</v>
      </c>
      <c r="B740" s="1" t="s">
        <v>15321</v>
      </c>
      <c r="C740" s="1" t="s">
        <v>15322</v>
      </c>
      <c r="D740" s="1" t="s">
        <v>15323</v>
      </c>
      <c r="E740" s="1" t="s">
        <v>15324</v>
      </c>
    </row>
    <row r="741" spans="1:5" x14ac:dyDescent="0.15">
      <c r="A741" s="1" t="s">
        <v>15282</v>
      </c>
      <c r="B741" s="1" t="s">
        <v>15325</v>
      </c>
      <c r="C741" s="1" t="s">
        <v>15326</v>
      </c>
      <c r="D741" s="1" t="s">
        <v>15327</v>
      </c>
      <c r="E741" s="1" t="s">
        <v>15328</v>
      </c>
    </row>
    <row r="742" spans="1:5" x14ac:dyDescent="0.15">
      <c r="A742" s="1" t="s">
        <v>15282</v>
      </c>
      <c r="B742" s="1" t="s">
        <v>15329</v>
      </c>
      <c r="C742" s="1" t="s">
        <v>15330</v>
      </c>
      <c r="D742" s="1" t="s">
        <v>15331</v>
      </c>
      <c r="E742" s="1" t="s">
        <v>15332</v>
      </c>
    </row>
    <row r="743" spans="1:5" x14ac:dyDescent="0.15">
      <c r="A743" s="1" t="s">
        <v>15282</v>
      </c>
      <c r="B743" s="1" t="s">
        <v>15333</v>
      </c>
      <c r="C743" s="1" t="s">
        <v>15334</v>
      </c>
      <c r="D743" s="1" t="s">
        <v>15335</v>
      </c>
      <c r="E743" s="1" t="s">
        <v>15336</v>
      </c>
    </row>
    <row r="744" spans="1:5" x14ac:dyDescent="0.15">
      <c r="A744" s="1" t="s">
        <v>15282</v>
      </c>
      <c r="B744" s="1" t="s">
        <v>15337</v>
      </c>
      <c r="C744" s="1" t="s">
        <v>15334</v>
      </c>
      <c r="D744" s="1" t="s">
        <v>15338</v>
      </c>
      <c r="E744" s="1" t="s">
        <v>15339</v>
      </c>
    </row>
    <row r="745" spans="1:5" x14ac:dyDescent="0.15">
      <c r="A745" s="1" t="s">
        <v>15340</v>
      </c>
      <c r="B745" s="1" t="s">
        <v>15341</v>
      </c>
      <c r="C745" s="1" t="s">
        <v>15342</v>
      </c>
      <c r="D745" s="1" t="s">
        <v>15343</v>
      </c>
      <c r="E745" s="1" t="s">
        <v>15344</v>
      </c>
    </row>
    <row r="746" spans="1:5" x14ac:dyDescent="0.15">
      <c r="A746" s="1" t="s">
        <v>15340</v>
      </c>
      <c r="B746" s="1" t="s">
        <v>15345</v>
      </c>
      <c r="C746" s="1" t="s">
        <v>15342</v>
      </c>
      <c r="D746" s="1" t="s">
        <v>15346</v>
      </c>
      <c r="E746" s="1" t="s">
        <v>15347</v>
      </c>
    </row>
    <row r="747" spans="1:5" x14ac:dyDescent="0.15">
      <c r="A747" s="1" t="s">
        <v>15340</v>
      </c>
      <c r="B747" s="1" t="s">
        <v>15348</v>
      </c>
      <c r="C747" s="1" t="s">
        <v>15349</v>
      </c>
      <c r="D747" s="1" t="s">
        <v>15350</v>
      </c>
      <c r="E747" s="1" t="s">
        <v>15351</v>
      </c>
    </row>
    <row r="748" spans="1:5" x14ac:dyDescent="0.15">
      <c r="A748" s="1" t="s">
        <v>15340</v>
      </c>
      <c r="B748" s="1" t="s">
        <v>15352</v>
      </c>
      <c r="C748" s="1" t="s">
        <v>15353</v>
      </c>
      <c r="D748" s="1" t="s">
        <v>15354</v>
      </c>
      <c r="E748" s="1" t="s">
        <v>15355</v>
      </c>
    </row>
    <row r="749" spans="1:5" x14ac:dyDescent="0.15">
      <c r="A749" s="1" t="s">
        <v>15340</v>
      </c>
      <c r="B749" s="1" t="s">
        <v>15356</v>
      </c>
      <c r="C749" s="1" t="s">
        <v>15357</v>
      </c>
      <c r="D749" s="1" t="s">
        <v>15358</v>
      </c>
      <c r="E749" s="1" t="s">
        <v>15359</v>
      </c>
    </row>
    <row r="750" spans="1:5" x14ac:dyDescent="0.15">
      <c r="A750" s="1" t="s">
        <v>15340</v>
      </c>
      <c r="B750" s="1" t="s">
        <v>15360</v>
      </c>
      <c r="C750" s="1" t="s">
        <v>15361</v>
      </c>
      <c r="D750" s="1" t="s">
        <v>15362</v>
      </c>
      <c r="E750" s="1" t="s">
        <v>15363</v>
      </c>
    </row>
    <row r="751" spans="1:5" x14ac:dyDescent="0.15">
      <c r="A751" s="1" t="s">
        <v>15340</v>
      </c>
      <c r="B751" s="1" t="s">
        <v>15364</v>
      </c>
      <c r="C751" s="1" t="s">
        <v>15365</v>
      </c>
      <c r="D751" s="1" t="s">
        <v>15366</v>
      </c>
      <c r="E751" s="1" t="s">
        <v>15367</v>
      </c>
    </row>
    <row r="752" spans="1:5" x14ac:dyDescent="0.15">
      <c r="A752" s="1" t="s">
        <v>15340</v>
      </c>
      <c r="B752" s="1" t="s">
        <v>15368</v>
      </c>
      <c r="C752" s="1" t="s">
        <v>15369</v>
      </c>
      <c r="D752" s="1" t="s">
        <v>15370</v>
      </c>
      <c r="E752" s="1" t="s">
        <v>15371</v>
      </c>
    </row>
    <row r="753" spans="1:5" x14ac:dyDescent="0.15">
      <c r="A753" s="1" t="s">
        <v>15372</v>
      </c>
      <c r="B753" s="1" t="s">
        <v>15373</v>
      </c>
      <c r="C753" s="1" t="s">
        <v>15374</v>
      </c>
      <c r="D753" s="1" t="s">
        <v>15375</v>
      </c>
      <c r="E753" s="1" t="s">
        <v>15376</v>
      </c>
    </row>
    <row r="754" spans="1:5" x14ac:dyDescent="0.15">
      <c r="A754" s="1" t="s">
        <v>15372</v>
      </c>
      <c r="B754" s="1" t="s">
        <v>15377</v>
      </c>
      <c r="C754" s="1" t="s">
        <v>15374</v>
      </c>
      <c r="D754" s="1" t="s">
        <v>15378</v>
      </c>
      <c r="E754" s="1" t="s">
        <v>15379</v>
      </c>
    </row>
    <row r="755" spans="1:5" x14ac:dyDescent="0.15">
      <c r="A755" s="1" t="s">
        <v>15372</v>
      </c>
      <c r="B755" s="1" t="s">
        <v>15380</v>
      </c>
      <c r="C755" s="1" t="s">
        <v>15381</v>
      </c>
      <c r="D755" s="1" t="s">
        <v>15378</v>
      </c>
      <c r="E755" s="1" t="s">
        <v>15382</v>
      </c>
    </row>
    <row r="756" spans="1:5" x14ac:dyDescent="0.15">
      <c r="A756" s="1" t="s">
        <v>15372</v>
      </c>
      <c r="B756" s="1" t="s">
        <v>15383</v>
      </c>
      <c r="C756" s="1" t="s">
        <v>15384</v>
      </c>
      <c r="D756" s="1" t="s">
        <v>15385</v>
      </c>
      <c r="E756" s="1" t="s">
        <v>15386</v>
      </c>
    </row>
    <row r="757" spans="1:5" x14ac:dyDescent="0.15">
      <c r="A757" s="1" t="s">
        <v>15372</v>
      </c>
      <c r="B757" s="1" t="s">
        <v>15387</v>
      </c>
      <c r="C757" s="1" t="s">
        <v>15388</v>
      </c>
      <c r="D757" s="1" t="s">
        <v>15389</v>
      </c>
      <c r="E757" s="1" t="s">
        <v>15390</v>
      </c>
    </row>
    <row r="758" spans="1:5" x14ac:dyDescent="0.15">
      <c r="A758" s="1" t="s">
        <v>15372</v>
      </c>
      <c r="B758" s="1" t="s">
        <v>15391</v>
      </c>
      <c r="C758" s="1" t="s">
        <v>15392</v>
      </c>
      <c r="D758" s="1" t="s">
        <v>15393</v>
      </c>
      <c r="E758" s="1" t="s">
        <v>15394</v>
      </c>
    </row>
    <row r="759" spans="1:5" x14ac:dyDescent="0.15">
      <c r="A759" s="1" t="s">
        <v>15372</v>
      </c>
      <c r="B759" s="1" t="s">
        <v>15395</v>
      </c>
      <c r="C759" s="1" t="s">
        <v>15396</v>
      </c>
      <c r="D759" s="1" t="s">
        <v>15397</v>
      </c>
      <c r="E759" s="1" t="s">
        <v>15398</v>
      </c>
    </row>
    <row r="760" spans="1:5" x14ac:dyDescent="0.15">
      <c r="A760" s="1" t="s">
        <v>15399</v>
      </c>
      <c r="B760" s="1" t="s">
        <v>15400</v>
      </c>
      <c r="C760" s="1" t="s">
        <v>15401</v>
      </c>
      <c r="D760" s="1" t="s">
        <v>15402</v>
      </c>
      <c r="E760" s="1" t="s">
        <v>15403</v>
      </c>
    </row>
    <row r="761" spans="1:5" x14ac:dyDescent="0.15">
      <c r="A761" s="1" t="s">
        <v>15399</v>
      </c>
      <c r="B761" s="1" t="s">
        <v>15404</v>
      </c>
      <c r="C761" s="1" t="s">
        <v>15405</v>
      </c>
      <c r="D761" s="1" t="s">
        <v>15406</v>
      </c>
      <c r="E761" s="1" t="s">
        <v>15407</v>
      </c>
    </row>
    <row r="762" spans="1:5" x14ac:dyDescent="0.15">
      <c r="A762" s="1" t="s">
        <v>15399</v>
      </c>
      <c r="B762" s="1" t="s">
        <v>15408</v>
      </c>
      <c r="C762" s="1" t="s">
        <v>15409</v>
      </c>
      <c r="D762" s="1" t="s">
        <v>15410</v>
      </c>
      <c r="E762" s="1" t="s">
        <v>15411</v>
      </c>
    </row>
    <row r="763" spans="1:5" x14ac:dyDescent="0.15">
      <c r="A763" s="1" t="s">
        <v>15399</v>
      </c>
      <c r="B763" s="1" t="s">
        <v>15412</v>
      </c>
      <c r="C763" s="1" t="s">
        <v>15413</v>
      </c>
      <c r="D763" s="1" t="s">
        <v>15414</v>
      </c>
      <c r="E763" s="1" t="s">
        <v>15415</v>
      </c>
    </row>
    <row r="764" spans="1:5" x14ac:dyDescent="0.15">
      <c r="A764" s="1" t="s">
        <v>15399</v>
      </c>
      <c r="B764" s="1" t="s">
        <v>15416</v>
      </c>
      <c r="C764" s="1" t="s">
        <v>15417</v>
      </c>
      <c r="D764" s="1" t="s">
        <v>15418</v>
      </c>
      <c r="E764" s="1" t="s">
        <v>15419</v>
      </c>
    </row>
    <row r="765" spans="1:5" x14ac:dyDescent="0.15">
      <c r="A765" s="1" t="s">
        <v>15399</v>
      </c>
      <c r="B765" s="1" t="s">
        <v>15420</v>
      </c>
      <c r="C765" s="1" t="s">
        <v>15421</v>
      </c>
      <c r="D765" s="1" t="s">
        <v>15422</v>
      </c>
      <c r="E765" s="1" t="s">
        <v>15423</v>
      </c>
    </row>
    <row r="766" spans="1:5" x14ac:dyDescent="0.15">
      <c r="A766" s="1" t="s">
        <v>15424</v>
      </c>
      <c r="B766" s="1" t="s">
        <v>15425</v>
      </c>
      <c r="C766" s="1" t="s">
        <v>15426</v>
      </c>
      <c r="D766" s="1" t="s">
        <v>15427</v>
      </c>
      <c r="E766" s="1" t="s">
        <v>15428</v>
      </c>
    </row>
    <row r="767" spans="1:5" x14ac:dyDescent="0.15">
      <c r="A767" s="1" t="s">
        <v>15424</v>
      </c>
      <c r="B767" s="1" t="s">
        <v>15429</v>
      </c>
      <c r="C767" s="1" t="s">
        <v>15430</v>
      </c>
      <c r="D767" s="1" t="s">
        <v>15431</v>
      </c>
      <c r="E767" s="1" t="s">
        <v>15432</v>
      </c>
    </row>
    <row r="768" spans="1:5" x14ac:dyDescent="0.15">
      <c r="A768" s="1" t="s">
        <v>15424</v>
      </c>
      <c r="B768" s="1" t="s">
        <v>15433</v>
      </c>
      <c r="C768" s="1" t="s">
        <v>15434</v>
      </c>
      <c r="D768" s="1" t="s">
        <v>15435</v>
      </c>
      <c r="E768" s="1" t="s">
        <v>15436</v>
      </c>
    </row>
    <row r="769" spans="1:5" x14ac:dyDescent="0.15">
      <c r="A769" s="1" t="s">
        <v>15424</v>
      </c>
      <c r="B769" s="1" t="s">
        <v>15437</v>
      </c>
      <c r="C769" s="1" t="s">
        <v>15438</v>
      </c>
      <c r="D769" s="1" t="s">
        <v>15439</v>
      </c>
      <c r="E769" s="1" t="s">
        <v>15440</v>
      </c>
    </row>
    <row r="770" spans="1:5" x14ac:dyDescent="0.15">
      <c r="A770" s="1" t="s">
        <v>15424</v>
      </c>
      <c r="B770" s="1" t="s">
        <v>15441</v>
      </c>
      <c r="C770" s="1" t="s">
        <v>15442</v>
      </c>
      <c r="D770" s="1" t="s">
        <v>15443</v>
      </c>
      <c r="E770" s="1" t="s">
        <v>15444</v>
      </c>
    </row>
    <row r="771" spans="1:5" x14ac:dyDescent="0.15">
      <c r="A771" s="1" t="s">
        <v>15424</v>
      </c>
      <c r="B771" s="1" t="s">
        <v>15445</v>
      </c>
      <c r="C771" s="1" t="s">
        <v>15446</v>
      </c>
      <c r="D771" s="1" t="s">
        <v>15447</v>
      </c>
      <c r="E771" s="1" t="s">
        <v>15448</v>
      </c>
    </row>
    <row r="772" spans="1:5" x14ac:dyDescent="0.15">
      <c r="A772" s="1" t="s">
        <v>15449</v>
      </c>
      <c r="B772" s="1" t="s">
        <v>15450</v>
      </c>
      <c r="C772" s="1" t="s">
        <v>15451</v>
      </c>
      <c r="D772" s="1" t="s">
        <v>15452</v>
      </c>
      <c r="E772" s="1" t="s">
        <v>15453</v>
      </c>
    </row>
    <row r="773" spans="1:5" x14ac:dyDescent="0.15">
      <c r="A773" s="1" t="s">
        <v>15449</v>
      </c>
      <c r="B773" s="1" t="s">
        <v>15454</v>
      </c>
      <c r="C773" s="1" t="s">
        <v>15455</v>
      </c>
      <c r="D773" s="1" t="s">
        <v>15456</v>
      </c>
      <c r="E773" s="1" t="s">
        <v>15457</v>
      </c>
    </row>
    <row r="774" spans="1:5" x14ac:dyDescent="0.15">
      <c r="A774" s="1" t="s">
        <v>15449</v>
      </c>
      <c r="B774" s="1" t="s">
        <v>15458</v>
      </c>
      <c r="C774" s="1" t="s">
        <v>15459</v>
      </c>
      <c r="D774" s="1" t="s">
        <v>15460</v>
      </c>
      <c r="E774" s="1" t="s">
        <v>15461</v>
      </c>
    </row>
    <row r="775" spans="1:5" x14ac:dyDescent="0.15">
      <c r="A775" s="1" t="s">
        <v>15449</v>
      </c>
      <c r="B775" s="1" t="s">
        <v>15462</v>
      </c>
      <c r="C775" s="1" t="s">
        <v>15463</v>
      </c>
      <c r="D775" s="1" t="s">
        <v>15464</v>
      </c>
      <c r="E775" s="1" t="s">
        <v>15465</v>
      </c>
    </row>
    <row r="776" spans="1:5" x14ac:dyDescent="0.15">
      <c r="A776" s="1" t="s">
        <v>15449</v>
      </c>
      <c r="B776" s="1" t="s">
        <v>15466</v>
      </c>
      <c r="C776" s="1" t="s">
        <v>15467</v>
      </c>
      <c r="D776" s="1" t="s">
        <v>15468</v>
      </c>
      <c r="E776" s="1" t="s">
        <v>15469</v>
      </c>
    </row>
    <row r="777" spans="1:5" x14ac:dyDescent="0.15">
      <c r="A777" s="1" t="s">
        <v>15449</v>
      </c>
      <c r="B777" s="1" t="s">
        <v>15470</v>
      </c>
      <c r="C777" s="1" t="s">
        <v>15471</v>
      </c>
      <c r="D777" s="1" t="s">
        <v>15472</v>
      </c>
      <c r="E777" s="1" t="s">
        <v>15473</v>
      </c>
    </row>
    <row r="778" spans="1:5" x14ac:dyDescent="0.15">
      <c r="A778" s="1" t="s">
        <v>15449</v>
      </c>
      <c r="B778" s="1" t="s">
        <v>15474</v>
      </c>
      <c r="C778" s="1" t="s">
        <v>15475</v>
      </c>
      <c r="D778" s="1" t="s">
        <v>15476</v>
      </c>
      <c r="E778" s="1" t="s">
        <v>15477</v>
      </c>
    </row>
    <row r="779" spans="1:5" x14ac:dyDescent="0.15">
      <c r="A779" s="1" t="s">
        <v>15449</v>
      </c>
      <c r="B779" s="1" t="s">
        <v>15478</v>
      </c>
      <c r="C779" s="1" t="s">
        <v>15479</v>
      </c>
      <c r="D779" s="1" t="s">
        <v>15480</v>
      </c>
      <c r="E779" s="1" t="s">
        <v>15481</v>
      </c>
    </row>
    <row r="780" spans="1:5" x14ac:dyDescent="0.15">
      <c r="A780" s="1" t="s">
        <v>15449</v>
      </c>
      <c r="B780" s="1" t="s">
        <v>15482</v>
      </c>
      <c r="C780" s="1" t="s">
        <v>15483</v>
      </c>
      <c r="D780" s="1" t="s">
        <v>15484</v>
      </c>
      <c r="E780" s="1" t="s">
        <v>15485</v>
      </c>
    </row>
    <row r="781" spans="1:5" x14ac:dyDescent="0.15">
      <c r="A781" s="1" t="s">
        <v>15449</v>
      </c>
      <c r="B781" s="1" t="s">
        <v>15486</v>
      </c>
      <c r="C781" s="1" t="s">
        <v>15487</v>
      </c>
      <c r="D781" s="1" t="s">
        <v>15488</v>
      </c>
      <c r="E781" s="1" t="s">
        <v>15489</v>
      </c>
    </row>
    <row r="782" spans="1:5" x14ac:dyDescent="0.15">
      <c r="A782" s="1" t="s">
        <v>15449</v>
      </c>
      <c r="B782" s="1" t="s">
        <v>15490</v>
      </c>
      <c r="C782" s="1" t="s">
        <v>15491</v>
      </c>
      <c r="D782" s="1" t="s">
        <v>15492</v>
      </c>
      <c r="E782" s="1" t="s">
        <v>15493</v>
      </c>
    </row>
    <row r="783" spans="1:5" x14ac:dyDescent="0.15">
      <c r="A783" s="1" t="s">
        <v>15449</v>
      </c>
      <c r="B783" s="1" t="s">
        <v>15494</v>
      </c>
      <c r="C783" s="1" t="s">
        <v>15495</v>
      </c>
      <c r="D783" s="1" t="s">
        <v>15496</v>
      </c>
      <c r="E783" s="1" t="s">
        <v>15497</v>
      </c>
    </row>
    <row r="784" spans="1:5" x14ac:dyDescent="0.15">
      <c r="A784" s="1" t="s">
        <v>15449</v>
      </c>
      <c r="B784" s="1" t="s">
        <v>15498</v>
      </c>
      <c r="C784" s="1" t="s">
        <v>15499</v>
      </c>
      <c r="D784" s="1" t="s">
        <v>15500</v>
      </c>
      <c r="E784" s="1" t="s">
        <v>15501</v>
      </c>
    </row>
    <row r="785" spans="1:5" x14ac:dyDescent="0.15">
      <c r="A785" s="1" t="s">
        <v>15449</v>
      </c>
      <c r="B785" s="1" t="s">
        <v>15502</v>
      </c>
      <c r="C785" s="1" t="s">
        <v>15503</v>
      </c>
      <c r="D785" s="1" t="s">
        <v>15504</v>
      </c>
      <c r="E785" s="1" t="s">
        <v>15505</v>
      </c>
    </row>
    <row r="786" spans="1:5" x14ac:dyDescent="0.15">
      <c r="A786" s="1" t="s">
        <v>15449</v>
      </c>
      <c r="B786" s="1" t="s">
        <v>15506</v>
      </c>
      <c r="C786" s="1" t="s">
        <v>15507</v>
      </c>
      <c r="D786" s="1" t="s">
        <v>15508</v>
      </c>
      <c r="E786" s="1" t="s">
        <v>15509</v>
      </c>
    </row>
    <row r="787" spans="1:5" x14ac:dyDescent="0.15">
      <c r="A787" s="1" t="s">
        <v>15449</v>
      </c>
      <c r="B787" s="1" t="s">
        <v>15510</v>
      </c>
      <c r="C787" s="1" t="s">
        <v>15511</v>
      </c>
      <c r="D787" s="1" t="s">
        <v>15512</v>
      </c>
      <c r="E787" s="1" t="s">
        <v>15513</v>
      </c>
    </row>
    <row r="788" spans="1:5" x14ac:dyDescent="0.15">
      <c r="A788" s="1" t="s">
        <v>15449</v>
      </c>
      <c r="B788" s="1" t="s">
        <v>15514</v>
      </c>
      <c r="C788" s="1" t="s">
        <v>15515</v>
      </c>
      <c r="D788" s="1" t="s">
        <v>15516</v>
      </c>
      <c r="E788" s="1" t="s">
        <v>15517</v>
      </c>
    </row>
    <row r="789" spans="1:5" x14ac:dyDescent="0.15">
      <c r="A789" s="1" t="s">
        <v>15449</v>
      </c>
      <c r="B789" s="1" t="s">
        <v>15518</v>
      </c>
      <c r="C789" s="1" t="s">
        <v>15519</v>
      </c>
      <c r="D789" s="1" t="s">
        <v>15520</v>
      </c>
      <c r="E789" s="1" t="s">
        <v>15521</v>
      </c>
    </row>
    <row r="790" spans="1:5" x14ac:dyDescent="0.15">
      <c r="A790" s="1" t="s">
        <v>15449</v>
      </c>
      <c r="B790" s="1" t="s">
        <v>15522</v>
      </c>
      <c r="C790" s="1" t="s">
        <v>15523</v>
      </c>
      <c r="D790" s="1" t="s">
        <v>15524</v>
      </c>
      <c r="E790" s="1" t="s">
        <v>15525</v>
      </c>
    </row>
    <row r="791" spans="1:5" x14ac:dyDescent="0.15">
      <c r="A791" s="1" t="s">
        <v>15449</v>
      </c>
      <c r="B791" s="1" t="s">
        <v>15526</v>
      </c>
      <c r="C791" s="1" t="s">
        <v>15527</v>
      </c>
      <c r="D791" s="1" t="s">
        <v>15528</v>
      </c>
      <c r="E791" s="1" t="s">
        <v>15529</v>
      </c>
    </row>
    <row r="792" spans="1:5" x14ac:dyDescent="0.15">
      <c r="A792" s="1" t="s">
        <v>15530</v>
      </c>
      <c r="B792" s="1" t="s">
        <v>15531</v>
      </c>
      <c r="C792" s="1" t="s">
        <v>15532</v>
      </c>
      <c r="D792" s="1" t="s">
        <v>15533</v>
      </c>
      <c r="E792" s="1" t="s">
        <v>15534</v>
      </c>
    </row>
    <row r="793" spans="1:5" x14ac:dyDescent="0.15">
      <c r="A793" s="1" t="s">
        <v>15530</v>
      </c>
      <c r="B793" s="1" t="s">
        <v>15535</v>
      </c>
      <c r="C793" s="1" t="s">
        <v>15536</v>
      </c>
      <c r="D793" s="1" t="s">
        <v>15537</v>
      </c>
      <c r="E793" s="1" t="s">
        <v>15538</v>
      </c>
    </row>
    <row r="794" spans="1:5" x14ac:dyDescent="0.15">
      <c r="A794" s="1" t="s">
        <v>15530</v>
      </c>
      <c r="B794" s="1" t="s">
        <v>15539</v>
      </c>
      <c r="C794" s="1" t="s">
        <v>15540</v>
      </c>
      <c r="D794" s="1" t="s">
        <v>15541</v>
      </c>
      <c r="E794" s="1" t="s">
        <v>15542</v>
      </c>
    </row>
    <row r="795" spans="1:5" x14ac:dyDescent="0.15">
      <c r="A795" s="1" t="s">
        <v>15530</v>
      </c>
      <c r="B795" s="1" t="s">
        <v>15543</v>
      </c>
      <c r="C795" s="1" t="s">
        <v>15544</v>
      </c>
      <c r="D795" s="1" t="s">
        <v>15545</v>
      </c>
      <c r="E795" s="1" t="s">
        <v>15546</v>
      </c>
    </row>
    <row r="796" spans="1:5" x14ac:dyDescent="0.15">
      <c r="A796" s="1" t="s">
        <v>15530</v>
      </c>
      <c r="B796" s="1" t="s">
        <v>15547</v>
      </c>
      <c r="C796" s="1" t="s">
        <v>15548</v>
      </c>
      <c r="D796" s="1" t="s">
        <v>15549</v>
      </c>
      <c r="E796" s="1" t="s">
        <v>15550</v>
      </c>
    </row>
    <row r="797" spans="1:5" x14ac:dyDescent="0.15">
      <c r="A797" s="1" t="s">
        <v>15530</v>
      </c>
      <c r="B797" s="1" t="s">
        <v>15551</v>
      </c>
      <c r="C797" s="1" t="s">
        <v>15552</v>
      </c>
      <c r="D797" s="1" t="s">
        <v>15553</v>
      </c>
      <c r="E797" s="1" t="s">
        <v>15554</v>
      </c>
    </row>
    <row r="798" spans="1:5" x14ac:dyDescent="0.15">
      <c r="A798" s="1" t="s">
        <v>15530</v>
      </c>
      <c r="B798" s="1" t="s">
        <v>15555</v>
      </c>
      <c r="C798" s="1" t="s">
        <v>15556</v>
      </c>
      <c r="D798" s="1" t="s">
        <v>15557</v>
      </c>
      <c r="E798" s="1" t="s">
        <v>15558</v>
      </c>
    </row>
    <row r="799" spans="1:5" x14ac:dyDescent="0.15">
      <c r="A799" s="1" t="s">
        <v>15559</v>
      </c>
      <c r="B799" s="1" t="s">
        <v>15560</v>
      </c>
      <c r="C799" s="1" t="s">
        <v>15561</v>
      </c>
      <c r="D799" s="1" t="s">
        <v>15562</v>
      </c>
      <c r="E799" s="1" t="s">
        <v>15563</v>
      </c>
    </row>
    <row r="800" spans="1:5" x14ac:dyDescent="0.15">
      <c r="A800" s="1" t="s">
        <v>15559</v>
      </c>
      <c r="B800" s="1" t="s">
        <v>15564</v>
      </c>
      <c r="C800" s="1" t="s">
        <v>15565</v>
      </c>
      <c r="D800" s="1" t="s">
        <v>15566</v>
      </c>
      <c r="E800" s="1" t="s">
        <v>15567</v>
      </c>
    </row>
    <row r="801" spans="1:5" x14ac:dyDescent="0.15">
      <c r="A801" s="1" t="s">
        <v>15559</v>
      </c>
      <c r="B801" s="1" t="s">
        <v>15568</v>
      </c>
      <c r="C801" s="1" t="s">
        <v>15565</v>
      </c>
      <c r="D801" s="1" t="s">
        <v>15569</v>
      </c>
      <c r="E801" s="1" t="s">
        <v>15570</v>
      </c>
    </row>
    <row r="802" spans="1:5" x14ac:dyDescent="0.15">
      <c r="A802" s="1" t="s">
        <v>15559</v>
      </c>
      <c r="B802" s="1" t="s">
        <v>15571</v>
      </c>
      <c r="C802" s="1" t="s">
        <v>15572</v>
      </c>
      <c r="D802" s="1" t="s">
        <v>15573</v>
      </c>
      <c r="E802" s="1" t="s">
        <v>15574</v>
      </c>
    </row>
    <row r="803" spans="1:5" x14ac:dyDescent="0.15">
      <c r="A803" s="1" t="s">
        <v>15559</v>
      </c>
      <c r="B803" s="1" t="s">
        <v>15575</v>
      </c>
      <c r="C803" s="1" t="s">
        <v>15572</v>
      </c>
      <c r="D803" s="1" t="s">
        <v>14846</v>
      </c>
      <c r="E803" s="1" t="s">
        <v>14847</v>
      </c>
    </row>
    <row r="804" spans="1:5" x14ac:dyDescent="0.15">
      <c r="A804" s="1" t="s">
        <v>15559</v>
      </c>
      <c r="B804" s="1" t="s">
        <v>14848</v>
      </c>
      <c r="C804" s="1" t="s">
        <v>14849</v>
      </c>
      <c r="D804" s="1" t="s">
        <v>14850</v>
      </c>
      <c r="E804" s="1" t="s">
        <v>14851</v>
      </c>
    </row>
    <row r="805" spans="1:5" x14ac:dyDescent="0.15">
      <c r="A805" s="1" t="s">
        <v>15559</v>
      </c>
      <c r="B805" s="1" t="s">
        <v>14852</v>
      </c>
      <c r="C805" s="1" t="s">
        <v>14849</v>
      </c>
      <c r="D805" s="1" t="s">
        <v>14853</v>
      </c>
      <c r="E805" s="1" t="s">
        <v>14854</v>
      </c>
    </row>
    <row r="806" spans="1:5" x14ac:dyDescent="0.15">
      <c r="A806" s="1" t="s">
        <v>14855</v>
      </c>
      <c r="B806" s="1" t="s">
        <v>14856</v>
      </c>
      <c r="C806" s="1" t="s">
        <v>14857</v>
      </c>
      <c r="D806" s="1" t="s">
        <v>14858</v>
      </c>
      <c r="E806" s="1" t="s">
        <v>14859</v>
      </c>
    </row>
    <row r="807" spans="1:5" x14ac:dyDescent="0.15">
      <c r="A807" s="1" t="s">
        <v>14855</v>
      </c>
      <c r="B807" s="1" t="s">
        <v>14860</v>
      </c>
      <c r="C807" s="1" t="s">
        <v>14861</v>
      </c>
      <c r="D807" s="1" t="s">
        <v>14862</v>
      </c>
      <c r="E807" s="1" t="s">
        <v>14863</v>
      </c>
    </row>
    <row r="808" spans="1:5" x14ac:dyDescent="0.15">
      <c r="A808" s="1" t="s">
        <v>14855</v>
      </c>
      <c r="B808" s="1" t="s">
        <v>14864</v>
      </c>
      <c r="C808" s="1" t="s">
        <v>14861</v>
      </c>
      <c r="D808" s="1" t="s">
        <v>14865</v>
      </c>
      <c r="E808" s="1" t="s">
        <v>14866</v>
      </c>
    </row>
    <row r="809" spans="1:5" x14ac:dyDescent="0.15">
      <c r="A809" s="1" t="s">
        <v>14855</v>
      </c>
      <c r="B809" s="1" t="s">
        <v>14867</v>
      </c>
      <c r="C809" s="1" t="s">
        <v>14868</v>
      </c>
      <c r="D809" s="1" t="s">
        <v>14869</v>
      </c>
      <c r="E809" s="1" t="s">
        <v>14870</v>
      </c>
    </row>
    <row r="810" spans="1:5" x14ac:dyDescent="0.15">
      <c r="A810" s="1" t="s">
        <v>14855</v>
      </c>
      <c r="B810" s="1" t="s">
        <v>14871</v>
      </c>
      <c r="C810" s="1" t="s">
        <v>14868</v>
      </c>
      <c r="D810" s="1" t="s">
        <v>14872</v>
      </c>
      <c r="E810" s="1" t="s">
        <v>14873</v>
      </c>
    </row>
    <row r="811" spans="1:5" x14ac:dyDescent="0.15">
      <c r="A811" s="1" t="s">
        <v>14855</v>
      </c>
      <c r="B811" s="1" t="s">
        <v>14874</v>
      </c>
      <c r="C811" s="1" t="s">
        <v>14875</v>
      </c>
      <c r="D811" s="1" t="s">
        <v>14876</v>
      </c>
      <c r="E811" s="1" t="s">
        <v>14877</v>
      </c>
    </row>
    <row r="812" spans="1:5" x14ac:dyDescent="0.15">
      <c r="A812" s="1" t="s">
        <v>14855</v>
      </c>
      <c r="B812" s="1" t="s">
        <v>14878</v>
      </c>
      <c r="C812" s="1" t="s">
        <v>14875</v>
      </c>
      <c r="D812" s="1" t="s">
        <v>14879</v>
      </c>
      <c r="E812" s="1" t="s">
        <v>14880</v>
      </c>
    </row>
    <row r="813" spans="1:5" x14ac:dyDescent="0.15">
      <c r="A813" s="1" t="s">
        <v>14855</v>
      </c>
      <c r="B813" s="1" t="s">
        <v>14881</v>
      </c>
      <c r="C813" s="1" t="s">
        <v>14882</v>
      </c>
      <c r="D813" s="1" t="s">
        <v>14883</v>
      </c>
      <c r="E813" s="1" t="s">
        <v>14884</v>
      </c>
    </row>
    <row r="814" spans="1:5" x14ac:dyDescent="0.15">
      <c r="A814" s="1" t="s">
        <v>14855</v>
      </c>
      <c r="B814" s="1" t="s">
        <v>14885</v>
      </c>
      <c r="C814" s="1" t="s">
        <v>14882</v>
      </c>
      <c r="D814" s="1" t="s">
        <v>14886</v>
      </c>
      <c r="E814" s="1" t="s">
        <v>14887</v>
      </c>
    </row>
    <row r="815" spans="1:5" x14ac:dyDescent="0.15">
      <c r="A815" s="1" t="s">
        <v>14855</v>
      </c>
      <c r="B815" s="1" t="s">
        <v>14888</v>
      </c>
      <c r="C815" s="1" t="s">
        <v>14889</v>
      </c>
      <c r="D815" s="1" t="s">
        <v>14890</v>
      </c>
      <c r="E815" s="1" t="s">
        <v>14891</v>
      </c>
    </row>
    <row r="816" spans="1:5" x14ac:dyDescent="0.15">
      <c r="A816" s="1" t="s">
        <v>14855</v>
      </c>
      <c r="B816" s="1" t="s">
        <v>14892</v>
      </c>
      <c r="C816" s="1" t="s">
        <v>14889</v>
      </c>
      <c r="D816" s="1" t="s">
        <v>14893</v>
      </c>
      <c r="E816" s="1" t="s">
        <v>14894</v>
      </c>
    </row>
    <row r="817" spans="1:5" x14ac:dyDescent="0.15">
      <c r="A817" s="1" t="s">
        <v>14855</v>
      </c>
      <c r="B817" s="1" t="s">
        <v>14895</v>
      </c>
      <c r="C817" s="1" t="s">
        <v>14896</v>
      </c>
      <c r="D817" s="1" t="s">
        <v>14897</v>
      </c>
      <c r="E817" s="1" t="s">
        <v>14898</v>
      </c>
    </row>
    <row r="818" spans="1:5" x14ac:dyDescent="0.15">
      <c r="A818" s="1" t="s">
        <v>14855</v>
      </c>
      <c r="B818" s="1" t="s">
        <v>14899</v>
      </c>
      <c r="C818" s="1" t="s">
        <v>14900</v>
      </c>
      <c r="D818" s="1" t="s">
        <v>14901</v>
      </c>
      <c r="E818" s="1" t="s">
        <v>14902</v>
      </c>
    </row>
    <row r="819" spans="1:5" x14ac:dyDescent="0.15">
      <c r="A819" s="1" t="s">
        <v>14855</v>
      </c>
      <c r="B819" s="1" t="s">
        <v>14903</v>
      </c>
      <c r="C819" s="1" t="s">
        <v>14904</v>
      </c>
      <c r="D819" s="1" t="s">
        <v>14905</v>
      </c>
      <c r="E819" s="1" t="s">
        <v>14906</v>
      </c>
    </row>
    <row r="820" spans="1:5" x14ac:dyDescent="0.15">
      <c r="A820" s="1" t="s">
        <v>14855</v>
      </c>
      <c r="B820" s="1" t="s">
        <v>14907</v>
      </c>
      <c r="C820" s="1" t="s">
        <v>14908</v>
      </c>
      <c r="D820" s="1" t="s">
        <v>14909</v>
      </c>
      <c r="E820" s="1" t="s">
        <v>14910</v>
      </c>
    </row>
    <row r="821" spans="1:5" x14ac:dyDescent="0.15">
      <c r="A821" s="1" t="s">
        <v>14855</v>
      </c>
      <c r="B821" s="1" t="s">
        <v>14911</v>
      </c>
      <c r="C821" s="1" t="s">
        <v>14912</v>
      </c>
      <c r="D821" s="1" t="s">
        <v>14913</v>
      </c>
      <c r="E821" s="1" t="s">
        <v>14914</v>
      </c>
    </row>
    <row r="822" spans="1:5" x14ac:dyDescent="0.15">
      <c r="A822" s="1" t="s">
        <v>14855</v>
      </c>
      <c r="B822" s="1" t="s">
        <v>14915</v>
      </c>
      <c r="C822" s="1" t="s">
        <v>14916</v>
      </c>
      <c r="D822" s="1" t="s">
        <v>14917</v>
      </c>
      <c r="E822" s="1" t="s">
        <v>14918</v>
      </c>
    </row>
    <row r="823" spans="1:5" x14ac:dyDescent="0.15">
      <c r="A823" s="1" t="s">
        <v>14855</v>
      </c>
      <c r="B823" s="1" t="s">
        <v>14919</v>
      </c>
      <c r="C823" s="1" t="s">
        <v>14920</v>
      </c>
      <c r="D823" s="1" t="s">
        <v>14921</v>
      </c>
      <c r="E823" s="1" t="s">
        <v>14922</v>
      </c>
    </row>
    <row r="824" spans="1:5" x14ac:dyDescent="0.15">
      <c r="A824" s="1" t="s">
        <v>14855</v>
      </c>
      <c r="B824" s="1" t="s">
        <v>14923</v>
      </c>
      <c r="C824" s="1" t="s">
        <v>14920</v>
      </c>
      <c r="D824" s="1" t="s">
        <v>14924</v>
      </c>
      <c r="E824" s="1" t="s">
        <v>14925</v>
      </c>
    </row>
    <row r="825" spans="1:5" x14ac:dyDescent="0.15">
      <c r="A825" s="1" t="s">
        <v>14855</v>
      </c>
      <c r="B825" s="1" t="s">
        <v>14926</v>
      </c>
      <c r="C825" s="1" t="s">
        <v>14927</v>
      </c>
      <c r="D825" s="1" t="s">
        <v>14928</v>
      </c>
      <c r="E825" s="1" t="s">
        <v>14929</v>
      </c>
    </row>
    <row r="826" spans="1:5" x14ac:dyDescent="0.15">
      <c r="A826" s="1" t="s">
        <v>14855</v>
      </c>
      <c r="B826" s="1" t="s">
        <v>14930</v>
      </c>
      <c r="C826" s="1" t="s">
        <v>14927</v>
      </c>
      <c r="D826" s="1" t="s">
        <v>14931</v>
      </c>
      <c r="E826" s="1" t="s">
        <v>14932</v>
      </c>
    </row>
    <row r="827" spans="1:5" x14ac:dyDescent="0.15">
      <c r="A827" s="1" t="s">
        <v>14933</v>
      </c>
      <c r="B827" s="1" t="s">
        <v>14934</v>
      </c>
      <c r="C827" s="1" t="s">
        <v>14935</v>
      </c>
      <c r="D827" s="1" t="s">
        <v>14936</v>
      </c>
      <c r="E827" s="1" t="s">
        <v>14937</v>
      </c>
    </row>
    <row r="828" spans="1:5" x14ac:dyDescent="0.15">
      <c r="A828" s="1" t="s">
        <v>14933</v>
      </c>
      <c r="B828" s="1" t="s">
        <v>14938</v>
      </c>
      <c r="C828" s="1" t="s">
        <v>14939</v>
      </c>
      <c r="D828" s="1" t="s">
        <v>14940</v>
      </c>
      <c r="E828" s="1" t="s">
        <v>14941</v>
      </c>
    </row>
    <row r="829" spans="1:5" x14ac:dyDescent="0.15">
      <c r="A829" s="1" t="s">
        <v>14933</v>
      </c>
      <c r="B829" s="1" t="s">
        <v>14942</v>
      </c>
      <c r="C829" s="1" t="s">
        <v>14939</v>
      </c>
      <c r="D829" s="1" t="s">
        <v>14943</v>
      </c>
      <c r="E829" s="1" t="s">
        <v>14944</v>
      </c>
    </row>
    <row r="830" spans="1:5" x14ac:dyDescent="0.15">
      <c r="A830" s="1" t="s">
        <v>14933</v>
      </c>
      <c r="B830" s="1" t="s">
        <v>14945</v>
      </c>
      <c r="C830" s="1" t="s">
        <v>14946</v>
      </c>
      <c r="D830" s="1" t="s">
        <v>14947</v>
      </c>
      <c r="E830" s="1" t="s">
        <v>14948</v>
      </c>
    </row>
    <row r="831" spans="1:5" x14ac:dyDescent="0.15">
      <c r="A831" s="1" t="s">
        <v>14933</v>
      </c>
      <c r="B831" s="1" t="s">
        <v>14949</v>
      </c>
      <c r="C831" s="1" t="s">
        <v>14946</v>
      </c>
      <c r="D831" s="1" t="s">
        <v>14950</v>
      </c>
      <c r="E831" s="1" t="s">
        <v>14951</v>
      </c>
    </row>
    <row r="832" spans="1:5" x14ac:dyDescent="0.15">
      <c r="A832" s="1" t="s">
        <v>14933</v>
      </c>
      <c r="B832" s="1" t="s">
        <v>14952</v>
      </c>
      <c r="C832" s="1" t="s">
        <v>14953</v>
      </c>
      <c r="D832" s="1" t="s">
        <v>14954</v>
      </c>
      <c r="E832" s="1" t="s">
        <v>14955</v>
      </c>
    </row>
    <row r="833" spans="1:5" x14ac:dyDescent="0.15">
      <c r="A833" s="1" t="s">
        <v>14933</v>
      </c>
      <c r="B833" s="1" t="s">
        <v>14956</v>
      </c>
      <c r="C833" s="1" t="s">
        <v>14953</v>
      </c>
      <c r="D833" s="1" t="s">
        <v>14957</v>
      </c>
      <c r="E833" s="1" t="s">
        <v>14958</v>
      </c>
    </row>
    <row r="834" spans="1:5" x14ac:dyDescent="0.15">
      <c r="A834" s="1" t="s">
        <v>14933</v>
      </c>
      <c r="B834" s="1" t="s">
        <v>14959</v>
      </c>
      <c r="C834" s="1" t="s">
        <v>14960</v>
      </c>
      <c r="D834" s="1" t="s">
        <v>14961</v>
      </c>
      <c r="E834" s="1" t="s">
        <v>14962</v>
      </c>
    </row>
    <row r="835" spans="1:5" x14ac:dyDescent="0.15">
      <c r="A835" s="1" t="s">
        <v>14933</v>
      </c>
      <c r="B835" s="1" t="s">
        <v>14963</v>
      </c>
      <c r="C835" s="1" t="s">
        <v>14960</v>
      </c>
      <c r="D835" s="1" t="s">
        <v>14964</v>
      </c>
      <c r="E835" s="1" t="s">
        <v>14965</v>
      </c>
    </row>
    <row r="836" spans="1:5" x14ac:dyDescent="0.15">
      <c r="A836" s="1" t="s">
        <v>14933</v>
      </c>
      <c r="B836" s="1" t="s">
        <v>14966</v>
      </c>
      <c r="C836" s="1" t="s">
        <v>14967</v>
      </c>
      <c r="D836" s="1" t="s">
        <v>14968</v>
      </c>
      <c r="E836" s="1" t="s">
        <v>14969</v>
      </c>
    </row>
    <row r="837" spans="1:5" x14ac:dyDescent="0.15">
      <c r="A837" s="1" t="s">
        <v>14933</v>
      </c>
      <c r="B837" s="1" t="s">
        <v>14970</v>
      </c>
      <c r="C837" s="1" t="s">
        <v>14971</v>
      </c>
      <c r="D837" s="1" t="s">
        <v>14972</v>
      </c>
      <c r="E837" s="1" t="s">
        <v>14973</v>
      </c>
    </row>
    <row r="838" spans="1:5" x14ac:dyDescent="0.15">
      <c r="A838" s="1" t="s">
        <v>14933</v>
      </c>
      <c r="B838" s="1" t="s">
        <v>14974</v>
      </c>
      <c r="C838" s="1" t="s">
        <v>14975</v>
      </c>
      <c r="D838" s="1" t="s">
        <v>14976</v>
      </c>
      <c r="E838" s="1" t="s">
        <v>14977</v>
      </c>
    </row>
    <row r="839" spans="1:5" x14ac:dyDescent="0.15">
      <c r="A839" s="1" t="s">
        <v>14933</v>
      </c>
      <c r="B839" s="1" t="s">
        <v>14978</v>
      </c>
      <c r="C839" s="1" t="s">
        <v>14979</v>
      </c>
      <c r="D839" s="1" t="s">
        <v>14980</v>
      </c>
      <c r="E839" s="1" t="s">
        <v>14981</v>
      </c>
    </row>
    <row r="840" spans="1:5" x14ac:dyDescent="0.15">
      <c r="A840" s="1" t="s">
        <v>14933</v>
      </c>
      <c r="B840" s="1" t="s">
        <v>14982</v>
      </c>
      <c r="C840" s="1" t="s">
        <v>14983</v>
      </c>
      <c r="D840" s="1" t="s">
        <v>14984</v>
      </c>
      <c r="E840" s="1" t="s">
        <v>14985</v>
      </c>
    </row>
    <row r="841" spans="1:5" x14ac:dyDescent="0.15">
      <c r="A841" s="1" t="s">
        <v>14933</v>
      </c>
      <c r="B841" s="1" t="s">
        <v>14986</v>
      </c>
      <c r="C841" s="1" t="s">
        <v>14987</v>
      </c>
      <c r="D841" s="1" t="s">
        <v>14988</v>
      </c>
      <c r="E841" s="1" t="s">
        <v>14989</v>
      </c>
    </row>
    <row r="842" spans="1:5" x14ac:dyDescent="0.15">
      <c r="A842" s="1" t="s">
        <v>14933</v>
      </c>
      <c r="B842" s="1" t="s">
        <v>14990</v>
      </c>
      <c r="C842" s="1" t="s">
        <v>14991</v>
      </c>
      <c r="D842" s="1" t="s">
        <v>14992</v>
      </c>
      <c r="E842" s="1" t="s">
        <v>14993</v>
      </c>
    </row>
    <row r="843" spans="1:5" x14ac:dyDescent="0.15">
      <c r="A843" s="1" t="s">
        <v>14933</v>
      </c>
      <c r="B843" s="1" t="s">
        <v>14994</v>
      </c>
      <c r="C843" s="1" t="s">
        <v>14995</v>
      </c>
      <c r="D843" s="1" t="s">
        <v>14996</v>
      </c>
      <c r="E843" s="1" t="s">
        <v>14997</v>
      </c>
    </row>
    <row r="844" spans="1:5" x14ac:dyDescent="0.15">
      <c r="A844" s="1" t="s">
        <v>14933</v>
      </c>
      <c r="B844" s="1" t="s">
        <v>14998</v>
      </c>
      <c r="C844" s="1" t="s">
        <v>14999</v>
      </c>
      <c r="D844" s="1" t="s">
        <v>15000</v>
      </c>
      <c r="E844" s="1" t="s">
        <v>15001</v>
      </c>
    </row>
    <row r="845" spans="1:5" x14ac:dyDescent="0.15">
      <c r="A845" s="1" t="s">
        <v>14933</v>
      </c>
      <c r="B845" s="1" t="s">
        <v>15002</v>
      </c>
      <c r="C845" s="1" t="s">
        <v>15003</v>
      </c>
      <c r="D845" s="1" t="s">
        <v>15004</v>
      </c>
      <c r="E845" s="1" t="s">
        <v>15005</v>
      </c>
    </row>
    <row r="846" spans="1:5" x14ac:dyDescent="0.15">
      <c r="A846" s="1" t="s">
        <v>14933</v>
      </c>
      <c r="B846" s="1" t="s">
        <v>15006</v>
      </c>
      <c r="C846" s="1" t="s">
        <v>15007</v>
      </c>
      <c r="D846" s="1" t="s">
        <v>15008</v>
      </c>
      <c r="E846" s="1" t="s">
        <v>15009</v>
      </c>
    </row>
    <row r="847" spans="1:5" x14ac:dyDescent="0.15">
      <c r="A847" s="1" t="s">
        <v>14933</v>
      </c>
      <c r="B847" s="1" t="s">
        <v>15010</v>
      </c>
      <c r="C847" s="1" t="s">
        <v>15011</v>
      </c>
      <c r="D847" s="1" t="s">
        <v>15012</v>
      </c>
      <c r="E847" s="1" t="s">
        <v>15013</v>
      </c>
    </row>
    <row r="848" spans="1:5" x14ac:dyDescent="0.15">
      <c r="A848" s="1" t="s">
        <v>14933</v>
      </c>
      <c r="B848" s="1" t="s">
        <v>15014</v>
      </c>
      <c r="C848" s="1" t="s">
        <v>15015</v>
      </c>
      <c r="D848" s="1" t="s">
        <v>15016</v>
      </c>
      <c r="E848" s="1" t="s">
        <v>15017</v>
      </c>
    </row>
    <row r="849" spans="1:5" x14ac:dyDescent="0.15">
      <c r="A849" s="1" t="s">
        <v>14933</v>
      </c>
      <c r="B849" s="1" t="s">
        <v>15018</v>
      </c>
      <c r="C849" s="1" t="s">
        <v>15019</v>
      </c>
      <c r="D849" s="1" t="s">
        <v>15020</v>
      </c>
      <c r="E849" s="1" t="s">
        <v>15021</v>
      </c>
    </row>
    <row r="850" spans="1:5" x14ac:dyDescent="0.15">
      <c r="A850" s="1" t="s">
        <v>14933</v>
      </c>
      <c r="B850" s="1" t="s">
        <v>15022</v>
      </c>
      <c r="C850" s="1" t="s">
        <v>15023</v>
      </c>
      <c r="D850" s="1" t="s">
        <v>15024</v>
      </c>
      <c r="E850" s="1" t="s">
        <v>15025</v>
      </c>
    </row>
    <row r="851" spans="1:5" x14ac:dyDescent="0.15">
      <c r="A851" s="1" t="s">
        <v>14933</v>
      </c>
      <c r="B851" s="1" t="s">
        <v>15026</v>
      </c>
      <c r="C851" s="1" t="s">
        <v>15027</v>
      </c>
      <c r="D851" s="1" t="s">
        <v>15028</v>
      </c>
      <c r="E851" s="1" t="s">
        <v>15029</v>
      </c>
    </row>
    <row r="852" spans="1:5" x14ac:dyDescent="0.15">
      <c r="A852" s="1" t="s">
        <v>14933</v>
      </c>
      <c r="B852" s="1" t="s">
        <v>15030</v>
      </c>
      <c r="C852" s="1" t="s">
        <v>15031</v>
      </c>
      <c r="D852" s="1" t="s">
        <v>15032</v>
      </c>
      <c r="E852" s="1" t="s">
        <v>15033</v>
      </c>
    </row>
    <row r="853" spans="1:5" x14ac:dyDescent="0.15">
      <c r="A853" s="1" t="s">
        <v>14933</v>
      </c>
      <c r="B853" s="1" t="s">
        <v>15034</v>
      </c>
      <c r="C853" s="1" t="s">
        <v>15035</v>
      </c>
      <c r="D853" s="1" t="s">
        <v>15036</v>
      </c>
      <c r="E853" s="1" t="s">
        <v>15037</v>
      </c>
    </row>
    <row r="854" spans="1:5" x14ac:dyDescent="0.15">
      <c r="A854" s="1" t="s">
        <v>14933</v>
      </c>
      <c r="B854" s="1" t="s">
        <v>15038</v>
      </c>
      <c r="C854" s="1" t="s">
        <v>15039</v>
      </c>
      <c r="D854" s="1" t="s">
        <v>15040</v>
      </c>
      <c r="E854" s="1" t="s">
        <v>15041</v>
      </c>
    </row>
    <row r="855" spans="1:5" x14ac:dyDescent="0.15">
      <c r="A855" s="1" t="s">
        <v>14933</v>
      </c>
      <c r="B855" s="1" t="s">
        <v>15042</v>
      </c>
      <c r="C855" s="1" t="s">
        <v>15043</v>
      </c>
      <c r="D855" s="1" t="s">
        <v>15044</v>
      </c>
      <c r="E855" s="1" t="s">
        <v>15045</v>
      </c>
    </row>
    <row r="856" spans="1:5" x14ac:dyDescent="0.15">
      <c r="A856" s="1" t="s">
        <v>14933</v>
      </c>
      <c r="B856" s="1" t="s">
        <v>15046</v>
      </c>
      <c r="C856" s="1" t="s">
        <v>15047</v>
      </c>
      <c r="D856" s="1" t="s">
        <v>15048</v>
      </c>
      <c r="E856" s="1" t="s">
        <v>15049</v>
      </c>
    </row>
    <row r="857" spans="1:5" x14ac:dyDescent="0.15">
      <c r="A857" s="1" t="s">
        <v>14933</v>
      </c>
      <c r="B857" s="1" t="s">
        <v>15050</v>
      </c>
      <c r="C857" s="1" t="s">
        <v>15051</v>
      </c>
      <c r="D857" s="1" t="s">
        <v>15052</v>
      </c>
      <c r="E857" s="1" t="s">
        <v>15053</v>
      </c>
    </row>
    <row r="858" spans="1:5" x14ac:dyDescent="0.15">
      <c r="A858" s="1" t="s">
        <v>14933</v>
      </c>
      <c r="B858" s="1" t="s">
        <v>15054</v>
      </c>
      <c r="C858" s="1" t="s">
        <v>15055</v>
      </c>
      <c r="D858" s="1" t="s">
        <v>15056</v>
      </c>
      <c r="E858" s="1" t="s">
        <v>15057</v>
      </c>
    </row>
    <row r="859" spans="1:5" x14ac:dyDescent="0.15">
      <c r="A859" s="1" t="s">
        <v>14933</v>
      </c>
      <c r="B859" s="1" t="s">
        <v>15058</v>
      </c>
      <c r="C859" s="1" t="s">
        <v>15059</v>
      </c>
      <c r="D859" s="1" t="s">
        <v>15060</v>
      </c>
      <c r="E859" s="1" t="s">
        <v>15061</v>
      </c>
    </row>
    <row r="860" spans="1:5" x14ac:dyDescent="0.15">
      <c r="A860" s="1" t="s">
        <v>14933</v>
      </c>
      <c r="B860" s="1" t="s">
        <v>15062</v>
      </c>
      <c r="C860" s="1" t="s">
        <v>15063</v>
      </c>
      <c r="D860" s="1" t="s">
        <v>15064</v>
      </c>
      <c r="E860" s="1" t="s">
        <v>15065</v>
      </c>
    </row>
    <row r="861" spans="1:5" x14ac:dyDescent="0.15">
      <c r="A861" s="1" t="s">
        <v>14933</v>
      </c>
      <c r="B861" s="1" t="s">
        <v>15066</v>
      </c>
      <c r="C861" s="1" t="s">
        <v>15067</v>
      </c>
      <c r="D861" s="1" t="s">
        <v>15068</v>
      </c>
      <c r="E861" s="1" t="s">
        <v>15069</v>
      </c>
    </row>
    <row r="862" spans="1:5" x14ac:dyDescent="0.15">
      <c r="A862" s="1" t="s">
        <v>14933</v>
      </c>
      <c r="B862" s="1" t="s">
        <v>15070</v>
      </c>
      <c r="C862" s="1" t="s">
        <v>15071</v>
      </c>
      <c r="D862" s="1" t="s">
        <v>15072</v>
      </c>
      <c r="E862" s="1" t="s">
        <v>15073</v>
      </c>
    </row>
    <row r="863" spans="1:5" x14ac:dyDescent="0.15">
      <c r="A863" s="1" t="s">
        <v>14933</v>
      </c>
      <c r="B863" s="1" t="s">
        <v>15074</v>
      </c>
      <c r="C863" s="1" t="s">
        <v>15075</v>
      </c>
      <c r="D863" s="1" t="s">
        <v>15076</v>
      </c>
      <c r="E863" s="1" t="s">
        <v>15077</v>
      </c>
    </row>
    <row r="864" spans="1:5" x14ac:dyDescent="0.15">
      <c r="A864" s="1" t="s">
        <v>14933</v>
      </c>
      <c r="B864" s="1" t="s">
        <v>15078</v>
      </c>
      <c r="C864" s="1" t="s">
        <v>15079</v>
      </c>
      <c r="D864" s="1" t="s">
        <v>15080</v>
      </c>
      <c r="E864" s="1" t="s">
        <v>15081</v>
      </c>
    </row>
    <row r="865" spans="1:5" x14ac:dyDescent="0.15">
      <c r="A865" s="1" t="s">
        <v>14933</v>
      </c>
      <c r="B865" s="1" t="s">
        <v>15082</v>
      </c>
      <c r="C865" s="1" t="s">
        <v>15083</v>
      </c>
      <c r="D865" s="1" t="s">
        <v>15084</v>
      </c>
      <c r="E865" s="1" t="s">
        <v>15085</v>
      </c>
    </row>
    <row r="866" spans="1:5" x14ac:dyDescent="0.15">
      <c r="A866" s="1" t="s">
        <v>14933</v>
      </c>
      <c r="B866" s="1" t="s">
        <v>15086</v>
      </c>
      <c r="C866" s="1" t="s">
        <v>15087</v>
      </c>
      <c r="D866" s="1" t="s">
        <v>15088</v>
      </c>
      <c r="E866" s="1" t="s">
        <v>15089</v>
      </c>
    </row>
    <row r="867" spans="1:5" x14ac:dyDescent="0.15">
      <c r="A867" s="1" t="s">
        <v>14933</v>
      </c>
      <c r="B867" s="1" t="s">
        <v>15090</v>
      </c>
      <c r="C867" s="1" t="s">
        <v>15087</v>
      </c>
      <c r="D867" s="1" t="s">
        <v>15088</v>
      </c>
      <c r="E867" s="1" t="s">
        <v>15091</v>
      </c>
    </row>
    <row r="868" spans="1:5" x14ac:dyDescent="0.15">
      <c r="A868" s="1" t="s">
        <v>15092</v>
      </c>
      <c r="B868" s="1" t="s">
        <v>15093</v>
      </c>
      <c r="C868" s="1" t="s">
        <v>15094</v>
      </c>
      <c r="D868" s="1" t="s">
        <v>15095</v>
      </c>
      <c r="E868" s="1" t="s">
        <v>15096</v>
      </c>
    </row>
    <row r="869" spans="1:5" x14ac:dyDescent="0.15">
      <c r="A869" s="1" t="s">
        <v>15092</v>
      </c>
      <c r="B869" s="1" t="s">
        <v>15097</v>
      </c>
      <c r="C869" s="1" t="s">
        <v>15098</v>
      </c>
      <c r="D869" s="1" t="s">
        <v>15099</v>
      </c>
      <c r="E869" s="1" t="s">
        <v>15100</v>
      </c>
    </row>
    <row r="870" spans="1:5" x14ac:dyDescent="0.15">
      <c r="A870" s="1" t="s">
        <v>15092</v>
      </c>
      <c r="B870" s="1" t="s">
        <v>15101</v>
      </c>
      <c r="C870" s="1" t="s">
        <v>15102</v>
      </c>
      <c r="D870" s="1" t="s">
        <v>15103</v>
      </c>
      <c r="E870" s="1" t="s">
        <v>15104</v>
      </c>
    </row>
    <row r="871" spans="1:5" x14ac:dyDescent="0.15">
      <c r="A871" s="1" t="s">
        <v>15092</v>
      </c>
      <c r="B871" s="1" t="s">
        <v>15105</v>
      </c>
      <c r="C871" s="1" t="s">
        <v>15106</v>
      </c>
      <c r="D871" s="1" t="s">
        <v>15107</v>
      </c>
      <c r="E871" s="1" t="s">
        <v>15108</v>
      </c>
    </row>
    <row r="872" spans="1:5" x14ac:dyDescent="0.15">
      <c r="A872" s="1" t="s">
        <v>15092</v>
      </c>
      <c r="B872" s="1" t="s">
        <v>15109</v>
      </c>
      <c r="C872" s="1" t="s">
        <v>15110</v>
      </c>
      <c r="D872" s="1" t="s">
        <v>15111</v>
      </c>
      <c r="E872" s="1" t="s">
        <v>15112</v>
      </c>
    </row>
    <row r="873" spans="1:5" x14ac:dyDescent="0.15">
      <c r="A873" s="1" t="s">
        <v>15092</v>
      </c>
      <c r="B873" s="1" t="s">
        <v>15113</v>
      </c>
      <c r="C873" s="1" t="s">
        <v>15114</v>
      </c>
      <c r="D873" s="1" t="s">
        <v>15115</v>
      </c>
      <c r="E873" s="1" t="s">
        <v>15116</v>
      </c>
    </row>
    <row r="874" spans="1:5" x14ac:dyDescent="0.15">
      <c r="A874" s="1" t="s">
        <v>15092</v>
      </c>
      <c r="B874" s="1" t="s">
        <v>15117</v>
      </c>
      <c r="C874" s="1" t="s">
        <v>15118</v>
      </c>
      <c r="D874" s="1" t="s">
        <v>15119</v>
      </c>
      <c r="E874" s="1" t="s">
        <v>15120</v>
      </c>
    </row>
    <row r="875" spans="1:5" x14ac:dyDescent="0.15">
      <c r="A875" s="1" t="s">
        <v>15092</v>
      </c>
      <c r="B875" s="1" t="s">
        <v>15121</v>
      </c>
      <c r="C875" s="1" t="s">
        <v>15122</v>
      </c>
      <c r="D875" s="1" t="s">
        <v>15123</v>
      </c>
      <c r="E875" s="1" t="s">
        <v>15124</v>
      </c>
    </row>
    <row r="876" spans="1:5" x14ac:dyDescent="0.15">
      <c r="A876" s="1" t="s">
        <v>15092</v>
      </c>
      <c r="B876" s="1" t="s">
        <v>15125</v>
      </c>
      <c r="C876" s="1" t="s">
        <v>15126</v>
      </c>
      <c r="D876" s="1" t="s">
        <v>15127</v>
      </c>
      <c r="E876" s="1" t="s">
        <v>15128</v>
      </c>
    </row>
    <row r="877" spans="1:5" x14ac:dyDescent="0.15">
      <c r="A877" s="1" t="s">
        <v>15092</v>
      </c>
      <c r="B877" s="1" t="s">
        <v>15129</v>
      </c>
      <c r="C877" s="1" t="s">
        <v>15130</v>
      </c>
      <c r="D877" s="1" t="s">
        <v>15131</v>
      </c>
      <c r="E877" s="1" t="s">
        <v>15132</v>
      </c>
    </row>
    <row r="878" spans="1:5" x14ac:dyDescent="0.15">
      <c r="A878" s="1" t="s">
        <v>15092</v>
      </c>
      <c r="B878" s="1" t="s">
        <v>15133</v>
      </c>
      <c r="C878" s="1" t="s">
        <v>15134</v>
      </c>
      <c r="D878" s="1" t="s">
        <v>15135</v>
      </c>
      <c r="E878" s="1" t="s">
        <v>15136</v>
      </c>
    </row>
    <row r="879" spans="1:5" x14ac:dyDescent="0.15">
      <c r="A879" s="1" t="s">
        <v>15092</v>
      </c>
      <c r="B879" s="1" t="s">
        <v>15137</v>
      </c>
      <c r="C879" s="1" t="s">
        <v>15138</v>
      </c>
      <c r="D879" s="1" t="s">
        <v>15135</v>
      </c>
      <c r="E879" s="1" t="s">
        <v>15139</v>
      </c>
    </row>
    <row r="880" spans="1:5" x14ac:dyDescent="0.15">
      <c r="A880" s="1" t="s">
        <v>17303</v>
      </c>
      <c r="B880" s="1" t="s">
        <v>15140</v>
      </c>
      <c r="C880" s="1" t="s">
        <v>15141</v>
      </c>
      <c r="D880" s="1" t="s">
        <v>15142</v>
      </c>
      <c r="E880" s="1" t="s">
        <v>14575</v>
      </c>
    </row>
    <row r="881" spans="1:5" x14ac:dyDescent="0.15">
      <c r="A881" s="1" t="s">
        <v>17303</v>
      </c>
      <c r="B881" s="1" t="s">
        <v>14576</v>
      </c>
      <c r="C881" s="1" t="s">
        <v>14577</v>
      </c>
      <c r="D881" s="1" t="s">
        <v>14578</v>
      </c>
      <c r="E881" s="1" t="s">
        <v>14579</v>
      </c>
    </row>
    <row r="882" spans="1:5" x14ac:dyDescent="0.15">
      <c r="A882" s="1" t="s">
        <v>17303</v>
      </c>
      <c r="B882" s="1" t="s">
        <v>14580</v>
      </c>
      <c r="C882" s="1" t="s">
        <v>14577</v>
      </c>
      <c r="D882" s="1" t="s">
        <v>14581</v>
      </c>
      <c r="E882" s="1" t="s">
        <v>14582</v>
      </c>
    </row>
    <row r="883" spans="1:5" x14ac:dyDescent="0.15">
      <c r="A883" s="1" t="s">
        <v>17303</v>
      </c>
      <c r="B883" s="1" t="s">
        <v>14583</v>
      </c>
      <c r="C883" s="1" t="s">
        <v>14584</v>
      </c>
      <c r="D883" s="1" t="s">
        <v>14585</v>
      </c>
      <c r="E883" s="1" t="s">
        <v>14586</v>
      </c>
    </row>
    <row r="884" spans="1:5" x14ac:dyDescent="0.15">
      <c r="A884" s="1" t="s">
        <v>17303</v>
      </c>
      <c r="B884" s="1" t="s">
        <v>14587</v>
      </c>
      <c r="C884" s="1" t="s">
        <v>14584</v>
      </c>
      <c r="D884" s="1" t="s">
        <v>14588</v>
      </c>
      <c r="E884" s="1" t="s">
        <v>14589</v>
      </c>
    </row>
    <row r="885" spans="1:5" x14ac:dyDescent="0.15">
      <c r="A885" s="1" t="s">
        <v>17374</v>
      </c>
      <c r="B885" s="1" t="s">
        <v>14590</v>
      </c>
      <c r="C885" s="1" t="s">
        <v>14591</v>
      </c>
      <c r="D885" s="1" t="s">
        <v>14592</v>
      </c>
      <c r="E885" s="1" t="s">
        <v>14593</v>
      </c>
    </row>
    <row r="886" spans="1:5" x14ac:dyDescent="0.15">
      <c r="A886" s="1" t="s">
        <v>17374</v>
      </c>
      <c r="B886" s="1" t="s">
        <v>14594</v>
      </c>
      <c r="C886" s="1" t="s">
        <v>14595</v>
      </c>
      <c r="D886" s="1" t="s">
        <v>14596</v>
      </c>
      <c r="E886" s="1" t="s">
        <v>14597</v>
      </c>
    </row>
    <row r="887" spans="1:5" x14ac:dyDescent="0.15">
      <c r="A887" s="1" t="s">
        <v>17374</v>
      </c>
      <c r="B887" s="1" t="s">
        <v>14598</v>
      </c>
      <c r="C887" s="1" t="s">
        <v>14599</v>
      </c>
      <c r="D887" s="1" t="s">
        <v>14600</v>
      </c>
      <c r="E887" s="1" t="s">
        <v>14601</v>
      </c>
    </row>
    <row r="888" spans="1:5" x14ac:dyDescent="0.15">
      <c r="A888" s="1" t="s">
        <v>17374</v>
      </c>
      <c r="B888" s="1" t="s">
        <v>14602</v>
      </c>
      <c r="C888" s="1" t="s">
        <v>14603</v>
      </c>
      <c r="D888" s="1" t="s">
        <v>14604</v>
      </c>
      <c r="E888" s="1" t="s">
        <v>14605</v>
      </c>
    </row>
    <row r="889" spans="1:5" x14ac:dyDescent="0.15">
      <c r="A889" s="1" t="s">
        <v>17374</v>
      </c>
      <c r="B889" s="1" t="s">
        <v>14606</v>
      </c>
      <c r="C889" s="1" t="s">
        <v>14607</v>
      </c>
      <c r="D889" s="1" t="s">
        <v>14608</v>
      </c>
      <c r="E889" s="1" t="s">
        <v>14609</v>
      </c>
    </row>
    <row r="890" spans="1:5" x14ac:dyDescent="0.15">
      <c r="A890" s="1" t="s">
        <v>17374</v>
      </c>
      <c r="B890" s="1" t="s">
        <v>14610</v>
      </c>
      <c r="C890" s="1" t="s">
        <v>14611</v>
      </c>
      <c r="D890" s="1" t="s">
        <v>14612</v>
      </c>
      <c r="E890" s="1" t="s">
        <v>14613</v>
      </c>
    </row>
    <row r="891" spans="1:5" x14ac:dyDescent="0.15">
      <c r="A891" s="1" t="s">
        <v>17374</v>
      </c>
      <c r="B891" s="1" t="s">
        <v>14614</v>
      </c>
      <c r="C891" s="1" t="s">
        <v>14615</v>
      </c>
      <c r="D891" s="1" t="s">
        <v>14616</v>
      </c>
      <c r="E891" s="1" t="s">
        <v>14617</v>
      </c>
    </row>
    <row r="892" spans="1:5" x14ac:dyDescent="0.15">
      <c r="A892" s="1" t="s">
        <v>17374</v>
      </c>
      <c r="B892" s="1" t="s">
        <v>14618</v>
      </c>
      <c r="C892" s="1" t="s">
        <v>14619</v>
      </c>
      <c r="D892" s="1" t="s">
        <v>14620</v>
      </c>
      <c r="E892" s="1" t="s">
        <v>14621</v>
      </c>
    </row>
    <row r="893" spans="1:5" x14ac:dyDescent="0.15">
      <c r="A893" s="1" t="s">
        <v>17374</v>
      </c>
      <c r="B893" s="1" t="s">
        <v>14622</v>
      </c>
      <c r="C893" s="1" t="s">
        <v>14623</v>
      </c>
      <c r="D893" s="1" t="s">
        <v>14624</v>
      </c>
      <c r="E893" s="1" t="s">
        <v>14625</v>
      </c>
    </row>
    <row r="894" spans="1:5" x14ac:dyDescent="0.15">
      <c r="A894" s="1" t="s">
        <v>17374</v>
      </c>
      <c r="B894" s="1" t="s">
        <v>14626</v>
      </c>
      <c r="C894" s="1" t="s">
        <v>14627</v>
      </c>
      <c r="D894" s="1" t="s">
        <v>14628</v>
      </c>
      <c r="E894" s="1" t="s">
        <v>14629</v>
      </c>
    </row>
    <row r="895" spans="1:5" x14ac:dyDescent="0.15">
      <c r="A895" s="1" t="s">
        <v>17374</v>
      </c>
      <c r="B895" s="1" t="s">
        <v>14630</v>
      </c>
      <c r="C895" s="1" t="s">
        <v>14631</v>
      </c>
      <c r="D895" s="1" t="s">
        <v>14632</v>
      </c>
      <c r="E895" s="1" t="s">
        <v>14633</v>
      </c>
    </row>
    <row r="896" spans="1:5" x14ac:dyDescent="0.15">
      <c r="A896" s="1" t="s">
        <v>17374</v>
      </c>
      <c r="B896" s="1" t="s">
        <v>14634</v>
      </c>
      <c r="C896" s="1" t="s">
        <v>14635</v>
      </c>
      <c r="D896" s="1" t="s">
        <v>14636</v>
      </c>
      <c r="E896" s="1" t="s">
        <v>14637</v>
      </c>
    </row>
    <row r="897" spans="1:5" x14ac:dyDescent="0.15">
      <c r="A897" s="1" t="s">
        <v>17374</v>
      </c>
      <c r="B897" s="1" t="s">
        <v>14638</v>
      </c>
      <c r="C897" s="1" t="s">
        <v>14635</v>
      </c>
      <c r="D897" s="1" t="s">
        <v>14639</v>
      </c>
      <c r="E897" s="1" t="s">
        <v>14640</v>
      </c>
    </row>
    <row r="898" spans="1:5" x14ac:dyDescent="0.15">
      <c r="A898" s="1" t="s">
        <v>14641</v>
      </c>
      <c r="B898" s="1" t="s">
        <v>14642</v>
      </c>
      <c r="C898" s="1" t="s">
        <v>14643</v>
      </c>
      <c r="D898" s="1" t="s">
        <v>14644</v>
      </c>
      <c r="E898" s="1" t="s">
        <v>14645</v>
      </c>
    </row>
    <row r="899" spans="1:5" x14ac:dyDescent="0.15">
      <c r="A899" s="1" t="s">
        <v>14641</v>
      </c>
      <c r="B899" s="1" t="s">
        <v>14646</v>
      </c>
      <c r="C899" s="1" t="s">
        <v>14647</v>
      </c>
      <c r="D899" s="1" t="s">
        <v>14648</v>
      </c>
      <c r="E899" s="1" t="s">
        <v>14649</v>
      </c>
    </row>
    <row r="900" spans="1:5" x14ac:dyDescent="0.15">
      <c r="A900" s="1" t="s">
        <v>14641</v>
      </c>
      <c r="B900" s="1" t="s">
        <v>14650</v>
      </c>
      <c r="C900" s="1" t="s">
        <v>14647</v>
      </c>
      <c r="D900" s="1" t="s">
        <v>14651</v>
      </c>
      <c r="E900" s="1" t="s">
        <v>14652</v>
      </c>
    </row>
    <row r="901" spans="1:5" x14ac:dyDescent="0.15">
      <c r="A901" s="1" t="s">
        <v>14641</v>
      </c>
      <c r="B901" s="1" t="s">
        <v>14653</v>
      </c>
      <c r="C901" s="1" t="s">
        <v>14654</v>
      </c>
      <c r="D901" s="1" t="s">
        <v>14655</v>
      </c>
      <c r="E901" s="1" t="s">
        <v>14656</v>
      </c>
    </row>
    <row r="902" spans="1:5" x14ac:dyDescent="0.15">
      <c r="A902" s="1" t="s">
        <v>14641</v>
      </c>
      <c r="B902" s="1" t="s">
        <v>14657</v>
      </c>
      <c r="C902" s="1" t="s">
        <v>14654</v>
      </c>
      <c r="D902" s="1" t="s">
        <v>14658</v>
      </c>
      <c r="E902" s="1" t="s">
        <v>14659</v>
      </c>
    </row>
    <row r="903" spans="1:5" x14ac:dyDescent="0.15">
      <c r="A903" s="1" t="s">
        <v>14641</v>
      </c>
      <c r="B903" s="1" t="s">
        <v>14660</v>
      </c>
      <c r="C903" s="1" t="s">
        <v>14661</v>
      </c>
      <c r="D903" s="1" t="s">
        <v>14662</v>
      </c>
      <c r="E903" s="1" t="s">
        <v>14663</v>
      </c>
    </row>
    <row r="904" spans="1:5" x14ac:dyDescent="0.15">
      <c r="A904" s="1" t="s">
        <v>14641</v>
      </c>
      <c r="B904" s="1" t="s">
        <v>14664</v>
      </c>
      <c r="C904" s="1" t="s">
        <v>14661</v>
      </c>
      <c r="D904" s="1" t="s">
        <v>14665</v>
      </c>
      <c r="E904" s="1" t="s">
        <v>14666</v>
      </c>
    </row>
    <row r="905" spans="1:5" x14ac:dyDescent="0.15">
      <c r="A905" s="1" t="s">
        <v>14641</v>
      </c>
      <c r="B905" s="1" t="s">
        <v>14667</v>
      </c>
      <c r="C905" s="1" t="s">
        <v>14668</v>
      </c>
      <c r="D905" s="1" t="s">
        <v>14669</v>
      </c>
      <c r="E905" s="1" t="s">
        <v>14670</v>
      </c>
    </row>
    <row r="906" spans="1:5" x14ac:dyDescent="0.15">
      <c r="A906" s="1" t="s">
        <v>14641</v>
      </c>
      <c r="B906" s="1" t="s">
        <v>14671</v>
      </c>
      <c r="C906" s="1" t="s">
        <v>14668</v>
      </c>
      <c r="D906" s="1" t="s">
        <v>14672</v>
      </c>
      <c r="E906" s="1" t="s">
        <v>14673</v>
      </c>
    </row>
    <row r="907" spans="1:5" x14ac:dyDescent="0.15">
      <c r="A907" s="1" t="s">
        <v>14641</v>
      </c>
      <c r="B907" s="1" t="s">
        <v>14674</v>
      </c>
      <c r="C907" s="1" t="s">
        <v>14675</v>
      </c>
      <c r="D907" s="1" t="s">
        <v>14676</v>
      </c>
      <c r="E907" s="1" t="s">
        <v>14677</v>
      </c>
    </row>
    <row r="908" spans="1:5" x14ac:dyDescent="0.15">
      <c r="A908" s="1" t="s">
        <v>14641</v>
      </c>
      <c r="B908" s="1" t="s">
        <v>14678</v>
      </c>
      <c r="C908" s="1" t="s">
        <v>14675</v>
      </c>
      <c r="D908" s="1" t="s">
        <v>14679</v>
      </c>
      <c r="E908" s="1" t="s">
        <v>14680</v>
      </c>
    </row>
    <row r="909" spans="1:5" x14ac:dyDescent="0.15">
      <c r="A909" s="1" t="s">
        <v>14681</v>
      </c>
      <c r="B909" s="1" t="s">
        <v>14682</v>
      </c>
      <c r="C909" s="1" t="s">
        <v>14683</v>
      </c>
      <c r="D909" s="1" t="s">
        <v>14684</v>
      </c>
      <c r="E909" s="1" t="s">
        <v>14685</v>
      </c>
    </row>
    <row r="910" spans="1:5" x14ac:dyDescent="0.15">
      <c r="A910" s="1" t="s">
        <v>14681</v>
      </c>
      <c r="B910" s="1" t="s">
        <v>14686</v>
      </c>
      <c r="C910" s="1" t="s">
        <v>14687</v>
      </c>
      <c r="D910" s="1" t="s">
        <v>14688</v>
      </c>
      <c r="E910" s="1" t="s">
        <v>14689</v>
      </c>
    </row>
    <row r="911" spans="1:5" x14ac:dyDescent="0.15">
      <c r="A911" s="1" t="s">
        <v>14681</v>
      </c>
      <c r="B911" s="1" t="s">
        <v>14690</v>
      </c>
      <c r="C911" s="1" t="s">
        <v>14687</v>
      </c>
      <c r="D911" s="1" t="s">
        <v>14691</v>
      </c>
      <c r="E911" s="1" t="s">
        <v>14692</v>
      </c>
    </row>
    <row r="912" spans="1:5" x14ac:dyDescent="0.15">
      <c r="A912" s="1" t="s">
        <v>14681</v>
      </c>
      <c r="B912" s="1" t="s">
        <v>14693</v>
      </c>
      <c r="C912" s="1" t="s">
        <v>14694</v>
      </c>
      <c r="D912" s="1" t="s">
        <v>14695</v>
      </c>
      <c r="E912" s="1" t="s">
        <v>14696</v>
      </c>
    </row>
    <row r="913" spans="1:5" x14ac:dyDescent="0.15">
      <c r="A913" s="1" t="s">
        <v>14681</v>
      </c>
      <c r="B913" s="1" t="s">
        <v>14697</v>
      </c>
      <c r="C913" s="1" t="s">
        <v>14694</v>
      </c>
      <c r="D913" s="1" t="s">
        <v>14698</v>
      </c>
      <c r="E913" s="1" t="s">
        <v>14699</v>
      </c>
    </row>
    <row r="914" spans="1:5" x14ac:dyDescent="0.15">
      <c r="A914" s="1" t="s">
        <v>14681</v>
      </c>
      <c r="B914" s="1" t="s">
        <v>14700</v>
      </c>
      <c r="C914" s="1" t="s">
        <v>14701</v>
      </c>
      <c r="D914" s="1" t="s">
        <v>14702</v>
      </c>
      <c r="E914" s="1" t="s">
        <v>14703</v>
      </c>
    </row>
    <row r="915" spans="1:5" x14ac:dyDescent="0.15">
      <c r="A915" s="1" t="s">
        <v>14681</v>
      </c>
      <c r="B915" s="1" t="s">
        <v>14704</v>
      </c>
      <c r="C915" s="1" t="s">
        <v>14701</v>
      </c>
      <c r="D915" s="1" t="s">
        <v>14705</v>
      </c>
      <c r="E915" s="1" t="s">
        <v>14706</v>
      </c>
    </row>
    <row r="916" spans="1:5" x14ac:dyDescent="0.15">
      <c r="A916" s="1" t="s">
        <v>14681</v>
      </c>
      <c r="B916" s="1" t="s">
        <v>14707</v>
      </c>
      <c r="C916" s="1" t="s">
        <v>14708</v>
      </c>
      <c r="D916" s="1" t="s">
        <v>14709</v>
      </c>
      <c r="E916" s="1" t="s">
        <v>14710</v>
      </c>
    </row>
    <row r="917" spans="1:5" x14ac:dyDescent="0.15">
      <c r="A917" s="1" t="s">
        <v>14681</v>
      </c>
      <c r="B917" s="1" t="s">
        <v>14711</v>
      </c>
      <c r="C917" s="1" t="s">
        <v>14708</v>
      </c>
      <c r="D917" s="1" t="s">
        <v>14712</v>
      </c>
      <c r="E917" s="1" t="s">
        <v>14713</v>
      </c>
    </row>
    <row r="918" spans="1:5" x14ac:dyDescent="0.15">
      <c r="A918" s="1" t="s">
        <v>14681</v>
      </c>
      <c r="B918" s="1" t="s">
        <v>14714</v>
      </c>
      <c r="C918" s="1" t="s">
        <v>14715</v>
      </c>
      <c r="D918" s="1" t="s">
        <v>14716</v>
      </c>
      <c r="E918" s="1" t="s">
        <v>14717</v>
      </c>
    </row>
    <row r="919" spans="1:5" x14ac:dyDescent="0.15">
      <c r="A919" s="1" t="s">
        <v>14681</v>
      </c>
      <c r="B919" s="1" t="s">
        <v>14718</v>
      </c>
      <c r="C919" s="1" t="s">
        <v>14715</v>
      </c>
      <c r="D919" s="1" t="s">
        <v>14719</v>
      </c>
      <c r="E919" s="1" t="s">
        <v>14720</v>
      </c>
    </row>
    <row r="920" spans="1:5" x14ac:dyDescent="0.15">
      <c r="A920" s="1" t="s">
        <v>14681</v>
      </c>
      <c r="B920" s="1" t="s">
        <v>14721</v>
      </c>
      <c r="C920" s="1" t="s">
        <v>14722</v>
      </c>
      <c r="D920" s="1" t="s">
        <v>14723</v>
      </c>
      <c r="E920" s="1" t="s">
        <v>14724</v>
      </c>
    </row>
    <row r="921" spans="1:5" x14ac:dyDescent="0.15">
      <c r="A921" s="1" t="s">
        <v>14681</v>
      </c>
      <c r="B921" s="1" t="s">
        <v>14725</v>
      </c>
      <c r="C921" s="1" t="s">
        <v>14726</v>
      </c>
      <c r="D921" s="1" t="s">
        <v>14727</v>
      </c>
      <c r="E921" s="1" t="s">
        <v>14728</v>
      </c>
    </row>
    <row r="922" spans="1:5" x14ac:dyDescent="0.15">
      <c r="A922" s="1" t="s">
        <v>14681</v>
      </c>
      <c r="B922" s="1" t="s">
        <v>14729</v>
      </c>
      <c r="C922" s="1" t="s">
        <v>14730</v>
      </c>
      <c r="D922" s="1" t="s">
        <v>14731</v>
      </c>
      <c r="E922" s="1" t="s">
        <v>14732</v>
      </c>
    </row>
    <row r="923" spans="1:5" x14ac:dyDescent="0.15">
      <c r="A923" s="1" t="s">
        <v>14681</v>
      </c>
      <c r="B923" s="1" t="s">
        <v>14733</v>
      </c>
      <c r="C923" s="1" t="s">
        <v>14734</v>
      </c>
      <c r="D923" s="1" t="s">
        <v>14735</v>
      </c>
      <c r="E923" s="1" t="s">
        <v>14736</v>
      </c>
    </row>
    <row r="924" spans="1:5" x14ac:dyDescent="0.15">
      <c r="A924" s="1" t="s">
        <v>14681</v>
      </c>
      <c r="B924" s="1" t="s">
        <v>14737</v>
      </c>
      <c r="C924" s="1" t="s">
        <v>14738</v>
      </c>
      <c r="D924" s="1" t="s">
        <v>14739</v>
      </c>
      <c r="E924" s="1" t="s">
        <v>14740</v>
      </c>
    </row>
    <row r="925" spans="1:5" x14ac:dyDescent="0.15">
      <c r="A925" s="1" t="s">
        <v>14681</v>
      </c>
      <c r="B925" s="1" t="s">
        <v>14741</v>
      </c>
      <c r="C925" s="1" t="s">
        <v>14742</v>
      </c>
      <c r="D925" s="1" t="s">
        <v>14743</v>
      </c>
      <c r="E925" s="1" t="s">
        <v>14744</v>
      </c>
    </row>
    <row r="926" spans="1:5" x14ac:dyDescent="0.15">
      <c r="A926" s="1" t="s">
        <v>14681</v>
      </c>
      <c r="B926" s="1" t="s">
        <v>14745</v>
      </c>
      <c r="C926" s="1" t="s">
        <v>14746</v>
      </c>
      <c r="D926" s="1" t="s">
        <v>14747</v>
      </c>
      <c r="E926" s="1" t="s">
        <v>14748</v>
      </c>
    </row>
    <row r="927" spans="1:5" x14ac:dyDescent="0.15">
      <c r="A927" s="1" t="s">
        <v>14681</v>
      </c>
      <c r="B927" s="1" t="s">
        <v>14749</v>
      </c>
      <c r="C927" s="1" t="s">
        <v>14750</v>
      </c>
      <c r="D927" s="1" t="s">
        <v>14751</v>
      </c>
      <c r="E927" s="1" t="s">
        <v>14752</v>
      </c>
    </row>
    <row r="928" spans="1:5" x14ac:dyDescent="0.15">
      <c r="A928" s="1" t="s">
        <v>14681</v>
      </c>
      <c r="B928" s="1" t="s">
        <v>14753</v>
      </c>
      <c r="C928" s="1" t="s">
        <v>14750</v>
      </c>
      <c r="D928" s="1" t="s">
        <v>14754</v>
      </c>
      <c r="E928" s="1" t="s">
        <v>14755</v>
      </c>
    </row>
    <row r="929" spans="1:5" x14ac:dyDescent="0.15">
      <c r="A929" s="1" t="s">
        <v>14681</v>
      </c>
      <c r="B929" s="1" t="s">
        <v>14756</v>
      </c>
      <c r="C929" s="1" t="s">
        <v>14757</v>
      </c>
      <c r="D929" s="1" t="s">
        <v>14758</v>
      </c>
      <c r="E929" s="1" t="s">
        <v>14759</v>
      </c>
    </row>
    <row r="930" spans="1:5" x14ac:dyDescent="0.15">
      <c r="A930" s="1" t="s">
        <v>14681</v>
      </c>
      <c r="B930" s="1" t="s">
        <v>14760</v>
      </c>
      <c r="C930" s="1" t="s">
        <v>14761</v>
      </c>
      <c r="D930" s="1" t="s">
        <v>14762</v>
      </c>
      <c r="E930" s="1" t="s">
        <v>14763</v>
      </c>
    </row>
    <row r="931" spans="1:5" x14ac:dyDescent="0.15">
      <c r="A931" s="1" t="s">
        <v>14681</v>
      </c>
      <c r="B931" s="1" t="s">
        <v>14764</v>
      </c>
      <c r="C931" s="1" t="s">
        <v>14765</v>
      </c>
      <c r="D931" s="1" t="s">
        <v>14766</v>
      </c>
      <c r="E931" s="1" t="s">
        <v>14767</v>
      </c>
    </row>
    <row r="932" spans="1:5" x14ac:dyDescent="0.15">
      <c r="A932" s="1" t="s">
        <v>14681</v>
      </c>
      <c r="B932" s="1" t="s">
        <v>14768</v>
      </c>
      <c r="C932" s="1" t="s">
        <v>14769</v>
      </c>
      <c r="D932" s="1" t="s">
        <v>14770</v>
      </c>
      <c r="E932" s="1" t="s">
        <v>14771</v>
      </c>
    </row>
    <row r="933" spans="1:5" x14ac:dyDescent="0.15">
      <c r="A933" s="1" t="s">
        <v>14681</v>
      </c>
      <c r="B933" s="1" t="s">
        <v>14772</v>
      </c>
      <c r="C933" s="1" t="s">
        <v>14773</v>
      </c>
      <c r="D933" s="1" t="s">
        <v>14774</v>
      </c>
      <c r="E933" s="1" t="s">
        <v>14775</v>
      </c>
    </row>
    <row r="934" spans="1:5" x14ac:dyDescent="0.15">
      <c r="A934" s="1" t="s">
        <v>14681</v>
      </c>
      <c r="B934" s="1" t="s">
        <v>14776</v>
      </c>
      <c r="C934" s="1" t="s">
        <v>14777</v>
      </c>
      <c r="D934" s="1" t="s">
        <v>14778</v>
      </c>
      <c r="E934" s="1" t="s">
        <v>14779</v>
      </c>
    </row>
    <row r="935" spans="1:5" x14ac:dyDescent="0.15">
      <c r="A935" s="1" t="s">
        <v>14681</v>
      </c>
      <c r="B935" s="1" t="s">
        <v>14780</v>
      </c>
      <c r="C935" s="1" t="s">
        <v>14781</v>
      </c>
      <c r="D935" s="1" t="s">
        <v>14782</v>
      </c>
      <c r="E935" s="1" t="s">
        <v>14783</v>
      </c>
    </row>
    <row r="936" spans="1:5" x14ac:dyDescent="0.15">
      <c r="A936" s="1" t="s">
        <v>14681</v>
      </c>
      <c r="B936" s="1" t="s">
        <v>14784</v>
      </c>
      <c r="C936" s="1" t="s">
        <v>14785</v>
      </c>
      <c r="D936" s="1" t="s">
        <v>14786</v>
      </c>
      <c r="E936" s="1" t="s">
        <v>14787</v>
      </c>
    </row>
    <row r="937" spans="1:5" x14ac:dyDescent="0.15">
      <c r="A937" s="1" t="s">
        <v>14681</v>
      </c>
      <c r="B937" s="1" t="s">
        <v>14788</v>
      </c>
      <c r="C937" s="1" t="s">
        <v>14789</v>
      </c>
      <c r="D937" s="1" t="s">
        <v>14790</v>
      </c>
      <c r="E937" s="1" t="s">
        <v>14791</v>
      </c>
    </row>
    <row r="938" spans="1:5" x14ac:dyDescent="0.15">
      <c r="A938" s="1" t="s">
        <v>14681</v>
      </c>
      <c r="B938" s="1" t="s">
        <v>14792</v>
      </c>
      <c r="C938" s="1" t="s">
        <v>14789</v>
      </c>
      <c r="D938" s="1" t="s">
        <v>14793</v>
      </c>
      <c r="E938" s="1" t="s">
        <v>14794</v>
      </c>
    </row>
    <row r="939" spans="1:5" x14ac:dyDescent="0.15">
      <c r="A939" s="1" t="s">
        <v>14681</v>
      </c>
      <c r="B939" s="1" t="s">
        <v>14795</v>
      </c>
      <c r="C939" s="1" t="s">
        <v>14796</v>
      </c>
      <c r="D939" s="1" t="s">
        <v>14797</v>
      </c>
      <c r="E939" s="1" t="s">
        <v>14798</v>
      </c>
    </row>
    <row r="940" spans="1:5" x14ac:dyDescent="0.15">
      <c r="A940" s="1" t="s">
        <v>14681</v>
      </c>
      <c r="B940" s="1" t="s">
        <v>14799</v>
      </c>
      <c r="C940" s="1" t="s">
        <v>14800</v>
      </c>
      <c r="D940" s="1" t="s">
        <v>14801</v>
      </c>
      <c r="E940" s="1" t="s">
        <v>14802</v>
      </c>
    </row>
    <row r="941" spans="1:5" x14ac:dyDescent="0.15">
      <c r="A941" s="1" t="s">
        <v>14681</v>
      </c>
      <c r="B941" s="1" t="s">
        <v>14803</v>
      </c>
      <c r="C941" s="1" t="s">
        <v>14804</v>
      </c>
      <c r="D941" s="1" t="s">
        <v>14805</v>
      </c>
      <c r="E941" s="1" t="s">
        <v>14806</v>
      </c>
    </row>
    <row r="942" spans="1:5" x14ac:dyDescent="0.15">
      <c r="A942" s="1" t="s">
        <v>14681</v>
      </c>
      <c r="B942" s="1" t="s">
        <v>14807</v>
      </c>
      <c r="C942" s="1" t="s">
        <v>14808</v>
      </c>
      <c r="D942" s="1" t="s">
        <v>14809</v>
      </c>
      <c r="E942" s="1" t="s">
        <v>14810</v>
      </c>
    </row>
    <row r="943" spans="1:5" x14ac:dyDescent="0.15">
      <c r="A943" s="1" t="s">
        <v>14681</v>
      </c>
      <c r="B943" s="1" t="s">
        <v>14811</v>
      </c>
      <c r="C943" s="1" t="s">
        <v>14812</v>
      </c>
      <c r="D943" s="1" t="s">
        <v>14813</v>
      </c>
      <c r="E943" s="1" t="s">
        <v>14814</v>
      </c>
    </row>
    <row r="944" spans="1:5" x14ac:dyDescent="0.15">
      <c r="A944" s="1" t="s">
        <v>14681</v>
      </c>
      <c r="B944" s="1" t="s">
        <v>14815</v>
      </c>
      <c r="C944" s="1" t="s">
        <v>14812</v>
      </c>
      <c r="D944" s="1" t="s">
        <v>14816</v>
      </c>
      <c r="E944" s="1" t="s">
        <v>14817</v>
      </c>
    </row>
    <row r="945" spans="1:5" x14ac:dyDescent="0.15">
      <c r="A945" s="1" t="s">
        <v>14681</v>
      </c>
      <c r="B945" s="1" t="s">
        <v>14818</v>
      </c>
      <c r="C945" s="1" t="s">
        <v>14819</v>
      </c>
      <c r="D945" s="1" t="s">
        <v>14820</v>
      </c>
      <c r="E945" s="1" t="s">
        <v>14821</v>
      </c>
    </row>
    <row r="946" spans="1:5" x14ac:dyDescent="0.15">
      <c r="A946" s="1" t="s">
        <v>14681</v>
      </c>
      <c r="B946" s="1" t="s">
        <v>14822</v>
      </c>
      <c r="C946" s="1" t="s">
        <v>14819</v>
      </c>
      <c r="D946" s="1" t="s">
        <v>14823</v>
      </c>
      <c r="E946" s="1" t="s">
        <v>14824</v>
      </c>
    </row>
    <row r="947" spans="1:5" x14ac:dyDescent="0.15">
      <c r="A947" s="1" t="s">
        <v>14681</v>
      </c>
      <c r="B947" s="1" t="s">
        <v>14825</v>
      </c>
      <c r="C947" s="1" t="s">
        <v>14826</v>
      </c>
      <c r="D947" s="1" t="s">
        <v>14827</v>
      </c>
      <c r="E947" s="1" t="s">
        <v>14828</v>
      </c>
    </row>
    <row r="948" spans="1:5" x14ac:dyDescent="0.15">
      <c r="A948" s="1" t="s">
        <v>14681</v>
      </c>
      <c r="B948" s="1" t="s">
        <v>14829</v>
      </c>
      <c r="C948" s="1" t="s">
        <v>14830</v>
      </c>
      <c r="D948" s="1" t="s">
        <v>14831</v>
      </c>
      <c r="E948" s="1" t="s">
        <v>14832</v>
      </c>
    </row>
    <row r="949" spans="1:5" x14ac:dyDescent="0.15">
      <c r="A949" s="1" t="s">
        <v>14833</v>
      </c>
      <c r="B949" s="1" t="s">
        <v>14834</v>
      </c>
      <c r="C949" s="1" t="s">
        <v>14835</v>
      </c>
      <c r="D949" s="1" t="s">
        <v>14836</v>
      </c>
      <c r="E949" s="1" t="s">
        <v>14837</v>
      </c>
    </row>
    <row r="950" spans="1:5" x14ac:dyDescent="0.15">
      <c r="A950" s="1" t="s">
        <v>14833</v>
      </c>
      <c r="B950" s="1" t="s">
        <v>14838</v>
      </c>
      <c r="C950" s="1" t="s">
        <v>14839</v>
      </c>
      <c r="D950" s="1" t="s">
        <v>14840</v>
      </c>
      <c r="E950" s="1" t="s">
        <v>14841</v>
      </c>
    </row>
    <row r="951" spans="1:5" x14ac:dyDescent="0.15">
      <c r="A951" s="1" t="s">
        <v>14833</v>
      </c>
      <c r="B951" s="1" t="s">
        <v>14842</v>
      </c>
      <c r="C951" s="1" t="s">
        <v>14843</v>
      </c>
      <c r="D951" s="1" t="s">
        <v>14844</v>
      </c>
      <c r="E951" s="1" t="s">
        <v>14845</v>
      </c>
    </row>
    <row r="952" spans="1:5" x14ac:dyDescent="0.15">
      <c r="A952" s="1" t="s">
        <v>14833</v>
      </c>
      <c r="B952" s="1" t="s">
        <v>14213</v>
      </c>
      <c r="C952" s="1" t="s">
        <v>14214</v>
      </c>
      <c r="D952" s="1" t="s">
        <v>14215</v>
      </c>
      <c r="E952" s="1" t="s">
        <v>14216</v>
      </c>
    </row>
    <row r="953" spans="1:5" x14ac:dyDescent="0.15">
      <c r="A953" s="1" t="s">
        <v>14833</v>
      </c>
      <c r="B953" s="1" t="s">
        <v>14217</v>
      </c>
      <c r="C953" s="1" t="s">
        <v>14218</v>
      </c>
      <c r="D953" s="1" t="s">
        <v>14219</v>
      </c>
      <c r="E953" s="1" t="s">
        <v>14220</v>
      </c>
    </row>
    <row r="954" spans="1:5" x14ac:dyDescent="0.15">
      <c r="A954" s="1" t="s">
        <v>14833</v>
      </c>
      <c r="B954" s="1" t="s">
        <v>14221</v>
      </c>
      <c r="C954" s="1" t="s">
        <v>14222</v>
      </c>
      <c r="D954" s="1" t="s">
        <v>14223</v>
      </c>
      <c r="E954" s="1" t="s">
        <v>14224</v>
      </c>
    </row>
    <row r="955" spans="1:5" x14ac:dyDescent="0.15">
      <c r="A955" s="1" t="s">
        <v>14833</v>
      </c>
      <c r="B955" s="1" t="s">
        <v>14225</v>
      </c>
      <c r="C955" s="1" t="s">
        <v>14226</v>
      </c>
      <c r="D955" s="1" t="s">
        <v>14227</v>
      </c>
      <c r="E955" s="1" t="s">
        <v>14228</v>
      </c>
    </row>
    <row r="956" spans="1:5" x14ac:dyDescent="0.15">
      <c r="A956" s="1" t="s">
        <v>14833</v>
      </c>
      <c r="B956" s="1" t="s">
        <v>14229</v>
      </c>
      <c r="C956" s="1" t="s">
        <v>14230</v>
      </c>
      <c r="D956" s="1" t="s">
        <v>14231</v>
      </c>
      <c r="E956" s="1" t="s">
        <v>14232</v>
      </c>
    </row>
    <row r="957" spans="1:5" x14ac:dyDescent="0.15">
      <c r="A957" s="1" t="s">
        <v>14833</v>
      </c>
      <c r="B957" s="1" t="s">
        <v>14233</v>
      </c>
      <c r="C957" s="1" t="s">
        <v>14234</v>
      </c>
      <c r="D957" s="1" t="s">
        <v>14235</v>
      </c>
      <c r="E957" s="1" t="s">
        <v>14236</v>
      </c>
    </row>
    <row r="958" spans="1:5" x14ac:dyDescent="0.15">
      <c r="A958" s="1" t="s">
        <v>14833</v>
      </c>
      <c r="B958" s="1" t="s">
        <v>14237</v>
      </c>
      <c r="C958" s="1" t="s">
        <v>14238</v>
      </c>
      <c r="D958" s="1" t="s">
        <v>14239</v>
      </c>
      <c r="E958" s="1" t="s">
        <v>14240</v>
      </c>
    </row>
    <row r="959" spans="1:5" x14ac:dyDescent="0.15">
      <c r="A959" s="1" t="s">
        <v>14833</v>
      </c>
      <c r="B959" s="1" t="s">
        <v>14241</v>
      </c>
      <c r="C959" s="1" t="s">
        <v>14242</v>
      </c>
      <c r="D959" s="1" t="s">
        <v>14243</v>
      </c>
      <c r="E959" s="1" t="s">
        <v>14244</v>
      </c>
    </row>
    <row r="960" spans="1:5" x14ac:dyDescent="0.15">
      <c r="A960" s="1" t="s">
        <v>14833</v>
      </c>
      <c r="B960" s="1" t="s">
        <v>14245</v>
      </c>
      <c r="C960" s="1" t="s">
        <v>14246</v>
      </c>
      <c r="D960" s="1" t="s">
        <v>14247</v>
      </c>
      <c r="E960" s="1" t="s">
        <v>14248</v>
      </c>
    </row>
    <row r="961" spans="1:5" x14ac:dyDescent="0.15">
      <c r="A961" s="1" t="s">
        <v>14833</v>
      </c>
      <c r="B961" s="1" t="s">
        <v>14249</v>
      </c>
      <c r="C961" s="1" t="s">
        <v>14250</v>
      </c>
      <c r="D961" s="1" t="s">
        <v>14251</v>
      </c>
      <c r="E961" s="1" t="s">
        <v>14252</v>
      </c>
    </row>
    <row r="962" spans="1:5" x14ac:dyDescent="0.15">
      <c r="A962" s="1" t="s">
        <v>14833</v>
      </c>
      <c r="B962" s="1" t="s">
        <v>14253</v>
      </c>
      <c r="C962" s="1" t="s">
        <v>14254</v>
      </c>
      <c r="D962" s="1" t="s">
        <v>14255</v>
      </c>
      <c r="E962" s="1" t="s">
        <v>14256</v>
      </c>
    </row>
    <row r="963" spans="1:5" x14ac:dyDescent="0.15">
      <c r="A963" s="1" t="s">
        <v>14833</v>
      </c>
      <c r="B963" s="1" t="s">
        <v>14257</v>
      </c>
      <c r="C963" s="1" t="s">
        <v>14258</v>
      </c>
      <c r="D963" s="1" t="s">
        <v>14259</v>
      </c>
      <c r="E963" s="1" t="s">
        <v>14260</v>
      </c>
    </row>
    <row r="964" spans="1:5" x14ac:dyDescent="0.15">
      <c r="A964" s="1" t="s">
        <v>14833</v>
      </c>
      <c r="B964" s="1" t="s">
        <v>14261</v>
      </c>
      <c r="C964" s="1" t="s">
        <v>14262</v>
      </c>
      <c r="D964" s="1" t="s">
        <v>14263</v>
      </c>
      <c r="E964" s="1" t="s">
        <v>14264</v>
      </c>
    </row>
    <row r="965" spans="1:5" x14ac:dyDescent="0.15">
      <c r="A965" s="1" t="s">
        <v>14833</v>
      </c>
      <c r="B965" s="1" t="s">
        <v>14265</v>
      </c>
      <c r="C965" s="1" t="s">
        <v>14266</v>
      </c>
      <c r="D965" s="1" t="s">
        <v>14267</v>
      </c>
      <c r="E965" s="1" t="s">
        <v>14268</v>
      </c>
    </row>
    <row r="966" spans="1:5" x14ac:dyDescent="0.15">
      <c r="A966" s="1" t="s">
        <v>14833</v>
      </c>
      <c r="B966" s="1" t="s">
        <v>14269</v>
      </c>
      <c r="C966" s="1" t="s">
        <v>14270</v>
      </c>
      <c r="D966" s="1" t="s">
        <v>14271</v>
      </c>
      <c r="E966" s="1" t="s">
        <v>14272</v>
      </c>
    </row>
    <row r="967" spans="1:5" x14ac:dyDescent="0.15">
      <c r="A967" s="1" t="s">
        <v>14833</v>
      </c>
      <c r="B967" s="1" t="s">
        <v>14273</v>
      </c>
      <c r="C967" s="1" t="s">
        <v>14270</v>
      </c>
      <c r="D967" s="1" t="s">
        <v>14271</v>
      </c>
      <c r="E967" s="1" t="s">
        <v>14274</v>
      </c>
    </row>
    <row r="968" spans="1:5" x14ac:dyDescent="0.15">
      <c r="A968" s="1" t="s">
        <v>14275</v>
      </c>
      <c r="B968" s="1" t="s">
        <v>14276</v>
      </c>
      <c r="C968" s="1" t="s">
        <v>14277</v>
      </c>
      <c r="D968" s="1" t="s">
        <v>14278</v>
      </c>
      <c r="E968" s="1" t="s">
        <v>14279</v>
      </c>
    </row>
    <row r="969" spans="1:5" x14ac:dyDescent="0.15">
      <c r="A969" s="1" t="s">
        <v>14275</v>
      </c>
      <c r="B969" s="1" t="s">
        <v>14280</v>
      </c>
      <c r="C969" s="1" t="s">
        <v>14281</v>
      </c>
      <c r="D969" s="1" t="s">
        <v>14282</v>
      </c>
      <c r="E969" s="1" t="s">
        <v>14283</v>
      </c>
    </row>
    <row r="970" spans="1:5" x14ac:dyDescent="0.15">
      <c r="A970" s="1" t="s">
        <v>14275</v>
      </c>
      <c r="B970" s="1" t="s">
        <v>14284</v>
      </c>
      <c r="C970" s="1" t="s">
        <v>14285</v>
      </c>
      <c r="D970" s="1" t="s">
        <v>14286</v>
      </c>
      <c r="E970" s="1" t="s">
        <v>14287</v>
      </c>
    </row>
    <row r="971" spans="1:5" x14ac:dyDescent="0.15">
      <c r="A971" s="1" t="s">
        <v>14275</v>
      </c>
      <c r="B971" s="1" t="s">
        <v>14288</v>
      </c>
      <c r="C971" s="1" t="s">
        <v>14289</v>
      </c>
      <c r="D971" s="1" t="s">
        <v>14290</v>
      </c>
      <c r="E971" s="1" t="s">
        <v>14291</v>
      </c>
    </row>
    <row r="972" spans="1:5" x14ac:dyDescent="0.15">
      <c r="A972" s="1" t="s">
        <v>14275</v>
      </c>
      <c r="B972" s="1" t="s">
        <v>14292</v>
      </c>
      <c r="C972" s="1" t="s">
        <v>14293</v>
      </c>
      <c r="D972" s="1" t="s">
        <v>14294</v>
      </c>
      <c r="E972" s="1" t="s">
        <v>14295</v>
      </c>
    </row>
    <row r="973" spans="1:5" x14ac:dyDescent="0.15">
      <c r="A973" s="1" t="s">
        <v>14275</v>
      </c>
      <c r="B973" s="1" t="s">
        <v>14296</v>
      </c>
      <c r="C973" s="1" t="s">
        <v>14297</v>
      </c>
      <c r="D973" s="1" t="s">
        <v>14298</v>
      </c>
      <c r="E973" s="1" t="s">
        <v>14299</v>
      </c>
    </row>
    <row r="974" spans="1:5" x14ac:dyDescent="0.15">
      <c r="A974" s="1" t="s">
        <v>14275</v>
      </c>
      <c r="B974" s="1" t="s">
        <v>14300</v>
      </c>
      <c r="C974" s="1" t="s">
        <v>14301</v>
      </c>
      <c r="D974" s="1" t="s">
        <v>14302</v>
      </c>
      <c r="E974" s="1" t="s">
        <v>14303</v>
      </c>
    </row>
    <row r="975" spans="1:5" x14ac:dyDescent="0.15">
      <c r="A975" s="1" t="s">
        <v>14275</v>
      </c>
      <c r="B975" s="1" t="s">
        <v>14304</v>
      </c>
      <c r="C975" s="1" t="s">
        <v>14305</v>
      </c>
      <c r="D975" s="1" t="s">
        <v>14306</v>
      </c>
      <c r="E975" s="1" t="s">
        <v>14307</v>
      </c>
    </row>
    <row r="976" spans="1:5" x14ac:dyDescent="0.15">
      <c r="A976" s="1" t="s">
        <v>14275</v>
      </c>
      <c r="B976" s="1" t="s">
        <v>14308</v>
      </c>
      <c r="C976" s="1" t="s">
        <v>14309</v>
      </c>
      <c r="D976" s="1" t="s">
        <v>14310</v>
      </c>
      <c r="E976" s="1" t="s">
        <v>14311</v>
      </c>
    </row>
    <row r="977" spans="1:5" x14ac:dyDescent="0.15">
      <c r="A977" s="1" t="s">
        <v>14275</v>
      </c>
      <c r="B977" s="1" t="s">
        <v>14312</v>
      </c>
      <c r="C977" s="1" t="s">
        <v>14313</v>
      </c>
      <c r="D977" s="1" t="s">
        <v>14314</v>
      </c>
      <c r="E977" s="1" t="s">
        <v>14315</v>
      </c>
    </row>
    <row r="978" spans="1:5" x14ac:dyDescent="0.15">
      <c r="A978" s="1" t="s">
        <v>14275</v>
      </c>
      <c r="B978" s="1" t="s">
        <v>14316</v>
      </c>
      <c r="C978" s="1" t="s">
        <v>14317</v>
      </c>
      <c r="D978" s="1" t="s">
        <v>14318</v>
      </c>
      <c r="E978" s="1" t="s">
        <v>14319</v>
      </c>
    </row>
    <row r="979" spans="1:5" x14ac:dyDescent="0.15">
      <c r="A979" s="1" t="s">
        <v>14275</v>
      </c>
      <c r="B979" s="1" t="s">
        <v>14320</v>
      </c>
      <c r="C979" s="1" t="s">
        <v>14321</v>
      </c>
      <c r="D979" s="1" t="s">
        <v>14322</v>
      </c>
      <c r="E979" s="1" t="s">
        <v>14323</v>
      </c>
    </row>
    <row r="980" spans="1:5" x14ac:dyDescent="0.15">
      <c r="A980" s="1" t="s">
        <v>14275</v>
      </c>
      <c r="B980" s="1" t="s">
        <v>14324</v>
      </c>
      <c r="C980" s="1" t="s">
        <v>14325</v>
      </c>
      <c r="D980" s="1" t="s">
        <v>14326</v>
      </c>
      <c r="E980" s="1" t="s">
        <v>14327</v>
      </c>
    </row>
    <row r="981" spans="1:5" x14ac:dyDescent="0.15">
      <c r="A981" s="1" t="s">
        <v>14275</v>
      </c>
      <c r="B981" s="1" t="s">
        <v>14328</v>
      </c>
      <c r="C981" s="1" t="s">
        <v>14329</v>
      </c>
      <c r="D981" s="1" t="s">
        <v>14330</v>
      </c>
      <c r="E981" s="1" t="s">
        <v>14331</v>
      </c>
    </row>
    <row r="982" spans="1:5" x14ac:dyDescent="0.15">
      <c r="A982" s="1" t="s">
        <v>14275</v>
      </c>
      <c r="B982" s="1" t="s">
        <v>14332</v>
      </c>
      <c r="C982" s="1" t="s">
        <v>14333</v>
      </c>
      <c r="D982" s="1" t="s">
        <v>14334</v>
      </c>
      <c r="E982" s="1" t="s">
        <v>14335</v>
      </c>
    </row>
    <row r="983" spans="1:5" x14ac:dyDescent="0.15">
      <c r="A983" s="1" t="s">
        <v>14275</v>
      </c>
      <c r="B983" s="1" t="s">
        <v>14336</v>
      </c>
      <c r="C983" s="1" t="s">
        <v>14337</v>
      </c>
      <c r="D983" s="1" t="s">
        <v>14338</v>
      </c>
      <c r="E983" s="1" t="s">
        <v>14339</v>
      </c>
    </row>
    <row r="984" spans="1:5" x14ac:dyDescent="0.15">
      <c r="A984" s="1" t="s">
        <v>14275</v>
      </c>
      <c r="B984" s="1" t="s">
        <v>14340</v>
      </c>
      <c r="C984" s="1" t="s">
        <v>14341</v>
      </c>
      <c r="D984" s="1" t="s">
        <v>14342</v>
      </c>
      <c r="E984" s="1" t="s">
        <v>14343</v>
      </c>
    </row>
    <row r="985" spans="1:5" x14ac:dyDescent="0.15">
      <c r="A985" s="1" t="s">
        <v>14275</v>
      </c>
      <c r="B985" s="1" t="s">
        <v>14344</v>
      </c>
      <c r="C985" s="1" t="s">
        <v>14345</v>
      </c>
      <c r="D985" s="1" t="s">
        <v>14346</v>
      </c>
      <c r="E985" s="1" t="s">
        <v>14347</v>
      </c>
    </row>
    <row r="986" spans="1:5" x14ac:dyDescent="0.15">
      <c r="A986" s="1" t="s">
        <v>14275</v>
      </c>
      <c r="B986" s="1" t="s">
        <v>14348</v>
      </c>
      <c r="C986" s="1" t="s">
        <v>14349</v>
      </c>
      <c r="D986" s="1" t="s">
        <v>14350</v>
      </c>
      <c r="E986" s="1" t="s">
        <v>14351</v>
      </c>
    </row>
    <row r="987" spans="1:5" x14ac:dyDescent="0.15">
      <c r="A987" s="1" t="s">
        <v>14275</v>
      </c>
      <c r="B987" s="1" t="s">
        <v>14352</v>
      </c>
      <c r="C987" s="1" t="s">
        <v>14353</v>
      </c>
      <c r="D987" s="1" t="s">
        <v>14354</v>
      </c>
      <c r="E987" s="1" t="s">
        <v>14355</v>
      </c>
    </row>
    <row r="988" spans="1:5" x14ac:dyDescent="0.15">
      <c r="A988" s="1" t="s">
        <v>14275</v>
      </c>
      <c r="B988" s="1" t="s">
        <v>14356</v>
      </c>
      <c r="C988" s="1" t="s">
        <v>14357</v>
      </c>
      <c r="D988" s="1" t="s">
        <v>14358</v>
      </c>
      <c r="E988" s="1" t="s">
        <v>14359</v>
      </c>
    </row>
    <row r="989" spans="1:5" x14ac:dyDescent="0.15">
      <c r="A989" s="1" t="s">
        <v>14275</v>
      </c>
      <c r="B989" s="1" t="s">
        <v>14360</v>
      </c>
      <c r="C989" s="1" t="s">
        <v>14361</v>
      </c>
      <c r="D989" s="1" t="s">
        <v>14362</v>
      </c>
      <c r="E989" s="1" t="s">
        <v>14363</v>
      </c>
    </row>
    <row r="990" spans="1:5" x14ac:dyDescent="0.15">
      <c r="A990" s="1" t="s">
        <v>14275</v>
      </c>
      <c r="B990" s="1" t="s">
        <v>14364</v>
      </c>
      <c r="C990" s="1" t="s">
        <v>14365</v>
      </c>
      <c r="D990" s="1" t="s">
        <v>14366</v>
      </c>
      <c r="E990" s="1" t="s">
        <v>14367</v>
      </c>
    </row>
    <row r="991" spans="1:5" x14ac:dyDescent="0.15">
      <c r="A991" s="1" t="s">
        <v>14275</v>
      </c>
      <c r="B991" s="1" t="s">
        <v>14368</v>
      </c>
      <c r="C991" s="1" t="s">
        <v>14369</v>
      </c>
      <c r="D991" s="1" t="s">
        <v>14370</v>
      </c>
      <c r="E991" s="1" t="s">
        <v>14371</v>
      </c>
    </row>
    <row r="992" spans="1:5" x14ac:dyDescent="0.15">
      <c r="A992" s="1" t="s">
        <v>14275</v>
      </c>
      <c r="B992" s="1" t="s">
        <v>14372</v>
      </c>
      <c r="C992" s="1" t="s">
        <v>14373</v>
      </c>
      <c r="D992" s="1" t="s">
        <v>14374</v>
      </c>
      <c r="E992" s="1" t="s">
        <v>14375</v>
      </c>
    </row>
    <row r="993" spans="1:5" x14ac:dyDescent="0.15">
      <c r="A993" s="1" t="s">
        <v>14275</v>
      </c>
      <c r="B993" s="1" t="s">
        <v>14376</v>
      </c>
      <c r="C993" s="1" t="s">
        <v>14377</v>
      </c>
      <c r="D993" s="1" t="s">
        <v>14378</v>
      </c>
      <c r="E993" s="1" t="s">
        <v>14379</v>
      </c>
    </row>
    <row r="994" spans="1:5" x14ac:dyDescent="0.15">
      <c r="A994" s="1" t="s">
        <v>14275</v>
      </c>
      <c r="B994" s="1" t="s">
        <v>14380</v>
      </c>
      <c r="C994" s="1" t="s">
        <v>14381</v>
      </c>
      <c r="D994" s="1" t="s">
        <v>14382</v>
      </c>
      <c r="E994" s="1" t="s">
        <v>14383</v>
      </c>
    </row>
    <row r="995" spans="1:5" x14ac:dyDescent="0.15">
      <c r="A995" s="1" t="s">
        <v>14275</v>
      </c>
      <c r="B995" s="1" t="s">
        <v>14384</v>
      </c>
      <c r="C995" s="1" t="s">
        <v>14385</v>
      </c>
      <c r="D995" s="1" t="s">
        <v>14386</v>
      </c>
      <c r="E995" s="1" t="s">
        <v>14387</v>
      </c>
    </row>
    <row r="996" spans="1:5" x14ac:dyDescent="0.15">
      <c r="A996" s="1" t="s">
        <v>14275</v>
      </c>
      <c r="B996" s="1" t="s">
        <v>14388</v>
      </c>
      <c r="C996" s="1" t="s">
        <v>14389</v>
      </c>
      <c r="D996" s="1" t="s">
        <v>14390</v>
      </c>
      <c r="E996" s="1" t="s">
        <v>14391</v>
      </c>
    </row>
    <row r="997" spans="1:5" x14ac:dyDescent="0.15">
      <c r="A997" s="1" t="s">
        <v>14275</v>
      </c>
      <c r="B997" s="1" t="s">
        <v>14392</v>
      </c>
      <c r="C997" s="1" t="s">
        <v>14393</v>
      </c>
      <c r="D997" s="1" t="s">
        <v>14394</v>
      </c>
      <c r="E997" s="1" t="s">
        <v>14395</v>
      </c>
    </row>
    <row r="998" spans="1:5" x14ac:dyDescent="0.15">
      <c r="A998" s="1" t="s">
        <v>14275</v>
      </c>
      <c r="B998" s="1" t="s">
        <v>14396</v>
      </c>
      <c r="C998" s="1" t="s">
        <v>14397</v>
      </c>
      <c r="D998" s="1" t="s">
        <v>14398</v>
      </c>
      <c r="E998" s="1" t="s">
        <v>14399</v>
      </c>
    </row>
    <row r="999" spans="1:5" x14ac:dyDescent="0.15">
      <c r="A999" s="1" t="s">
        <v>14275</v>
      </c>
      <c r="B999" s="1" t="s">
        <v>14400</v>
      </c>
      <c r="C999" s="1" t="s">
        <v>14401</v>
      </c>
      <c r="D999" s="1" t="s">
        <v>14402</v>
      </c>
      <c r="E999" s="1" t="s">
        <v>14403</v>
      </c>
    </row>
    <row r="1000" spans="1:5" x14ac:dyDescent="0.15">
      <c r="A1000" s="1" t="s">
        <v>14275</v>
      </c>
      <c r="B1000" s="1" t="s">
        <v>14404</v>
      </c>
      <c r="C1000" s="1" t="s">
        <v>14405</v>
      </c>
      <c r="D1000" s="1" t="s">
        <v>14406</v>
      </c>
      <c r="E1000" s="1" t="s">
        <v>14407</v>
      </c>
    </row>
    <row r="1001" spans="1:5" x14ac:dyDescent="0.15">
      <c r="A1001" s="1" t="s">
        <v>14275</v>
      </c>
      <c r="B1001" s="1" t="s">
        <v>14408</v>
      </c>
      <c r="C1001" s="1" t="s">
        <v>14409</v>
      </c>
      <c r="D1001" s="1" t="s">
        <v>14410</v>
      </c>
      <c r="E1001" s="1" t="s">
        <v>14411</v>
      </c>
    </row>
    <row r="1002" spans="1:5" x14ac:dyDescent="0.15">
      <c r="A1002" s="1" t="s">
        <v>14275</v>
      </c>
      <c r="B1002" s="1" t="s">
        <v>14412</v>
      </c>
      <c r="C1002" s="1" t="s">
        <v>14413</v>
      </c>
      <c r="D1002" s="1" t="s">
        <v>14414</v>
      </c>
      <c r="E1002" s="1" t="s">
        <v>14415</v>
      </c>
    </row>
    <row r="1003" spans="1:5" x14ac:dyDescent="0.15">
      <c r="A1003" s="1" t="s">
        <v>14275</v>
      </c>
      <c r="B1003" s="1" t="s">
        <v>14416</v>
      </c>
      <c r="C1003" s="1" t="s">
        <v>14417</v>
      </c>
      <c r="D1003" s="1" t="s">
        <v>14418</v>
      </c>
      <c r="E1003" s="1" t="s">
        <v>14419</v>
      </c>
    </row>
    <row r="1004" spans="1:5" x14ac:dyDescent="0.15">
      <c r="A1004" s="1" t="s">
        <v>14275</v>
      </c>
      <c r="B1004" s="1" t="s">
        <v>14420</v>
      </c>
      <c r="C1004" s="1" t="s">
        <v>14417</v>
      </c>
      <c r="D1004" s="1" t="s">
        <v>14418</v>
      </c>
      <c r="E1004" s="1" t="s">
        <v>14421</v>
      </c>
    </row>
    <row r="1005" spans="1:5" x14ac:dyDescent="0.15">
      <c r="A1005" s="1" t="s">
        <v>14422</v>
      </c>
      <c r="B1005" s="1" t="s">
        <v>14423</v>
      </c>
      <c r="C1005" s="1" t="s">
        <v>14424</v>
      </c>
      <c r="D1005" s="1" t="s">
        <v>14425</v>
      </c>
      <c r="E1005" s="1" t="s">
        <v>14426</v>
      </c>
    </row>
    <row r="1006" spans="1:5" x14ac:dyDescent="0.15">
      <c r="A1006" s="1" t="s">
        <v>14422</v>
      </c>
      <c r="B1006" s="1" t="s">
        <v>14427</v>
      </c>
      <c r="C1006" s="1" t="s">
        <v>14428</v>
      </c>
      <c r="D1006" s="1" t="s">
        <v>14429</v>
      </c>
      <c r="E1006" s="1" t="s">
        <v>14430</v>
      </c>
    </row>
    <row r="1007" spans="1:5" x14ac:dyDescent="0.15">
      <c r="A1007" s="1" t="s">
        <v>14422</v>
      </c>
      <c r="B1007" s="1" t="s">
        <v>14431</v>
      </c>
      <c r="C1007" s="1" t="s">
        <v>14432</v>
      </c>
      <c r="D1007" s="1" t="s">
        <v>14433</v>
      </c>
      <c r="E1007" s="1" t="s">
        <v>14434</v>
      </c>
    </row>
    <row r="1008" spans="1:5" x14ac:dyDescent="0.15">
      <c r="A1008" s="1" t="s">
        <v>14422</v>
      </c>
      <c r="B1008" s="1" t="s">
        <v>14435</v>
      </c>
      <c r="C1008" s="1" t="s">
        <v>14436</v>
      </c>
      <c r="D1008" s="1" t="s">
        <v>14437</v>
      </c>
      <c r="E1008" s="1" t="s">
        <v>14438</v>
      </c>
    </row>
    <row r="1009" spans="1:5" x14ac:dyDescent="0.15">
      <c r="A1009" s="1" t="s">
        <v>14422</v>
      </c>
      <c r="B1009" s="1" t="s">
        <v>14439</v>
      </c>
      <c r="C1009" s="1" t="s">
        <v>14440</v>
      </c>
      <c r="D1009" s="1" t="s">
        <v>14441</v>
      </c>
      <c r="E1009" s="1" t="s">
        <v>14442</v>
      </c>
    </row>
    <row r="1010" spans="1:5" x14ac:dyDescent="0.15">
      <c r="A1010" s="1" t="s">
        <v>14422</v>
      </c>
      <c r="B1010" s="1" t="s">
        <v>14443</v>
      </c>
      <c r="C1010" s="1" t="s">
        <v>14444</v>
      </c>
      <c r="D1010" s="1" t="s">
        <v>14445</v>
      </c>
      <c r="E1010" s="1" t="s">
        <v>14446</v>
      </c>
    </row>
    <row r="1011" spans="1:5" x14ac:dyDescent="0.15">
      <c r="A1011" s="1" t="s">
        <v>14422</v>
      </c>
      <c r="B1011" s="1" t="s">
        <v>14447</v>
      </c>
      <c r="C1011" s="1" t="s">
        <v>14448</v>
      </c>
      <c r="D1011" s="1" t="s">
        <v>14449</v>
      </c>
      <c r="E1011" s="1" t="s">
        <v>14450</v>
      </c>
    </row>
    <row r="1012" spans="1:5" x14ac:dyDescent="0.15">
      <c r="A1012" s="1" t="s">
        <v>14422</v>
      </c>
      <c r="B1012" s="1" t="s">
        <v>14451</v>
      </c>
      <c r="C1012" s="1" t="s">
        <v>14452</v>
      </c>
      <c r="D1012" s="1" t="s">
        <v>14453</v>
      </c>
      <c r="E1012" s="1" t="s">
        <v>14454</v>
      </c>
    </row>
    <row r="1013" spans="1:5" x14ac:dyDescent="0.15">
      <c r="A1013" s="1" t="s">
        <v>14422</v>
      </c>
      <c r="B1013" s="1" t="s">
        <v>14455</v>
      </c>
      <c r="C1013" s="1" t="s">
        <v>14456</v>
      </c>
      <c r="D1013" s="1" t="s">
        <v>14457</v>
      </c>
      <c r="E1013" s="1" t="s">
        <v>14458</v>
      </c>
    </row>
    <row r="1014" spans="1:5" x14ac:dyDescent="0.15">
      <c r="A1014" s="1" t="s">
        <v>14422</v>
      </c>
      <c r="B1014" s="1" t="s">
        <v>14459</v>
      </c>
      <c r="C1014" s="1" t="s">
        <v>14460</v>
      </c>
      <c r="D1014" s="1" t="s">
        <v>14461</v>
      </c>
      <c r="E1014" s="1" t="s">
        <v>14462</v>
      </c>
    </row>
    <row r="1015" spans="1:5" x14ac:dyDescent="0.15">
      <c r="A1015" s="1" t="s">
        <v>14422</v>
      </c>
      <c r="B1015" s="1" t="s">
        <v>14463</v>
      </c>
      <c r="C1015" s="1" t="s">
        <v>14464</v>
      </c>
      <c r="D1015" s="1" t="s">
        <v>14465</v>
      </c>
      <c r="E1015" s="1" t="s">
        <v>14466</v>
      </c>
    </row>
    <row r="1016" spans="1:5" x14ac:dyDescent="0.15">
      <c r="A1016" s="1" t="s">
        <v>14422</v>
      </c>
      <c r="B1016" s="1" t="s">
        <v>14467</v>
      </c>
      <c r="C1016" s="1" t="s">
        <v>14468</v>
      </c>
      <c r="D1016" s="1" t="s">
        <v>14469</v>
      </c>
      <c r="E1016" s="1" t="s">
        <v>14470</v>
      </c>
    </row>
    <row r="1017" spans="1:5" x14ac:dyDescent="0.15">
      <c r="A1017" s="1" t="s">
        <v>14422</v>
      </c>
      <c r="B1017" s="1" t="s">
        <v>14471</v>
      </c>
      <c r="C1017" s="1" t="s">
        <v>14472</v>
      </c>
      <c r="D1017" s="1" t="s">
        <v>14473</v>
      </c>
      <c r="E1017" s="1" t="s">
        <v>14474</v>
      </c>
    </row>
    <row r="1018" spans="1:5" x14ac:dyDescent="0.15">
      <c r="A1018" s="1" t="s">
        <v>14422</v>
      </c>
      <c r="B1018" s="1" t="s">
        <v>14475</v>
      </c>
      <c r="C1018" s="1" t="s">
        <v>14476</v>
      </c>
      <c r="D1018" s="1" t="s">
        <v>14477</v>
      </c>
      <c r="E1018" s="1" t="s">
        <v>14478</v>
      </c>
    </row>
    <row r="1019" spans="1:5" x14ac:dyDescent="0.15">
      <c r="A1019" s="1" t="s">
        <v>14422</v>
      </c>
      <c r="B1019" s="1" t="s">
        <v>14479</v>
      </c>
      <c r="C1019" s="1" t="s">
        <v>14480</v>
      </c>
      <c r="D1019" s="1" t="s">
        <v>14481</v>
      </c>
      <c r="E1019" s="1" t="s">
        <v>14482</v>
      </c>
    </row>
    <row r="1020" spans="1:5" x14ac:dyDescent="0.15">
      <c r="A1020" s="1" t="s">
        <v>14422</v>
      </c>
      <c r="B1020" s="1" t="s">
        <v>14483</v>
      </c>
      <c r="C1020" s="1" t="s">
        <v>14484</v>
      </c>
      <c r="D1020" s="1" t="s">
        <v>14485</v>
      </c>
      <c r="E1020" s="1" t="s">
        <v>14486</v>
      </c>
    </row>
    <row r="1021" spans="1:5" x14ac:dyDescent="0.15">
      <c r="A1021" s="1" t="s">
        <v>14422</v>
      </c>
      <c r="B1021" s="1" t="s">
        <v>14487</v>
      </c>
      <c r="C1021" s="1" t="s">
        <v>14488</v>
      </c>
      <c r="D1021" s="1" t="s">
        <v>14489</v>
      </c>
      <c r="E1021" s="1" t="s">
        <v>14490</v>
      </c>
    </row>
    <row r="1022" spans="1:5" x14ac:dyDescent="0.15">
      <c r="A1022" s="1" t="s">
        <v>14422</v>
      </c>
      <c r="B1022" s="1" t="s">
        <v>14491</v>
      </c>
      <c r="C1022" s="1" t="s">
        <v>14492</v>
      </c>
      <c r="D1022" s="1" t="s">
        <v>14493</v>
      </c>
      <c r="E1022" s="1" t="s">
        <v>14494</v>
      </c>
    </row>
    <row r="1023" spans="1:5" x14ac:dyDescent="0.15">
      <c r="A1023" s="1" t="s">
        <v>14422</v>
      </c>
      <c r="B1023" s="1" t="s">
        <v>14495</v>
      </c>
      <c r="C1023" s="1" t="s">
        <v>14496</v>
      </c>
      <c r="D1023" s="1" t="s">
        <v>14497</v>
      </c>
      <c r="E1023" s="1" t="s">
        <v>14498</v>
      </c>
    </row>
    <row r="1024" spans="1:5" x14ac:dyDescent="0.15">
      <c r="A1024" s="1" t="s">
        <v>14422</v>
      </c>
      <c r="B1024" s="1" t="s">
        <v>14499</v>
      </c>
      <c r="C1024" s="1" t="s">
        <v>14500</v>
      </c>
      <c r="D1024" s="1" t="s">
        <v>14501</v>
      </c>
      <c r="E1024" s="1" t="s">
        <v>14502</v>
      </c>
    </row>
    <row r="1025" spans="1:5" x14ac:dyDescent="0.15">
      <c r="A1025" s="1" t="s">
        <v>14422</v>
      </c>
      <c r="B1025" s="1" t="s">
        <v>14503</v>
      </c>
      <c r="C1025" s="1" t="s">
        <v>14504</v>
      </c>
      <c r="D1025" s="1" t="s">
        <v>14505</v>
      </c>
      <c r="E1025" s="1" t="s">
        <v>14506</v>
      </c>
    </row>
    <row r="1026" spans="1:5" x14ac:dyDescent="0.15">
      <c r="A1026" s="1" t="s">
        <v>14422</v>
      </c>
      <c r="B1026" s="1" t="s">
        <v>14507</v>
      </c>
      <c r="C1026" s="1" t="s">
        <v>14508</v>
      </c>
      <c r="D1026" s="1" t="s">
        <v>14505</v>
      </c>
      <c r="E1026" s="1" t="s">
        <v>14509</v>
      </c>
    </row>
    <row r="1027" spans="1:5" x14ac:dyDescent="0.15">
      <c r="A1027" s="1" t="s">
        <v>14422</v>
      </c>
      <c r="B1027" s="1" t="s">
        <v>14510</v>
      </c>
      <c r="C1027" s="1" t="s">
        <v>14511</v>
      </c>
      <c r="D1027" s="1" t="s">
        <v>14512</v>
      </c>
      <c r="E1027" s="1" t="s">
        <v>14513</v>
      </c>
    </row>
    <row r="1028" spans="1:5" x14ac:dyDescent="0.15">
      <c r="A1028" s="1" t="s">
        <v>14422</v>
      </c>
      <c r="B1028" s="1" t="s">
        <v>14514</v>
      </c>
      <c r="C1028" s="1" t="s">
        <v>14515</v>
      </c>
      <c r="D1028" s="1" t="s">
        <v>14516</v>
      </c>
      <c r="E1028" s="1" t="s">
        <v>14517</v>
      </c>
    </row>
    <row r="1029" spans="1:5" x14ac:dyDescent="0.15">
      <c r="A1029" s="1" t="s">
        <v>14422</v>
      </c>
      <c r="B1029" s="1" t="s">
        <v>14518</v>
      </c>
      <c r="C1029" s="1" t="s">
        <v>14519</v>
      </c>
      <c r="D1029" s="1" t="s">
        <v>14520</v>
      </c>
      <c r="E1029" s="1" t="s">
        <v>14521</v>
      </c>
    </row>
    <row r="1030" spans="1:5" x14ac:dyDescent="0.15">
      <c r="A1030" s="1" t="s">
        <v>14422</v>
      </c>
      <c r="B1030" s="1" t="s">
        <v>14522</v>
      </c>
      <c r="C1030" s="1" t="s">
        <v>14523</v>
      </c>
      <c r="D1030" s="1" t="s">
        <v>14524</v>
      </c>
      <c r="E1030" s="1" t="s">
        <v>14525</v>
      </c>
    </row>
    <row r="1031" spans="1:5" x14ac:dyDescent="0.15">
      <c r="A1031" s="1" t="s">
        <v>14422</v>
      </c>
      <c r="B1031" s="1" t="s">
        <v>14526</v>
      </c>
      <c r="C1031" s="1" t="s">
        <v>14527</v>
      </c>
      <c r="D1031" s="1" t="s">
        <v>14528</v>
      </c>
      <c r="E1031" s="1" t="s">
        <v>14529</v>
      </c>
    </row>
    <row r="1032" spans="1:5" x14ac:dyDescent="0.15">
      <c r="A1032" s="1" t="s">
        <v>14422</v>
      </c>
      <c r="B1032" s="1" t="s">
        <v>14530</v>
      </c>
      <c r="C1032" s="1" t="s">
        <v>14531</v>
      </c>
      <c r="D1032" s="1" t="s">
        <v>14532</v>
      </c>
      <c r="E1032" s="1" t="s">
        <v>14533</v>
      </c>
    </row>
    <row r="1033" spans="1:5" x14ac:dyDescent="0.15">
      <c r="A1033" s="1" t="s">
        <v>14422</v>
      </c>
      <c r="B1033" s="1" t="s">
        <v>14534</v>
      </c>
      <c r="C1033" s="1" t="s">
        <v>14535</v>
      </c>
      <c r="D1033" s="1" t="s">
        <v>14536</v>
      </c>
      <c r="E1033" s="1" t="s">
        <v>14537</v>
      </c>
    </row>
    <row r="1034" spans="1:5" x14ac:dyDescent="0.15">
      <c r="A1034" s="1" t="s">
        <v>14422</v>
      </c>
      <c r="B1034" s="1" t="s">
        <v>14538</v>
      </c>
      <c r="C1034" s="1" t="s">
        <v>14539</v>
      </c>
      <c r="D1034" s="1" t="s">
        <v>14540</v>
      </c>
      <c r="E1034" s="1" t="s">
        <v>14541</v>
      </c>
    </row>
    <row r="1035" spans="1:5" x14ac:dyDescent="0.15">
      <c r="A1035" s="1" t="s">
        <v>14422</v>
      </c>
      <c r="B1035" s="1" t="s">
        <v>14542</v>
      </c>
      <c r="C1035" s="1" t="s">
        <v>14543</v>
      </c>
      <c r="D1035" s="1" t="s">
        <v>14544</v>
      </c>
      <c r="E1035" s="1" t="s">
        <v>14545</v>
      </c>
    </row>
    <row r="1036" spans="1:5" x14ac:dyDescent="0.15">
      <c r="A1036" s="1" t="s">
        <v>14422</v>
      </c>
      <c r="B1036" s="1" t="s">
        <v>14546</v>
      </c>
      <c r="C1036" s="1" t="s">
        <v>14547</v>
      </c>
      <c r="D1036" s="1" t="s">
        <v>14548</v>
      </c>
      <c r="E1036" s="1" t="s">
        <v>14549</v>
      </c>
    </row>
    <row r="1037" spans="1:5" x14ac:dyDescent="0.15">
      <c r="A1037" s="1" t="s">
        <v>14422</v>
      </c>
      <c r="B1037" s="1" t="s">
        <v>14550</v>
      </c>
      <c r="C1037" s="1" t="s">
        <v>14551</v>
      </c>
      <c r="D1037" s="1" t="s">
        <v>14552</v>
      </c>
      <c r="E1037" s="1" t="s">
        <v>14553</v>
      </c>
    </row>
    <row r="1038" spans="1:5" x14ac:dyDescent="0.15">
      <c r="A1038" s="1" t="s">
        <v>14422</v>
      </c>
      <c r="B1038" s="1" t="s">
        <v>14554</v>
      </c>
      <c r="C1038" s="1" t="s">
        <v>14551</v>
      </c>
      <c r="D1038" s="1" t="s">
        <v>14552</v>
      </c>
      <c r="E1038" s="1" t="s">
        <v>14555</v>
      </c>
    </row>
    <row r="1039" spans="1:5" x14ac:dyDescent="0.15">
      <c r="A1039" s="1" t="s">
        <v>14556</v>
      </c>
      <c r="B1039" s="1" t="s">
        <v>14557</v>
      </c>
      <c r="C1039" s="1" t="s">
        <v>14558</v>
      </c>
      <c r="D1039" s="1" t="s">
        <v>14559</v>
      </c>
      <c r="E1039" s="1" t="s">
        <v>14560</v>
      </c>
    </row>
    <row r="1040" spans="1:5" x14ac:dyDescent="0.15">
      <c r="A1040" s="1" t="s">
        <v>14556</v>
      </c>
      <c r="B1040" s="1" t="s">
        <v>14561</v>
      </c>
      <c r="C1040" s="1" t="s">
        <v>14562</v>
      </c>
      <c r="D1040" s="1" t="s">
        <v>14563</v>
      </c>
      <c r="E1040" s="1" t="s">
        <v>14564</v>
      </c>
    </row>
    <row r="1041" spans="1:5" x14ac:dyDescent="0.15">
      <c r="A1041" s="1" t="s">
        <v>14556</v>
      </c>
      <c r="B1041" s="1" t="s">
        <v>14565</v>
      </c>
      <c r="C1041" s="1" t="s">
        <v>14566</v>
      </c>
      <c r="D1041" s="1" t="s">
        <v>14567</v>
      </c>
      <c r="E1041" s="1" t="s">
        <v>14568</v>
      </c>
    </row>
    <row r="1042" spans="1:5" x14ac:dyDescent="0.15">
      <c r="A1042" s="1" t="s">
        <v>14556</v>
      </c>
      <c r="B1042" s="1" t="s">
        <v>14569</v>
      </c>
      <c r="C1042" s="1" t="s">
        <v>14570</v>
      </c>
      <c r="D1042" s="1" t="s">
        <v>14571</v>
      </c>
      <c r="E1042" s="1" t="s">
        <v>14572</v>
      </c>
    </row>
    <row r="1043" spans="1:5" x14ac:dyDescent="0.15">
      <c r="A1043" s="1" t="s">
        <v>14556</v>
      </c>
      <c r="B1043" s="1" t="s">
        <v>14573</v>
      </c>
      <c r="C1043" s="1" t="s">
        <v>14574</v>
      </c>
      <c r="D1043" s="1" t="s">
        <v>13915</v>
      </c>
      <c r="E1043" s="1" t="s">
        <v>13916</v>
      </c>
    </row>
    <row r="1044" spans="1:5" x14ac:dyDescent="0.15">
      <c r="A1044" s="1" t="s">
        <v>14556</v>
      </c>
      <c r="B1044" s="1" t="s">
        <v>13917</v>
      </c>
      <c r="C1044" s="1" t="s">
        <v>13918</v>
      </c>
      <c r="D1044" s="1" t="s">
        <v>13919</v>
      </c>
      <c r="E1044" s="1" t="s">
        <v>13920</v>
      </c>
    </row>
    <row r="1045" spans="1:5" x14ac:dyDescent="0.15">
      <c r="A1045" s="1" t="s">
        <v>14556</v>
      </c>
      <c r="B1045" s="1" t="s">
        <v>13921</v>
      </c>
      <c r="C1045" s="1" t="s">
        <v>13922</v>
      </c>
      <c r="D1045" s="1" t="s">
        <v>13923</v>
      </c>
      <c r="E1045" s="1" t="s">
        <v>13924</v>
      </c>
    </row>
    <row r="1046" spans="1:5" x14ac:dyDescent="0.15">
      <c r="A1046" s="1" t="s">
        <v>14556</v>
      </c>
      <c r="B1046" s="1" t="s">
        <v>13925</v>
      </c>
      <c r="C1046" s="1" t="s">
        <v>13926</v>
      </c>
      <c r="D1046" s="1" t="s">
        <v>13927</v>
      </c>
      <c r="E1046" s="1" t="s">
        <v>13928</v>
      </c>
    </row>
    <row r="1047" spans="1:5" x14ac:dyDescent="0.15">
      <c r="A1047" s="1" t="s">
        <v>14556</v>
      </c>
      <c r="B1047" s="1" t="s">
        <v>13929</v>
      </c>
      <c r="C1047" s="1" t="s">
        <v>13930</v>
      </c>
      <c r="D1047" s="1" t="s">
        <v>13931</v>
      </c>
      <c r="E1047" s="1" t="s">
        <v>13932</v>
      </c>
    </row>
    <row r="1048" spans="1:5" x14ac:dyDescent="0.15">
      <c r="A1048" s="1" t="s">
        <v>14556</v>
      </c>
      <c r="B1048" s="1" t="s">
        <v>13933</v>
      </c>
      <c r="C1048" s="1" t="s">
        <v>13934</v>
      </c>
      <c r="D1048" s="1" t="s">
        <v>13935</v>
      </c>
      <c r="E1048" s="1" t="s">
        <v>13936</v>
      </c>
    </row>
    <row r="1049" spans="1:5" x14ac:dyDescent="0.15">
      <c r="A1049" s="1" t="s">
        <v>14556</v>
      </c>
      <c r="B1049" s="1" t="s">
        <v>13937</v>
      </c>
      <c r="C1049" s="1" t="s">
        <v>13938</v>
      </c>
      <c r="D1049" s="1" t="s">
        <v>13939</v>
      </c>
      <c r="E1049" s="1" t="s">
        <v>13940</v>
      </c>
    </row>
    <row r="1050" spans="1:5" x14ac:dyDescent="0.15">
      <c r="A1050" s="1" t="s">
        <v>14556</v>
      </c>
      <c r="B1050" s="1" t="s">
        <v>13941</v>
      </c>
      <c r="C1050" s="1" t="s">
        <v>13942</v>
      </c>
      <c r="D1050" s="1" t="s">
        <v>13943</v>
      </c>
      <c r="E1050" s="1" t="s">
        <v>13944</v>
      </c>
    </row>
    <row r="1051" spans="1:5" x14ac:dyDescent="0.15">
      <c r="A1051" s="1" t="s">
        <v>14556</v>
      </c>
      <c r="B1051" s="1" t="s">
        <v>13945</v>
      </c>
      <c r="C1051" s="1" t="s">
        <v>13946</v>
      </c>
      <c r="D1051" s="1" t="s">
        <v>13947</v>
      </c>
      <c r="E1051" s="1" t="s">
        <v>13948</v>
      </c>
    </row>
    <row r="1052" spans="1:5" x14ac:dyDescent="0.15">
      <c r="A1052" s="1" t="s">
        <v>14556</v>
      </c>
      <c r="B1052" s="1" t="s">
        <v>13949</v>
      </c>
      <c r="C1052" s="1" t="s">
        <v>13950</v>
      </c>
      <c r="D1052" s="1" t="s">
        <v>13951</v>
      </c>
      <c r="E1052" s="1" t="s">
        <v>13952</v>
      </c>
    </row>
    <row r="1053" spans="1:5" x14ac:dyDescent="0.15">
      <c r="A1053" s="1" t="s">
        <v>14556</v>
      </c>
      <c r="B1053" s="1" t="s">
        <v>13953</v>
      </c>
      <c r="C1053" s="1" t="s">
        <v>13954</v>
      </c>
      <c r="D1053" s="1" t="s">
        <v>13955</v>
      </c>
      <c r="E1053" s="1" t="s">
        <v>13956</v>
      </c>
    </row>
    <row r="1054" spans="1:5" x14ac:dyDescent="0.15">
      <c r="A1054" s="1" t="s">
        <v>14556</v>
      </c>
      <c r="B1054" s="1" t="s">
        <v>13957</v>
      </c>
      <c r="C1054" s="1" t="s">
        <v>13958</v>
      </c>
      <c r="D1054" s="1" t="s">
        <v>13959</v>
      </c>
      <c r="E1054" s="1" t="s">
        <v>13960</v>
      </c>
    </row>
    <row r="1055" spans="1:5" x14ac:dyDescent="0.15">
      <c r="A1055" s="1" t="s">
        <v>14556</v>
      </c>
      <c r="B1055" s="1" t="s">
        <v>13961</v>
      </c>
      <c r="C1055" s="1" t="s">
        <v>13962</v>
      </c>
      <c r="D1055" s="1" t="s">
        <v>13963</v>
      </c>
      <c r="E1055" s="1" t="s">
        <v>13964</v>
      </c>
    </row>
    <row r="1056" spans="1:5" x14ac:dyDescent="0.15">
      <c r="A1056" s="1" t="s">
        <v>14556</v>
      </c>
      <c r="B1056" s="1" t="s">
        <v>13965</v>
      </c>
      <c r="C1056" s="1" t="s">
        <v>13966</v>
      </c>
      <c r="D1056" s="1" t="s">
        <v>13967</v>
      </c>
      <c r="E1056" s="1" t="s">
        <v>13968</v>
      </c>
    </row>
    <row r="1057" spans="1:5" x14ac:dyDescent="0.15">
      <c r="A1057" s="1" t="s">
        <v>14556</v>
      </c>
      <c r="B1057" s="1" t="s">
        <v>13969</v>
      </c>
      <c r="C1057" s="1" t="s">
        <v>13970</v>
      </c>
      <c r="D1057" s="1" t="s">
        <v>13971</v>
      </c>
      <c r="E1057" s="1" t="s">
        <v>13972</v>
      </c>
    </row>
    <row r="1058" spans="1:5" x14ac:dyDescent="0.15">
      <c r="A1058" s="1" t="s">
        <v>14556</v>
      </c>
      <c r="B1058" s="1" t="s">
        <v>13973</v>
      </c>
      <c r="C1058" s="1" t="s">
        <v>13974</v>
      </c>
      <c r="D1058" s="1" t="s">
        <v>13975</v>
      </c>
      <c r="E1058" s="1" t="s">
        <v>13976</v>
      </c>
    </row>
    <row r="1059" spans="1:5" x14ac:dyDescent="0.15">
      <c r="A1059" s="1" t="s">
        <v>14556</v>
      </c>
      <c r="B1059" s="1" t="s">
        <v>13977</v>
      </c>
      <c r="C1059" s="1" t="s">
        <v>13974</v>
      </c>
      <c r="D1059" s="1" t="s">
        <v>13978</v>
      </c>
      <c r="E1059" s="1" t="s">
        <v>13979</v>
      </c>
    </row>
    <row r="1060" spans="1:5" x14ac:dyDescent="0.15">
      <c r="A1060" s="1" t="s">
        <v>13980</v>
      </c>
      <c r="B1060" s="1" t="s">
        <v>13981</v>
      </c>
      <c r="C1060" s="1" t="s">
        <v>13982</v>
      </c>
      <c r="D1060" s="1" t="s">
        <v>13983</v>
      </c>
      <c r="E1060" s="1" t="s">
        <v>13984</v>
      </c>
    </row>
    <row r="1061" spans="1:5" x14ac:dyDescent="0.15">
      <c r="A1061" s="1" t="s">
        <v>13980</v>
      </c>
      <c r="B1061" s="1" t="s">
        <v>13985</v>
      </c>
      <c r="C1061" s="1" t="s">
        <v>13986</v>
      </c>
      <c r="D1061" s="1" t="s">
        <v>13987</v>
      </c>
      <c r="E1061" s="1" t="s">
        <v>13988</v>
      </c>
    </row>
    <row r="1062" spans="1:5" x14ac:dyDescent="0.15">
      <c r="A1062" s="1" t="s">
        <v>13980</v>
      </c>
      <c r="B1062" s="1" t="s">
        <v>13989</v>
      </c>
      <c r="C1062" s="1" t="s">
        <v>13986</v>
      </c>
      <c r="D1062" s="1" t="s">
        <v>13990</v>
      </c>
      <c r="E1062" s="1" t="s">
        <v>13991</v>
      </c>
    </row>
    <row r="1063" spans="1:5" x14ac:dyDescent="0.15">
      <c r="A1063" s="1" t="s">
        <v>13980</v>
      </c>
      <c r="B1063" s="1" t="s">
        <v>13992</v>
      </c>
      <c r="C1063" s="1" t="s">
        <v>13993</v>
      </c>
      <c r="D1063" s="1" t="s">
        <v>13994</v>
      </c>
      <c r="E1063" s="1" t="s">
        <v>13995</v>
      </c>
    </row>
    <row r="1064" spans="1:5" x14ac:dyDescent="0.15">
      <c r="A1064" s="1" t="s">
        <v>13980</v>
      </c>
      <c r="B1064" s="1" t="s">
        <v>13996</v>
      </c>
      <c r="C1064" s="1" t="s">
        <v>13993</v>
      </c>
      <c r="D1064" s="1" t="s">
        <v>13997</v>
      </c>
      <c r="E1064" s="1" t="s">
        <v>13998</v>
      </c>
    </row>
    <row r="1065" spans="1:5" x14ac:dyDescent="0.15">
      <c r="A1065" s="1" t="s">
        <v>13980</v>
      </c>
      <c r="B1065" s="1" t="s">
        <v>13999</v>
      </c>
      <c r="C1065" s="1" t="s">
        <v>14000</v>
      </c>
      <c r="D1065" s="1" t="s">
        <v>14001</v>
      </c>
      <c r="E1065" s="1" t="s">
        <v>14002</v>
      </c>
    </row>
    <row r="1066" spans="1:5" x14ac:dyDescent="0.15">
      <c r="A1066" s="1" t="s">
        <v>13980</v>
      </c>
      <c r="B1066" s="1" t="s">
        <v>14003</v>
      </c>
      <c r="C1066" s="1" t="s">
        <v>14000</v>
      </c>
      <c r="D1066" s="1" t="s">
        <v>14004</v>
      </c>
      <c r="E1066" s="1" t="s">
        <v>14005</v>
      </c>
    </row>
    <row r="1067" spans="1:5" x14ac:dyDescent="0.15">
      <c r="A1067" s="1" t="s">
        <v>13980</v>
      </c>
      <c r="B1067" s="1" t="s">
        <v>14006</v>
      </c>
      <c r="C1067" s="1" t="s">
        <v>14007</v>
      </c>
      <c r="D1067" s="1" t="s">
        <v>14008</v>
      </c>
      <c r="E1067" s="1" t="s">
        <v>14009</v>
      </c>
    </row>
    <row r="1068" spans="1:5" x14ac:dyDescent="0.15">
      <c r="A1068" s="1" t="s">
        <v>13980</v>
      </c>
      <c r="B1068" s="1" t="s">
        <v>14010</v>
      </c>
      <c r="C1068" s="1" t="s">
        <v>14011</v>
      </c>
      <c r="D1068" s="1" t="s">
        <v>14012</v>
      </c>
      <c r="E1068" s="1" t="s">
        <v>14013</v>
      </c>
    </row>
    <row r="1069" spans="1:5" x14ac:dyDescent="0.15">
      <c r="A1069" s="1" t="s">
        <v>13980</v>
      </c>
      <c r="B1069" s="1" t="s">
        <v>14014</v>
      </c>
      <c r="C1069" s="1" t="s">
        <v>14015</v>
      </c>
      <c r="D1069" s="1" t="s">
        <v>14016</v>
      </c>
      <c r="E1069" s="1" t="s">
        <v>14017</v>
      </c>
    </row>
    <row r="1070" spans="1:5" x14ac:dyDescent="0.15">
      <c r="A1070" s="1" t="s">
        <v>13980</v>
      </c>
      <c r="B1070" s="1" t="s">
        <v>14018</v>
      </c>
      <c r="C1070" s="1" t="s">
        <v>14019</v>
      </c>
      <c r="D1070" s="1" t="s">
        <v>14020</v>
      </c>
      <c r="E1070" s="1" t="s">
        <v>14021</v>
      </c>
    </row>
    <row r="1071" spans="1:5" x14ac:dyDescent="0.15">
      <c r="A1071" s="1" t="s">
        <v>13980</v>
      </c>
      <c r="B1071" s="1" t="s">
        <v>14022</v>
      </c>
      <c r="C1071" s="1" t="s">
        <v>14023</v>
      </c>
      <c r="D1071" s="1" t="s">
        <v>14024</v>
      </c>
      <c r="E1071" s="1" t="s">
        <v>14025</v>
      </c>
    </row>
    <row r="1072" spans="1:5" x14ac:dyDescent="0.15">
      <c r="A1072" s="1" t="s">
        <v>13980</v>
      </c>
      <c r="B1072" s="1" t="s">
        <v>14026</v>
      </c>
      <c r="C1072" s="1" t="s">
        <v>14027</v>
      </c>
      <c r="D1072" s="1" t="s">
        <v>14028</v>
      </c>
      <c r="E1072" s="1" t="s">
        <v>14029</v>
      </c>
    </row>
    <row r="1073" spans="1:5" x14ac:dyDescent="0.15">
      <c r="A1073" s="1" t="s">
        <v>13980</v>
      </c>
      <c r="B1073" s="1" t="s">
        <v>14030</v>
      </c>
      <c r="C1073" s="1" t="s">
        <v>14031</v>
      </c>
      <c r="D1073" s="1" t="s">
        <v>14032</v>
      </c>
      <c r="E1073" s="1" t="s">
        <v>14033</v>
      </c>
    </row>
    <row r="1074" spans="1:5" x14ac:dyDescent="0.15">
      <c r="A1074" s="1" t="s">
        <v>13980</v>
      </c>
      <c r="B1074" s="1" t="s">
        <v>14034</v>
      </c>
      <c r="C1074" s="1" t="s">
        <v>14035</v>
      </c>
      <c r="D1074" s="1" t="s">
        <v>14036</v>
      </c>
      <c r="E1074" s="1" t="s">
        <v>14037</v>
      </c>
    </row>
    <row r="1075" spans="1:5" x14ac:dyDescent="0.15">
      <c r="A1075" s="1" t="s">
        <v>13980</v>
      </c>
      <c r="B1075" s="1" t="s">
        <v>14038</v>
      </c>
      <c r="C1075" s="1" t="s">
        <v>14039</v>
      </c>
      <c r="D1075" s="1" t="s">
        <v>14040</v>
      </c>
      <c r="E1075" s="1" t="s">
        <v>14041</v>
      </c>
    </row>
    <row r="1076" spans="1:5" x14ac:dyDescent="0.15">
      <c r="A1076" s="1" t="s">
        <v>13980</v>
      </c>
      <c r="B1076" s="1" t="s">
        <v>14042</v>
      </c>
      <c r="C1076" s="1" t="s">
        <v>14043</v>
      </c>
      <c r="D1076" s="1" t="s">
        <v>14044</v>
      </c>
      <c r="E1076" s="1" t="s">
        <v>14045</v>
      </c>
    </row>
    <row r="1077" spans="1:5" x14ac:dyDescent="0.15">
      <c r="A1077" s="1" t="s">
        <v>13980</v>
      </c>
      <c r="B1077" s="1" t="s">
        <v>14046</v>
      </c>
      <c r="C1077" s="1" t="s">
        <v>14047</v>
      </c>
      <c r="D1077" s="1" t="s">
        <v>14048</v>
      </c>
      <c r="E1077" s="1" t="s">
        <v>14049</v>
      </c>
    </row>
    <row r="1078" spans="1:5" x14ac:dyDescent="0.15">
      <c r="A1078" s="1" t="s">
        <v>13980</v>
      </c>
      <c r="B1078" s="1" t="s">
        <v>14050</v>
      </c>
      <c r="C1078" s="1" t="s">
        <v>14051</v>
      </c>
      <c r="D1078" s="1" t="s">
        <v>14052</v>
      </c>
      <c r="E1078" s="1" t="s">
        <v>14053</v>
      </c>
    </row>
    <row r="1079" spans="1:5" x14ac:dyDescent="0.15">
      <c r="A1079" s="1" t="s">
        <v>13980</v>
      </c>
      <c r="B1079" s="1" t="s">
        <v>14054</v>
      </c>
      <c r="C1079" s="1" t="s">
        <v>14055</v>
      </c>
      <c r="D1079" s="1" t="s">
        <v>14056</v>
      </c>
      <c r="E1079" s="1" t="s">
        <v>14057</v>
      </c>
    </row>
    <row r="1080" spans="1:5" x14ac:dyDescent="0.15">
      <c r="A1080" s="1" t="s">
        <v>13980</v>
      </c>
      <c r="B1080" s="1" t="s">
        <v>14058</v>
      </c>
      <c r="C1080" s="1" t="s">
        <v>14059</v>
      </c>
      <c r="D1080" s="1" t="s">
        <v>14060</v>
      </c>
      <c r="E1080" s="1" t="s">
        <v>14061</v>
      </c>
    </row>
    <row r="1081" spans="1:5" x14ac:dyDescent="0.15">
      <c r="A1081" s="1" t="s">
        <v>13980</v>
      </c>
      <c r="B1081" s="1" t="s">
        <v>14062</v>
      </c>
      <c r="C1081" s="1" t="s">
        <v>14063</v>
      </c>
      <c r="D1081" s="1" t="s">
        <v>14064</v>
      </c>
      <c r="E1081" s="1" t="s">
        <v>14065</v>
      </c>
    </row>
    <row r="1082" spans="1:5" x14ac:dyDescent="0.15">
      <c r="A1082" s="1" t="s">
        <v>13980</v>
      </c>
      <c r="B1082" s="1" t="s">
        <v>14066</v>
      </c>
      <c r="C1082" s="1" t="s">
        <v>14067</v>
      </c>
      <c r="D1082" s="1" t="s">
        <v>14068</v>
      </c>
      <c r="E1082" s="1" t="s">
        <v>14069</v>
      </c>
    </row>
    <row r="1083" spans="1:5" x14ac:dyDescent="0.15">
      <c r="A1083" s="1" t="s">
        <v>13980</v>
      </c>
      <c r="B1083" s="1" t="s">
        <v>14070</v>
      </c>
      <c r="C1083" s="1" t="s">
        <v>14071</v>
      </c>
      <c r="D1083" s="1" t="s">
        <v>14072</v>
      </c>
      <c r="E1083" s="1" t="s">
        <v>14073</v>
      </c>
    </row>
    <row r="1084" spans="1:5" x14ac:dyDescent="0.15">
      <c r="A1084" s="1" t="s">
        <v>13980</v>
      </c>
      <c r="B1084" s="1" t="s">
        <v>14074</v>
      </c>
      <c r="C1084" s="1" t="s">
        <v>14075</v>
      </c>
      <c r="D1084" s="1" t="s">
        <v>14076</v>
      </c>
      <c r="E1084" s="1" t="s">
        <v>14077</v>
      </c>
    </row>
    <row r="1085" spans="1:5" x14ac:dyDescent="0.15">
      <c r="A1085" s="1" t="s">
        <v>13980</v>
      </c>
      <c r="B1085" s="1" t="s">
        <v>14078</v>
      </c>
      <c r="C1085" s="1" t="s">
        <v>14079</v>
      </c>
      <c r="D1085" s="1" t="s">
        <v>14080</v>
      </c>
      <c r="E1085" s="1" t="s">
        <v>14081</v>
      </c>
    </row>
    <row r="1086" spans="1:5" x14ac:dyDescent="0.15">
      <c r="A1086" s="1" t="s">
        <v>13980</v>
      </c>
      <c r="B1086" s="1" t="s">
        <v>14082</v>
      </c>
      <c r="C1086" s="1" t="s">
        <v>14083</v>
      </c>
      <c r="D1086" s="1" t="s">
        <v>14084</v>
      </c>
      <c r="E1086" s="1" t="s">
        <v>14085</v>
      </c>
    </row>
    <row r="1087" spans="1:5" x14ac:dyDescent="0.15">
      <c r="A1087" s="1" t="s">
        <v>13980</v>
      </c>
      <c r="B1087" s="1" t="s">
        <v>14086</v>
      </c>
      <c r="C1087" s="1" t="s">
        <v>14087</v>
      </c>
      <c r="D1087" s="1" t="s">
        <v>14088</v>
      </c>
      <c r="E1087" s="1" t="s">
        <v>14089</v>
      </c>
    </row>
    <row r="1088" spans="1:5" x14ac:dyDescent="0.15">
      <c r="A1088" s="1" t="s">
        <v>13980</v>
      </c>
      <c r="B1088" s="1" t="s">
        <v>14090</v>
      </c>
      <c r="C1088" s="1" t="s">
        <v>14091</v>
      </c>
      <c r="D1088" s="1" t="s">
        <v>14092</v>
      </c>
      <c r="E1088" s="1" t="s">
        <v>14093</v>
      </c>
    </row>
    <row r="1089" spans="1:5" x14ac:dyDescent="0.15">
      <c r="A1089" s="1" t="s">
        <v>13980</v>
      </c>
      <c r="B1089" s="1" t="s">
        <v>14094</v>
      </c>
      <c r="C1089" s="1" t="s">
        <v>14095</v>
      </c>
      <c r="D1089" s="1" t="s">
        <v>14096</v>
      </c>
      <c r="E1089" s="1" t="s">
        <v>14097</v>
      </c>
    </row>
    <row r="1090" spans="1:5" x14ac:dyDescent="0.15">
      <c r="A1090" s="1" t="s">
        <v>13980</v>
      </c>
      <c r="B1090" s="1" t="s">
        <v>14098</v>
      </c>
      <c r="C1090" s="1" t="s">
        <v>14099</v>
      </c>
      <c r="D1090" s="1" t="s">
        <v>14100</v>
      </c>
      <c r="E1090" s="1" t="s">
        <v>14101</v>
      </c>
    </row>
    <row r="1091" spans="1:5" x14ac:dyDescent="0.15">
      <c r="A1091" s="1" t="s">
        <v>13980</v>
      </c>
      <c r="B1091" s="1" t="s">
        <v>14102</v>
      </c>
      <c r="C1091" s="1" t="s">
        <v>14103</v>
      </c>
      <c r="D1091" s="1" t="s">
        <v>14104</v>
      </c>
      <c r="E1091" s="1" t="s">
        <v>14105</v>
      </c>
    </row>
    <row r="1092" spans="1:5" x14ac:dyDescent="0.15">
      <c r="A1092" s="1" t="s">
        <v>13980</v>
      </c>
      <c r="B1092" s="1" t="s">
        <v>14106</v>
      </c>
      <c r="C1092" s="1" t="s">
        <v>14107</v>
      </c>
      <c r="D1092" s="1" t="s">
        <v>14108</v>
      </c>
      <c r="E1092" s="1" t="s">
        <v>14109</v>
      </c>
    </row>
    <row r="1093" spans="1:5" x14ac:dyDescent="0.15">
      <c r="A1093" s="1" t="s">
        <v>13980</v>
      </c>
      <c r="B1093" s="1" t="s">
        <v>14110</v>
      </c>
      <c r="C1093" s="1" t="s">
        <v>14111</v>
      </c>
      <c r="D1093" s="1" t="s">
        <v>14112</v>
      </c>
      <c r="E1093" s="1" t="s">
        <v>14113</v>
      </c>
    </row>
    <row r="1094" spans="1:5" x14ac:dyDescent="0.15">
      <c r="A1094" s="1" t="s">
        <v>13980</v>
      </c>
      <c r="B1094" s="1" t="s">
        <v>14114</v>
      </c>
      <c r="C1094" s="1" t="s">
        <v>14115</v>
      </c>
      <c r="D1094" s="1" t="s">
        <v>14116</v>
      </c>
      <c r="E1094" s="1" t="s">
        <v>14117</v>
      </c>
    </row>
    <row r="1095" spans="1:5" x14ac:dyDescent="0.15">
      <c r="A1095" s="1" t="s">
        <v>13980</v>
      </c>
      <c r="B1095" s="1" t="s">
        <v>14118</v>
      </c>
      <c r="C1095" s="1" t="s">
        <v>14119</v>
      </c>
      <c r="D1095" s="1" t="s">
        <v>14120</v>
      </c>
      <c r="E1095" s="1" t="s">
        <v>14121</v>
      </c>
    </row>
    <row r="1096" spans="1:5" x14ac:dyDescent="0.15">
      <c r="A1096" s="1" t="s">
        <v>13980</v>
      </c>
      <c r="B1096" s="1" t="s">
        <v>14122</v>
      </c>
      <c r="C1096" s="1" t="s">
        <v>14123</v>
      </c>
      <c r="D1096" s="1" t="s">
        <v>14124</v>
      </c>
      <c r="E1096" s="1" t="s">
        <v>14125</v>
      </c>
    </row>
    <row r="1097" spans="1:5" x14ac:dyDescent="0.15">
      <c r="A1097" s="1" t="s">
        <v>13980</v>
      </c>
      <c r="B1097" s="1" t="s">
        <v>14126</v>
      </c>
      <c r="C1097" s="1" t="s">
        <v>14127</v>
      </c>
      <c r="D1097" s="1" t="s">
        <v>14128</v>
      </c>
      <c r="E1097" s="1" t="s">
        <v>14129</v>
      </c>
    </row>
    <row r="1098" spans="1:5" x14ac:dyDescent="0.15">
      <c r="A1098" s="1" t="s">
        <v>13980</v>
      </c>
      <c r="B1098" s="1" t="s">
        <v>14130</v>
      </c>
      <c r="C1098" s="1" t="s">
        <v>14131</v>
      </c>
      <c r="D1098" s="1" t="s">
        <v>14132</v>
      </c>
      <c r="E1098" s="1" t="s">
        <v>14133</v>
      </c>
    </row>
    <row r="1099" spans="1:5" x14ac:dyDescent="0.15">
      <c r="A1099" s="1" t="s">
        <v>13980</v>
      </c>
      <c r="B1099" s="1" t="s">
        <v>14134</v>
      </c>
      <c r="C1099" s="1" t="s">
        <v>14135</v>
      </c>
      <c r="D1099" s="1" t="s">
        <v>14136</v>
      </c>
      <c r="E1099" s="1" t="s">
        <v>14137</v>
      </c>
    </row>
    <row r="1100" spans="1:5" x14ac:dyDescent="0.15">
      <c r="A1100" s="1" t="s">
        <v>13980</v>
      </c>
      <c r="B1100" s="1" t="s">
        <v>14138</v>
      </c>
      <c r="C1100" s="1" t="s">
        <v>14139</v>
      </c>
      <c r="D1100" s="1" t="s">
        <v>14140</v>
      </c>
      <c r="E1100" s="1" t="s">
        <v>14141</v>
      </c>
    </row>
    <row r="1101" spans="1:5" x14ac:dyDescent="0.15">
      <c r="A1101" s="1" t="s">
        <v>13980</v>
      </c>
      <c r="B1101" s="1" t="s">
        <v>14142</v>
      </c>
      <c r="C1101" s="1" t="s">
        <v>15511</v>
      </c>
      <c r="D1101" s="1" t="s">
        <v>14143</v>
      </c>
      <c r="E1101" s="1" t="s">
        <v>14144</v>
      </c>
    </row>
    <row r="1102" spans="1:5" x14ac:dyDescent="0.15">
      <c r="A1102" s="1" t="s">
        <v>13980</v>
      </c>
      <c r="B1102" s="1" t="s">
        <v>14145</v>
      </c>
      <c r="C1102" s="1" t="s">
        <v>14146</v>
      </c>
      <c r="D1102" s="1" t="s">
        <v>14147</v>
      </c>
      <c r="E1102" s="1" t="s">
        <v>14148</v>
      </c>
    </row>
    <row r="1103" spans="1:5" x14ac:dyDescent="0.15">
      <c r="A1103" s="1" t="s">
        <v>13980</v>
      </c>
      <c r="B1103" s="1" t="s">
        <v>14149</v>
      </c>
      <c r="C1103" s="1" t="s">
        <v>14150</v>
      </c>
      <c r="D1103" s="1" t="s">
        <v>14151</v>
      </c>
      <c r="E1103" s="1" t="s">
        <v>14152</v>
      </c>
    </row>
    <row r="1104" spans="1:5" x14ac:dyDescent="0.15">
      <c r="A1104" s="1" t="s">
        <v>13980</v>
      </c>
      <c r="B1104" s="1" t="s">
        <v>14153</v>
      </c>
      <c r="C1104" s="1" t="s">
        <v>14154</v>
      </c>
      <c r="D1104" s="1" t="s">
        <v>14155</v>
      </c>
      <c r="E1104" s="1" t="s">
        <v>14156</v>
      </c>
    </row>
    <row r="1105" spans="1:5" x14ac:dyDescent="0.15">
      <c r="A1105" s="1" t="s">
        <v>13980</v>
      </c>
      <c r="B1105" s="1" t="s">
        <v>14157</v>
      </c>
      <c r="C1105" s="1" t="s">
        <v>14158</v>
      </c>
      <c r="D1105" s="1" t="s">
        <v>14159</v>
      </c>
      <c r="E1105" s="1" t="s">
        <v>14160</v>
      </c>
    </row>
    <row r="1106" spans="1:5" x14ac:dyDescent="0.15">
      <c r="A1106" s="1" t="s">
        <v>13980</v>
      </c>
      <c r="B1106" s="1" t="s">
        <v>14161</v>
      </c>
      <c r="C1106" s="1" t="s">
        <v>14162</v>
      </c>
      <c r="D1106" s="1" t="s">
        <v>14163</v>
      </c>
      <c r="E1106" s="1" t="s">
        <v>14164</v>
      </c>
    </row>
    <row r="1107" spans="1:5" x14ac:dyDescent="0.15">
      <c r="A1107" s="1" t="s">
        <v>13980</v>
      </c>
      <c r="B1107" s="1" t="s">
        <v>14165</v>
      </c>
      <c r="C1107" s="1" t="s">
        <v>14166</v>
      </c>
      <c r="D1107" s="1" t="s">
        <v>14167</v>
      </c>
      <c r="E1107" s="1" t="s">
        <v>14168</v>
      </c>
    </row>
    <row r="1108" spans="1:5" x14ac:dyDescent="0.15">
      <c r="A1108" s="1" t="s">
        <v>13980</v>
      </c>
      <c r="B1108" s="1" t="s">
        <v>14169</v>
      </c>
      <c r="C1108" s="1" t="s">
        <v>14170</v>
      </c>
      <c r="D1108" s="1" t="s">
        <v>14171</v>
      </c>
      <c r="E1108" s="1" t="s">
        <v>14172</v>
      </c>
    </row>
    <row r="1109" spans="1:5" x14ac:dyDescent="0.15">
      <c r="A1109" s="1" t="s">
        <v>13980</v>
      </c>
      <c r="B1109" s="1" t="s">
        <v>14173</v>
      </c>
      <c r="C1109" s="1" t="s">
        <v>14174</v>
      </c>
      <c r="D1109" s="1" t="s">
        <v>14175</v>
      </c>
      <c r="E1109" s="1" t="s">
        <v>14176</v>
      </c>
    </row>
    <row r="1110" spans="1:5" x14ac:dyDescent="0.15">
      <c r="A1110" s="1" t="s">
        <v>13980</v>
      </c>
      <c r="B1110" s="1" t="s">
        <v>14177</v>
      </c>
      <c r="C1110" s="1" t="s">
        <v>14178</v>
      </c>
      <c r="D1110" s="1" t="s">
        <v>14179</v>
      </c>
      <c r="E1110" s="1" t="s">
        <v>14180</v>
      </c>
    </row>
    <row r="1111" spans="1:5" x14ac:dyDescent="0.15">
      <c r="A1111" s="1" t="s">
        <v>13980</v>
      </c>
      <c r="B1111" s="1" t="s">
        <v>14181</v>
      </c>
      <c r="C1111" s="1" t="s">
        <v>14182</v>
      </c>
      <c r="D1111" s="1" t="s">
        <v>14183</v>
      </c>
      <c r="E1111" s="1" t="s">
        <v>14184</v>
      </c>
    </row>
    <row r="1112" spans="1:5" x14ac:dyDescent="0.15">
      <c r="A1112" s="1" t="s">
        <v>13980</v>
      </c>
      <c r="B1112" s="1" t="s">
        <v>14185</v>
      </c>
      <c r="C1112" s="1" t="s">
        <v>14186</v>
      </c>
      <c r="D1112" s="1" t="s">
        <v>14187</v>
      </c>
      <c r="E1112" s="1" t="s">
        <v>14188</v>
      </c>
    </row>
    <row r="1113" spans="1:5" x14ac:dyDescent="0.15">
      <c r="A1113" s="1" t="s">
        <v>13980</v>
      </c>
      <c r="B1113" s="1" t="s">
        <v>14189</v>
      </c>
      <c r="C1113" s="1" t="s">
        <v>14186</v>
      </c>
      <c r="D1113" s="1" t="s">
        <v>14187</v>
      </c>
      <c r="E1113" s="1" t="s">
        <v>14190</v>
      </c>
    </row>
    <row r="1114" spans="1:5" x14ac:dyDescent="0.15">
      <c r="A1114" s="1" t="s">
        <v>14191</v>
      </c>
      <c r="B1114" s="1" t="s">
        <v>14192</v>
      </c>
      <c r="C1114" s="1" t="s">
        <v>14193</v>
      </c>
      <c r="D1114" s="1" t="s">
        <v>14194</v>
      </c>
      <c r="E1114" s="1" t="s">
        <v>14195</v>
      </c>
    </row>
    <row r="1115" spans="1:5" x14ac:dyDescent="0.15">
      <c r="A1115" s="1" t="s">
        <v>14191</v>
      </c>
      <c r="B1115" s="1" t="s">
        <v>14196</v>
      </c>
      <c r="C1115" s="1" t="s">
        <v>14197</v>
      </c>
      <c r="D1115" s="1" t="s">
        <v>14198</v>
      </c>
      <c r="E1115" s="1" t="s">
        <v>14199</v>
      </c>
    </row>
    <row r="1116" spans="1:5" x14ac:dyDescent="0.15">
      <c r="A1116" s="1" t="s">
        <v>14191</v>
      </c>
      <c r="B1116" s="1" t="s">
        <v>14200</v>
      </c>
      <c r="C1116" s="1" t="s">
        <v>14197</v>
      </c>
      <c r="D1116" s="1" t="s">
        <v>14201</v>
      </c>
      <c r="E1116" s="1" t="s">
        <v>14202</v>
      </c>
    </row>
    <row r="1117" spans="1:5" x14ac:dyDescent="0.15">
      <c r="A1117" s="1" t="s">
        <v>14191</v>
      </c>
      <c r="B1117" s="1" t="s">
        <v>14203</v>
      </c>
      <c r="C1117" s="1" t="s">
        <v>14204</v>
      </c>
      <c r="D1117" s="1" t="s">
        <v>14205</v>
      </c>
      <c r="E1117" s="1" t="s">
        <v>14206</v>
      </c>
    </row>
    <row r="1118" spans="1:5" x14ac:dyDescent="0.15">
      <c r="A1118" s="1" t="s">
        <v>14191</v>
      </c>
      <c r="B1118" s="1" t="s">
        <v>14207</v>
      </c>
      <c r="C1118" s="1" t="s">
        <v>14208</v>
      </c>
      <c r="D1118" s="1" t="s">
        <v>14209</v>
      </c>
      <c r="E1118" s="1" t="s">
        <v>14210</v>
      </c>
    </row>
    <row r="1119" spans="1:5" x14ac:dyDescent="0.15">
      <c r="A1119" s="1" t="s">
        <v>14191</v>
      </c>
      <c r="B1119" s="1" t="s">
        <v>14211</v>
      </c>
      <c r="C1119" s="1" t="s">
        <v>14212</v>
      </c>
      <c r="D1119" s="1" t="s">
        <v>13598</v>
      </c>
      <c r="E1119" s="1" t="s">
        <v>13599</v>
      </c>
    </row>
    <row r="1120" spans="1:5" x14ac:dyDescent="0.15">
      <c r="A1120" s="1" t="s">
        <v>14191</v>
      </c>
      <c r="B1120" s="1" t="s">
        <v>13600</v>
      </c>
      <c r="C1120" s="1" t="s">
        <v>13601</v>
      </c>
      <c r="D1120" s="1" t="s">
        <v>13602</v>
      </c>
      <c r="E1120" s="1" t="s">
        <v>13603</v>
      </c>
    </row>
    <row r="1121" spans="1:5" x14ac:dyDescent="0.15">
      <c r="A1121" s="1" t="s">
        <v>14191</v>
      </c>
      <c r="B1121" s="1" t="s">
        <v>13604</v>
      </c>
      <c r="C1121" s="1" t="s">
        <v>13605</v>
      </c>
      <c r="D1121" s="1" t="s">
        <v>13606</v>
      </c>
      <c r="E1121" s="1" t="s">
        <v>13607</v>
      </c>
    </row>
    <row r="1122" spans="1:5" x14ac:dyDescent="0.15">
      <c r="A1122" s="1" t="s">
        <v>14191</v>
      </c>
      <c r="B1122" s="1" t="s">
        <v>13608</v>
      </c>
      <c r="C1122" s="1" t="s">
        <v>13609</v>
      </c>
      <c r="D1122" s="1" t="s">
        <v>13610</v>
      </c>
      <c r="E1122" s="1" t="s">
        <v>13611</v>
      </c>
    </row>
    <row r="1123" spans="1:5" x14ac:dyDescent="0.15">
      <c r="A1123" s="1" t="s">
        <v>14191</v>
      </c>
      <c r="B1123" s="1" t="s">
        <v>13612</v>
      </c>
      <c r="C1123" s="1" t="s">
        <v>13613</v>
      </c>
      <c r="D1123" s="1" t="s">
        <v>13614</v>
      </c>
      <c r="E1123" s="1" t="s">
        <v>13615</v>
      </c>
    </row>
    <row r="1124" spans="1:5" x14ac:dyDescent="0.15">
      <c r="A1124" s="1" t="s">
        <v>14191</v>
      </c>
      <c r="B1124" s="1" t="s">
        <v>13616</v>
      </c>
      <c r="C1124" s="1" t="s">
        <v>13617</v>
      </c>
      <c r="D1124" s="1" t="s">
        <v>13618</v>
      </c>
      <c r="E1124" s="1" t="s">
        <v>13619</v>
      </c>
    </row>
    <row r="1125" spans="1:5" x14ac:dyDescent="0.15">
      <c r="A1125" s="1" t="s">
        <v>14191</v>
      </c>
      <c r="B1125" s="1" t="s">
        <v>13620</v>
      </c>
      <c r="C1125" s="1" t="s">
        <v>13621</v>
      </c>
      <c r="D1125" s="1" t="s">
        <v>13622</v>
      </c>
      <c r="E1125" s="1" t="s">
        <v>13623</v>
      </c>
    </row>
    <row r="1126" spans="1:5" x14ac:dyDescent="0.15">
      <c r="A1126" s="1" t="s">
        <v>14191</v>
      </c>
      <c r="B1126" s="1" t="s">
        <v>13624</v>
      </c>
      <c r="C1126" s="1" t="s">
        <v>13625</v>
      </c>
      <c r="D1126" s="1" t="s">
        <v>13626</v>
      </c>
      <c r="E1126" s="1" t="s">
        <v>13627</v>
      </c>
    </row>
    <row r="1127" spans="1:5" x14ac:dyDescent="0.15">
      <c r="A1127" s="1" t="s">
        <v>14191</v>
      </c>
      <c r="B1127" s="1" t="s">
        <v>13628</v>
      </c>
      <c r="C1127" s="1" t="s">
        <v>13625</v>
      </c>
      <c r="D1127" s="1" t="s">
        <v>13629</v>
      </c>
      <c r="E1127" s="1" t="s">
        <v>13630</v>
      </c>
    </row>
    <row r="1128" spans="1:5" x14ac:dyDescent="0.15">
      <c r="A1128" s="1" t="s">
        <v>14191</v>
      </c>
      <c r="B1128" s="1" t="s">
        <v>13631</v>
      </c>
      <c r="C1128" s="1" t="s">
        <v>13632</v>
      </c>
      <c r="D1128" s="1" t="s">
        <v>13633</v>
      </c>
      <c r="E1128" s="1" t="s">
        <v>13634</v>
      </c>
    </row>
    <row r="1129" spans="1:5" x14ac:dyDescent="0.15">
      <c r="A1129" s="1" t="s">
        <v>14191</v>
      </c>
      <c r="B1129" s="1" t="s">
        <v>13635</v>
      </c>
      <c r="C1129" s="1" t="s">
        <v>13632</v>
      </c>
      <c r="D1129" s="1" t="s">
        <v>13636</v>
      </c>
      <c r="E1129" s="1" t="s">
        <v>13637</v>
      </c>
    </row>
    <row r="1130" spans="1:5" x14ac:dyDescent="0.15">
      <c r="A1130" s="1" t="s">
        <v>14191</v>
      </c>
      <c r="B1130" s="1" t="s">
        <v>13638</v>
      </c>
      <c r="C1130" s="1" t="s">
        <v>13639</v>
      </c>
      <c r="D1130" s="1" t="s">
        <v>13640</v>
      </c>
      <c r="E1130" s="1" t="s">
        <v>13641</v>
      </c>
    </row>
    <row r="1131" spans="1:5" x14ac:dyDescent="0.15">
      <c r="A1131" s="1" t="s">
        <v>14191</v>
      </c>
      <c r="B1131" s="1" t="s">
        <v>13642</v>
      </c>
      <c r="C1131" s="1" t="s">
        <v>13643</v>
      </c>
      <c r="D1131" s="1" t="s">
        <v>13644</v>
      </c>
      <c r="E1131" s="1" t="s">
        <v>13645</v>
      </c>
    </row>
    <row r="1132" spans="1:5" x14ac:dyDescent="0.15">
      <c r="A1132" s="1" t="s">
        <v>14191</v>
      </c>
      <c r="B1132" s="1" t="s">
        <v>13646</v>
      </c>
      <c r="C1132" s="1" t="s">
        <v>13647</v>
      </c>
      <c r="D1132" s="1" t="s">
        <v>13648</v>
      </c>
      <c r="E1132" s="1" t="s">
        <v>13649</v>
      </c>
    </row>
    <row r="1133" spans="1:5" x14ac:dyDescent="0.15">
      <c r="A1133" s="1" t="s">
        <v>14191</v>
      </c>
      <c r="B1133" s="1" t="s">
        <v>13650</v>
      </c>
      <c r="C1133" s="1" t="s">
        <v>13651</v>
      </c>
      <c r="D1133" s="1" t="s">
        <v>13652</v>
      </c>
      <c r="E1133" s="1" t="s">
        <v>13653</v>
      </c>
    </row>
    <row r="1134" spans="1:5" x14ac:dyDescent="0.15">
      <c r="A1134" s="1" t="s">
        <v>14191</v>
      </c>
      <c r="B1134" s="1" t="s">
        <v>13654</v>
      </c>
      <c r="C1134" s="1" t="s">
        <v>13655</v>
      </c>
      <c r="D1134" s="1" t="s">
        <v>13656</v>
      </c>
      <c r="E1134" s="1" t="s">
        <v>13657</v>
      </c>
    </row>
    <row r="1135" spans="1:5" x14ac:dyDescent="0.15">
      <c r="A1135" s="1" t="s">
        <v>14191</v>
      </c>
      <c r="B1135" s="1" t="s">
        <v>13658</v>
      </c>
      <c r="C1135" s="1" t="s">
        <v>13659</v>
      </c>
      <c r="D1135" s="1" t="s">
        <v>13660</v>
      </c>
      <c r="E1135" s="1" t="s">
        <v>13661</v>
      </c>
    </row>
    <row r="1136" spans="1:5" x14ac:dyDescent="0.15">
      <c r="A1136" s="1" t="s">
        <v>14191</v>
      </c>
      <c r="B1136" s="1" t="s">
        <v>13662</v>
      </c>
      <c r="C1136" s="1" t="s">
        <v>13663</v>
      </c>
      <c r="D1136" s="1" t="s">
        <v>13664</v>
      </c>
      <c r="E1136" s="1" t="s">
        <v>13665</v>
      </c>
    </row>
    <row r="1137" spans="1:5" x14ac:dyDescent="0.15">
      <c r="A1137" s="1" t="s">
        <v>14191</v>
      </c>
      <c r="B1137" s="1" t="s">
        <v>13666</v>
      </c>
      <c r="C1137" s="1" t="s">
        <v>13667</v>
      </c>
      <c r="D1137" s="1" t="s">
        <v>13668</v>
      </c>
      <c r="E1137" s="1" t="s">
        <v>13669</v>
      </c>
    </row>
    <row r="1138" spans="1:5" x14ac:dyDescent="0.15">
      <c r="A1138" s="1" t="s">
        <v>14191</v>
      </c>
      <c r="B1138" s="1" t="s">
        <v>13670</v>
      </c>
      <c r="C1138" s="1" t="s">
        <v>13671</v>
      </c>
      <c r="D1138" s="1" t="s">
        <v>13672</v>
      </c>
      <c r="E1138" s="1" t="s">
        <v>13673</v>
      </c>
    </row>
    <row r="1139" spans="1:5" x14ac:dyDescent="0.15">
      <c r="A1139" s="1" t="s">
        <v>14191</v>
      </c>
      <c r="B1139" s="1" t="s">
        <v>13674</v>
      </c>
      <c r="C1139" s="1" t="s">
        <v>13675</v>
      </c>
      <c r="D1139" s="1" t="s">
        <v>13676</v>
      </c>
      <c r="E1139" s="1" t="s">
        <v>13677</v>
      </c>
    </row>
    <row r="1140" spans="1:5" x14ac:dyDescent="0.15">
      <c r="A1140" s="1" t="s">
        <v>14191</v>
      </c>
      <c r="B1140" s="1" t="s">
        <v>13678</v>
      </c>
      <c r="C1140" s="1" t="s">
        <v>13679</v>
      </c>
      <c r="D1140" s="1" t="s">
        <v>13680</v>
      </c>
      <c r="E1140" s="1" t="s">
        <v>13681</v>
      </c>
    </row>
    <row r="1141" spans="1:5" x14ac:dyDescent="0.15">
      <c r="A1141" s="1" t="s">
        <v>14191</v>
      </c>
      <c r="B1141" s="1" t="s">
        <v>13682</v>
      </c>
      <c r="C1141" s="1" t="s">
        <v>13683</v>
      </c>
      <c r="D1141" s="1" t="s">
        <v>13684</v>
      </c>
      <c r="E1141" s="1" t="s">
        <v>13685</v>
      </c>
    </row>
    <row r="1142" spans="1:5" x14ac:dyDescent="0.15">
      <c r="A1142" s="1" t="s">
        <v>14191</v>
      </c>
      <c r="B1142" s="1" t="s">
        <v>13686</v>
      </c>
      <c r="C1142" s="1" t="s">
        <v>13687</v>
      </c>
      <c r="D1142" s="1" t="s">
        <v>13688</v>
      </c>
      <c r="E1142" s="1" t="s">
        <v>13689</v>
      </c>
    </row>
    <row r="1143" spans="1:5" x14ac:dyDescent="0.15">
      <c r="A1143" s="1" t="s">
        <v>14191</v>
      </c>
      <c r="B1143" s="1" t="s">
        <v>13690</v>
      </c>
      <c r="C1143" s="1" t="s">
        <v>13691</v>
      </c>
      <c r="D1143" s="1" t="s">
        <v>13692</v>
      </c>
      <c r="E1143" s="1" t="s">
        <v>13693</v>
      </c>
    </row>
    <row r="1144" spans="1:5" x14ac:dyDescent="0.15">
      <c r="A1144" s="1" t="s">
        <v>14191</v>
      </c>
      <c r="B1144" s="1" t="s">
        <v>13694</v>
      </c>
      <c r="C1144" s="1" t="s">
        <v>13695</v>
      </c>
      <c r="D1144" s="1" t="s">
        <v>13696</v>
      </c>
      <c r="E1144" s="1" t="s">
        <v>13697</v>
      </c>
    </row>
    <row r="1145" spans="1:5" x14ac:dyDescent="0.15">
      <c r="A1145" s="1" t="s">
        <v>14191</v>
      </c>
      <c r="B1145" s="1" t="s">
        <v>13698</v>
      </c>
      <c r="C1145" s="1" t="s">
        <v>13699</v>
      </c>
      <c r="D1145" s="1" t="s">
        <v>13700</v>
      </c>
      <c r="E1145" s="1" t="s">
        <v>13701</v>
      </c>
    </row>
    <row r="1146" spans="1:5" x14ac:dyDescent="0.15">
      <c r="A1146" s="1" t="s">
        <v>14191</v>
      </c>
      <c r="B1146" s="1" t="s">
        <v>13702</v>
      </c>
      <c r="C1146" s="1" t="s">
        <v>13703</v>
      </c>
      <c r="D1146" s="1" t="s">
        <v>13704</v>
      </c>
      <c r="E1146" s="1" t="s">
        <v>13705</v>
      </c>
    </row>
    <row r="1147" spans="1:5" x14ac:dyDescent="0.15">
      <c r="A1147" s="1" t="s">
        <v>14191</v>
      </c>
      <c r="B1147" s="1" t="s">
        <v>13706</v>
      </c>
      <c r="C1147" s="1" t="s">
        <v>13707</v>
      </c>
      <c r="D1147" s="1" t="s">
        <v>13708</v>
      </c>
      <c r="E1147" s="1" t="s">
        <v>13709</v>
      </c>
    </row>
    <row r="1148" spans="1:5" x14ac:dyDescent="0.15">
      <c r="A1148" s="1" t="s">
        <v>14191</v>
      </c>
      <c r="B1148" s="1" t="s">
        <v>13710</v>
      </c>
      <c r="C1148" s="1" t="s">
        <v>13711</v>
      </c>
      <c r="D1148" s="1" t="s">
        <v>13712</v>
      </c>
      <c r="E1148" s="1" t="s">
        <v>13713</v>
      </c>
    </row>
    <row r="1149" spans="1:5" x14ac:dyDescent="0.15">
      <c r="A1149" s="1" t="s">
        <v>14191</v>
      </c>
      <c r="B1149" s="1" t="s">
        <v>13714</v>
      </c>
      <c r="C1149" s="1" t="s">
        <v>13715</v>
      </c>
      <c r="D1149" s="1" t="s">
        <v>13716</v>
      </c>
      <c r="E1149" s="1" t="s">
        <v>13717</v>
      </c>
    </row>
    <row r="1150" spans="1:5" x14ac:dyDescent="0.15">
      <c r="A1150" s="1" t="s">
        <v>14191</v>
      </c>
      <c r="B1150" s="1" t="s">
        <v>13718</v>
      </c>
      <c r="C1150" s="1" t="s">
        <v>13719</v>
      </c>
      <c r="D1150" s="1" t="s">
        <v>13720</v>
      </c>
      <c r="E1150" s="1" t="s">
        <v>13721</v>
      </c>
    </row>
    <row r="1151" spans="1:5" x14ac:dyDescent="0.15">
      <c r="A1151" s="1" t="s">
        <v>14191</v>
      </c>
      <c r="B1151" s="1" t="s">
        <v>13722</v>
      </c>
      <c r="C1151" s="1" t="s">
        <v>13723</v>
      </c>
      <c r="D1151" s="1" t="s">
        <v>13724</v>
      </c>
      <c r="E1151" s="1" t="s">
        <v>13725</v>
      </c>
    </row>
    <row r="1152" spans="1:5" x14ac:dyDescent="0.15">
      <c r="A1152" s="1" t="s">
        <v>14191</v>
      </c>
      <c r="B1152" s="1" t="s">
        <v>13726</v>
      </c>
      <c r="C1152" s="1" t="s">
        <v>13727</v>
      </c>
      <c r="D1152" s="1" t="s">
        <v>13728</v>
      </c>
      <c r="E1152" s="1" t="s">
        <v>13729</v>
      </c>
    </row>
    <row r="1153" spans="1:5" x14ac:dyDescent="0.15">
      <c r="A1153" s="1" t="s">
        <v>14191</v>
      </c>
      <c r="B1153" s="1" t="s">
        <v>13730</v>
      </c>
      <c r="C1153" s="1" t="s">
        <v>13731</v>
      </c>
      <c r="D1153" s="1" t="s">
        <v>13732</v>
      </c>
      <c r="E1153" s="1" t="s">
        <v>13733</v>
      </c>
    </row>
    <row r="1154" spans="1:5" x14ac:dyDescent="0.15">
      <c r="A1154" s="1" t="s">
        <v>14191</v>
      </c>
      <c r="B1154" s="1" t="s">
        <v>13734</v>
      </c>
      <c r="C1154" s="1" t="s">
        <v>13735</v>
      </c>
      <c r="D1154" s="1" t="s">
        <v>13736</v>
      </c>
      <c r="E1154" s="1" t="s">
        <v>13737</v>
      </c>
    </row>
    <row r="1155" spans="1:5" x14ac:dyDescent="0.15">
      <c r="A1155" s="1" t="s">
        <v>14191</v>
      </c>
      <c r="B1155" s="1" t="s">
        <v>13738</v>
      </c>
      <c r="C1155" s="1" t="s">
        <v>13739</v>
      </c>
      <c r="D1155" s="1" t="s">
        <v>13740</v>
      </c>
      <c r="E1155" s="1" t="s">
        <v>13741</v>
      </c>
    </row>
    <row r="1156" spans="1:5" x14ac:dyDescent="0.15">
      <c r="A1156" s="1" t="s">
        <v>14191</v>
      </c>
      <c r="B1156" s="1" t="s">
        <v>13742</v>
      </c>
      <c r="C1156" s="1" t="s">
        <v>13743</v>
      </c>
      <c r="D1156" s="1" t="s">
        <v>13744</v>
      </c>
      <c r="E1156" s="1" t="s">
        <v>13745</v>
      </c>
    </row>
    <row r="1157" spans="1:5" x14ac:dyDescent="0.15">
      <c r="A1157" s="1" t="s">
        <v>14191</v>
      </c>
      <c r="B1157" s="1" t="s">
        <v>13746</v>
      </c>
      <c r="C1157" s="1" t="s">
        <v>13747</v>
      </c>
      <c r="D1157" s="1" t="s">
        <v>13748</v>
      </c>
      <c r="E1157" s="1" t="s">
        <v>13749</v>
      </c>
    </row>
    <row r="1158" spans="1:5" x14ac:dyDescent="0.15">
      <c r="A1158" s="1" t="s">
        <v>14191</v>
      </c>
      <c r="B1158" s="1" t="s">
        <v>13750</v>
      </c>
      <c r="C1158" s="1" t="s">
        <v>13751</v>
      </c>
      <c r="D1158" s="1" t="s">
        <v>13752</v>
      </c>
      <c r="E1158" s="1" t="s">
        <v>13753</v>
      </c>
    </row>
    <row r="1159" spans="1:5" x14ac:dyDescent="0.15">
      <c r="A1159" s="1" t="s">
        <v>14191</v>
      </c>
      <c r="B1159" s="1" t="s">
        <v>13754</v>
      </c>
      <c r="C1159" s="1" t="s">
        <v>13755</v>
      </c>
      <c r="D1159" s="1" t="s">
        <v>13756</v>
      </c>
      <c r="E1159" s="1" t="s">
        <v>13757</v>
      </c>
    </row>
    <row r="1160" spans="1:5" x14ac:dyDescent="0.15">
      <c r="A1160" s="1" t="s">
        <v>14191</v>
      </c>
      <c r="B1160" s="1" t="s">
        <v>13758</v>
      </c>
      <c r="C1160" s="1" t="s">
        <v>13759</v>
      </c>
      <c r="D1160" s="1" t="s">
        <v>13760</v>
      </c>
      <c r="E1160" s="1" t="s">
        <v>13761</v>
      </c>
    </row>
    <row r="1161" spans="1:5" x14ac:dyDescent="0.15">
      <c r="A1161" s="1" t="s">
        <v>14191</v>
      </c>
      <c r="B1161" s="1" t="s">
        <v>13762</v>
      </c>
      <c r="C1161" s="1" t="s">
        <v>13763</v>
      </c>
      <c r="D1161" s="1" t="s">
        <v>13764</v>
      </c>
      <c r="E1161" s="1" t="s">
        <v>13765</v>
      </c>
    </row>
    <row r="1162" spans="1:5" x14ac:dyDescent="0.15">
      <c r="A1162" s="1" t="s">
        <v>14191</v>
      </c>
      <c r="B1162" s="1" t="s">
        <v>13766</v>
      </c>
      <c r="C1162" s="1" t="s">
        <v>13767</v>
      </c>
      <c r="D1162" s="1" t="s">
        <v>13768</v>
      </c>
      <c r="E1162" s="1" t="s">
        <v>13769</v>
      </c>
    </row>
    <row r="1163" spans="1:5" x14ac:dyDescent="0.15">
      <c r="A1163" s="1" t="s">
        <v>14191</v>
      </c>
      <c r="B1163" s="1" t="s">
        <v>13770</v>
      </c>
      <c r="C1163" s="1" t="s">
        <v>13771</v>
      </c>
      <c r="D1163" s="1" t="s">
        <v>13772</v>
      </c>
      <c r="E1163" s="1" t="s">
        <v>13773</v>
      </c>
    </row>
    <row r="1164" spans="1:5" x14ac:dyDescent="0.15">
      <c r="A1164" s="1" t="s">
        <v>14191</v>
      </c>
      <c r="B1164" s="1" t="s">
        <v>13774</v>
      </c>
      <c r="C1164" s="1" t="s">
        <v>13775</v>
      </c>
      <c r="D1164" s="1" t="s">
        <v>13776</v>
      </c>
      <c r="E1164" s="1" t="s">
        <v>13777</v>
      </c>
    </row>
    <row r="1165" spans="1:5" x14ac:dyDescent="0.15">
      <c r="A1165" s="1" t="s">
        <v>14191</v>
      </c>
      <c r="B1165" s="1" t="s">
        <v>13778</v>
      </c>
      <c r="C1165" s="1" t="s">
        <v>13779</v>
      </c>
      <c r="D1165" s="1" t="s">
        <v>13780</v>
      </c>
      <c r="E1165" s="1" t="s">
        <v>13781</v>
      </c>
    </row>
    <row r="1166" spans="1:5" x14ac:dyDescent="0.15">
      <c r="A1166" s="1" t="s">
        <v>14191</v>
      </c>
      <c r="B1166" s="1" t="s">
        <v>13782</v>
      </c>
      <c r="C1166" s="1" t="s">
        <v>13783</v>
      </c>
      <c r="D1166" s="1" t="s">
        <v>13784</v>
      </c>
      <c r="E1166" s="1" t="s">
        <v>13785</v>
      </c>
    </row>
    <row r="1167" spans="1:5" x14ac:dyDescent="0.15">
      <c r="A1167" s="1" t="s">
        <v>14191</v>
      </c>
      <c r="B1167" s="1" t="s">
        <v>13786</v>
      </c>
      <c r="C1167" s="1" t="s">
        <v>13787</v>
      </c>
      <c r="D1167" s="1" t="s">
        <v>13788</v>
      </c>
      <c r="E1167" s="1" t="s">
        <v>13789</v>
      </c>
    </row>
    <row r="1168" spans="1:5" x14ac:dyDescent="0.15">
      <c r="A1168" s="1" t="s">
        <v>14191</v>
      </c>
      <c r="B1168" s="1" t="s">
        <v>13790</v>
      </c>
      <c r="C1168" s="1" t="s">
        <v>13791</v>
      </c>
      <c r="D1168" s="1" t="s">
        <v>13792</v>
      </c>
      <c r="E1168" s="1" t="s">
        <v>13793</v>
      </c>
    </row>
    <row r="1169" spans="1:5" x14ac:dyDescent="0.15">
      <c r="A1169" s="1" t="s">
        <v>14191</v>
      </c>
      <c r="B1169" s="1" t="s">
        <v>13794</v>
      </c>
      <c r="C1169" s="1" t="s">
        <v>13795</v>
      </c>
      <c r="D1169" s="1" t="s">
        <v>13796</v>
      </c>
      <c r="E1169" s="1" t="s">
        <v>13797</v>
      </c>
    </row>
    <row r="1170" spans="1:5" x14ac:dyDescent="0.15">
      <c r="A1170" s="1" t="s">
        <v>14191</v>
      </c>
      <c r="B1170" s="1" t="s">
        <v>13798</v>
      </c>
      <c r="C1170" s="1" t="s">
        <v>13799</v>
      </c>
      <c r="D1170" s="1" t="s">
        <v>13800</v>
      </c>
      <c r="E1170" s="1" t="s">
        <v>13801</v>
      </c>
    </row>
    <row r="1171" spans="1:5" x14ac:dyDescent="0.15">
      <c r="A1171" s="1" t="s">
        <v>14191</v>
      </c>
      <c r="B1171" s="1" t="s">
        <v>13802</v>
      </c>
      <c r="C1171" s="1" t="s">
        <v>13803</v>
      </c>
      <c r="D1171" s="1" t="s">
        <v>13804</v>
      </c>
      <c r="E1171" s="1" t="s">
        <v>13805</v>
      </c>
    </row>
    <row r="1172" spans="1:5" x14ac:dyDescent="0.15">
      <c r="A1172" s="1" t="s">
        <v>14191</v>
      </c>
      <c r="B1172" s="1" t="s">
        <v>13806</v>
      </c>
      <c r="C1172" s="1" t="s">
        <v>13807</v>
      </c>
      <c r="D1172" s="1" t="s">
        <v>13808</v>
      </c>
      <c r="E1172" s="1" t="s">
        <v>13809</v>
      </c>
    </row>
    <row r="1173" spans="1:5" x14ac:dyDescent="0.15">
      <c r="A1173" s="1" t="s">
        <v>14191</v>
      </c>
      <c r="B1173" s="1" t="s">
        <v>13810</v>
      </c>
      <c r="C1173" s="1" t="s">
        <v>13811</v>
      </c>
      <c r="D1173" s="1" t="s">
        <v>13812</v>
      </c>
      <c r="E1173" s="1" t="s">
        <v>13813</v>
      </c>
    </row>
    <row r="1174" spans="1:5" x14ac:dyDescent="0.15">
      <c r="A1174" s="1" t="s">
        <v>14191</v>
      </c>
      <c r="B1174" s="1" t="s">
        <v>13814</v>
      </c>
      <c r="C1174" s="1" t="s">
        <v>13815</v>
      </c>
      <c r="D1174" s="1" t="s">
        <v>13816</v>
      </c>
      <c r="E1174" s="1" t="s">
        <v>13817</v>
      </c>
    </row>
    <row r="1175" spans="1:5" x14ac:dyDescent="0.15">
      <c r="A1175" s="1" t="s">
        <v>14191</v>
      </c>
      <c r="B1175" s="1" t="s">
        <v>13818</v>
      </c>
      <c r="C1175" s="1" t="s">
        <v>13819</v>
      </c>
      <c r="D1175" s="1" t="s">
        <v>13820</v>
      </c>
      <c r="E1175" s="1" t="s">
        <v>13821</v>
      </c>
    </row>
    <row r="1176" spans="1:5" x14ac:dyDescent="0.15">
      <c r="A1176" s="1" t="s">
        <v>14191</v>
      </c>
      <c r="B1176" s="1" t="s">
        <v>13822</v>
      </c>
      <c r="C1176" s="1" t="s">
        <v>13823</v>
      </c>
      <c r="D1176" s="1" t="s">
        <v>13824</v>
      </c>
      <c r="E1176" s="1" t="s">
        <v>13825</v>
      </c>
    </row>
    <row r="1177" spans="1:5" x14ac:dyDescent="0.15">
      <c r="A1177" s="1" t="s">
        <v>14191</v>
      </c>
      <c r="B1177" s="1" t="s">
        <v>13826</v>
      </c>
      <c r="C1177" s="1" t="s">
        <v>13827</v>
      </c>
      <c r="D1177" s="1" t="s">
        <v>13828</v>
      </c>
      <c r="E1177" s="1" t="s">
        <v>13829</v>
      </c>
    </row>
    <row r="1178" spans="1:5" x14ac:dyDescent="0.15">
      <c r="A1178" s="1" t="s">
        <v>14191</v>
      </c>
      <c r="B1178" s="1" t="s">
        <v>13830</v>
      </c>
      <c r="C1178" s="1" t="s">
        <v>13831</v>
      </c>
      <c r="D1178" s="1" t="s">
        <v>13832</v>
      </c>
      <c r="E1178" s="1" t="s">
        <v>13833</v>
      </c>
    </row>
    <row r="1179" spans="1:5" x14ac:dyDescent="0.15">
      <c r="A1179" s="1" t="s">
        <v>14191</v>
      </c>
      <c r="B1179" s="1" t="s">
        <v>13834</v>
      </c>
      <c r="C1179" s="1" t="s">
        <v>13835</v>
      </c>
      <c r="D1179" s="1" t="s">
        <v>13836</v>
      </c>
      <c r="E1179" s="1" t="s">
        <v>13837</v>
      </c>
    </row>
    <row r="1180" spans="1:5" x14ac:dyDescent="0.15">
      <c r="A1180" s="1" t="s">
        <v>14191</v>
      </c>
      <c r="B1180" s="1" t="s">
        <v>13838</v>
      </c>
      <c r="C1180" s="1" t="s">
        <v>13839</v>
      </c>
      <c r="D1180" s="1" t="s">
        <v>13840</v>
      </c>
      <c r="E1180" s="1" t="s">
        <v>13841</v>
      </c>
    </row>
    <row r="1181" spans="1:5" x14ac:dyDescent="0.15">
      <c r="A1181" s="1" t="s">
        <v>14191</v>
      </c>
      <c r="B1181" s="1" t="s">
        <v>13842</v>
      </c>
      <c r="C1181" s="1" t="s">
        <v>13843</v>
      </c>
      <c r="D1181" s="1" t="s">
        <v>13844</v>
      </c>
      <c r="E1181" s="1" t="s">
        <v>13845</v>
      </c>
    </row>
    <row r="1182" spans="1:5" x14ac:dyDescent="0.15">
      <c r="A1182" s="1" t="s">
        <v>14191</v>
      </c>
      <c r="B1182" s="1" t="s">
        <v>13846</v>
      </c>
      <c r="C1182" s="1" t="s">
        <v>13843</v>
      </c>
      <c r="D1182" s="1" t="s">
        <v>13847</v>
      </c>
      <c r="E1182" s="1" t="s">
        <v>13848</v>
      </c>
    </row>
    <row r="1183" spans="1:5" x14ac:dyDescent="0.15">
      <c r="A1183" s="1" t="s">
        <v>14191</v>
      </c>
      <c r="B1183" s="1" t="s">
        <v>13849</v>
      </c>
      <c r="C1183" s="1" t="s">
        <v>13850</v>
      </c>
      <c r="D1183" s="1" t="s">
        <v>13851</v>
      </c>
      <c r="E1183" s="1" t="s">
        <v>13852</v>
      </c>
    </row>
    <row r="1184" spans="1:5" x14ac:dyDescent="0.15">
      <c r="A1184" s="1" t="s">
        <v>14191</v>
      </c>
      <c r="B1184" s="1" t="s">
        <v>13853</v>
      </c>
      <c r="C1184" s="1" t="s">
        <v>13854</v>
      </c>
      <c r="D1184" s="1" t="s">
        <v>13855</v>
      </c>
      <c r="E1184" s="1" t="s">
        <v>13856</v>
      </c>
    </row>
    <row r="1185" spans="1:5" x14ac:dyDescent="0.15">
      <c r="A1185" s="1" t="s">
        <v>14191</v>
      </c>
      <c r="B1185" s="1" t="s">
        <v>13857</v>
      </c>
      <c r="C1185" s="1" t="s">
        <v>13858</v>
      </c>
      <c r="D1185" s="1" t="s">
        <v>13859</v>
      </c>
      <c r="E1185" s="1" t="s">
        <v>13860</v>
      </c>
    </row>
    <row r="1186" spans="1:5" x14ac:dyDescent="0.15">
      <c r="A1186" s="1" t="s">
        <v>14191</v>
      </c>
      <c r="B1186" s="1" t="s">
        <v>13861</v>
      </c>
      <c r="C1186" s="1" t="s">
        <v>13862</v>
      </c>
      <c r="D1186" s="1" t="s">
        <v>13863</v>
      </c>
      <c r="E1186" s="1" t="s">
        <v>13864</v>
      </c>
    </row>
    <row r="1187" spans="1:5" x14ac:dyDescent="0.15">
      <c r="A1187" s="1" t="s">
        <v>14191</v>
      </c>
      <c r="B1187" s="1" t="s">
        <v>13865</v>
      </c>
      <c r="C1187" s="1" t="s">
        <v>13866</v>
      </c>
      <c r="D1187" s="1" t="s">
        <v>13867</v>
      </c>
      <c r="E1187" s="1" t="s">
        <v>13868</v>
      </c>
    </row>
    <row r="1188" spans="1:5" x14ac:dyDescent="0.15">
      <c r="A1188" s="1" t="s">
        <v>14191</v>
      </c>
      <c r="B1188" s="1" t="s">
        <v>13869</v>
      </c>
      <c r="C1188" s="1" t="s">
        <v>13870</v>
      </c>
      <c r="D1188" s="1" t="s">
        <v>13871</v>
      </c>
      <c r="E1188" s="1" t="s">
        <v>13872</v>
      </c>
    </row>
    <row r="1189" spans="1:5" x14ac:dyDescent="0.15">
      <c r="A1189" s="1" t="s">
        <v>14191</v>
      </c>
      <c r="B1189" s="1" t="s">
        <v>13873</v>
      </c>
      <c r="C1189" s="1" t="s">
        <v>13874</v>
      </c>
      <c r="D1189" s="1" t="s">
        <v>13875</v>
      </c>
      <c r="E1189" s="1" t="s">
        <v>13876</v>
      </c>
    </row>
    <row r="1190" spans="1:5" x14ac:dyDescent="0.15">
      <c r="A1190" s="1" t="s">
        <v>14191</v>
      </c>
      <c r="B1190" s="1" t="s">
        <v>13877</v>
      </c>
      <c r="C1190" s="1" t="s">
        <v>13878</v>
      </c>
      <c r="D1190" s="1" t="s">
        <v>13879</v>
      </c>
      <c r="E1190" s="1" t="s">
        <v>13880</v>
      </c>
    </row>
    <row r="1191" spans="1:5" x14ac:dyDescent="0.15">
      <c r="A1191" s="1" t="s">
        <v>14191</v>
      </c>
      <c r="B1191" s="1" t="s">
        <v>13881</v>
      </c>
      <c r="C1191" s="1" t="s">
        <v>13882</v>
      </c>
      <c r="D1191" s="1" t="s">
        <v>13883</v>
      </c>
      <c r="E1191" s="1" t="s">
        <v>13884</v>
      </c>
    </row>
    <row r="1192" spans="1:5" x14ac:dyDescent="0.15">
      <c r="A1192" s="1" t="s">
        <v>14191</v>
      </c>
      <c r="B1192" s="1" t="s">
        <v>13885</v>
      </c>
      <c r="C1192" s="1" t="s">
        <v>13886</v>
      </c>
      <c r="D1192" s="1" t="s">
        <v>13887</v>
      </c>
      <c r="E1192" s="1" t="s">
        <v>13888</v>
      </c>
    </row>
    <row r="1193" spans="1:5" x14ac:dyDescent="0.15">
      <c r="A1193" s="1" t="s">
        <v>14191</v>
      </c>
      <c r="B1193" s="1" t="s">
        <v>13889</v>
      </c>
      <c r="C1193" s="1" t="s">
        <v>13890</v>
      </c>
      <c r="D1193" s="1" t="s">
        <v>13891</v>
      </c>
      <c r="E1193" s="1" t="s">
        <v>13892</v>
      </c>
    </row>
    <row r="1194" spans="1:5" x14ac:dyDescent="0.15">
      <c r="A1194" s="1" t="s">
        <v>14191</v>
      </c>
      <c r="B1194" s="1" t="s">
        <v>13893</v>
      </c>
      <c r="C1194" s="1" t="s">
        <v>13894</v>
      </c>
      <c r="D1194" s="1" t="s">
        <v>13895</v>
      </c>
      <c r="E1194" s="1" t="s">
        <v>13896</v>
      </c>
    </row>
    <row r="1195" spans="1:5" x14ac:dyDescent="0.15">
      <c r="A1195" s="1" t="s">
        <v>14191</v>
      </c>
      <c r="B1195" s="1" t="s">
        <v>13897</v>
      </c>
      <c r="C1195" s="1" t="s">
        <v>13898</v>
      </c>
      <c r="D1195" s="1" t="s">
        <v>13899</v>
      </c>
      <c r="E1195" s="1" t="s">
        <v>13900</v>
      </c>
    </row>
    <row r="1196" spans="1:5" x14ac:dyDescent="0.15">
      <c r="A1196" s="1" t="s">
        <v>14191</v>
      </c>
      <c r="B1196" s="1" t="s">
        <v>13901</v>
      </c>
      <c r="C1196" s="1" t="s">
        <v>13902</v>
      </c>
      <c r="D1196" s="1" t="s">
        <v>13903</v>
      </c>
      <c r="E1196" s="1" t="s">
        <v>13904</v>
      </c>
    </row>
    <row r="1197" spans="1:5" x14ac:dyDescent="0.15">
      <c r="A1197" s="1" t="s">
        <v>14191</v>
      </c>
      <c r="B1197" s="1" t="s">
        <v>13905</v>
      </c>
      <c r="C1197" s="1" t="s">
        <v>13906</v>
      </c>
      <c r="D1197" s="1" t="s">
        <v>13907</v>
      </c>
      <c r="E1197" s="1" t="s">
        <v>13908</v>
      </c>
    </row>
    <row r="1198" spans="1:5" x14ac:dyDescent="0.15">
      <c r="A1198" s="1" t="s">
        <v>14191</v>
      </c>
      <c r="B1198" s="1" t="s">
        <v>13909</v>
      </c>
      <c r="C1198" s="1" t="s">
        <v>13910</v>
      </c>
      <c r="D1198" s="1" t="s">
        <v>13911</v>
      </c>
      <c r="E1198" s="1" t="s">
        <v>13912</v>
      </c>
    </row>
    <row r="1199" spans="1:5" x14ac:dyDescent="0.15">
      <c r="A1199" s="1" t="s">
        <v>14191</v>
      </c>
      <c r="B1199" s="1" t="s">
        <v>13913</v>
      </c>
      <c r="C1199" s="1" t="s">
        <v>13914</v>
      </c>
      <c r="D1199" s="1" t="s">
        <v>13291</v>
      </c>
      <c r="E1199" s="1" t="s">
        <v>13292</v>
      </c>
    </row>
    <row r="1200" spans="1:5" x14ac:dyDescent="0.15">
      <c r="A1200" s="1" t="s">
        <v>14191</v>
      </c>
      <c r="B1200" s="1" t="s">
        <v>13293</v>
      </c>
      <c r="C1200" s="1" t="s">
        <v>13914</v>
      </c>
      <c r="D1200" s="1" t="s">
        <v>13294</v>
      </c>
      <c r="E1200" s="1" t="s">
        <v>13295</v>
      </c>
    </row>
    <row r="1201" spans="1:5" x14ac:dyDescent="0.15">
      <c r="A1201" s="1" t="s">
        <v>14191</v>
      </c>
      <c r="B1201" s="1" t="s">
        <v>13296</v>
      </c>
      <c r="C1201" s="1" t="s">
        <v>13297</v>
      </c>
      <c r="D1201" s="1" t="s">
        <v>13298</v>
      </c>
      <c r="E1201" s="1" t="s">
        <v>13299</v>
      </c>
    </row>
    <row r="1202" spans="1:5" x14ac:dyDescent="0.15">
      <c r="A1202" s="1" t="s">
        <v>14191</v>
      </c>
      <c r="B1202" s="1" t="s">
        <v>13300</v>
      </c>
      <c r="C1202" s="1" t="s">
        <v>13301</v>
      </c>
      <c r="D1202" s="1" t="s">
        <v>13302</v>
      </c>
      <c r="E1202" s="1" t="s">
        <v>13303</v>
      </c>
    </row>
    <row r="1203" spans="1:5" x14ac:dyDescent="0.15">
      <c r="A1203" s="1" t="s">
        <v>14191</v>
      </c>
      <c r="B1203" s="1" t="s">
        <v>13304</v>
      </c>
      <c r="C1203" s="1" t="s">
        <v>13305</v>
      </c>
      <c r="D1203" s="1" t="s">
        <v>13306</v>
      </c>
      <c r="E1203" s="1" t="s">
        <v>13307</v>
      </c>
    </row>
    <row r="1204" spans="1:5" x14ac:dyDescent="0.15">
      <c r="A1204" s="1" t="s">
        <v>14191</v>
      </c>
      <c r="B1204" s="1" t="s">
        <v>13308</v>
      </c>
      <c r="C1204" s="1" t="s">
        <v>13309</v>
      </c>
      <c r="D1204" s="1" t="s">
        <v>13310</v>
      </c>
      <c r="E1204" s="1" t="s">
        <v>13311</v>
      </c>
    </row>
    <row r="1205" spans="1:5" x14ac:dyDescent="0.15">
      <c r="A1205" s="1" t="s">
        <v>14191</v>
      </c>
      <c r="B1205" s="1" t="s">
        <v>13312</v>
      </c>
      <c r="C1205" s="1" t="s">
        <v>13313</v>
      </c>
      <c r="D1205" s="1" t="s">
        <v>13314</v>
      </c>
      <c r="E1205" s="1" t="s">
        <v>13315</v>
      </c>
    </row>
    <row r="1206" spans="1:5" x14ac:dyDescent="0.15">
      <c r="A1206" s="1" t="s">
        <v>14191</v>
      </c>
      <c r="B1206" s="1" t="s">
        <v>13316</v>
      </c>
      <c r="C1206" s="1" t="s">
        <v>13317</v>
      </c>
      <c r="D1206" s="1" t="s">
        <v>13318</v>
      </c>
      <c r="E1206" s="1" t="s">
        <v>13319</v>
      </c>
    </row>
    <row r="1207" spans="1:5" x14ac:dyDescent="0.15">
      <c r="A1207" s="1" t="s">
        <v>14191</v>
      </c>
      <c r="B1207" s="1" t="s">
        <v>13320</v>
      </c>
      <c r="C1207" s="1" t="s">
        <v>13321</v>
      </c>
      <c r="D1207" s="1" t="s">
        <v>13322</v>
      </c>
      <c r="E1207" s="1" t="s">
        <v>13323</v>
      </c>
    </row>
    <row r="1208" spans="1:5" x14ac:dyDescent="0.15">
      <c r="A1208" s="1" t="s">
        <v>14191</v>
      </c>
      <c r="B1208" s="1" t="s">
        <v>13324</v>
      </c>
      <c r="C1208" s="1" t="s">
        <v>13325</v>
      </c>
      <c r="D1208" s="1" t="s">
        <v>13326</v>
      </c>
      <c r="E1208" s="1" t="s">
        <v>13327</v>
      </c>
    </row>
    <row r="1209" spans="1:5" x14ac:dyDescent="0.15">
      <c r="A1209" s="1" t="s">
        <v>14191</v>
      </c>
      <c r="B1209" s="1" t="s">
        <v>13328</v>
      </c>
      <c r="C1209" s="1" t="s">
        <v>13329</v>
      </c>
      <c r="D1209" s="1" t="s">
        <v>13330</v>
      </c>
      <c r="E1209" s="1" t="s">
        <v>13331</v>
      </c>
    </row>
    <row r="1210" spans="1:5" x14ac:dyDescent="0.15">
      <c r="A1210" s="1" t="s">
        <v>14191</v>
      </c>
      <c r="B1210" s="1" t="s">
        <v>13332</v>
      </c>
      <c r="C1210" s="1" t="s">
        <v>13333</v>
      </c>
      <c r="D1210" s="1" t="s">
        <v>13334</v>
      </c>
      <c r="E1210" s="1" t="s">
        <v>13335</v>
      </c>
    </row>
    <row r="1211" spans="1:5" x14ac:dyDescent="0.15">
      <c r="A1211" s="1" t="s">
        <v>14191</v>
      </c>
      <c r="B1211" s="1" t="s">
        <v>13336</v>
      </c>
      <c r="C1211" s="1" t="s">
        <v>13337</v>
      </c>
      <c r="D1211" s="1" t="s">
        <v>13338</v>
      </c>
      <c r="E1211" s="1" t="s">
        <v>13339</v>
      </c>
    </row>
    <row r="1212" spans="1:5" x14ac:dyDescent="0.15">
      <c r="A1212" s="1" t="s">
        <v>14191</v>
      </c>
      <c r="B1212" s="1" t="s">
        <v>13340</v>
      </c>
      <c r="C1212" s="1" t="s">
        <v>13341</v>
      </c>
      <c r="D1212" s="1" t="s">
        <v>13342</v>
      </c>
      <c r="E1212" s="1" t="s">
        <v>13343</v>
      </c>
    </row>
    <row r="1213" spans="1:5" x14ac:dyDescent="0.15">
      <c r="A1213" s="1" t="s">
        <v>14191</v>
      </c>
      <c r="B1213" s="1" t="s">
        <v>13344</v>
      </c>
      <c r="C1213" s="1" t="s">
        <v>13345</v>
      </c>
      <c r="D1213" s="1" t="s">
        <v>13346</v>
      </c>
      <c r="E1213" s="1" t="s">
        <v>13347</v>
      </c>
    </row>
    <row r="1214" spans="1:5" x14ac:dyDescent="0.15">
      <c r="A1214" s="1" t="s">
        <v>14191</v>
      </c>
      <c r="B1214" s="1" t="s">
        <v>13348</v>
      </c>
      <c r="C1214" s="1" t="s">
        <v>13349</v>
      </c>
      <c r="D1214" s="1" t="s">
        <v>13350</v>
      </c>
      <c r="E1214" s="1" t="s">
        <v>13351</v>
      </c>
    </row>
    <row r="1215" spans="1:5" x14ac:dyDescent="0.15">
      <c r="A1215" s="1" t="s">
        <v>14191</v>
      </c>
      <c r="B1215" s="1" t="s">
        <v>13352</v>
      </c>
      <c r="C1215" s="1" t="s">
        <v>13353</v>
      </c>
      <c r="D1215" s="1" t="s">
        <v>13354</v>
      </c>
      <c r="E1215" s="1" t="s">
        <v>13355</v>
      </c>
    </row>
    <row r="1216" spans="1:5" x14ac:dyDescent="0.15">
      <c r="A1216" s="1" t="s">
        <v>14191</v>
      </c>
      <c r="B1216" s="1" t="s">
        <v>13356</v>
      </c>
      <c r="C1216" s="1" t="s">
        <v>13357</v>
      </c>
      <c r="D1216" s="1" t="s">
        <v>13358</v>
      </c>
      <c r="E1216" s="1" t="s">
        <v>13359</v>
      </c>
    </row>
    <row r="1217" spans="1:5" x14ac:dyDescent="0.15">
      <c r="A1217" s="1" t="s">
        <v>14191</v>
      </c>
      <c r="B1217" s="1" t="s">
        <v>13360</v>
      </c>
      <c r="C1217" s="1" t="s">
        <v>13361</v>
      </c>
      <c r="D1217" s="1" t="s">
        <v>13362</v>
      </c>
      <c r="E1217" s="1" t="s">
        <v>13363</v>
      </c>
    </row>
    <row r="1218" spans="1:5" x14ac:dyDescent="0.15">
      <c r="A1218" s="1" t="s">
        <v>14191</v>
      </c>
      <c r="B1218" s="1" t="s">
        <v>13364</v>
      </c>
      <c r="C1218" s="1" t="s">
        <v>13365</v>
      </c>
      <c r="D1218" s="1" t="s">
        <v>13366</v>
      </c>
      <c r="E1218" s="1" t="s">
        <v>13367</v>
      </c>
    </row>
    <row r="1219" spans="1:5" x14ac:dyDescent="0.15">
      <c r="A1219" s="1" t="s">
        <v>14191</v>
      </c>
      <c r="B1219" s="1" t="s">
        <v>13368</v>
      </c>
      <c r="C1219" s="1" t="s">
        <v>13369</v>
      </c>
      <c r="D1219" s="1" t="s">
        <v>13370</v>
      </c>
      <c r="E1219" s="1" t="s">
        <v>13371</v>
      </c>
    </row>
    <row r="1220" spans="1:5" x14ac:dyDescent="0.15">
      <c r="A1220" s="1" t="s">
        <v>14191</v>
      </c>
      <c r="B1220" s="1" t="s">
        <v>13372</v>
      </c>
      <c r="C1220" s="1" t="s">
        <v>13373</v>
      </c>
      <c r="D1220" s="1" t="s">
        <v>13374</v>
      </c>
      <c r="E1220" s="1" t="s">
        <v>13375</v>
      </c>
    </row>
    <row r="1221" spans="1:5" x14ac:dyDescent="0.15">
      <c r="A1221" s="1" t="s">
        <v>14191</v>
      </c>
      <c r="B1221" s="1" t="s">
        <v>13376</v>
      </c>
      <c r="C1221" s="1" t="s">
        <v>13377</v>
      </c>
      <c r="D1221" s="1" t="s">
        <v>13378</v>
      </c>
      <c r="E1221" s="1" t="s">
        <v>13379</v>
      </c>
    </row>
    <row r="1222" spans="1:5" x14ac:dyDescent="0.15">
      <c r="A1222" s="1" t="s">
        <v>14191</v>
      </c>
      <c r="B1222" s="1" t="s">
        <v>13380</v>
      </c>
      <c r="C1222" s="1" t="s">
        <v>13381</v>
      </c>
      <c r="D1222" s="1" t="s">
        <v>13382</v>
      </c>
      <c r="E1222" s="1" t="s">
        <v>13383</v>
      </c>
    </row>
    <row r="1223" spans="1:5" x14ac:dyDescent="0.15">
      <c r="A1223" s="1" t="s">
        <v>14191</v>
      </c>
      <c r="B1223" s="1" t="s">
        <v>13384</v>
      </c>
      <c r="C1223" s="1" t="s">
        <v>13385</v>
      </c>
      <c r="D1223" s="1" t="s">
        <v>13386</v>
      </c>
      <c r="E1223" s="1" t="s">
        <v>13387</v>
      </c>
    </row>
    <row r="1224" spans="1:5" x14ac:dyDescent="0.15">
      <c r="A1224" s="1" t="s">
        <v>14191</v>
      </c>
      <c r="B1224" s="1" t="s">
        <v>13388</v>
      </c>
      <c r="C1224" s="1" t="s">
        <v>13389</v>
      </c>
      <c r="D1224" s="1" t="s">
        <v>13390</v>
      </c>
      <c r="E1224" s="1" t="s">
        <v>13391</v>
      </c>
    </row>
    <row r="1225" spans="1:5" x14ac:dyDescent="0.15">
      <c r="A1225" s="1" t="s">
        <v>14191</v>
      </c>
      <c r="B1225" s="1" t="s">
        <v>13392</v>
      </c>
      <c r="C1225" s="1" t="s">
        <v>13393</v>
      </c>
      <c r="D1225" s="1" t="s">
        <v>13394</v>
      </c>
      <c r="E1225" s="1" t="s">
        <v>13395</v>
      </c>
    </row>
    <row r="1226" spans="1:5" x14ac:dyDescent="0.15">
      <c r="A1226" s="1" t="s">
        <v>14191</v>
      </c>
      <c r="B1226" s="1" t="s">
        <v>13396</v>
      </c>
      <c r="C1226" s="1" t="s">
        <v>13397</v>
      </c>
      <c r="D1226" s="1" t="s">
        <v>13398</v>
      </c>
      <c r="E1226" s="1" t="s">
        <v>13399</v>
      </c>
    </row>
    <row r="1227" spans="1:5" x14ac:dyDescent="0.15">
      <c r="A1227" s="1" t="s">
        <v>14191</v>
      </c>
      <c r="B1227" s="1" t="s">
        <v>13400</v>
      </c>
      <c r="C1227" s="1" t="s">
        <v>13401</v>
      </c>
      <c r="D1227" s="1" t="s">
        <v>13402</v>
      </c>
      <c r="E1227" s="1" t="s">
        <v>13403</v>
      </c>
    </row>
    <row r="1228" spans="1:5" x14ac:dyDescent="0.15">
      <c r="A1228" s="1" t="s">
        <v>14191</v>
      </c>
      <c r="B1228" s="1" t="s">
        <v>13404</v>
      </c>
      <c r="C1228" s="1" t="s">
        <v>13405</v>
      </c>
      <c r="D1228" s="1" t="s">
        <v>13406</v>
      </c>
      <c r="E1228" s="1" t="s">
        <v>13407</v>
      </c>
    </row>
    <row r="1229" spans="1:5" x14ac:dyDescent="0.15">
      <c r="A1229" s="1" t="s">
        <v>14191</v>
      </c>
      <c r="B1229" s="1" t="s">
        <v>13408</v>
      </c>
      <c r="C1229" s="1" t="s">
        <v>13409</v>
      </c>
      <c r="D1229" s="1" t="s">
        <v>13410</v>
      </c>
      <c r="E1229" s="1" t="s">
        <v>13411</v>
      </c>
    </row>
    <row r="1230" spans="1:5" x14ac:dyDescent="0.15">
      <c r="A1230" s="1" t="s">
        <v>14191</v>
      </c>
      <c r="B1230" s="1" t="s">
        <v>13412</v>
      </c>
      <c r="C1230" s="1" t="s">
        <v>13413</v>
      </c>
      <c r="D1230" s="1" t="s">
        <v>13414</v>
      </c>
      <c r="E1230" s="1" t="s">
        <v>13415</v>
      </c>
    </row>
    <row r="1231" spans="1:5" x14ac:dyDescent="0.15">
      <c r="A1231" s="1" t="s">
        <v>14191</v>
      </c>
      <c r="B1231" s="1" t="s">
        <v>13416</v>
      </c>
      <c r="C1231" s="1" t="s">
        <v>13417</v>
      </c>
      <c r="D1231" s="1" t="s">
        <v>13418</v>
      </c>
      <c r="E1231" s="1" t="s">
        <v>13419</v>
      </c>
    </row>
    <row r="1232" spans="1:5" x14ac:dyDescent="0.15">
      <c r="A1232" s="1" t="s">
        <v>14191</v>
      </c>
      <c r="B1232" s="1" t="s">
        <v>13420</v>
      </c>
      <c r="C1232" s="1" t="s">
        <v>13417</v>
      </c>
      <c r="D1232" s="1" t="s">
        <v>13421</v>
      </c>
      <c r="E1232" s="1" t="s">
        <v>13422</v>
      </c>
    </row>
    <row r="1233" spans="1:5" x14ac:dyDescent="0.15">
      <c r="A1233" s="1" t="s">
        <v>14191</v>
      </c>
      <c r="B1233" s="1" t="s">
        <v>13423</v>
      </c>
      <c r="C1233" s="1" t="s">
        <v>13424</v>
      </c>
      <c r="D1233" s="1" t="s">
        <v>13425</v>
      </c>
      <c r="E1233" s="1" t="s">
        <v>13426</v>
      </c>
    </row>
    <row r="1234" spans="1:5" x14ac:dyDescent="0.15">
      <c r="A1234" s="1" t="s">
        <v>14191</v>
      </c>
      <c r="B1234" s="1" t="s">
        <v>13427</v>
      </c>
      <c r="C1234" s="1" t="s">
        <v>13428</v>
      </c>
      <c r="D1234" s="1" t="s">
        <v>13429</v>
      </c>
      <c r="E1234" s="1" t="s">
        <v>13430</v>
      </c>
    </row>
    <row r="1235" spans="1:5" x14ac:dyDescent="0.15">
      <c r="A1235" s="1" t="s">
        <v>14191</v>
      </c>
      <c r="B1235" s="1" t="s">
        <v>13431</v>
      </c>
      <c r="C1235" s="1" t="s">
        <v>13432</v>
      </c>
      <c r="D1235" s="1" t="s">
        <v>13433</v>
      </c>
      <c r="E1235" s="1" t="s">
        <v>13434</v>
      </c>
    </row>
    <row r="1236" spans="1:5" x14ac:dyDescent="0.15">
      <c r="A1236" s="1" t="s">
        <v>14191</v>
      </c>
      <c r="B1236" s="1" t="s">
        <v>13435</v>
      </c>
      <c r="C1236" s="1" t="s">
        <v>13436</v>
      </c>
      <c r="D1236" s="1" t="s">
        <v>13437</v>
      </c>
      <c r="E1236" s="1" t="s">
        <v>13438</v>
      </c>
    </row>
    <row r="1237" spans="1:5" x14ac:dyDescent="0.15">
      <c r="A1237" s="1" t="s">
        <v>14191</v>
      </c>
      <c r="B1237" s="1" t="s">
        <v>13439</v>
      </c>
      <c r="C1237" s="1" t="s">
        <v>13440</v>
      </c>
      <c r="D1237" s="1" t="s">
        <v>13441</v>
      </c>
      <c r="E1237" s="1" t="s">
        <v>13442</v>
      </c>
    </row>
    <row r="1238" spans="1:5" x14ac:dyDescent="0.15">
      <c r="A1238" s="1" t="s">
        <v>14191</v>
      </c>
      <c r="B1238" s="1" t="s">
        <v>13443</v>
      </c>
      <c r="C1238" s="1" t="s">
        <v>13444</v>
      </c>
      <c r="D1238" s="1" t="s">
        <v>13445</v>
      </c>
      <c r="E1238" s="1" t="s">
        <v>13446</v>
      </c>
    </row>
    <row r="1239" spans="1:5" x14ac:dyDescent="0.15">
      <c r="A1239" s="1" t="s">
        <v>14191</v>
      </c>
      <c r="B1239" s="1" t="s">
        <v>13447</v>
      </c>
      <c r="C1239" s="1" t="s">
        <v>13444</v>
      </c>
      <c r="D1239" s="1" t="s">
        <v>13448</v>
      </c>
      <c r="E1239" s="1" t="s">
        <v>13449</v>
      </c>
    </row>
    <row r="1240" spans="1:5" x14ac:dyDescent="0.15">
      <c r="A1240" s="1" t="s">
        <v>14191</v>
      </c>
      <c r="B1240" s="1" t="s">
        <v>13450</v>
      </c>
      <c r="C1240" s="1" t="s">
        <v>13451</v>
      </c>
      <c r="D1240" s="1" t="s">
        <v>13452</v>
      </c>
      <c r="E1240" s="1" t="s">
        <v>13453</v>
      </c>
    </row>
    <row r="1241" spans="1:5" x14ac:dyDescent="0.15">
      <c r="A1241" s="1" t="s">
        <v>14191</v>
      </c>
      <c r="B1241" s="1" t="s">
        <v>13454</v>
      </c>
      <c r="C1241" s="1" t="s">
        <v>13455</v>
      </c>
      <c r="D1241" s="1" t="s">
        <v>13456</v>
      </c>
      <c r="E1241" s="1" t="s">
        <v>13457</v>
      </c>
    </row>
    <row r="1242" spans="1:5" x14ac:dyDescent="0.15">
      <c r="A1242" s="1" t="s">
        <v>14191</v>
      </c>
      <c r="B1242" s="1" t="s">
        <v>13458</v>
      </c>
      <c r="C1242" s="1" t="s">
        <v>13459</v>
      </c>
      <c r="D1242" s="1" t="s">
        <v>13460</v>
      </c>
      <c r="E1242" s="1" t="s">
        <v>13461</v>
      </c>
    </row>
    <row r="1243" spans="1:5" x14ac:dyDescent="0.15">
      <c r="A1243" s="1" t="s">
        <v>14191</v>
      </c>
      <c r="B1243" s="1" t="s">
        <v>13462</v>
      </c>
      <c r="C1243" s="1" t="s">
        <v>13463</v>
      </c>
      <c r="D1243" s="1" t="s">
        <v>13464</v>
      </c>
      <c r="E1243" s="1" t="s">
        <v>13465</v>
      </c>
    </row>
    <row r="1244" spans="1:5" x14ac:dyDescent="0.15">
      <c r="A1244" s="1" t="s">
        <v>14191</v>
      </c>
      <c r="B1244" s="1" t="s">
        <v>13466</v>
      </c>
      <c r="C1244" s="1" t="s">
        <v>13467</v>
      </c>
      <c r="D1244" s="1" t="s">
        <v>13468</v>
      </c>
      <c r="E1244" s="1" t="s">
        <v>13469</v>
      </c>
    </row>
    <row r="1245" spans="1:5" x14ac:dyDescent="0.15">
      <c r="A1245" s="1" t="s">
        <v>14191</v>
      </c>
      <c r="B1245" s="1" t="s">
        <v>13470</v>
      </c>
      <c r="C1245" s="1" t="s">
        <v>13471</v>
      </c>
      <c r="D1245" s="1" t="s">
        <v>13472</v>
      </c>
      <c r="E1245" s="1" t="s">
        <v>13473</v>
      </c>
    </row>
    <row r="1246" spans="1:5" x14ac:dyDescent="0.15">
      <c r="A1246" s="1" t="s">
        <v>14191</v>
      </c>
      <c r="B1246" s="1" t="s">
        <v>13474</v>
      </c>
      <c r="C1246" s="1" t="s">
        <v>13475</v>
      </c>
      <c r="D1246" s="1" t="s">
        <v>13476</v>
      </c>
      <c r="E1246" s="1" t="s">
        <v>13477</v>
      </c>
    </row>
    <row r="1247" spans="1:5" x14ac:dyDescent="0.15">
      <c r="A1247" s="1" t="s">
        <v>14191</v>
      </c>
      <c r="B1247" s="1" t="s">
        <v>13478</v>
      </c>
      <c r="C1247" s="1" t="s">
        <v>13479</v>
      </c>
      <c r="D1247" s="1" t="s">
        <v>13480</v>
      </c>
      <c r="E1247" s="1" t="s">
        <v>13481</v>
      </c>
    </row>
    <row r="1248" spans="1:5" x14ac:dyDescent="0.15">
      <c r="A1248" s="1" t="s">
        <v>14191</v>
      </c>
      <c r="B1248" s="1" t="s">
        <v>13482</v>
      </c>
      <c r="C1248" s="1" t="s">
        <v>13483</v>
      </c>
      <c r="D1248" s="1" t="s">
        <v>13484</v>
      </c>
      <c r="E1248" s="1" t="s">
        <v>13485</v>
      </c>
    </row>
    <row r="1249" spans="1:5" x14ac:dyDescent="0.15">
      <c r="A1249" s="1" t="s">
        <v>14191</v>
      </c>
      <c r="B1249" s="1" t="s">
        <v>13486</v>
      </c>
      <c r="C1249" s="1" t="s">
        <v>13487</v>
      </c>
      <c r="D1249" s="1" t="s">
        <v>13488</v>
      </c>
      <c r="E1249" s="1" t="s">
        <v>13489</v>
      </c>
    </row>
    <row r="1250" spans="1:5" x14ac:dyDescent="0.15">
      <c r="A1250" s="1" t="s">
        <v>14191</v>
      </c>
      <c r="B1250" s="1" t="s">
        <v>13490</v>
      </c>
      <c r="C1250" s="1" t="s">
        <v>13491</v>
      </c>
      <c r="D1250" s="1" t="s">
        <v>13492</v>
      </c>
      <c r="E1250" s="1" t="s">
        <v>13493</v>
      </c>
    </row>
    <row r="1251" spans="1:5" x14ac:dyDescent="0.15">
      <c r="A1251" s="1" t="s">
        <v>14191</v>
      </c>
      <c r="B1251" s="1" t="s">
        <v>13494</v>
      </c>
      <c r="C1251" s="1" t="s">
        <v>13495</v>
      </c>
      <c r="D1251" s="1" t="s">
        <v>13496</v>
      </c>
      <c r="E1251" s="1" t="s">
        <v>13497</v>
      </c>
    </row>
    <row r="1252" spans="1:5" x14ac:dyDescent="0.15">
      <c r="A1252" s="1" t="s">
        <v>14191</v>
      </c>
      <c r="B1252" s="1" t="s">
        <v>13498</v>
      </c>
      <c r="C1252" s="1" t="s">
        <v>13499</v>
      </c>
      <c r="D1252" s="1" t="s">
        <v>13500</v>
      </c>
      <c r="E1252" s="1" t="s">
        <v>13501</v>
      </c>
    </row>
    <row r="1253" spans="1:5" x14ac:dyDescent="0.15">
      <c r="A1253" s="1" t="s">
        <v>14191</v>
      </c>
      <c r="B1253" s="1" t="s">
        <v>13502</v>
      </c>
      <c r="C1253" s="1" t="s">
        <v>13503</v>
      </c>
      <c r="D1253" s="1" t="s">
        <v>13504</v>
      </c>
      <c r="E1253" s="1" t="s">
        <v>13505</v>
      </c>
    </row>
    <row r="1254" spans="1:5" x14ac:dyDescent="0.15">
      <c r="A1254" s="1" t="s">
        <v>14191</v>
      </c>
      <c r="B1254" s="1" t="s">
        <v>13506</v>
      </c>
      <c r="C1254" s="1" t="s">
        <v>13507</v>
      </c>
      <c r="D1254" s="1" t="s">
        <v>13508</v>
      </c>
      <c r="E1254" s="1" t="s">
        <v>13509</v>
      </c>
    </row>
    <row r="1255" spans="1:5" x14ac:dyDescent="0.15">
      <c r="A1255" s="1" t="s">
        <v>14191</v>
      </c>
      <c r="B1255" s="1" t="s">
        <v>13510</v>
      </c>
      <c r="C1255" s="1" t="s">
        <v>13511</v>
      </c>
      <c r="D1255" s="1" t="s">
        <v>13512</v>
      </c>
      <c r="E1255" s="1" t="s">
        <v>13513</v>
      </c>
    </row>
    <row r="1256" spans="1:5" x14ac:dyDescent="0.15">
      <c r="A1256" s="1" t="s">
        <v>14191</v>
      </c>
      <c r="B1256" s="1" t="s">
        <v>13514</v>
      </c>
      <c r="C1256" s="1" t="s">
        <v>13515</v>
      </c>
      <c r="D1256" s="1" t="s">
        <v>13516</v>
      </c>
      <c r="E1256" s="1" t="s">
        <v>13517</v>
      </c>
    </row>
    <row r="1257" spans="1:5" x14ac:dyDescent="0.15">
      <c r="A1257" s="1" t="s">
        <v>14191</v>
      </c>
      <c r="B1257" s="1" t="s">
        <v>13518</v>
      </c>
      <c r="C1257" s="1" t="s">
        <v>13519</v>
      </c>
      <c r="D1257" s="1" t="s">
        <v>13520</v>
      </c>
      <c r="E1257" s="1" t="s">
        <v>13521</v>
      </c>
    </row>
    <row r="1258" spans="1:5" x14ac:dyDescent="0.15">
      <c r="A1258" s="1" t="s">
        <v>14191</v>
      </c>
      <c r="B1258" s="1" t="s">
        <v>13522</v>
      </c>
      <c r="C1258" s="1" t="s">
        <v>13523</v>
      </c>
      <c r="D1258" s="1" t="s">
        <v>13524</v>
      </c>
      <c r="E1258" s="1" t="s">
        <v>13525</v>
      </c>
    </row>
    <row r="1259" spans="1:5" x14ac:dyDescent="0.15">
      <c r="A1259" s="1" t="s">
        <v>14191</v>
      </c>
      <c r="B1259" s="1" t="s">
        <v>13526</v>
      </c>
      <c r="C1259" s="1" t="s">
        <v>13527</v>
      </c>
      <c r="D1259" s="1" t="s">
        <v>13528</v>
      </c>
      <c r="E1259" s="1" t="s">
        <v>13529</v>
      </c>
    </row>
    <row r="1260" spans="1:5" x14ac:dyDescent="0.15">
      <c r="A1260" s="1" t="s">
        <v>14191</v>
      </c>
      <c r="B1260" s="1" t="s">
        <v>13530</v>
      </c>
      <c r="C1260" s="1" t="s">
        <v>13531</v>
      </c>
      <c r="D1260" s="1" t="s">
        <v>13532</v>
      </c>
      <c r="E1260" s="1" t="s">
        <v>13533</v>
      </c>
    </row>
    <row r="1261" spans="1:5" x14ac:dyDescent="0.15">
      <c r="A1261" s="1" t="s">
        <v>14191</v>
      </c>
      <c r="B1261" s="1" t="s">
        <v>13534</v>
      </c>
      <c r="C1261" s="1" t="s">
        <v>13535</v>
      </c>
      <c r="D1261" s="1" t="s">
        <v>13536</v>
      </c>
      <c r="E1261" s="1" t="s">
        <v>13537</v>
      </c>
    </row>
    <row r="1262" spans="1:5" x14ac:dyDescent="0.15">
      <c r="A1262" s="1" t="s">
        <v>14191</v>
      </c>
      <c r="B1262" s="1" t="s">
        <v>13538</v>
      </c>
      <c r="C1262" s="1" t="s">
        <v>13535</v>
      </c>
      <c r="D1262" s="1" t="s">
        <v>13539</v>
      </c>
      <c r="E1262" s="1" t="s">
        <v>13540</v>
      </c>
    </row>
    <row r="1263" spans="1:5" x14ac:dyDescent="0.15">
      <c r="A1263" s="1" t="s">
        <v>14191</v>
      </c>
      <c r="B1263" s="1" t="s">
        <v>13541</v>
      </c>
      <c r="C1263" s="1" t="s">
        <v>13542</v>
      </c>
      <c r="D1263" s="1" t="s">
        <v>13543</v>
      </c>
      <c r="E1263" s="1" t="s">
        <v>13544</v>
      </c>
    </row>
    <row r="1264" spans="1:5" x14ac:dyDescent="0.15">
      <c r="A1264" s="1" t="s">
        <v>14191</v>
      </c>
      <c r="B1264" s="1" t="s">
        <v>13545</v>
      </c>
      <c r="C1264" s="1" t="s">
        <v>13542</v>
      </c>
      <c r="D1264" s="1" t="s">
        <v>13546</v>
      </c>
      <c r="E1264" s="1" t="s">
        <v>13547</v>
      </c>
    </row>
    <row r="1265" spans="1:5" x14ac:dyDescent="0.15">
      <c r="A1265" s="1" t="s">
        <v>14191</v>
      </c>
      <c r="B1265" s="1" t="s">
        <v>13548</v>
      </c>
      <c r="C1265" s="1" t="s">
        <v>13549</v>
      </c>
      <c r="D1265" s="1" t="s">
        <v>13550</v>
      </c>
      <c r="E1265" s="1" t="s">
        <v>13551</v>
      </c>
    </row>
    <row r="1266" spans="1:5" x14ac:dyDescent="0.15">
      <c r="A1266" s="1" t="s">
        <v>14191</v>
      </c>
      <c r="B1266" s="1" t="s">
        <v>13552</v>
      </c>
      <c r="C1266" s="1" t="s">
        <v>13553</v>
      </c>
      <c r="D1266" s="1" t="s">
        <v>13554</v>
      </c>
      <c r="E1266" s="1" t="s">
        <v>13555</v>
      </c>
    </row>
    <row r="1267" spans="1:5" x14ac:dyDescent="0.15">
      <c r="A1267" s="1" t="s">
        <v>14191</v>
      </c>
      <c r="B1267" s="1" t="s">
        <v>13556</v>
      </c>
      <c r="C1267" s="1" t="s">
        <v>13557</v>
      </c>
      <c r="D1267" s="1" t="s">
        <v>13558</v>
      </c>
      <c r="E1267" s="1" t="s">
        <v>13559</v>
      </c>
    </row>
    <row r="1268" spans="1:5" x14ac:dyDescent="0.15">
      <c r="A1268" s="1" t="s">
        <v>14191</v>
      </c>
      <c r="B1268" s="1" t="s">
        <v>13560</v>
      </c>
      <c r="C1268" s="1" t="s">
        <v>13561</v>
      </c>
      <c r="D1268" s="1" t="s">
        <v>13562</v>
      </c>
      <c r="E1268" s="1" t="s">
        <v>13563</v>
      </c>
    </row>
    <row r="1269" spans="1:5" x14ac:dyDescent="0.15">
      <c r="A1269" s="1" t="s">
        <v>14191</v>
      </c>
      <c r="B1269" s="1" t="s">
        <v>13564</v>
      </c>
      <c r="C1269" s="1" t="s">
        <v>13565</v>
      </c>
      <c r="D1269" s="1" t="s">
        <v>13566</v>
      </c>
      <c r="E1269" s="1" t="s">
        <v>13567</v>
      </c>
    </row>
    <row r="1270" spans="1:5" x14ac:dyDescent="0.15">
      <c r="A1270" s="1" t="s">
        <v>14191</v>
      </c>
      <c r="B1270" s="1" t="s">
        <v>13568</v>
      </c>
      <c r="C1270" s="1" t="s">
        <v>13569</v>
      </c>
      <c r="D1270" s="1" t="s">
        <v>13570</v>
      </c>
      <c r="E1270" s="1" t="s">
        <v>13571</v>
      </c>
    </row>
    <row r="1271" spans="1:5" x14ac:dyDescent="0.15">
      <c r="A1271" s="1" t="s">
        <v>14191</v>
      </c>
      <c r="B1271" s="1" t="s">
        <v>13572</v>
      </c>
      <c r="C1271" s="1" t="s">
        <v>13573</v>
      </c>
      <c r="D1271" s="1" t="s">
        <v>13574</v>
      </c>
      <c r="E1271" s="1" t="s">
        <v>13575</v>
      </c>
    </row>
    <row r="1272" spans="1:5" x14ac:dyDescent="0.15">
      <c r="A1272" s="1" t="s">
        <v>14191</v>
      </c>
      <c r="B1272" s="1" t="s">
        <v>13576</v>
      </c>
      <c r="C1272" s="1" t="s">
        <v>13577</v>
      </c>
      <c r="D1272" s="1" t="s">
        <v>13578</v>
      </c>
      <c r="E1272" s="1" t="s">
        <v>13579</v>
      </c>
    </row>
    <row r="1273" spans="1:5" x14ac:dyDescent="0.15">
      <c r="A1273" s="1" t="s">
        <v>14191</v>
      </c>
      <c r="B1273" s="1" t="s">
        <v>13580</v>
      </c>
      <c r="C1273" s="1" t="s">
        <v>13581</v>
      </c>
      <c r="D1273" s="1" t="s">
        <v>13582</v>
      </c>
      <c r="E1273" s="1" t="s">
        <v>13583</v>
      </c>
    </row>
    <row r="1274" spans="1:5" x14ac:dyDescent="0.15">
      <c r="A1274" s="1" t="s">
        <v>14191</v>
      </c>
      <c r="B1274" s="1" t="s">
        <v>13584</v>
      </c>
      <c r="C1274" s="1" t="s">
        <v>13585</v>
      </c>
      <c r="D1274" s="1" t="s">
        <v>13586</v>
      </c>
      <c r="E1274" s="1" t="s">
        <v>13587</v>
      </c>
    </row>
    <row r="1275" spans="1:5" x14ac:dyDescent="0.15">
      <c r="A1275" s="1" t="s">
        <v>14191</v>
      </c>
      <c r="B1275" s="1" t="s">
        <v>13588</v>
      </c>
      <c r="C1275" s="1" t="s">
        <v>13589</v>
      </c>
      <c r="D1275" s="1" t="s">
        <v>13590</v>
      </c>
      <c r="E1275" s="1" t="s">
        <v>13591</v>
      </c>
    </row>
    <row r="1276" spans="1:5" x14ac:dyDescent="0.15">
      <c r="A1276" s="1" t="s">
        <v>14191</v>
      </c>
      <c r="B1276" s="1" t="s">
        <v>13592</v>
      </c>
      <c r="C1276" s="1" t="s">
        <v>13593</v>
      </c>
      <c r="D1276" s="1" t="s">
        <v>13594</v>
      </c>
      <c r="E1276" s="1" t="s">
        <v>13595</v>
      </c>
    </row>
    <row r="1277" spans="1:5" x14ac:dyDescent="0.15">
      <c r="A1277" s="1" t="s">
        <v>14191</v>
      </c>
      <c r="B1277" s="1" t="s">
        <v>13596</v>
      </c>
      <c r="C1277" s="1" t="s">
        <v>13597</v>
      </c>
      <c r="D1277" s="1" t="s">
        <v>12959</v>
      </c>
      <c r="E1277" s="1" t="s">
        <v>12960</v>
      </c>
    </row>
    <row r="1278" spans="1:5" x14ac:dyDescent="0.15">
      <c r="A1278" s="1" t="s">
        <v>14191</v>
      </c>
      <c r="B1278" s="1" t="s">
        <v>12961</v>
      </c>
      <c r="C1278" s="1" t="s">
        <v>12962</v>
      </c>
      <c r="D1278" s="1" t="s">
        <v>12963</v>
      </c>
      <c r="E1278" s="1" t="s">
        <v>12964</v>
      </c>
    </row>
    <row r="1279" spans="1:5" x14ac:dyDescent="0.15">
      <c r="A1279" s="1" t="s">
        <v>14191</v>
      </c>
      <c r="B1279" s="1" t="s">
        <v>12965</v>
      </c>
      <c r="C1279" s="1" t="s">
        <v>12966</v>
      </c>
      <c r="D1279" s="1" t="s">
        <v>12967</v>
      </c>
      <c r="E1279" s="1" t="s">
        <v>12968</v>
      </c>
    </row>
    <row r="1280" spans="1:5" x14ac:dyDescent="0.15">
      <c r="A1280" s="1" t="s">
        <v>14191</v>
      </c>
      <c r="B1280" s="1" t="s">
        <v>12969</v>
      </c>
      <c r="C1280" s="1" t="s">
        <v>12970</v>
      </c>
      <c r="D1280" s="1" t="s">
        <v>12971</v>
      </c>
      <c r="E1280" s="1" t="s">
        <v>12972</v>
      </c>
    </row>
    <row r="1281" spans="1:5" x14ac:dyDescent="0.15">
      <c r="A1281" s="1" t="s">
        <v>14191</v>
      </c>
      <c r="B1281" s="1" t="s">
        <v>12973</v>
      </c>
      <c r="C1281" s="1" t="s">
        <v>12974</v>
      </c>
      <c r="D1281" s="1" t="s">
        <v>12975</v>
      </c>
      <c r="E1281" s="1" t="s">
        <v>12976</v>
      </c>
    </row>
    <row r="1282" spans="1:5" x14ac:dyDescent="0.15">
      <c r="A1282" s="1" t="s">
        <v>14191</v>
      </c>
      <c r="B1282" s="1" t="s">
        <v>12977</v>
      </c>
      <c r="C1282" s="1" t="s">
        <v>12978</v>
      </c>
      <c r="D1282" s="1" t="s">
        <v>12979</v>
      </c>
      <c r="E1282" s="1" t="s">
        <v>12980</v>
      </c>
    </row>
    <row r="1283" spans="1:5" x14ac:dyDescent="0.15">
      <c r="A1283" s="1" t="s">
        <v>14191</v>
      </c>
      <c r="B1283" s="1" t="s">
        <v>12981</v>
      </c>
      <c r="C1283" s="1" t="s">
        <v>12982</v>
      </c>
      <c r="D1283" s="1" t="s">
        <v>12983</v>
      </c>
      <c r="E1283" s="1" t="s">
        <v>12984</v>
      </c>
    </row>
    <row r="1284" spans="1:5" x14ac:dyDescent="0.15">
      <c r="A1284" s="1" t="s">
        <v>14191</v>
      </c>
      <c r="B1284" s="1" t="s">
        <v>12985</v>
      </c>
      <c r="C1284" s="1" t="s">
        <v>12986</v>
      </c>
      <c r="D1284" s="1" t="s">
        <v>12987</v>
      </c>
      <c r="E1284" s="1" t="s">
        <v>12988</v>
      </c>
    </row>
    <row r="1285" spans="1:5" x14ac:dyDescent="0.15">
      <c r="A1285" s="1" t="s">
        <v>14191</v>
      </c>
      <c r="B1285" s="1" t="s">
        <v>12989</v>
      </c>
      <c r="C1285" s="1" t="s">
        <v>12990</v>
      </c>
      <c r="D1285" s="1" t="s">
        <v>12991</v>
      </c>
      <c r="E1285" s="1" t="s">
        <v>12992</v>
      </c>
    </row>
    <row r="1286" spans="1:5" x14ac:dyDescent="0.15">
      <c r="A1286" s="1" t="s">
        <v>14191</v>
      </c>
      <c r="B1286" s="1" t="s">
        <v>12993</v>
      </c>
      <c r="C1286" s="1" t="s">
        <v>12994</v>
      </c>
      <c r="D1286" s="1" t="s">
        <v>12995</v>
      </c>
      <c r="E1286" s="1" t="s">
        <v>12996</v>
      </c>
    </row>
    <row r="1287" spans="1:5" x14ac:dyDescent="0.15">
      <c r="A1287" s="1" t="s">
        <v>14191</v>
      </c>
      <c r="B1287" s="1" t="s">
        <v>12997</v>
      </c>
      <c r="C1287" s="1" t="s">
        <v>12998</v>
      </c>
      <c r="D1287" s="1" t="s">
        <v>12999</v>
      </c>
      <c r="E1287" s="1" t="s">
        <v>13000</v>
      </c>
    </row>
    <row r="1288" spans="1:5" x14ac:dyDescent="0.15">
      <c r="A1288" s="1" t="s">
        <v>14191</v>
      </c>
      <c r="B1288" s="1" t="s">
        <v>13001</v>
      </c>
      <c r="C1288" s="1" t="s">
        <v>13002</v>
      </c>
      <c r="D1288" s="1" t="s">
        <v>13003</v>
      </c>
      <c r="E1288" s="1" t="s">
        <v>13004</v>
      </c>
    </row>
    <row r="1289" spans="1:5" x14ac:dyDescent="0.15">
      <c r="A1289" s="1" t="s">
        <v>14191</v>
      </c>
      <c r="B1289" s="1" t="s">
        <v>13005</v>
      </c>
      <c r="C1289" s="1" t="s">
        <v>13006</v>
      </c>
      <c r="D1289" s="1" t="s">
        <v>13007</v>
      </c>
      <c r="E1289" s="1" t="s">
        <v>13008</v>
      </c>
    </row>
    <row r="1290" spans="1:5" x14ac:dyDescent="0.15">
      <c r="A1290" s="1" t="s">
        <v>14191</v>
      </c>
      <c r="B1290" s="1" t="s">
        <v>13009</v>
      </c>
      <c r="C1290" s="1" t="s">
        <v>13010</v>
      </c>
      <c r="D1290" s="1" t="s">
        <v>13011</v>
      </c>
      <c r="E1290" s="1" t="s">
        <v>13012</v>
      </c>
    </row>
    <row r="1291" spans="1:5" x14ac:dyDescent="0.15">
      <c r="A1291" s="1" t="s">
        <v>14191</v>
      </c>
      <c r="B1291" s="1" t="s">
        <v>13013</v>
      </c>
      <c r="C1291" s="1" t="s">
        <v>13014</v>
      </c>
      <c r="D1291" s="1" t="s">
        <v>13015</v>
      </c>
      <c r="E1291" s="1" t="s">
        <v>13016</v>
      </c>
    </row>
    <row r="1292" spans="1:5" x14ac:dyDescent="0.15">
      <c r="A1292" s="1" t="s">
        <v>14191</v>
      </c>
      <c r="B1292" s="1" t="s">
        <v>13017</v>
      </c>
      <c r="C1292" s="1" t="s">
        <v>13018</v>
      </c>
      <c r="D1292" s="1" t="s">
        <v>13019</v>
      </c>
      <c r="E1292" s="1" t="s">
        <v>13020</v>
      </c>
    </row>
    <row r="1293" spans="1:5" x14ac:dyDescent="0.15">
      <c r="A1293" s="1" t="s">
        <v>14191</v>
      </c>
      <c r="B1293" s="1" t="s">
        <v>13021</v>
      </c>
      <c r="C1293" s="1" t="s">
        <v>13022</v>
      </c>
      <c r="D1293" s="1" t="s">
        <v>13023</v>
      </c>
      <c r="E1293" s="1" t="s">
        <v>13024</v>
      </c>
    </row>
    <row r="1294" spans="1:5" x14ac:dyDescent="0.15">
      <c r="A1294" s="1" t="s">
        <v>14191</v>
      </c>
      <c r="B1294" s="1" t="s">
        <v>13025</v>
      </c>
      <c r="C1294" s="1" t="s">
        <v>13026</v>
      </c>
      <c r="D1294" s="1" t="s">
        <v>13027</v>
      </c>
      <c r="E1294" s="1" t="s">
        <v>13028</v>
      </c>
    </row>
    <row r="1295" spans="1:5" x14ac:dyDescent="0.15">
      <c r="A1295" s="1" t="s">
        <v>14191</v>
      </c>
      <c r="B1295" s="1" t="s">
        <v>13029</v>
      </c>
      <c r="C1295" s="1" t="s">
        <v>13030</v>
      </c>
      <c r="D1295" s="1" t="s">
        <v>13031</v>
      </c>
      <c r="E1295" s="1" t="s">
        <v>13032</v>
      </c>
    </row>
    <row r="1296" spans="1:5" x14ac:dyDescent="0.15">
      <c r="A1296" s="1" t="s">
        <v>14191</v>
      </c>
      <c r="B1296" s="1" t="s">
        <v>13033</v>
      </c>
      <c r="C1296" s="1" t="s">
        <v>13034</v>
      </c>
      <c r="D1296" s="1" t="s">
        <v>13035</v>
      </c>
      <c r="E1296" s="1" t="s">
        <v>13036</v>
      </c>
    </row>
    <row r="1297" spans="1:5" x14ac:dyDescent="0.15">
      <c r="A1297" s="1" t="s">
        <v>14191</v>
      </c>
      <c r="B1297" s="1" t="s">
        <v>13037</v>
      </c>
      <c r="C1297" s="1" t="s">
        <v>13038</v>
      </c>
      <c r="D1297" s="1" t="s">
        <v>13039</v>
      </c>
      <c r="E1297" s="1" t="s">
        <v>13040</v>
      </c>
    </row>
    <row r="1298" spans="1:5" x14ac:dyDescent="0.15">
      <c r="A1298" s="1" t="s">
        <v>14191</v>
      </c>
      <c r="B1298" s="1" t="s">
        <v>13041</v>
      </c>
      <c r="C1298" s="1" t="s">
        <v>13042</v>
      </c>
      <c r="D1298" s="1" t="s">
        <v>13043</v>
      </c>
      <c r="E1298" s="1" t="s">
        <v>13044</v>
      </c>
    </row>
    <row r="1299" spans="1:5" x14ac:dyDescent="0.15">
      <c r="A1299" s="1" t="s">
        <v>14191</v>
      </c>
      <c r="B1299" s="1" t="s">
        <v>13045</v>
      </c>
      <c r="C1299" s="1" t="s">
        <v>13046</v>
      </c>
      <c r="D1299" s="1" t="s">
        <v>13047</v>
      </c>
      <c r="E1299" s="1" t="s">
        <v>13048</v>
      </c>
    </row>
    <row r="1300" spans="1:5" x14ac:dyDescent="0.15">
      <c r="A1300" s="1" t="s">
        <v>14191</v>
      </c>
      <c r="B1300" s="1" t="s">
        <v>13049</v>
      </c>
      <c r="C1300" s="1" t="s">
        <v>13050</v>
      </c>
      <c r="D1300" s="1" t="s">
        <v>13051</v>
      </c>
      <c r="E1300" s="1" t="s">
        <v>13052</v>
      </c>
    </row>
    <row r="1301" spans="1:5" x14ac:dyDescent="0.15">
      <c r="A1301" s="1" t="s">
        <v>14191</v>
      </c>
      <c r="B1301" s="1" t="s">
        <v>13053</v>
      </c>
      <c r="C1301" s="1" t="s">
        <v>13054</v>
      </c>
      <c r="D1301" s="1" t="s">
        <v>13055</v>
      </c>
      <c r="E1301" s="1" t="s">
        <v>13056</v>
      </c>
    </row>
    <row r="1302" spans="1:5" x14ac:dyDescent="0.15">
      <c r="A1302" s="1" t="s">
        <v>14191</v>
      </c>
      <c r="B1302" s="1" t="s">
        <v>13057</v>
      </c>
      <c r="C1302" s="1" t="s">
        <v>13058</v>
      </c>
      <c r="D1302" s="1" t="s">
        <v>13059</v>
      </c>
      <c r="E1302" s="1" t="s">
        <v>13060</v>
      </c>
    </row>
    <row r="1303" spans="1:5" x14ac:dyDescent="0.15">
      <c r="A1303" s="1" t="s">
        <v>14191</v>
      </c>
      <c r="B1303" s="1" t="s">
        <v>13061</v>
      </c>
      <c r="C1303" s="1" t="s">
        <v>13062</v>
      </c>
      <c r="D1303" s="1" t="s">
        <v>13063</v>
      </c>
      <c r="E1303" s="1" t="s">
        <v>13064</v>
      </c>
    </row>
    <row r="1304" spans="1:5" x14ac:dyDescent="0.15">
      <c r="A1304" s="1" t="s">
        <v>14191</v>
      </c>
      <c r="B1304" s="1" t="s">
        <v>13065</v>
      </c>
      <c r="C1304" s="1" t="s">
        <v>13066</v>
      </c>
      <c r="D1304" s="1" t="s">
        <v>13067</v>
      </c>
      <c r="E1304" s="1" t="s">
        <v>13068</v>
      </c>
    </row>
    <row r="1305" spans="1:5" x14ac:dyDescent="0.15">
      <c r="A1305" s="1" t="s">
        <v>14191</v>
      </c>
      <c r="B1305" s="1" t="s">
        <v>13069</v>
      </c>
      <c r="C1305" s="1" t="s">
        <v>13070</v>
      </c>
      <c r="D1305" s="1" t="s">
        <v>13071</v>
      </c>
      <c r="E1305" s="1" t="s">
        <v>13072</v>
      </c>
    </row>
    <row r="1306" spans="1:5" x14ac:dyDescent="0.15">
      <c r="A1306" s="1" t="s">
        <v>14191</v>
      </c>
      <c r="B1306" s="1" t="s">
        <v>13073</v>
      </c>
      <c r="C1306" s="1" t="s">
        <v>13074</v>
      </c>
      <c r="D1306" s="1" t="s">
        <v>13075</v>
      </c>
      <c r="E1306" s="1" t="s">
        <v>13076</v>
      </c>
    </row>
    <row r="1307" spans="1:5" x14ac:dyDescent="0.15">
      <c r="A1307" s="1" t="s">
        <v>14191</v>
      </c>
      <c r="B1307" s="1" t="s">
        <v>13077</v>
      </c>
      <c r="C1307" s="1" t="s">
        <v>13078</v>
      </c>
      <c r="D1307" s="1" t="s">
        <v>13079</v>
      </c>
      <c r="E1307" s="1" t="s">
        <v>13080</v>
      </c>
    </row>
    <row r="1308" spans="1:5" x14ac:dyDescent="0.15">
      <c r="A1308" s="1" t="s">
        <v>14191</v>
      </c>
      <c r="B1308" s="1" t="s">
        <v>13081</v>
      </c>
      <c r="C1308" s="1" t="s">
        <v>13082</v>
      </c>
      <c r="D1308" s="1" t="s">
        <v>13083</v>
      </c>
      <c r="E1308" s="1" t="s">
        <v>13084</v>
      </c>
    </row>
    <row r="1309" spans="1:5" x14ac:dyDescent="0.15">
      <c r="A1309" s="1" t="s">
        <v>14191</v>
      </c>
      <c r="B1309" s="1" t="s">
        <v>13085</v>
      </c>
      <c r="C1309" s="1" t="s">
        <v>13086</v>
      </c>
      <c r="D1309" s="1" t="s">
        <v>13087</v>
      </c>
      <c r="E1309" s="1" t="s">
        <v>13088</v>
      </c>
    </row>
    <row r="1310" spans="1:5" x14ac:dyDescent="0.15">
      <c r="A1310" s="1" t="s">
        <v>14191</v>
      </c>
      <c r="B1310" s="1" t="s">
        <v>13089</v>
      </c>
      <c r="C1310" s="1" t="s">
        <v>13090</v>
      </c>
      <c r="D1310" s="1" t="s">
        <v>13091</v>
      </c>
      <c r="E1310" s="1" t="s">
        <v>13092</v>
      </c>
    </row>
    <row r="1311" spans="1:5" x14ac:dyDescent="0.15">
      <c r="A1311" s="1" t="s">
        <v>14191</v>
      </c>
      <c r="B1311" s="1" t="s">
        <v>13093</v>
      </c>
      <c r="C1311" s="1" t="s">
        <v>13094</v>
      </c>
      <c r="D1311" s="1" t="s">
        <v>13095</v>
      </c>
      <c r="E1311" s="1" t="s">
        <v>13096</v>
      </c>
    </row>
    <row r="1312" spans="1:5" x14ac:dyDescent="0.15">
      <c r="A1312" s="1" t="s">
        <v>14191</v>
      </c>
      <c r="B1312" s="1" t="s">
        <v>13097</v>
      </c>
      <c r="C1312" s="1" t="s">
        <v>13098</v>
      </c>
      <c r="D1312" s="1" t="s">
        <v>13099</v>
      </c>
      <c r="E1312" s="1" t="s">
        <v>13100</v>
      </c>
    </row>
    <row r="1313" spans="1:5" x14ac:dyDescent="0.15">
      <c r="A1313" s="1" t="s">
        <v>14191</v>
      </c>
      <c r="B1313" s="1" t="s">
        <v>13101</v>
      </c>
      <c r="C1313" s="1" t="s">
        <v>13102</v>
      </c>
      <c r="D1313" s="1" t="s">
        <v>13103</v>
      </c>
      <c r="E1313" s="1" t="s">
        <v>13104</v>
      </c>
    </row>
    <row r="1314" spans="1:5" x14ac:dyDescent="0.15">
      <c r="A1314" s="1" t="s">
        <v>14191</v>
      </c>
      <c r="B1314" s="1" t="s">
        <v>13105</v>
      </c>
      <c r="C1314" s="1" t="s">
        <v>13106</v>
      </c>
      <c r="D1314" s="1" t="s">
        <v>13107</v>
      </c>
      <c r="E1314" s="1" t="s">
        <v>13108</v>
      </c>
    </row>
    <row r="1315" spans="1:5" x14ac:dyDescent="0.15">
      <c r="A1315" s="1" t="s">
        <v>14191</v>
      </c>
      <c r="B1315" s="1" t="s">
        <v>13109</v>
      </c>
      <c r="C1315" s="1" t="s">
        <v>13110</v>
      </c>
      <c r="D1315" s="1" t="s">
        <v>13111</v>
      </c>
      <c r="E1315" s="1" t="s">
        <v>13112</v>
      </c>
    </row>
    <row r="1316" spans="1:5" x14ac:dyDescent="0.15">
      <c r="A1316" s="1" t="s">
        <v>14191</v>
      </c>
      <c r="B1316" s="1" t="s">
        <v>13113</v>
      </c>
      <c r="C1316" s="1" t="s">
        <v>13114</v>
      </c>
      <c r="D1316" s="1" t="s">
        <v>13115</v>
      </c>
      <c r="E1316" s="1" t="s">
        <v>13116</v>
      </c>
    </row>
    <row r="1317" spans="1:5" x14ac:dyDescent="0.15">
      <c r="A1317" s="1" t="s">
        <v>14191</v>
      </c>
      <c r="B1317" s="1" t="s">
        <v>13117</v>
      </c>
      <c r="C1317" s="1" t="s">
        <v>13118</v>
      </c>
      <c r="D1317" s="1" t="s">
        <v>13119</v>
      </c>
      <c r="E1317" s="1" t="s">
        <v>13120</v>
      </c>
    </row>
    <row r="1318" spans="1:5" x14ac:dyDescent="0.15">
      <c r="A1318" s="1" t="s">
        <v>14191</v>
      </c>
      <c r="B1318" s="1" t="s">
        <v>13121</v>
      </c>
      <c r="C1318" s="1" t="s">
        <v>13122</v>
      </c>
      <c r="D1318" s="1" t="s">
        <v>13123</v>
      </c>
      <c r="E1318" s="1" t="s">
        <v>13124</v>
      </c>
    </row>
    <row r="1319" spans="1:5" x14ac:dyDescent="0.15">
      <c r="A1319" s="1" t="s">
        <v>14191</v>
      </c>
      <c r="B1319" s="1" t="s">
        <v>13125</v>
      </c>
      <c r="C1319" s="1" t="s">
        <v>13126</v>
      </c>
      <c r="D1319" s="1" t="s">
        <v>13127</v>
      </c>
      <c r="E1319" s="1" t="s">
        <v>13128</v>
      </c>
    </row>
    <row r="1320" spans="1:5" x14ac:dyDescent="0.15">
      <c r="A1320" s="1" t="s">
        <v>14191</v>
      </c>
      <c r="B1320" s="1" t="s">
        <v>13129</v>
      </c>
      <c r="C1320" s="1" t="s">
        <v>13130</v>
      </c>
      <c r="D1320" s="1" t="s">
        <v>13131</v>
      </c>
      <c r="E1320" s="1" t="s">
        <v>13132</v>
      </c>
    </row>
    <row r="1321" spans="1:5" x14ac:dyDescent="0.15">
      <c r="A1321" s="1" t="s">
        <v>14191</v>
      </c>
      <c r="B1321" s="1" t="s">
        <v>13133</v>
      </c>
      <c r="C1321" s="1" t="s">
        <v>13134</v>
      </c>
      <c r="D1321" s="1" t="s">
        <v>13135</v>
      </c>
      <c r="E1321" s="1" t="s">
        <v>13136</v>
      </c>
    </row>
    <row r="1322" spans="1:5" x14ac:dyDescent="0.15">
      <c r="A1322" s="1" t="s">
        <v>14191</v>
      </c>
      <c r="B1322" s="1" t="s">
        <v>13137</v>
      </c>
      <c r="C1322" s="1" t="s">
        <v>13138</v>
      </c>
      <c r="D1322" s="1" t="s">
        <v>13139</v>
      </c>
      <c r="E1322" s="1" t="s">
        <v>13140</v>
      </c>
    </row>
    <row r="1323" spans="1:5" x14ac:dyDescent="0.15">
      <c r="A1323" s="1" t="s">
        <v>14191</v>
      </c>
      <c r="B1323" s="1" t="s">
        <v>13141</v>
      </c>
      <c r="C1323" s="1" t="s">
        <v>13142</v>
      </c>
      <c r="D1323" s="1" t="s">
        <v>13143</v>
      </c>
      <c r="E1323" s="1" t="s">
        <v>13144</v>
      </c>
    </row>
    <row r="1324" spans="1:5" x14ac:dyDescent="0.15">
      <c r="A1324" s="1" t="s">
        <v>14191</v>
      </c>
      <c r="B1324" s="1" t="s">
        <v>13145</v>
      </c>
      <c r="C1324" s="1" t="s">
        <v>13146</v>
      </c>
      <c r="D1324" s="1" t="s">
        <v>13147</v>
      </c>
      <c r="E1324" s="1" t="s">
        <v>13148</v>
      </c>
    </row>
    <row r="1325" spans="1:5" x14ac:dyDescent="0.15">
      <c r="A1325" s="1" t="s">
        <v>14191</v>
      </c>
      <c r="B1325" s="1" t="s">
        <v>13149</v>
      </c>
      <c r="C1325" s="1" t="s">
        <v>13150</v>
      </c>
      <c r="D1325" s="1" t="s">
        <v>13151</v>
      </c>
      <c r="E1325" s="1" t="s">
        <v>13152</v>
      </c>
    </row>
    <row r="1326" spans="1:5" x14ac:dyDescent="0.15">
      <c r="A1326" s="1" t="s">
        <v>14191</v>
      </c>
      <c r="B1326" s="1" t="s">
        <v>13153</v>
      </c>
      <c r="C1326" s="1" t="s">
        <v>13154</v>
      </c>
      <c r="D1326" s="1" t="s">
        <v>13155</v>
      </c>
      <c r="E1326" s="1" t="s">
        <v>13156</v>
      </c>
    </row>
    <row r="1327" spans="1:5" x14ac:dyDescent="0.15">
      <c r="A1327" s="1" t="s">
        <v>14191</v>
      </c>
      <c r="B1327" s="1" t="s">
        <v>13157</v>
      </c>
      <c r="C1327" s="1" t="s">
        <v>13158</v>
      </c>
      <c r="D1327" s="1" t="s">
        <v>13159</v>
      </c>
      <c r="E1327" s="1" t="s">
        <v>13160</v>
      </c>
    </row>
    <row r="1328" spans="1:5" x14ac:dyDescent="0.15">
      <c r="A1328" s="1" t="s">
        <v>14191</v>
      </c>
      <c r="B1328" s="1" t="s">
        <v>13161</v>
      </c>
      <c r="C1328" s="1" t="s">
        <v>13162</v>
      </c>
      <c r="D1328" s="1" t="s">
        <v>13163</v>
      </c>
      <c r="E1328" s="1" t="s">
        <v>13164</v>
      </c>
    </row>
    <row r="1329" spans="1:5" x14ac:dyDescent="0.15">
      <c r="A1329" s="1" t="s">
        <v>14191</v>
      </c>
      <c r="B1329" s="1" t="s">
        <v>13165</v>
      </c>
      <c r="C1329" s="1" t="s">
        <v>13166</v>
      </c>
      <c r="D1329" s="1" t="s">
        <v>13167</v>
      </c>
      <c r="E1329" s="1" t="s">
        <v>13168</v>
      </c>
    </row>
    <row r="1330" spans="1:5" x14ac:dyDescent="0.15">
      <c r="A1330" s="1" t="s">
        <v>14191</v>
      </c>
      <c r="B1330" s="1" t="s">
        <v>13169</v>
      </c>
      <c r="C1330" s="1" t="s">
        <v>13170</v>
      </c>
      <c r="D1330" s="1" t="s">
        <v>13171</v>
      </c>
      <c r="E1330" s="1" t="s">
        <v>13172</v>
      </c>
    </row>
    <row r="1331" spans="1:5" x14ac:dyDescent="0.15">
      <c r="A1331" s="1" t="s">
        <v>14191</v>
      </c>
      <c r="B1331" s="1" t="s">
        <v>13173</v>
      </c>
      <c r="C1331" s="1" t="s">
        <v>13174</v>
      </c>
      <c r="D1331" s="1" t="s">
        <v>13175</v>
      </c>
      <c r="E1331" s="1" t="s">
        <v>13176</v>
      </c>
    </row>
    <row r="1332" spans="1:5" x14ac:dyDescent="0.15">
      <c r="A1332" s="1" t="s">
        <v>14191</v>
      </c>
      <c r="B1332" s="1" t="s">
        <v>13177</v>
      </c>
      <c r="C1332" s="1" t="s">
        <v>13178</v>
      </c>
      <c r="D1332" s="1" t="s">
        <v>13179</v>
      </c>
      <c r="E1332" s="1" t="s">
        <v>13180</v>
      </c>
    </row>
    <row r="1333" spans="1:5" x14ac:dyDescent="0.15">
      <c r="A1333" s="1" t="s">
        <v>14191</v>
      </c>
      <c r="B1333" s="1" t="s">
        <v>13181</v>
      </c>
      <c r="C1333" s="1" t="s">
        <v>13182</v>
      </c>
      <c r="D1333" s="1" t="s">
        <v>13183</v>
      </c>
      <c r="E1333" s="1" t="s">
        <v>13184</v>
      </c>
    </row>
    <row r="1334" spans="1:5" x14ac:dyDescent="0.15">
      <c r="A1334" s="1" t="s">
        <v>14191</v>
      </c>
      <c r="B1334" s="1" t="s">
        <v>13185</v>
      </c>
      <c r="C1334" s="1" t="s">
        <v>13186</v>
      </c>
      <c r="D1334" s="1" t="s">
        <v>13187</v>
      </c>
      <c r="E1334" s="1" t="s">
        <v>13188</v>
      </c>
    </row>
    <row r="1335" spans="1:5" x14ac:dyDescent="0.15">
      <c r="A1335" s="1" t="s">
        <v>14191</v>
      </c>
      <c r="B1335" s="1" t="s">
        <v>13189</v>
      </c>
      <c r="C1335" s="1" t="s">
        <v>13190</v>
      </c>
      <c r="D1335" s="1" t="s">
        <v>13191</v>
      </c>
      <c r="E1335" s="1" t="s">
        <v>13192</v>
      </c>
    </row>
    <row r="1336" spans="1:5" x14ac:dyDescent="0.15">
      <c r="A1336" s="1" t="s">
        <v>14191</v>
      </c>
      <c r="B1336" s="1" t="s">
        <v>13193</v>
      </c>
      <c r="C1336" s="1" t="s">
        <v>13194</v>
      </c>
      <c r="D1336" s="1" t="s">
        <v>13195</v>
      </c>
      <c r="E1336" s="1" t="s">
        <v>13196</v>
      </c>
    </row>
    <row r="1337" spans="1:5" x14ac:dyDescent="0.15">
      <c r="A1337" s="1" t="s">
        <v>14191</v>
      </c>
      <c r="B1337" s="1" t="s">
        <v>13197</v>
      </c>
      <c r="C1337" s="1" t="s">
        <v>13198</v>
      </c>
      <c r="D1337" s="1" t="s">
        <v>13199</v>
      </c>
      <c r="E1337" s="1" t="s">
        <v>13200</v>
      </c>
    </row>
    <row r="1338" spans="1:5" x14ac:dyDescent="0.15">
      <c r="A1338" s="1" t="s">
        <v>14191</v>
      </c>
      <c r="B1338" s="1" t="s">
        <v>13201</v>
      </c>
      <c r="C1338" s="1" t="s">
        <v>13202</v>
      </c>
      <c r="D1338" s="1" t="s">
        <v>13203</v>
      </c>
      <c r="E1338" s="1" t="s">
        <v>13204</v>
      </c>
    </row>
    <row r="1339" spans="1:5" x14ac:dyDescent="0.15">
      <c r="A1339" s="1" t="s">
        <v>14191</v>
      </c>
      <c r="B1339" s="1" t="s">
        <v>13205</v>
      </c>
      <c r="C1339" s="1" t="s">
        <v>13206</v>
      </c>
      <c r="D1339" s="1" t="s">
        <v>13207</v>
      </c>
      <c r="E1339" s="1" t="s">
        <v>13208</v>
      </c>
    </row>
    <row r="1340" spans="1:5" x14ac:dyDescent="0.15">
      <c r="A1340" s="1" t="s">
        <v>14191</v>
      </c>
      <c r="B1340" s="1" t="s">
        <v>13209</v>
      </c>
      <c r="C1340" s="1" t="s">
        <v>13210</v>
      </c>
      <c r="D1340" s="1" t="s">
        <v>13211</v>
      </c>
      <c r="E1340" s="1" t="s">
        <v>13212</v>
      </c>
    </row>
    <row r="1341" spans="1:5" x14ac:dyDescent="0.15">
      <c r="A1341" s="1" t="s">
        <v>14191</v>
      </c>
      <c r="B1341" s="1" t="s">
        <v>13213</v>
      </c>
      <c r="C1341" s="1" t="s">
        <v>13214</v>
      </c>
      <c r="D1341" s="1" t="s">
        <v>13215</v>
      </c>
      <c r="E1341" s="1" t="s">
        <v>13216</v>
      </c>
    </row>
    <row r="1342" spans="1:5" x14ac:dyDescent="0.15">
      <c r="A1342" s="1" t="s">
        <v>14191</v>
      </c>
      <c r="B1342" s="1" t="s">
        <v>13217</v>
      </c>
      <c r="C1342" s="1" t="s">
        <v>13218</v>
      </c>
      <c r="D1342" s="1" t="s">
        <v>13219</v>
      </c>
      <c r="E1342" s="1" t="s">
        <v>13220</v>
      </c>
    </row>
    <row r="1343" spans="1:5" x14ac:dyDescent="0.15">
      <c r="A1343" s="1" t="s">
        <v>14191</v>
      </c>
      <c r="B1343" s="1" t="s">
        <v>13221</v>
      </c>
      <c r="C1343" s="1" t="s">
        <v>13222</v>
      </c>
      <c r="D1343" s="1" t="s">
        <v>13223</v>
      </c>
      <c r="E1343" s="1" t="s">
        <v>13224</v>
      </c>
    </row>
    <row r="1344" spans="1:5" x14ac:dyDescent="0.15">
      <c r="A1344" s="1" t="s">
        <v>14191</v>
      </c>
      <c r="B1344" s="1" t="s">
        <v>13225</v>
      </c>
      <c r="C1344" s="1" t="s">
        <v>13226</v>
      </c>
      <c r="D1344" s="1" t="s">
        <v>13227</v>
      </c>
      <c r="E1344" s="1" t="s">
        <v>13228</v>
      </c>
    </row>
    <row r="1345" spans="1:5" x14ac:dyDescent="0.15">
      <c r="A1345" s="1" t="s">
        <v>14191</v>
      </c>
      <c r="B1345" s="1" t="s">
        <v>13229</v>
      </c>
      <c r="C1345" s="1" t="s">
        <v>13230</v>
      </c>
      <c r="D1345" s="1" t="s">
        <v>13231</v>
      </c>
      <c r="E1345" s="1" t="s">
        <v>13232</v>
      </c>
    </row>
    <row r="1346" spans="1:5" x14ac:dyDescent="0.15">
      <c r="A1346" s="1" t="s">
        <v>14191</v>
      </c>
      <c r="B1346" s="1" t="s">
        <v>13233</v>
      </c>
      <c r="C1346" s="1" t="s">
        <v>13234</v>
      </c>
      <c r="D1346" s="1" t="s">
        <v>13235</v>
      </c>
      <c r="E1346" s="1" t="s">
        <v>13236</v>
      </c>
    </row>
    <row r="1347" spans="1:5" x14ac:dyDescent="0.15">
      <c r="A1347" s="1" t="s">
        <v>14191</v>
      </c>
      <c r="B1347" s="1" t="s">
        <v>13237</v>
      </c>
      <c r="C1347" s="1" t="s">
        <v>13238</v>
      </c>
      <c r="D1347" s="1" t="s">
        <v>13239</v>
      </c>
      <c r="E1347" s="1" t="s">
        <v>13240</v>
      </c>
    </row>
    <row r="1348" spans="1:5" x14ac:dyDescent="0.15">
      <c r="A1348" s="1" t="s">
        <v>14191</v>
      </c>
      <c r="B1348" s="1" t="s">
        <v>13241</v>
      </c>
      <c r="C1348" s="1" t="s">
        <v>13242</v>
      </c>
      <c r="D1348" s="1" t="s">
        <v>13243</v>
      </c>
      <c r="E1348" s="1" t="s">
        <v>13244</v>
      </c>
    </row>
    <row r="1349" spans="1:5" x14ac:dyDescent="0.15">
      <c r="A1349" s="1" t="s">
        <v>14191</v>
      </c>
      <c r="B1349" s="1" t="s">
        <v>13245</v>
      </c>
      <c r="C1349" s="1" t="s">
        <v>13246</v>
      </c>
      <c r="D1349" s="1" t="s">
        <v>13247</v>
      </c>
      <c r="E1349" s="1" t="s">
        <v>13248</v>
      </c>
    </row>
    <row r="1350" spans="1:5" x14ac:dyDescent="0.15">
      <c r="A1350" s="1" t="s">
        <v>14191</v>
      </c>
      <c r="B1350" s="1" t="s">
        <v>13249</v>
      </c>
      <c r="C1350" s="1" t="s">
        <v>13250</v>
      </c>
      <c r="D1350" s="1" t="s">
        <v>13251</v>
      </c>
      <c r="E1350" s="1" t="s">
        <v>13252</v>
      </c>
    </row>
    <row r="1351" spans="1:5" x14ac:dyDescent="0.15">
      <c r="A1351" s="1" t="s">
        <v>14191</v>
      </c>
      <c r="B1351" s="1" t="s">
        <v>13253</v>
      </c>
      <c r="C1351" s="1" t="s">
        <v>13254</v>
      </c>
      <c r="D1351" s="1" t="s">
        <v>13255</v>
      </c>
      <c r="E1351" s="1" t="s">
        <v>13256</v>
      </c>
    </row>
    <row r="1352" spans="1:5" x14ac:dyDescent="0.15">
      <c r="A1352" s="1" t="s">
        <v>14191</v>
      </c>
      <c r="B1352" s="1" t="s">
        <v>13257</v>
      </c>
      <c r="C1352" s="1" t="s">
        <v>13258</v>
      </c>
      <c r="D1352" s="1" t="s">
        <v>13259</v>
      </c>
      <c r="E1352" s="1" t="s">
        <v>13260</v>
      </c>
    </row>
    <row r="1353" spans="1:5" x14ac:dyDescent="0.15">
      <c r="A1353" s="1" t="s">
        <v>14191</v>
      </c>
      <c r="B1353" s="1" t="s">
        <v>13261</v>
      </c>
      <c r="C1353" s="1" t="s">
        <v>13262</v>
      </c>
      <c r="D1353" s="1" t="s">
        <v>13263</v>
      </c>
      <c r="E1353" s="1" t="s">
        <v>13264</v>
      </c>
    </row>
    <row r="1354" spans="1:5" x14ac:dyDescent="0.15">
      <c r="A1354" s="1" t="s">
        <v>14191</v>
      </c>
      <c r="B1354" s="1" t="s">
        <v>13265</v>
      </c>
      <c r="C1354" s="1" t="s">
        <v>13266</v>
      </c>
      <c r="D1354" s="1" t="s">
        <v>13267</v>
      </c>
      <c r="E1354" s="1" t="s">
        <v>13268</v>
      </c>
    </row>
    <row r="1355" spans="1:5" x14ac:dyDescent="0.15">
      <c r="A1355" s="1" t="s">
        <v>14191</v>
      </c>
      <c r="B1355" s="1" t="s">
        <v>13269</v>
      </c>
      <c r="C1355" s="1" t="s">
        <v>13270</v>
      </c>
      <c r="D1355" s="1" t="s">
        <v>13271</v>
      </c>
      <c r="E1355" s="1" t="s">
        <v>13272</v>
      </c>
    </row>
    <row r="1356" spans="1:5" x14ac:dyDescent="0.15">
      <c r="A1356" s="1" t="s">
        <v>14191</v>
      </c>
      <c r="B1356" s="1" t="s">
        <v>13273</v>
      </c>
      <c r="C1356" s="1" t="s">
        <v>13274</v>
      </c>
      <c r="D1356" s="1" t="s">
        <v>13275</v>
      </c>
      <c r="E1356" s="1" t="s">
        <v>13276</v>
      </c>
    </row>
    <row r="1357" spans="1:5" x14ac:dyDescent="0.15">
      <c r="A1357" s="1" t="s">
        <v>14191</v>
      </c>
      <c r="B1357" s="1" t="s">
        <v>13277</v>
      </c>
      <c r="C1357" s="1" t="s">
        <v>13278</v>
      </c>
      <c r="D1357" s="1" t="s">
        <v>13279</v>
      </c>
      <c r="E1357" s="1" t="s">
        <v>13280</v>
      </c>
    </row>
    <row r="1358" spans="1:5" x14ac:dyDescent="0.15">
      <c r="A1358" s="1" t="s">
        <v>14191</v>
      </c>
      <c r="B1358" s="1" t="s">
        <v>13281</v>
      </c>
      <c r="C1358" s="1" t="s">
        <v>13282</v>
      </c>
      <c r="D1358" s="1" t="s">
        <v>13283</v>
      </c>
      <c r="E1358" s="1" t="s">
        <v>13284</v>
      </c>
    </row>
    <row r="1359" spans="1:5" x14ac:dyDescent="0.15">
      <c r="A1359" s="1" t="s">
        <v>14191</v>
      </c>
      <c r="B1359" s="1" t="s">
        <v>13285</v>
      </c>
      <c r="C1359" s="1" t="s">
        <v>13286</v>
      </c>
      <c r="D1359" s="1" t="s">
        <v>13287</v>
      </c>
      <c r="E1359" s="1" t="s">
        <v>13288</v>
      </c>
    </row>
    <row r="1360" spans="1:5" x14ac:dyDescent="0.15">
      <c r="A1360" s="1" t="s">
        <v>14191</v>
      </c>
      <c r="B1360" s="1" t="s">
        <v>13289</v>
      </c>
      <c r="C1360" s="1" t="s">
        <v>13290</v>
      </c>
      <c r="D1360" s="1" t="s">
        <v>12675</v>
      </c>
      <c r="E1360" s="1" t="s">
        <v>12676</v>
      </c>
    </row>
    <row r="1361" spans="1:5" x14ac:dyDescent="0.15">
      <c r="A1361" s="1" t="s">
        <v>14191</v>
      </c>
      <c r="B1361" s="1" t="s">
        <v>12677</v>
      </c>
      <c r="C1361" s="1" t="s">
        <v>12678</v>
      </c>
      <c r="D1361" s="1" t="s">
        <v>12679</v>
      </c>
      <c r="E1361" s="1" t="s">
        <v>12680</v>
      </c>
    </row>
    <row r="1362" spans="1:5" x14ac:dyDescent="0.15">
      <c r="A1362" s="1" t="s">
        <v>14191</v>
      </c>
      <c r="B1362" s="1" t="s">
        <v>12681</v>
      </c>
      <c r="C1362" s="1" t="s">
        <v>12682</v>
      </c>
      <c r="D1362" s="1" t="s">
        <v>12683</v>
      </c>
      <c r="E1362" s="1" t="s">
        <v>12684</v>
      </c>
    </row>
    <row r="1363" spans="1:5" x14ac:dyDescent="0.15">
      <c r="A1363" s="1" t="s">
        <v>14191</v>
      </c>
      <c r="B1363" s="1" t="s">
        <v>12685</v>
      </c>
      <c r="C1363" s="1" t="s">
        <v>12686</v>
      </c>
      <c r="D1363" s="1" t="s">
        <v>12687</v>
      </c>
      <c r="E1363" s="1" t="s">
        <v>12688</v>
      </c>
    </row>
    <row r="1364" spans="1:5" x14ac:dyDescent="0.15">
      <c r="A1364" s="1" t="s">
        <v>14191</v>
      </c>
      <c r="B1364" s="1" t="s">
        <v>12689</v>
      </c>
      <c r="C1364" s="1" t="s">
        <v>12690</v>
      </c>
      <c r="D1364" s="1" t="s">
        <v>12691</v>
      </c>
      <c r="E1364" s="1" t="s">
        <v>12692</v>
      </c>
    </row>
    <row r="1365" spans="1:5" x14ac:dyDescent="0.15">
      <c r="A1365" s="1" t="s">
        <v>14191</v>
      </c>
      <c r="B1365" s="1" t="s">
        <v>12693</v>
      </c>
      <c r="C1365" s="1" t="s">
        <v>12694</v>
      </c>
      <c r="D1365" s="1" t="s">
        <v>12695</v>
      </c>
      <c r="E1365" s="1" t="s">
        <v>12696</v>
      </c>
    </row>
    <row r="1366" spans="1:5" x14ac:dyDescent="0.15">
      <c r="A1366" s="1" t="s">
        <v>14191</v>
      </c>
      <c r="B1366" s="1" t="s">
        <v>12697</v>
      </c>
      <c r="C1366" s="1" t="s">
        <v>12698</v>
      </c>
      <c r="D1366" s="1" t="s">
        <v>12699</v>
      </c>
      <c r="E1366" s="1" t="s">
        <v>12700</v>
      </c>
    </row>
    <row r="1367" spans="1:5" x14ac:dyDescent="0.15">
      <c r="A1367" s="1" t="s">
        <v>14191</v>
      </c>
      <c r="B1367" s="1" t="s">
        <v>12701</v>
      </c>
      <c r="C1367" s="1" t="s">
        <v>12702</v>
      </c>
      <c r="D1367" s="1" t="s">
        <v>12703</v>
      </c>
      <c r="E1367" s="1" t="s">
        <v>12704</v>
      </c>
    </row>
    <row r="1368" spans="1:5" x14ac:dyDescent="0.15">
      <c r="A1368" s="1" t="s">
        <v>14191</v>
      </c>
      <c r="B1368" s="1" t="s">
        <v>12705</v>
      </c>
      <c r="C1368" s="1" t="s">
        <v>12706</v>
      </c>
      <c r="D1368" s="1" t="s">
        <v>12707</v>
      </c>
      <c r="E1368" s="1" t="s">
        <v>12708</v>
      </c>
    </row>
    <row r="1369" spans="1:5" x14ac:dyDescent="0.15">
      <c r="A1369" s="1" t="s">
        <v>14191</v>
      </c>
      <c r="B1369" s="1" t="s">
        <v>12709</v>
      </c>
      <c r="C1369" s="1" t="s">
        <v>12710</v>
      </c>
      <c r="D1369" s="1" t="s">
        <v>12711</v>
      </c>
      <c r="E1369" s="1" t="s">
        <v>12712</v>
      </c>
    </row>
    <row r="1370" spans="1:5" x14ac:dyDescent="0.15">
      <c r="A1370" s="1" t="s">
        <v>12713</v>
      </c>
      <c r="B1370" s="1" t="s">
        <v>12714</v>
      </c>
      <c r="C1370" s="1" t="s">
        <v>12715</v>
      </c>
      <c r="D1370" s="1" t="s">
        <v>12716</v>
      </c>
      <c r="E1370" s="1" t="s">
        <v>12717</v>
      </c>
    </row>
    <row r="1371" spans="1:5" x14ac:dyDescent="0.15">
      <c r="A1371" s="1" t="s">
        <v>12713</v>
      </c>
      <c r="B1371" s="1" t="s">
        <v>12718</v>
      </c>
      <c r="C1371" s="1" t="s">
        <v>12719</v>
      </c>
      <c r="D1371" s="1" t="s">
        <v>12720</v>
      </c>
      <c r="E1371" s="1" t="s">
        <v>12721</v>
      </c>
    </row>
    <row r="1372" spans="1:5" x14ac:dyDescent="0.15">
      <c r="A1372" s="1" t="s">
        <v>12713</v>
      </c>
      <c r="B1372" s="1" t="s">
        <v>12722</v>
      </c>
      <c r="C1372" s="1" t="s">
        <v>12723</v>
      </c>
      <c r="D1372" s="1" t="s">
        <v>12724</v>
      </c>
      <c r="E1372" s="1" t="s">
        <v>12725</v>
      </c>
    </row>
    <row r="1373" spans="1:5" x14ac:dyDescent="0.15">
      <c r="A1373" s="1" t="s">
        <v>12713</v>
      </c>
      <c r="B1373" s="1" t="s">
        <v>12726</v>
      </c>
      <c r="C1373" s="1" t="s">
        <v>12727</v>
      </c>
      <c r="D1373" s="1" t="s">
        <v>12728</v>
      </c>
      <c r="E1373" s="1" t="s">
        <v>12729</v>
      </c>
    </row>
    <row r="1374" spans="1:5" x14ac:dyDescent="0.15">
      <c r="A1374" s="1" t="s">
        <v>12713</v>
      </c>
      <c r="B1374" s="1" t="s">
        <v>12730</v>
      </c>
      <c r="C1374" s="1" t="s">
        <v>12731</v>
      </c>
      <c r="D1374" s="1" t="s">
        <v>12732</v>
      </c>
      <c r="E1374" s="1" t="s">
        <v>12733</v>
      </c>
    </row>
    <row r="1375" spans="1:5" x14ac:dyDescent="0.15">
      <c r="A1375" s="1" t="s">
        <v>12713</v>
      </c>
      <c r="B1375" s="1" t="s">
        <v>12734</v>
      </c>
      <c r="C1375" s="1" t="s">
        <v>12735</v>
      </c>
      <c r="D1375" s="1" t="s">
        <v>12736</v>
      </c>
      <c r="E1375" s="1" t="s">
        <v>12737</v>
      </c>
    </row>
    <row r="1376" spans="1:5" x14ac:dyDescent="0.15">
      <c r="A1376" s="1" t="s">
        <v>12713</v>
      </c>
      <c r="B1376" s="1" t="s">
        <v>12738</v>
      </c>
      <c r="C1376" s="1" t="s">
        <v>12739</v>
      </c>
      <c r="D1376" s="1" t="s">
        <v>12740</v>
      </c>
      <c r="E1376" s="1" t="s">
        <v>12741</v>
      </c>
    </row>
    <row r="1377" spans="1:5" x14ac:dyDescent="0.15">
      <c r="A1377" s="1" t="s">
        <v>12713</v>
      </c>
      <c r="B1377" s="1" t="s">
        <v>12742</v>
      </c>
      <c r="C1377" s="1" t="s">
        <v>12743</v>
      </c>
      <c r="D1377" s="1" t="s">
        <v>12744</v>
      </c>
      <c r="E1377" s="1" t="s">
        <v>12745</v>
      </c>
    </row>
    <row r="1378" spans="1:5" x14ac:dyDescent="0.15">
      <c r="A1378" s="1" t="s">
        <v>12713</v>
      </c>
      <c r="B1378" s="1" t="s">
        <v>12746</v>
      </c>
      <c r="C1378" s="1" t="s">
        <v>12747</v>
      </c>
      <c r="D1378" s="1" t="s">
        <v>12748</v>
      </c>
      <c r="E1378" s="1" t="s">
        <v>12749</v>
      </c>
    </row>
    <row r="1379" spans="1:5" x14ac:dyDescent="0.15">
      <c r="A1379" s="1" t="s">
        <v>12713</v>
      </c>
      <c r="B1379" s="1" t="s">
        <v>12750</v>
      </c>
      <c r="C1379" s="1" t="s">
        <v>12751</v>
      </c>
      <c r="D1379" s="1" t="s">
        <v>12752</v>
      </c>
      <c r="E1379" s="1" t="s">
        <v>12753</v>
      </c>
    </row>
    <row r="1380" spans="1:5" x14ac:dyDescent="0.15">
      <c r="A1380" s="1" t="s">
        <v>12713</v>
      </c>
      <c r="B1380" s="1" t="s">
        <v>12754</v>
      </c>
      <c r="C1380" s="1" t="s">
        <v>12755</v>
      </c>
      <c r="D1380" s="1" t="s">
        <v>12756</v>
      </c>
      <c r="E1380" s="1" t="s">
        <v>12757</v>
      </c>
    </row>
    <row r="1381" spans="1:5" x14ac:dyDescent="0.15">
      <c r="A1381" s="1" t="s">
        <v>12713</v>
      </c>
      <c r="B1381" s="1" t="s">
        <v>12758</v>
      </c>
      <c r="C1381" s="1" t="s">
        <v>12759</v>
      </c>
      <c r="D1381" s="1" t="s">
        <v>12760</v>
      </c>
      <c r="E1381" s="1" t="s">
        <v>12761</v>
      </c>
    </row>
    <row r="1382" spans="1:5" x14ac:dyDescent="0.15">
      <c r="A1382" s="1" t="s">
        <v>12713</v>
      </c>
      <c r="B1382" s="1" t="s">
        <v>12762</v>
      </c>
      <c r="C1382" s="1" t="s">
        <v>12759</v>
      </c>
      <c r="D1382" s="1" t="s">
        <v>12763</v>
      </c>
      <c r="E1382" s="1" t="s">
        <v>12764</v>
      </c>
    </row>
    <row r="1383" spans="1:5" x14ac:dyDescent="0.15">
      <c r="A1383" s="1" t="s">
        <v>12713</v>
      </c>
      <c r="B1383" s="1" t="s">
        <v>12765</v>
      </c>
      <c r="C1383" s="1" t="s">
        <v>12766</v>
      </c>
      <c r="D1383" s="1" t="s">
        <v>12767</v>
      </c>
      <c r="E1383" s="1" t="s">
        <v>12768</v>
      </c>
    </row>
    <row r="1384" spans="1:5" x14ac:dyDescent="0.15">
      <c r="A1384" s="1" t="s">
        <v>12713</v>
      </c>
      <c r="B1384" s="1" t="s">
        <v>12769</v>
      </c>
      <c r="C1384" s="1" t="s">
        <v>12770</v>
      </c>
      <c r="D1384" s="1" t="s">
        <v>12771</v>
      </c>
      <c r="E1384" s="1" t="s">
        <v>12772</v>
      </c>
    </row>
    <row r="1385" spans="1:5" x14ac:dyDescent="0.15">
      <c r="A1385" s="1" t="s">
        <v>12713</v>
      </c>
      <c r="B1385" s="1" t="s">
        <v>12773</v>
      </c>
      <c r="C1385" s="1" t="s">
        <v>12774</v>
      </c>
      <c r="D1385" s="1" t="s">
        <v>12775</v>
      </c>
      <c r="E1385" s="1" t="s">
        <v>12776</v>
      </c>
    </row>
    <row r="1386" spans="1:5" x14ac:dyDescent="0.15">
      <c r="A1386" s="1" t="s">
        <v>12713</v>
      </c>
      <c r="B1386" s="1" t="s">
        <v>12777</v>
      </c>
      <c r="C1386" s="1" t="s">
        <v>12778</v>
      </c>
      <c r="D1386" s="1" t="s">
        <v>12779</v>
      </c>
      <c r="E1386" s="1" t="s">
        <v>12780</v>
      </c>
    </row>
    <row r="1387" spans="1:5" x14ac:dyDescent="0.15">
      <c r="A1387" s="1" t="s">
        <v>12713</v>
      </c>
      <c r="B1387" s="1" t="s">
        <v>12781</v>
      </c>
      <c r="C1387" s="1" t="s">
        <v>12782</v>
      </c>
      <c r="D1387" s="1" t="s">
        <v>12783</v>
      </c>
      <c r="E1387" s="1" t="s">
        <v>12784</v>
      </c>
    </row>
    <row r="1388" spans="1:5" x14ac:dyDescent="0.15">
      <c r="A1388" s="1" t="s">
        <v>12713</v>
      </c>
      <c r="B1388" s="1" t="s">
        <v>12785</v>
      </c>
      <c r="C1388" s="1" t="s">
        <v>12786</v>
      </c>
      <c r="D1388" s="1" t="s">
        <v>12787</v>
      </c>
      <c r="E1388" s="1" t="s">
        <v>12788</v>
      </c>
    </row>
    <row r="1389" spans="1:5" x14ac:dyDescent="0.15">
      <c r="A1389" s="1" t="s">
        <v>12713</v>
      </c>
      <c r="B1389" s="1" t="s">
        <v>12789</v>
      </c>
      <c r="C1389" s="1" t="s">
        <v>12790</v>
      </c>
      <c r="D1389" s="1" t="s">
        <v>12791</v>
      </c>
      <c r="E1389" s="1" t="s">
        <v>12792</v>
      </c>
    </row>
    <row r="1390" spans="1:5" x14ac:dyDescent="0.15">
      <c r="A1390" s="1" t="s">
        <v>12713</v>
      </c>
      <c r="B1390" s="1" t="s">
        <v>12793</v>
      </c>
      <c r="C1390" s="1" t="s">
        <v>12794</v>
      </c>
      <c r="D1390" s="1" t="s">
        <v>12795</v>
      </c>
      <c r="E1390" s="1" t="s">
        <v>12796</v>
      </c>
    </row>
    <row r="1391" spans="1:5" x14ac:dyDescent="0.15">
      <c r="A1391" s="1" t="s">
        <v>12713</v>
      </c>
      <c r="B1391" s="1" t="s">
        <v>12797</v>
      </c>
      <c r="C1391" s="1" t="s">
        <v>12798</v>
      </c>
      <c r="D1391" s="1" t="s">
        <v>12799</v>
      </c>
      <c r="E1391" s="1" t="s">
        <v>12800</v>
      </c>
    </row>
    <row r="1392" spans="1:5" x14ac:dyDescent="0.15">
      <c r="A1392" s="1" t="s">
        <v>12713</v>
      </c>
      <c r="B1392" s="1" t="s">
        <v>12801</v>
      </c>
      <c r="C1392" s="1" t="s">
        <v>12802</v>
      </c>
      <c r="D1392" s="1" t="s">
        <v>12803</v>
      </c>
      <c r="E1392" s="1" t="s">
        <v>12804</v>
      </c>
    </row>
    <row r="1393" spans="1:5" x14ac:dyDescent="0.15">
      <c r="A1393" s="1" t="s">
        <v>12713</v>
      </c>
      <c r="B1393" s="1" t="s">
        <v>12805</v>
      </c>
      <c r="C1393" s="1" t="s">
        <v>12806</v>
      </c>
      <c r="D1393" s="1" t="s">
        <v>12807</v>
      </c>
      <c r="E1393" s="1" t="s">
        <v>12808</v>
      </c>
    </row>
    <row r="1394" spans="1:5" x14ac:dyDescent="0.15">
      <c r="A1394" s="1" t="s">
        <v>12713</v>
      </c>
      <c r="B1394" s="1" t="s">
        <v>12809</v>
      </c>
      <c r="C1394" s="1" t="s">
        <v>12810</v>
      </c>
      <c r="D1394" s="1" t="s">
        <v>12811</v>
      </c>
      <c r="E1394" s="1" t="s">
        <v>12812</v>
      </c>
    </row>
    <row r="1395" spans="1:5" x14ac:dyDescent="0.15">
      <c r="A1395" s="1" t="s">
        <v>12713</v>
      </c>
      <c r="B1395" s="1" t="s">
        <v>12813</v>
      </c>
      <c r="C1395" s="1" t="s">
        <v>12814</v>
      </c>
      <c r="D1395" s="1" t="s">
        <v>12815</v>
      </c>
      <c r="E1395" s="1" t="s">
        <v>12816</v>
      </c>
    </row>
    <row r="1396" spans="1:5" x14ac:dyDescent="0.15">
      <c r="A1396" s="1" t="s">
        <v>12713</v>
      </c>
      <c r="B1396" s="1" t="s">
        <v>12817</v>
      </c>
      <c r="C1396" s="1" t="s">
        <v>12814</v>
      </c>
      <c r="D1396" s="1" t="s">
        <v>12818</v>
      </c>
      <c r="E1396" s="1" t="s">
        <v>12819</v>
      </c>
    </row>
    <row r="1397" spans="1:5" x14ac:dyDescent="0.15">
      <c r="A1397" s="1" t="s">
        <v>12713</v>
      </c>
      <c r="B1397" s="1" t="s">
        <v>12820</v>
      </c>
      <c r="C1397" s="1" t="s">
        <v>12821</v>
      </c>
      <c r="D1397" s="1" t="s">
        <v>12822</v>
      </c>
      <c r="E1397" s="1" t="s">
        <v>12823</v>
      </c>
    </row>
    <row r="1398" spans="1:5" x14ac:dyDescent="0.15">
      <c r="A1398" s="1" t="s">
        <v>12713</v>
      </c>
      <c r="B1398" s="1" t="s">
        <v>12824</v>
      </c>
      <c r="C1398" s="1" t="s">
        <v>12821</v>
      </c>
      <c r="D1398" s="1" t="s">
        <v>12825</v>
      </c>
      <c r="E1398" s="1" t="s">
        <v>12826</v>
      </c>
    </row>
    <row r="1399" spans="1:5" x14ac:dyDescent="0.15">
      <c r="A1399" s="1" t="s">
        <v>12713</v>
      </c>
      <c r="B1399" s="1" t="s">
        <v>12827</v>
      </c>
      <c r="C1399" s="1" t="s">
        <v>12828</v>
      </c>
      <c r="D1399" s="1" t="s">
        <v>12829</v>
      </c>
      <c r="E1399" s="1" t="s">
        <v>12830</v>
      </c>
    </row>
    <row r="1400" spans="1:5" x14ac:dyDescent="0.15">
      <c r="A1400" s="1" t="s">
        <v>12713</v>
      </c>
      <c r="B1400" s="1" t="s">
        <v>12831</v>
      </c>
      <c r="C1400" s="1" t="s">
        <v>12832</v>
      </c>
      <c r="D1400" s="1" t="s">
        <v>12833</v>
      </c>
      <c r="E1400" s="1" t="s">
        <v>12834</v>
      </c>
    </row>
    <row r="1401" spans="1:5" x14ac:dyDescent="0.15">
      <c r="A1401" s="1" t="s">
        <v>12713</v>
      </c>
      <c r="B1401" s="1" t="s">
        <v>12835</v>
      </c>
      <c r="C1401" s="1" t="s">
        <v>12836</v>
      </c>
      <c r="D1401" s="1" t="s">
        <v>12837</v>
      </c>
      <c r="E1401" s="1" t="s">
        <v>12838</v>
      </c>
    </row>
    <row r="1402" spans="1:5" x14ac:dyDescent="0.15">
      <c r="A1402" s="1" t="s">
        <v>12713</v>
      </c>
      <c r="B1402" s="1" t="s">
        <v>12839</v>
      </c>
      <c r="C1402" s="1" t="s">
        <v>12840</v>
      </c>
      <c r="D1402" s="1" t="s">
        <v>12841</v>
      </c>
      <c r="E1402" s="1" t="s">
        <v>12842</v>
      </c>
    </row>
    <row r="1403" spans="1:5" x14ac:dyDescent="0.15">
      <c r="A1403" s="1" t="s">
        <v>12713</v>
      </c>
      <c r="B1403" s="1" t="s">
        <v>12843</v>
      </c>
      <c r="C1403" s="1" t="s">
        <v>12844</v>
      </c>
      <c r="D1403" s="1" t="s">
        <v>12845</v>
      </c>
      <c r="E1403" s="1" t="s">
        <v>12846</v>
      </c>
    </row>
    <row r="1404" spans="1:5" x14ac:dyDescent="0.15">
      <c r="A1404" s="1" t="s">
        <v>12713</v>
      </c>
      <c r="B1404" s="1" t="s">
        <v>12847</v>
      </c>
      <c r="C1404" s="1" t="s">
        <v>12848</v>
      </c>
      <c r="D1404" s="1" t="s">
        <v>12849</v>
      </c>
      <c r="E1404" s="1" t="s">
        <v>12850</v>
      </c>
    </row>
    <row r="1405" spans="1:5" x14ac:dyDescent="0.15">
      <c r="A1405" s="1" t="s">
        <v>12713</v>
      </c>
      <c r="B1405" s="1" t="s">
        <v>12851</v>
      </c>
      <c r="C1405" s="1" t="s">
        <v>12852</v>
      </c>
      <c r="D1405" s="1" t="s">
        <v>12853</v>
      </c>
      <c r="E1405" s="1" t="s">
        <v>12854</v>
      </c>
    </row>
    <row r="1406" spans="1:5" x14ac:dyDescent="0.15">
      <c r="A1406" s="1" t="s">
        <v>12713</v>
      </c>
      <c r="B1406" s="1" t="s">
        <v>12855</v>
      </c>
      <c r="C1406" s="1" t="s">
        <v>12856</v>
      </c>
      <c r="D1406" s="1" t="s">
        <v>12857</v>
      </c>
      <c r="E1406" s="1" t="s">
        <v>12858</v>
      </c>
    </row>
    <row r="1407" spans="1:5" x14ac:dyDescent="0.15">
      <c r="A1407" s="1" t="s">
        <v>12713</v>
      </c>
      <c r="B1407" s="1" t="s">
        <v>12859</v>
      </c>
      <c r="C1407" s="1" t="s">
        <v>12860</v>
      </c>
      <c r="D1407" s="1" t="s">
        <v>12861</v>
      </c>
      <c r="E1407" s="1" t="s">
        <v>12862</v>
      </c>
    </row>
    <row r="1408" spans="1:5" x14ac:dyDescent="0.15">
      <c r="A1408" s="1" t="s">
        <v>12713</v>
      </c>
      <c r="B1408" s="1" t="s">
        <v>12863</v>
      </c>
      <c r="C1408" s="1" t="s">
        <v>12864</v>
      </c>
      <c r="D1408" s="1" t="s">
        <v>12865</v>
      </c>
      <c r="E1408" s="1" t="s">
        <v>12866</v>
      </c>
    </row>
    <row r="1409" spans="1:5" x14ac:dyDescent="0.15">
      <c r="A1409" s="1" t="s">
        <v>12713</v>
      </c>
      <c r="B1409" s="1" t="s">
        <v>12867</v>
      </c>
      <c r="C1409" s="1" t="s">
        <v>12868</v>
      </c>
      <c r="D1409" s="1" t="s">
        <v>12869</v>
      </c>
      <c r="E1409" s="1" t="s">
        <v>12870</v>
      </c>
    </row>
    <row r="1410" spans="1:5" x14ac:dyDescent="0.15">
      <c r="A1410" s="1" t="s">
        <v>12713</v>
      </c>
      <c r="B1410" s="1" t="s">
        <v>12871</v>
      </c>
      <c r="C1410" s="1" t="s">
        <v>12872</v>
      </c>
      <c r="D1410" s="1" t="s">
        <v>12873</v>
      </c>
      <c r="E1410" s="1" t="s">
        <v>12874</v>
      </c>
    </row>
    <row r="1411" spans="1:5" x14ac:dyDescent="0.15">
      <c r="A1411" s="1" t="s">
        <v>12713</v>
      </c>
      <c r="B1411" s="1" t="s">
        <v>12875</v>
      </c>
      <c r="C1411" s="1" t="s">
        <v>12876</v>
      </c>
      <c r="D1411" s="1" t="s">
        <v>12877</v>
      </c>
      <c r="E1411" s="1" t="s">
        <v>12878</v>
      </c>
    </row>
    <row r="1412" spans="1:5" x14ac:dyDescent="0.15">
      <c r="A1412" s="1" t="s">
        <v>12713</v>
      </c>
      <c r="B1412" s="1" t="s">
        <v>12879</v>
      </c>
      <c r="C1412" s="1" t="s">
        <v>12880</v>
      </c>
      <c r="D1412" s="1" t="s">
        <v>12881</v>
      </c>
      <c r="E1412" s="1" t="s">
        <v>12882</v>
      </c>
    </row>
    <row r="1413" spans="1:5" x14ac:dyDescent="0.15">
      <c r="A1413" s="1" t="s">
        <v>12713</v>
      </c>
      <c r="B1413" s="1" t="s">
        <v>12883</v>
      </c>
      <c r="C1413" s="1" t="s">
        <v>12884</v>
      </c>
      <c r="D1413" s="1" t="s">
        <v>12885</v>
      </c>
      <c r="E1413" s="1" t="s">
        <v>12886</v>
      </c>
    </row>
    <row r="1414" spans="1:5" x14ac:dyDescent="0.15">
      <c r="A1414" s="1" t="s">
        <v>12713</v>
      </c>
      <c r="B1414" s="1" t="s">
        <v>12887</v>
      </c>
      <c r="C1414" s="1" t="s">
        <v>12888</v>
      </c>
      <c r="D1414" s="1" t="s">
        <v>12889</v>
      </c>
      <c r="E1414" s="1" t="s">
        <v>12890</v>
      </c>
    </row>
    <row r="1415" spans="1:5" x14ac:dyDescent="0.15">
      <c r="A1415" s="1" t="s">
        <v>12713</v>
      </c>
      <c r="B1415" s="1" t="s">
        <v>12891</v>
      </c>
      <c r="C1415" s="1" t="s">
        <v>12892</v>
      </c>
      <c r="D1415" s="1" t="s">
        <v>12893</v>
      </c>
      <c r="E1415" s="1" t="s">
        <v>12894</v>
      </c>
    </row>
    <row r="1416" spans="1:5" x14ac:dyDescent="0.15">
      <c r="A1416" s="1" t="s">
        <v>12713</v>
      </c>
      <c r="B1416" s="1" t="s">
        <v>12895</v>
      </c>
      <c r="C1416" s="1" t="s">
        <v>12896</v>
      </c>
      <c r="D1416" s="1" t="s">
        <v>12897</v>
      </c>
      <c r="E1416" s="1" t="s">
        <v>12898</v>
      </c>
    </row>
    <row r="1417" spans="1:5" x14ac:dyDescent="0.15">
      <c r="A1417" s="1" t="s">
        <v>12713</v>
      </c>
      <c r="B1417" s="1" t="s">
        <v>12899</v>
      </c>
      <c r="C1417" s="1" t="s">
        <v>12900</v>
      </c>
      <c r="D1417" s="1" t="s">
        <v>12901</v>
      </c>
      <c r="E1417" s="1" t="s">
        <v>12902</v>
      </c>
    </row>
    <row r="1418" spans="1:5" x14ac:dyDescent="0.15">
      <c r="A1418" s="1" t="s">
        <v>12713</v>
      </c>
      <c r="B1418" s="1" t="s">
        <v>12903</v>
      </c>
      <c r="C1418" s="1" t="s">
        <v>12904</v>
      </c>
      <c r="D1418" s="1" t="s">
        <v>12905</v>
      </c>
      <c r="E1418" s="1" t="s">
        <v>12906</v>
      </c>
    </row>
    <row r="1419" spans="1:5" x14ac:dyDescent="0.15">
      <c r="A1419" s="1" t="s">
        <v>12713</v>
      </c>
      <c r="B1419" s="1" t="s">
        <v>12907</v>
      </c>
      <c r="C1419" s="1" t="s">
        <v>12904</v>
      </c>
      <c r="D1419" s="1" t="s">
        <v>12908</v>
      </c>
      <c r="E1419" s="1" t="s">
        <v>12909</v>
      </c>
    </row>
    <row r="1420" spans="1:5" x14ac:dyDescent="0.15">
      <c r="A1420" s="1" t="s">
        <v>12713</v>
      </c>
      <c r="B1420" s="1" t="s">
        <v>12910</v>
      </c>
      <c r="C1420" s="1" t="s">
        <v>12911</v>
      </c>
      <c r="D1420" s="1" t="s">
        <v>12912</v>
      </c>
      <c r="E1420" s="1" t="s">
        <v>12913</v>
      </c>
    </row>
    <row r="1421" spans="1:5" x14ac:dyDescent="0.15">
      <c r="A1421" s="1" t="s">
        <v>12713</v>
      </c>
      <c r="B1421" s="1" t="s">
        <v>12914</v>
      </c>
      <c r="C1421" s="1" t="s">
        <v>12915</v>
      </c>
      <c r="D1421" s="1" t="s">
        <v>12916</v>
      </c>
      <c r="E1421" s="1" t="s">
        <v>12917</v>
      </c>
    </row>
    <row r="1422" spans="1:5" x14ac:dyDescent="0.15">
      <c r="A1422" s="1" t="s">
        <v>12713</v>
      </c>
      <c r="B1422" s="1" t="s">
        <v>12918</v>
      </c>
      <c r="C1422" s="1" t="s">
        <v>12919</v>
      </c>
      <c r="D1422" s="1" t="s">
        <v>12920</v>
      </c>
      <c r="E1422" s="1" t="s">
        <v>12921</v>
      </c>
    </row>
    <row r="1423" spans="1:5" x14ac:dyDescent="0.15">
      <c r="A1423" s="1" t="s">
        <v>12713</v>
      </c>
      <c r="B1423" s="1" t="s">
        <v>12922</v>
      </c>
      <c r="C1423" s="1" t="s">
        <v>12923</v>
      </c>
      <c r="D1423" s="1" t="s">
        <v>12924</v>
      </c>
      <c r="E1423" s="1" t="s">
        <v>12925</v>
      </c>
    </row>
    <row r="1424" spans="1:5" x14ac:dyDescent="0.15">
      <c r="A1424" s="1" t="s">
        <v>12713</v>
      </c>
      <c r="B1424" s="1" t="s">
        <v>12926</v>
      </c>
      <c r="C1424" s="1" t="s">
        <v>12923</v>
      </c>
      <c r="D1424" s="1" t="s">
        <v>12927</v>
      </c>
      <c r="E1424" s="1" t="s">
        <v>12928</v>
      </c>
    </row>
    <row r="1425" spans="1:5" x14ac:dyDescent="0.15">
      <c r="A1425" s="1" t="s">
        <v>12713</v>
      </c>
      <c r="B1425" s="1" t="s">
        <v>12929</v>
      </c>
      <c r="C1425" s="1" t="s">
        <v>12930</v>
      </c>
      <c r="D1425" s="1" t="s">
        <v>12931</v>
      </c>
      <c r="E1425" s="1" t="s">
        <v>12932</v>
      </c>
    </row>
    <row r="1426" spans="1:5" x14ac:dyDescent="0.15">
      <c r="A1426" s="1" t="s">
        <v>12713</v>
      </c>
      <c r="B1426" s="1" t="s">
        <v>12933</v>
      </c>
      <c r="C1426" s="1" t="s">
        <v>12934</v>
      </c>
      <c r="D1426" s="1" t="s">
        <v>12935</v>
      </c>
      <c r="E1426" s="1" t="s">
        <v>12936</v>
      </c>
    </row>
    <row r="1427" spans="1:5" x14ac:dyDescent="0.15">
      <c r="A1427" s="1" t="s">
        <v>12713</v>
      </c>
      <c r="B1427" s="1" t="s">
        <v>12937</v>
      </c>
      <c r="C1427" s="1" t="s">
        <v>12938</v>
      </c>
      <c r="D1427" s="1" t="s">
        <v>12939</v>
      </c>
      <c r="E1427" s="1" t="s">
        <v>12940</v>
      </c>
    </row>
    <row r="1428" spans="1:5" x14ac:dyDescent="0.15">
      <c r="A1428" s="1" t="s">
        <v>12713</v>
      </c>
      <c r="B1428" s="1" t="s">
        <v>12941</v>
      </c>
      <c r="C1428" s="1" t="s">
        <v>12942</v>
      </c>
      <c r="D1428" s="1" t="s">
        <v>12943</v>
      </c>
      <c r="E1428" s="1" t="s">
        <v>12944</v>
      </c>
    </row>
    <row r="1429" spans="1:5" x14ac:dyDescent="0.15">
      <c r="A1429" s="1" t="s">
        <v>12713</v>
      </c>
      <c r="B1429" s="1" t="s">
        <v>12945</v>
      </c>
      <c r="C1429" s="1" t="s">
        <v>12946</v>
      </c>
      <c r="D1429" s="1" t="s">
        <v>12947</v>
      </c>
      <c r="E1429" s="1" t="s">
        <v>12948</v>
      </c>
    </row>
    <row r="1430" spans="1:5" x14ac:dyDescent="0.15">
      <c r="A1430" s="1" t="s">
        <v>12713</v>
      </c>
      <c r="B1430" s="1" t="s">
        <v>12949</v>
      </c>
      <c r="C1430" s="1" t="s">
        <v>12950</v>
      </c>
      <c r="D1430" s="1" t="s">
        <v>12951</v>
      </c>
      <c r="E1430" s="1" t="s">
        <v>12952</v>
      </c>
    </row>
    <row r="1431" spans="1:5" x14ac:dyDescent="0.15">
      <c r="A1431" s="1" t="s">
        <v>12713</v>
      </c>
      <c r="B1431" s="1" t="s">
        <v>12953</v>
      </c>
      <c r="C1431" s="1" t="s">
        <v>12954</v>
      </c>
      <c r="D1431" s="1" t="s">
        <v>12955</v>
      </c>
      <c r="E1431" s="1" t="s">
        <v>12956</v>
      </c>
    </row>
    <row r="1432" spans="1:5" x14ac:dyDescent="0.15">
      <c r="A1432" s="1" t="s">
        <v>12713</v>
      </c>
      <c r="B1432" s="1" t="s">
        <v>12957</v>
      </c>
      <c r="C1432" s="1" t="s">
        <v>12958</v>
      </c>
      <c r="D1432" s="1" t="s">
        <v>11775</v>
      </c>
      <c r="E1432" s="1" t="s">
        <v>11776</v>
      </c>
    </row>
    <row r="1433" spans="1:5" x14ac:dyDescent="0.15">
      <c r="A1433" s="1" t="s">
        <v>12713</v>
      </c>
      <c r="B1433" s="1" t="s">
        <v>11777</v>
      </c>
      <c r="C1433" s="1" t="s">
        <v>11778</v>
      </c>
      <c r="D1433" s="1" t="s">
        <v>11779</v>
      </c>
      <c r="E1433" s="1" t="s">
        <v>11780</v>
      </c>
    </row>
    <row r="1434" spans="1:5" x14ac:dyDescent="0.15">
      <c r="A1434" s="1" t="s">
        <v>12713</v>
      </c>
      <c r="B1434" s="1" t="s">
        <v>11781</v>
      </c>
      <c r="C1434" s="1" t="s">
        <v>11782</v>
      </c>
      <c r="D1434" s="1" t="s">
        <v>11783</v>
      </c>
      <c r="E1434" s="1" t="s">
        <v>11784</v>
      </c>
    </row>
    <row r="1435" spans="1:5" x14ac:dyDescent="0.15">
      <c r="A1435" s="1" t="s">
        <v>12713</v>
      </c>
      <c r="B1435" s="1" t="s">
        <v>11785</v>
      </c>
      <c r="C1435" s="1" t="s">
        <v>11786</v>
      </c>
      <c r="D1435" s="1" t="s">
        <v>11787</v>
      </c>
      <c r="E1435" s="1" t="s">
        <v>11788</v>
      </c>
    </row>
    <row r="1436" spans="1:5" x14ac:dyDescent="0.15">
      <c r="A1436" s="1" t="s">
        <v>12713</v>
      </c>
      <c r="B1436" s="1" t="s">
        <v>11789</v>
      </c>
      <c r="C1436" s="1" t="s">
        <v>11790</v>
      </c>
      <c r="D1436" s="1" t="s">
        <v>11791</v>
      </c>
      <c r="E1436" s="1" t="s">
        <v>11792</v>
      </c>
    </row>
    <row r="1437" spans="1:5" x14ac:dyDescent="0.15">
      <c r="A1437" s="1" t="s">
        <v>12713</v>
      </c>
      <c r="B1437" s="1" t="s">
        <v>11793</v>
      </c>
      <c r="C1437" s="1" t="s">
        <v>11794</v>
      </c>
      <c r="D1437" s="1" t="s">
        <v>11795</v>
      </c>
      <c r="E1437" s="1" t="s">
        <v>11796</v>
      </c>
    </row>
    <row r="1438" spans="1:5" x14ac:dyDescent="0.15">
      <c r="A1438" s="1" t="s">
        <v>12713</v>
      </c>
      <c r="B1438" s="1" t="s">
        <v>11797</v>
      </c>
      <c r="C1438" s="1" t="s">
        <v>11798</v>
      </c>
      <c r="D1438" s="1" t="s">
        <v>11799</v>
      </c>
      <c r="E1438" s="1" t="s">
        <v>11800</v>
      </c>
    </row>
    <row r="1439" spans="1:5" x14ac:dyDescent="0.15">
      <c r="A1439" s="1" t="s">
        <v>12713</v>
      </c>
      <c r="B1439" s="1" t="s">
        <v>11801</v>
      </c>
      <c r="C1439" s="1" t="s">
        <v>11802</v>
      </c>
      <c r="D1439" s="1" t="s">
        <v>11803</v>
      </c>
      <c r="E1439" s="1" t="s">
        <v>11804</v>
      </c>
    </row>
    <row r="1440" spans="1:5" x14ac:dyDescent="0.15">
      <c r="A1440" s="1" t="s">
        <v>12713</v>
      </c>
      <c r="B1440" s="1" t="s">
        <v>11805</v>
      </c>
      <c r="C1440" s="1" t="s">
        <v>11806</v>
      </c>
      <c r="D1440" s="1" t="s">
        <v>11807</v>
      </c>
      <c r="E1440" s="1" t="s">
        <v>11808</v>
      </c>
    </row>
    <row r="1441" spans="1:5" x14ac:dyDescent="0.15">
      <c r="A1441" s="1" t="s">
        <v>12713</v>
      </c>
      <c r="B1441" s="1" t="s">
        <v>11809</v>
      </c>
      <c r="C1441" s="1" t="s">
        <v>11810</v>
      </c>
      <c r="D1441" s="1" t="s">
        <v>11811</v>
      </c>
      <c r="E1441" s="1" t="s">
        <v>11812</v>
      </c>
    </row>
    <row r="1442" spans="1:5" x14ac:dyDescent="0.15">
      <c r="A1442" s="1" t="s">
        <v>12713</v>
      </c>
      <c r="B1442" s="1" t="s">
        <v>11813</v>
      </c>
      <c r="C1442" s="1" t="s">
        <v>11810</v>
      </c>
      <c r="D1442" s="1" t="s">
        <v>11814</v>
      </c>
      <c r="E1442" s="1" t="s">
        <v>11815</v>
      </c>
    </row>
    <row r="1443" spans="1:5" x14ac:dyDescent="0.15">
      <c r="A1443" s="1" t="s">
        <v>12713</v>
      </c>
      <c r="B1443" s="1" t="s">
        <v>11816</v>
      </c>
      <c r="C1443" s="1" t="s">
        <v>11817</v>
      </c>
      <c r="D1443" s="1" t="s">
        <v>11818</v>
      </c>
      <c r="E1443" s="1" t="s">
        <v>11819</v>
      </c>
    </row>
    <row r="1444" spans="1:5" x14ac:dyDescent="0.15">
      <c r="A1444" s="1" t="s">
        <v>12713</v>
      </c>
      <c r="B1444" s="1" t="s">
        <v>11820</v>
      </c>
      <c r="C1444" s="1" t="s">
        <v>11817</v>
      </c>
      <c r="D1444" s="1" t="s">
        <v>11821</v>
      </c>
      <c r="E1444" s="1" t="s">
        <v>11822</v>
      </c>
    </row>
    <row r="1445" spans="1:5" x14ac:dyDescent="0.15">
      <c r="A1445" s="1" t="s">
        <v>12713</v>
      </c>
      <c r="B1445" s="1" t="s">
        <v>11823</v>
      </c>
      <c r="C1445" s="1" t="s">
        <v>11824</v>
      </c>
      <c r="D1445" s="1" t="s">
        <v>11825</v>
      </c>
      <c r="E1445" s="1" t="s">
        <v>11826</v>
      </c>
    </row>
    <row r="1446" spans="1:5" x14ac:dyDescent="0.15">
      <c r="A1446" s="1" t="s">
        <v>12713</v>
      </c>
      <c r="B1446" s="1" t="s">
        <v>11827</v>
      </c>
      <c r="C1446" s="1" t="s">
        <v>11824</v>
      </c>
      <c r="D1446" s="1" t="s">
        <v>11828</v>
      </c>
      <c r="E1446" s="1" t="s">
        <v>11829</v>
      </c>
    </row>
    <row r="1447" spans="1:5" x14ac:dyDescent="0.15">
      <c r="A1447" s="1" t="s">
        <v>11830</v>
      </c>
      <c r="B1447" s="1" t="s">
        <v>11831</v>
      </c>
      <c r="C1447" s="1" t="s">
        <v>11832</v>
      </c>
      <c r="D1447" s="1" t="s">
        <v>11833</v>
      </c>
      <c r="E1447" s="1" t="s">
        <v>11834</v>
      </c>
    </row>
    <row r="1448" spans="1:5" x14ac:dyDescent="0.15">
      <c r="A1448" s="1" t="s">
        <v>11830</v>
      </c>
      <c r="B1448" s="1" t="s">
        <v>11835</v>
      </c>
      <c r="C1448" s="1" t="s">
        <v>11836</v>
      </c>
      <c r="D1448" s="1" t="s">
        <v>11837</v>
      </c>
      <c r="E1448" s="1" t="s">
        <v>11838</v>
      </c>
    </row>
    <row r="1449" spans="1:5" x14ac:dyDescent="0.15">
      <c r="A1449" s="1" t="s">
        <v>11830</v>
      </c>
      <c r="B1449" s="1" t="s">
        <v>11839</v>
      </c>
      <c r="C1449" s="1" t="s">
        <v>11840</v>
      </c>
      <c r="D1449" s="1" t="s">
        <v>11841</v>
      </c>
      <c r="E1449" s="1" t="s">
        <v>11842</v>
      </c>
    </row>
    <row r="1450" spans="1:5" x14ac:dyDescent="0.15">
      <c r="A1450" s="1" t="s">
        <v>11830</v>
      </c>
      <c r="B1450" s="1" t="s">
        <v>11843</v>
      </c>
      <c r="C1450" s="1" t="s">
        <v>11844</v>
      </c>
      <c r="D1450" s="1" t="s">
        <v>11845</v>
      </c>
      <c r="E1450" s="1" t="s">
        <v>11846</v>
      </c>
    </row>
    <row r="1451" spans="1:5" x14ac:dyDescent="0.15">
      <c r="A1451" s="1" t="s">
        <v>11830</v>
      </c>
      <c r="B1451" s="1" t="s">
        <v>11847</v>
      </c>
      <c r="C1451" s="1" t="s">
        <v>11848</v>
      </c>
      <c r="D1451" s="1" t="s">
        <v>11849</v>
      </c>
      <c r="E1451" s="1" t="s">
        <v>11850</v>
      </c>
    </row>
    <row r="1452" spans="1:5" x14ac:dyDescent="0.15">
      <c r="A1452" s="1" t="s">
        <v>11830</v>
      </c>
      <c r="B1452" s="1" t="s">
        <v>11851</v>
      </c>
      <c r="C1452" s="1" t="s">
        <v>11852</v>
      </c>
      <c r="D1452" s="1" t="s">
        <v>11853</v>
      </c>
      <c r="E1452" s="1" t="s">
        <v>11854</v>
      </c>
    </row>
    <row r="1453" spans="1:5" x14ac:dyDescent="0.15">
      <c r="A1453" s="1" t="s">
        <v>11830</v>
      </c>
      <c r="B1453" s="1" t="s">
        <v>11855</v>
      </c>
      <c r="C1453" s="1" t="s">
        <v>11856</v>
      </c>
      <c r="D1453" s="1" t="s">
        <v>11857</v>
      </c>
      <c r="E1453" s="1" t="s">
        <v>11858</v>
      </c>
    </row>
    <row r="1454" spans="1:5" x14ac:dyDescent="0.15">
      <c r="A1454" s="1" t="s">
        <v>11830</v>
      </c>
      <c r="B1454" s="1" t="s">
        <v>11859</v>
      </c>
      <c r="C1454" s="1" t="s">
        <v>11860</v>
      </c>
      <c r="D1454" s="1" t="s">
        <v>11861</v>
      </c>
      <c r="E1454" s="1" t="s">
        <v>11862</v>
      </c>
    </row>
    <row r="1455" spans="1:5" x14ac:dyDescent="0.15">
      <c r="A1455" s="1" t="s">
        <v>11830</v>
      </c>
      <c r="B1455" s="1" t="s">
        <v>11863</v>
      </c>
      <c r="C1455" s="1" t="s">
        <v>11864</v>
      </c>
      <c r="D1455" s="1" t="s">
        <v>11865</v>
      </c>
      <c r="E1455" s="1" t="s">
        <v>11866</v>
      </c>
    </row>
    <row r="1456" spans="1:5" x14ac:dyDescent="0.15">
      <c r="A1456" s="1" t="s">
        <v>11830</v>
      </c>
      <c r="B1456" s="1" t="s">
        <v>11867</v>
      </c>
      <c r="C1456" s="1" t="s">
        <v>11868</v>
      </c>
      <c r="D1456" s="1" t="s">
        <v>11869</v>
      </c>
      <c r="E1456" s="1" t="s">
        <v>11870</v>
      </c>
    </row>
    <row r="1457" spans="1:5" x14ac:dyDescent="0.15">
      <c r="A1457" s="1" t="s">
        <v>11830</v>
      </c>
      <c r="B1457" s="1" t="s">
        <v>11871</v>
      </c>
      <c r="C1457" s="1" t="s">
        <v>11872</v>
      </c>
      <c r="D1457" s="1" t="s">
        <v>11873</v>
      </c>
      <c r="E1457" s="1" t="s">
        <v>11874</v>
      </c>
    </row>
    <row r="1458" spans="1:5" x14ac:dyDescent="0.15">
      <c r="A1458" s="1" t="s">
        <v>11830</v>
      </c>
      <c r="B1458" s="1" t="s">
        <v>11875</v>
      </c>
      <c r="C1458" s="1" t="s">
        <v>11876</v>
      </c>
      <c r="D1458" s="1" t="s">
        <v>11877</v>
      </c>
      <c r="E1458" s="1" t="s">
        <v>11878</v>
      </c>
    </row>
    <row r="1459" spans="1:5" x14ac:dyDescent="0.15">
      <c r="A1459" s="1" t="s">
        <v>11879</v>
      </c>
      <c r="B1459" s="1" t="s">
        <v>11880</v>
      </c>
      <c r="C1459" s="1" t="s">
        <v>11881</v>
      </c>
      <c r="D1459" s="1" t="s">
        <v>11882</v>
      </c>
      <c r="E1459" s="1" t="s">
        <v>11883</v>
      </c>
    </row>
    <row r="1460" spans="1:5" x14ac:dyDescent="0.15">
      <c r="A1460" s="1" t="s">
        <v>11879</v>
      </c>
      <c r="B1460" s="1" t="s">
        <v>11884</v>
      </c>
      <c r="C1460" s="1" t="s">
        <v>11881</v>
      </c>
      <c r="D1460" s="1" t="s">
        <v>11882</v>
      </c>
      <c r="E1460" s="1" t="s">
        <v>11885</v>
      </c>
    </row>
    <row r="1461" spans="1:5" x14ac:dyDescent="0.15">
      <c r="A1461" s="1" t="s">
        <v>21044</v>
      </c>
      <c r="B1461" s="1" t="s">
        <v>21045</v>
      </c>
      <c r="C1461" s="1" t="s">
        <v>11881</v>
      </c>
      <c r="D1461" s="1" t="s">
        <v>11882</v>
      </c>
      <c r="E1461" s="1" t="s">
        <v>21046</v>
      </c>
    </row>
    <row r="1462" spans="1:5" x14ac:dyDescent="0.15">
      <c r="A1462" s="1" t="s">
        <v>14191</v>
      </c>
      <c r="B1462" s="1" t="s">
        <v>21049</v>
      </c>
      <c r="C1462" s="1" t="s">
        <v>11881</v>
      </c>
      <c r="D1462" s="1" t="s">
        <v>11882</v>
      </c>
      <c r="E1462" s="1" t="s">
        <v>21050</v>
      </c>
    </row>
  </sheetData>
  <phoneticPr fontId="0" type="noConversion"/>
  <pageMargins left="0.75" right="0.75" top="1" bottom="1" header="0.5" footer="0.5"/>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24"/>
  <sheetViews>
    <sheetView workbookViewId="0">
      <pane ySplit="1" topLeftCell="A2" activePane="bottomLeft" state="frozenSplit"/>
      <selection pane="bottomLeft" activeCell="B18" sqref="B18"/>
    </sheetView>
  </sheetViews>
  <sheetFormatPr baseColWidth="10" defaultRowHeight="13" x14ac:dyDescent="0.15"/>
  <cols>
    <col min="1" max="1" width="8.83203125" customWidth="1"/>
    <col min="2" max="2" width="41.6640625" customWidth="1"/>
    <col min="3" max="3" width="8.83203125" customWidth="1"/>
    <col min="4" max="4" width="37.5" customWidth="1"/>
    <col min="5" max="256" width="8.83203125" customWidth="1"/>
  </cols>
  <sheetData>
    <row r="1" spans="1:4" s="3" customFormat="1" x14ac:dyDescent="0.15">
      <c r="A1" s="2" t="s">
        <v>5539</v>
      </c>
      <c r="B1" s="2" t="s">
        <v>5540</v>
      </c>
      <c r="C1" s="2" t="s">
        <v>11886</v>
      </c>
      <c r="D1" s="2" t="s">
        <v>4166</v>
      </c>
    </row>
    <row r="2" spans="1:4" x14ac:dyDescent="0.15">
      <c r="A2" s="1" t="s">
        <v>5572</v>
      </c>
      <c r="B2" s="1" t="s">
        <v>5573</v>
      </c>
      <c r="C2" s="1" t="s">
        <v>17856</v>
      </c>
      <c r="D2" s="1" t="s">
        <v>11891</v>
      </c>
    </row>
    <row r="3" spans="1:4" x14ac:dyDescent="0.15">
      <c r="A3" s="1" t="s">
        <v>5574</v>
      </c>
      <c r="B3" s="1" t="s">
        <v>5575</v>
      </c>
      <c r="C3" s="1" t="s">
        <v>17856</v>
      </c>
      <c r="D3" s="1" t="s">
        <v>11891</v>
      </c>
    </row>
    <row r="4" spans="1:4" x14ac:dyDescent="0.15">
      <c r="A4" s="1" t="s">
        <v>5576</v>
      </c>
      <c r="B4" s="1" t="s">
        <v>5577</v>
      </c>
      <c r="C4" s="1" t="s">
        <v>17864</v>
      </c>
      <c r="D4" s="1" t="s">
        <v>17865</v>
      </c>
    </row>
    <row r="5" spans="1:4" x14ac:dyDescent="0.15">
      <c r="A5" s="1" t="s">
        <v>5568</v>
      </c>
      <c r="B5" s="1" t="s">
        <v>5569</v>
      </c>
      <c r="C5" s="1" t="s">
        <v>17998</v>
      </c>
      <c r="D5" s="1" t="s">
        <v>11897</v>
      </c>
    </row>
    <row r="6" spans="1:4" x14ac:dyDescent="0.15">
      <c r="A6" s="1" t="s">
        <v>5570</v>
      </c>
      <c r="B6" s="1" t="s">
        <v>5571</v>
      </c>
      <c r="C6" s="1" t="s">
        <v>17998</v>
      </c>
      <c r="D6" s="1" t="s">
        <v>11897</v>
      </c>
    </row>
    <row r="7" spans="1:4" x14ac:dyDescent="0.15">
      <c r="A7" s="1" t="s">
        <v>5580</v>
      </c>
      <c r="B7" s="1" t="s">
        <v>5581</v>
      </c>
      <c r="C7" s="1" t="s">
        <v>18010</v>
      </c>
      <c r="D7" s="1" t="s">
        <v>11898</v>
      </c>
    </row>
    <row r="8" spans="1:4" x14ac:dyDescent="0.15">
      <c r="A8" s="1" t="s">
        <v>5582</v>
      </c>
      <c r="B8" s="1" t="s">
        <v>5583</v>
      </c>
      <c r="C8" s="1" t="s">
        <v>18030</v>
      </c>
      <c r="D8" s="1" t="s">
        <v>11899</v>
      </c>
    </row>
    <row r="9" spans="1:4" x14ac:dyDescent="0.15">
      <c r="A9" s="1" t="s">
        <v>5584</v>
      </c>
      <c r="B9" s="1" t="s">
        <v>5585</v>
      </c>
      <c r="C9" s="1" t="s">
        <v>18034</v>
      </c>
      <c r="D9" s="1" t="s">
        <v>11900</v>
      </c>
    </row>
    <row r="10" spans="1:4" x14ac:dyDescent="0.15">
      <c r="A10" s="1" t="s">
        <v>5586</v>
      </c>
      <c r="B10" s="1" t="s">
        <v>5587</v>
      </c>
      <c r="C10" s="1" t="s">
        <v>18046</v>
      </c>
      <c r="D10" s="1" t="s">
        <v>11901</v>
      </c>
    </row>
    <row r="11" spans="1:4" x14ac:dyDescent="0.15">
      <c r="A11" s="1" t="s">
        <v>5588</v>
      </c>
      <c r="B11" s="1" t="s">
        <v>5589</v>
      </c>
      <c r="C11" s="1" t="s">
        <v>18057</v>
      </c>
      <c r="D11" s="1" t="s">
        <v>11902</v>
      </c>
    </row>
    <row r="12" spans="1:4" x14ac:dyDescent="0.15">
      <c r="A12" s="1" t="s">
        <v>5590</v>
      </c>
      <c r="B12" s="1" t="s">
        <v>5591</v>
      </c>
      <c r="C12" s="1" t="s">
        <v>18061</v>
      </c>
      <c r="D12" s="1" t="s">
        <v>18062</v>
      </c>
    </row>
    <row r="13" spans="1:4" x14ac:dyDescent="0.15">
      <c r="A13" s="1" t="s">
        <v>5600</v>
      </c>
      <c r="B13" s="1" t="s">
        <v>5601</v>
      </c>
      <c r="C13" s="1" t="s">
        <v>18111</v>
      </c>
      <c r="D13" s="1" t="s">
        <v>11903</v>
      </c>
    </row>
    <row r="14" spans="1:4" x14ac:dyDescent="0.15">
      <c r="A14" s="1" t="s">
        <v>5602</v>
      </c>
      <c r="B14" s="1" t="s">
        <v>5603</v>
      </c>
      <c r="C14" s="1" t="s">
        <v>18111</v>
      </c>
      <c r="D14" s="1" t="s">
        <v>11903</v>
      </c>
    </row>
    <row r="15" spans="1:4" x14ac:dyDescent="0.15">
      <c r="A15" s="1" t="s">
        <v>5542</v>
      </c>
      <c r="B15" s="1" t="s">
        <v>5543</v>
      </c>
      <c r="C15" s="1" t="s">
        <v>18166</v>
      </c>
      <c r="D15" s="1" t="s">
        <v>11914</v>
      </c>
    </row>
    <row r="16" spans="1:4" x14ac:dyDescent="0.15">
      <c r="A16" s="1" t="s">
        <v>5548</v>
      </c>
      <c r="B16" s="1" t="s">
        <v>5549</v>
      </c>
      <c r="C16" s="1" t="s">
        <v>18209</v>
      </c>
      <c r="D16" s="1" t="s">
        <v>18206</v>
      </c>
    </row>
    <row r="17" spans="1:4" x14ac:dyDescent="0.15">
      <c r="A17" s="1" t="s">
        <v>5550</v>
      </c>
      <c r="B17" s="1" t="s">
        <v>5551</v>
      </c>
      <c r="C17" s="1" t="s">
        <v>18209</v>
      </c>
      <c r="D17" s="1" t="s">
        <v>18206</v>
      </c>
    </row>
    <row r="18" spans="1:4" x14ac:dyDescent="0.15">
      <c r="A18" s="1" t="s">
        <v>5552</v>
      </c>
      <c r="B18" s="1" t="s">
        <v>5553</v>
      </c>
      <c r="C18" s="1" t="s">
        <v>18216</v>
      </c>
      <c r="D18" s="1" t="s">
        <v>11915</v>
      </c>
    </row>
    <row r="19" spans="1:4" x14ac:dyDescent="0.15">
      <c r="A19" s="1" t="s">
        <v>5556</v>
      </c>
      <c r="B19" s="1" t="s">
        <v>5557</v>
      </c>
      <c r="C19" s="1" t="s">
        <v>18223</v>
      </c>
      <c r="D19" s="1" t="s">
        <v>11916</v>
      </c>
    </row>
    <row r="20" spans="1:4" x14ac:dyDescent="0.15">
      <c r="A20" s="1" t="s">
        <v>5558</v>
      </c>
      <c r="B20" s="1" t="s">
        <v>5559</v>
      </c>
      <c r="C20" s="1" t="s">
        <v>18230</v>
      </c>
      <c r="D20" s="1" t="s">
        <v>14031</v>
      </c>
    </row>
    <row r="21" spans="1:4" x14ac:dyDescent="0.15">
      <c r="A21" s="1" t="s">
        <v>5560</v>
      </c>
      <c r="B21" s="1" t="s">
        <v>5561</v>
      </c>
      <c r="C21" s="1" t="s">
        <v>17387</v>
      </c>
      <c r="D21" s="1" t="s">
        <v>17384</v>
      </c>
    </row>
    <row r="22" spans="1:4" x14ac:dyDescent="0.15">
      <c r="A22" s="1" t="s">
        <v>5554</v>
      </c>
      <c r="B22" s="1" t="s">
        <v>5555</v>
      </c>
      <c r="C22" s="1" t="s">
        <v>17394</v>
      </c>
      <c r="D22" s="1" t="s">
        <v>11917</v>
      </c>
    </row>
    <row r="23" spans="1:4" x14ac:dyDescent="0.15">
      <c r="A23" s="1" t="s">
        <v>5562</v>
      </c>
      <c r="B23" s="1" t="s">
        <v>5563</v>
      </c>
      <c r="C23" s="1" t="s">
        <v>17401</v>
      </c>
      <c r="D23" s="1" t="s">
        <v>11918</v>
      </c>
    </row>
    <row r="24" spans="1:4" x14ac:dyDescent="0.15">
      <c r="A24" s="1" t="s">
        <v>5564</v>
      </c>
      <c r="B24" s="1" t="s">
        <v>5565</v>
      </c>
      <c r="C24" s="1" t="s">
        <v>17413</v>
      </c>
      <c r="D24" s="1" t="s">
        <v>17414</v>
      </c>
    </row>
    <row r="25" spans="1:4" x14ac:dyDescent="0.15">
      <c r="A25" s="1" t="s">
        <v>5566</v>
      </c>
      <c r="B25" s="1" t="s">
        <v>5567</v>
      </c>
      <c r="C25" s="1" t="s">
        <v>17417</v>
      </c>
      <c r="D25" s="1" t="s">
        <v>11919</v>
      </c>
    </row>
    <row r="26" spans="1:4" x14ac:dyDescent="0.15">
      <c r="A26" s="1" t="s">
        <v>5604</v>
      </c>
      <c r="B26" s="1" t="s">
        <v>5605</v>
      </c>
      <c r="C26" s="1" t="s">
        <v>17421</v>
      </c>
      <c r="D26" s="1" t="s">
        <v>11920</v>
      </c>
    </row>
    <row r="27" spans="1:4" x14ac:dyDescent="0.15">
      <c r="A27" s="1" t="s">
        <v>5606</v>
      </c>
      <c r="B27" s="1" t="s">
        <v>5607</v>
      </c>
      <c r="C27" s="1" t="s">
        <v>17425</v>
      </c>
      <c r="D27" s="1" t="s">
        <v>17426</v>
      </c>
    </row>
    <row r="28" spans="1:4" x14ac:dyDescent="0.15">
      <c r="A28" s="1" t="s">
        <v>5610</v>
      </c>
      <c r="B28" s="1" t="s">
        <v>5611</v>
      </c>
      <c r="C28" s="1" t="s">
        <v>17433</v>
      </c>
      <c r="D28" s="1" t="s">
        <v>11921</v>
      </c>
    </row>
    <row r="29" spans="1:4" x14ac:dyDescent="0.15">
      <c r="A29" s="1" t="s">
        <v>5612</v>
      </c>
      <c r="B29" s="1" t="s">
        <v>5613</v>
      </c>
      <c r="C29" s="1" t="s">
        <v>17437</v>
      </c>
      <c r="D29" s="1" t="s">
        <v>17438</v>
      </c>
    </row>
    <row r="30" spans="1:4" x14ac:dyDescent="0.15">
      <c r="A30" s="1" t="s">
        <v>5618</v>
      </c>
      <c r="B30" s="1" t="s">
        <v>5619</v>
      </c>
      <c r="C30" s="1" t="s">
        <v>17449</v>
      </c>
      <c r="D30" s="1" t="s">
        <v>11922</v>
      </c>
    </row>
    <row r="31" spans="1:4" x14ac:dyDescent="0.15">
      <c r="A31" s="1" t="s">
        <v>5624</v>
      </c>
      <c r="B31" s="1" t="s">
        <v>5625</v>
      </c>
      <c r="C31" s="1" t="s">
        <v>17465</v>
      </c>
      <c r="D31" s="1" t="s">
        <v>11923</v>
      </c>
    </row>
    <row r="32" spans="1:4" x14ac:dyDescent="0.15">
      <c r="A32" s="1" t="s">
        <v>5626</v>
      </c>
      <c r="B32" s="1" t="s">
        <v>5627</v>
      </c>
      <c r="C32" s="1" t="s">
        <v>17481</v>
      </c>
      <c r="D32" s="1" t="s">
        <v>11924</v>
      </c>
    </row>
    <row r="33" spans="1:4" x14ac:dyDescent="0.15">
      <c r="A33" s="1" t="s">
        <v>5632</v>
      </c>
      <c r="B33" s="1" t="s">
        <v>5633</v>
      </c>
      <c r="C33" s="1" t="s">
        <v>17517</v>
      </c>
      <c r="D33" s="1" t="s">
        <v>11925</v>
      </c>
    </row>
    <row r="34" spans="1:4" x14ac:dyDescent="0.15">
      <c r="A34" s="1" t="s">
        <v>5634</v>
      </c>
      <c r="B34" s="1" t="s">
        <v>5635</v>
      </c>
      <c r="C34" s="1" t="s">
        <v>17517</v>
      </c>
      <c r="D34" s="1" t="s">
        <v>11925</v>
      </c>
    </row>
    <row r="35" spans="1:4" x14ac:dyDescent="0.15">
      <c r="A35" s="1" t="s">
        <v>4116</v>
      </c>
      <c r="B35" s="1" t="s">
        <v>4117</v>
      </c>
      <c r="C35" s="1" t="s">
        <v>11926</v>
      </c>
      <c r="D35" s="1" t="s">
        <v>11927</v>
      </c>
    </row>
    <row r="36" spans="1:4" x14ac:dyDescent="0.15">
      <c r="A36" s="1" t="s">
        <v>4118</v>
      </c>
      <c r="B36" s="1" t="s">
        <v>4119</v>
      </c>
      <c r="C36" s="1" t="s">
        <v>11926</v>
      </c>
      <c r="D36" s="1" t="s">
        <v>11927</v>
      </c>
    </row>
    <row r="37" spans="1:4" x14ac:dyDescent="0.15">
      <c r="A37" s="1" t="s">
        <v>4124</v>
      </c>
      <c r="B37" s="1" t="s">
        <v>4125</v>
      </c>
      <c r="C37" s="1" t="s">
        <v>11930</v>
      </c>
      <c r="D37" s="1" t="s">
        <v>12759</v>
      </c>
    </row>
    <row r="38" spans="1:4" x14ac:dyDescent="0.15">
      <c r="A38" s="1" t="s">
        <v>4136</v>
      </c>
      <c r="B38" s="1" t="s">
        <v>4137</v>
      </c>
      <c r="C38" s="1" t="s">
        <v>11932</v>
      </c>
      <c r="D38" s="1" t="s">
        <v>11933</v>
      </c>
    </row>
    <row r="39" spans="1:4" x14ac:dyDescent="0.15">
      <c r="A39" s="1" t="s">
        <v>4120</v>
      </c>
      <c r="B39" s="1" t="s">
        <v>4121</v>
      </c>
      <c r="C39" s="1" t="s">
        <v>11935</v>
      </c>
      <c r="D39" s="1" t="s">
        <v>11936</v>
      </c>
    </row>
    <row r="40" spans="1:4" x14ac:dyDescent="0.15">
      <c r="A40" s="1" t="s">
        <v>4122</v>
      </c>
      <c r="B40" s="1" t="s">
        <v>4123</v>
      </c>
      <c r="C40" s="1" t="s">
        <v>11935</v>
      </c>
      <c r="D40" s="1" t="s">
        <v>11936</v>
      </c>
    </row>
    <row r="41" spans="1:4" x14ac:dyDescent="0.15">
      <c r="A41" s="1" t="s">
        <v>4134</v>
      </c>
      <c r="B41" s="1" t="s">
        <v>4135</v>
      </c>
      <c r="C41" s="1" t="s">
        <v>11946</v>
      </c>
      <c r="D41" s="1" t="s">
        <v>11947</v>
      </c>
    </row>
    <row r="42" spans="1:4" x14ac:dyDescent="0.15">
      <c r="A42" s="1" t="s">
        <v>4146</v>
      </c>
      <c r="B42" s="1" t="s">
        <v>4147</v>
      </c>
      <c r="C42" s="1" t="s">
        <v>11949</v>
      </c>
      <c r="D42" s="1" t="s">
        <v>11950</v>
      </c>
    </row>
    <row r="43" spans="1:4" x14ac:dyDescent="0.15">
      <c r="A43" s="1" t="s">
        <v>4142</v>
      </c>
      <c r="B43" s="1" t="s">
        <v>4143</v>
      </c>
      <c r="C43" s="1" t="s">
        <v>11952</v>
      </c>
      <c r="D43" s="1" t="s">
        <v>11953</v>
      </c>
    </row>
    <row r="44" spans="1:4" x14ac:dyDescent="0.15">
      <c r="A44" s="1" t="s">
        <v>4144</v>
      </c>
      <c r="B44" s="1" t="s">
        <v>4145</v>
      </c>
      <c r="C44" s="1" t="s">
        <v>11952</v>
      </c>
      <c r="D44" s="1" t="s">
        <v>11953</v>
      </c>
    </row>
    <row r="45" spans="1:4" x14ac:dyDescent="0.15">
      <c r="A45" s="1" t="s">
        <v>4156</v>
      </c>
      <c r="B45" s="1" t="s">
        <v>4157</v>
      </c>
      <c r="C45" s="1" t="s">
        <v>11961</v>
      </c>
      <c r="D45" s="1" t="s">
        <v>11962</v>
      </c>
    </row>
    <row r="46" spans="1:4" x14ac:dyDescent="0.15">
      <c r="A46" s="1" t="s">
        <v>4150</v>
      </c>
      <c r="B46" s="1" t="s">
        <v>4151</v>
      </c>
      <c r="C46" s="1" t="s">
        <v>11964</v>
      </c>
      <c r="D46" s="1" t="s">
        <v>12923</v>
      </c>
    </row>
    <row r="47" spans="1:4" x14ac:dyDescent="0.15">
      <c r="A47" s="1" t="s">
        <v>3638</v>
      </c>
      <c r="B47" s="1" t="s">
        <v>3639</v>
      </c>
      <c r="C47" s="1" t="s">
        <v>11972</v>
      </c>
      <c r="D47" s="1" t="s">
        <v>11973</v>
      </c>
    </row>
    <row r="48" spans="1:4" x14ac:dyDescent="0.15">
      <c r="A48" s="1" t="s">
        <v>4146</v>
      </c>
      <c r="B48" s="1" t="s">
        <v>4147</v>
      </c>
      <c r="C48" s="1" t="s">
        <v>11989</v>
      </c>
      <c r="D48" s="1" t="s">
        <v>11990</v>
      </c>
    </row>
    <row r="49" spans="1:4" x14ac:dyDescent="0.15">
      <c r="A49" s="1" t="s">
        <v>4154</v>
      </c>
      <c r="B49" s="1" t="s">
        <v>4155</v>
      </c>
      <c r="C49" s="1" t="s">
        <v>11992</v>
      </c>
      <c r="D49" s="1" t="s">
        <v>11810</v>
      </c>
    </row>
    <row r="50" spans="1:4" x14ac:dyDescent="0.15">
      <c r="A50" s="1" t="s">
        <v>4160</v>
      </c>
      <c r="B50" s="1" t="s">
        <v>4161</v>
      </c>
      <c r="C50" s="1" t="s">
        <v>12005</v>
      </c>
      <c r="D50" s="1" t="s">
        <v>12006</v>
      </c>
    </row>
    <row r="51" spans="1:4" x14ac:dyDescent="0.15">
      <c r="A51" s="1" t="s">
        <v>4162</v>
      </c>
      <c r="B51" s="1" t="s">
        <v>4163</v>
      </c>
      <c r="C51" s="1" t="s">
        <v>12005</v>
      </c>
      <c r="D51" s="1" t="s">
        <v>12006</v>
      </c>
    </row>
    <row r="52" spans="1:4" x14ac:dyDescent="0.15">
      <c r="A52" s="1" t="s">
        <v>4126</v>
      </c>
      <c r="B52" s="1" t="s">
        <v>4127</v>
      </c>
      <c r="C52" s="1" t="s">
        <v>12008</v>
      </c>
      <c r="D52" s="1" t="s">
        <v>12009</v>
      </c>
    </row>
    <row r="53" spans="1:4" x14ac:dyDescent="0.15">
      <c r="A53" s="1" t="s">
        <v>4126</v>
      </c>
      <c r="B53" s="1" t="s">
        <v>4127</v>
      </c>
      <c r="C53" s="1" t="s">
        <v>12012</v>
      </c>
      <c r="D53" s="1" t="s">
        <v>12013</v>
      </c>
    </row>
    <row r="54" spans="1:4" x14ac:dyDescent="0.15">
      <c r="A54" s="1" t="s">
        <v>4126</v>
      </c>
      <c r="B54" s="1" t="s">
        <v>4127</v>
      </c>
      <c r="C54" s="1" t="s">
        <v>12015</v>
      </c>
      <c r="D54" s="1" t="s">
        <v>12016</v>
      </c>
    </row>
    <row r="55" spans="1:4" x14ac:dyDescent="0.15">
      <c r="A55" s="1" t="s">
        <v>4132</v>
      </c>
      <c r="B55" s="1" t="s">
        <v>4133</v>
      </c>
      <c r="C55" s="1" t="s">
        <v>12021</v>
      </c>
      <c r="D55" s="1" t="s">
        <v>12022</v>
      </c>
    </row>
    <row r="56" spans="1:4" x14ac:dyDescent="0.15">
      <c r="A56" s="1" t="s">
        <v>4128</v>
      </c>
      <c r="B56" s="1" t="s">
        <v>4129</v>
      </c>
      <c r="C56" s="1" t="s">
        <v>12030</v>
      </c>
      <c r="D56" s="1" t="s">
        <v>12031</v>
      </c>
    </row>
    <row r="57" spans="1:4" x14ac:dyDescent="0.15">
      <c r="A57" s="1" t="s">
        <v>4130</v>
      </c>
      <c r="B57" s="1" t="s">
        <v>4131</v>
      </c>
      <c r="C57" s="1" t="s">
        <v>12030</v>
      </c>
      <c r="D57" s="1" t="s">
        <v>12031</v>
      </c>
    </row>
    <row r="58" spans="1:4" x14ac:dyDescent="0.15">
      <c r="A58" s="1" t="s">
        <v>4128</v>
      </c>
      <c r="B58" s="1" t="s">
        <v>4129</v>
      </c>
      <c r="C58" s="1" t="s">
        <v>12042</v>
      </c>
      <c r="D58" s="1" t="s">
        <v>12043</v>
      </c>
    </row>
    <row r="59" spans="1:4" x14ac:dyDescent="0.15">
      <c r="A59" s="1" t="s">
        <v>4130</v>
      </c>
      <c r="B59" s="1" t="s">
        <v>4131</v>
      </c>
      <c r="C59" s="1" t="s">
        <v>12042</v>
      </c>
      <c r="D59" s="1" t="s">
        <v>12043</v>
      </c>
    </row>
    <row r="60" spans="1:4" x14ac:dyDescent="0.15">
      <c r="A60" s="1" t="s">
        <v>4160</v>
      </c>
      <c r="B60" s="1" t="s">
        <v>4161</v>
      </c>
      <c r="C60" s="1" t="s">
        <v>12051</v>
      </c>
      <c r="D60" s="1" t="s">
        <v>12052</v>
      </c>
    </row>
    <row r="61" spans="1:4" x14ac:dyDescent="0.15">
      <c r="A61" s="1" t="s">
        <v>4162</v>
      </c>
      <c r="B61" s="1" t="s">
        <v>4163</v>
      </c>
      <c r="C61" s="1" t="s">
        <v>12051</v>
      </c>
      <c r="D61" s="1" t="s">
        <v>12052</v>
      </c>
    </row>
    <row r="62" spans="1:4" x14ac:dyDescent="0.15">
      <c r="A62" s="1" t="s">
        <v>5636</v>
      </c>
      <c r="B62" s="1" t="s">
        <v>5637</v>
      </c>
      <c r="C62" s="1" t="s">
        <v>17725</v>
      </c>
      <c r="D62" s="1" t="s">
        <v>17722</v>
      </c>
    </row>
    <row r="63" spans="1:4" x14ac:dyDescent="0.15">
      <c r="A63" s="1" t="s">
        <v>5638</v>
      </c>
      <c r="B63" s="1" t="s">
        <v>5639</v>
      </c>
      <c r="C63" s="1" t="s">
        <v>17725</v>
      </c>
      <c r="D63" s="1" t="s">
        <v>17722</v>
      </c>
    </row>
    <row r="64" spans="1:4" x14ac:dyDescent="0.15">
      <c r="A64" s="1" t="s">
        <v>5640</v>
      </c>
      <c r="B64" s="1" t="s">
        <v>5641</v>
      </c>
      <c r="C64" s="1" t="s">
        <v>17739</v>
      </c>
      <c r="D64" s="1" t="s">
        <v>12066</v>
      </c>
    </row>
    <row r="65" spans="1:4" x14ac:dyDescent="0.15">
      <c r="A65" s="1" t="s">
        <v>5646</v>
      </c>
      <c r="B65" s="1" t="s">
        <v>5647</v>
      </c>
      <c r="C65" s="1" t="s">
        <v>12071</v>
      </c>
      <c r="D65" s="1" t="s">
        <v>12072</v>
      </c>
    </row>
    <row r="66" spans="1:4" x14ac:dyDescent="0.15">
      <c r="A66" s="1" t="s">
        <v>5646</v>
      </c>
      <c r="B66" s="1" t="s">
        <v>5647</v>
      </c>
      <c r="C66" s="1" t="s">
        <v>17773</v>
      </c>
      <c r="D66" s="1" t="s">
        <v>17770</v>
      </c>
    </row>
    <row r="67" spans="1:4" x14ac:dyDescent="0.15">
      <c r="A67" s="1" t="s">
        <v>5650</v>
      </c>
      <c r="B67" s="1" t="s">
        <v>5651</v>
      </c>
      <c r="C67" s="1" t="s">
        <v>17791</v>
      </c>
      <c r="D67" s="1" t="s">
        <v>12074</v>
      </c>
    </row>
    <row r="68" spans="1:4" x14ac:dyDescent="0.15">
      <c r="A68" s="1" t="s">
        <v>5652</v>
      </c>
      <c r="B68" s="1" t="s">
        <v>5653</v>
      </c>
      <c r="C68" s="1" t="s">
        <v>17791</v>
      </c>
      <c r="D68" s="1" t="s">
        <v>12074</v>
      </c>
    </row>
    <row r="69" spans="1:4" x14ac:dyDescent="0.15">
      <c r="A69" s="1" t="s">
        <v>5656</v>
      </c>
      <c r="B69" s="1" t="s">
        <v>5657</v>
      </c>
      <c r="C69" s="1" t="s">
        <v>17808</v>
      </c>
      <c r="D69" s="1" t="s">
        <v>12075</v>
      </c>
    </row>
    <row r="70" spans="1:4" x14ac:dyDescent="0.15">
      <c r="A70" s="1" t="s">
        <v>5658</v>
      </c>
      <c r="B70" s="1" t="s">
        <v>5659</v>
      </c>
      <c r="C70" s="1" t="s">
        <v>17815</v>
      </c>
      <c r="D70" s="1" t="s">
        <v>17812</v>
      </c>
    </row>
    <row r="71" spans="1:4" x14ac:dyDescent="0.15">
      <c r="A71" s="1" t="s">
        <v>5660</v>
      </c>
      <c r="B71" s="1" t="s">
        <v>5661</v>
      </c>
      <c r="C71" s="1" t="s">
        <v>17815</v>
      </c>
      <c r="D71" s="1" t="s">
        <v>17812</v>
      </c>
    </row>
    <row r="72" spans="1:4" x14ac:dyDescent="0.15">
      <c r="A72" s="1" t="s">
        <v>5662</v>
      </c>
      <c r="B72" s="1" t="s">
        <v>5663</v>
      </c>
      <c r="C72" s="1" t="s">
        <v>17822</v>
      </c>
      <c r="D72" s="1" t="s">
        <v>12076</v>
      </c>
    </row>
    <row r="73" spans="1:4" x14ac:dyDescent="0.15">
      <c r="A73" s="1" t="s">
        <v>5664</v>
      </c>
      <c r="B73" s="1" t="s">
        <v>5665</v>
      </c>
      <c r="C73" s="1" t="s">
        <v>17822</v>
      </c>
      <c r="D73" s="1" t="s">
        <v>12076</v>
      </c>
    </row>
    <row r="74" spans="1:4" x14ac:dyDescent="0.15">
      <c r="A74" s="1" t="s">
        <v>5666</v>
      </c>
      <c r="B74" s="1" t="s">
        <v>5667</v>
      </c>
      <c r="C74" s="1" t="s">
        <v>17829</v>
      </c>
      <c r="D74" s="1" t="s">
        <v>12077</v>
      </c>
    </row>
    <row r="75" spans="1:4" x14ac:dyDescent="0.15">
      <c r="A75" s="1" t="s">
        <v>5668</v>
      </c>
      <c r="B75" s="1" t="s">
        <v>5669</v>
      </c>
      <c r="C75" s="1" t="s">
        <v>17836</v>
      </c>
      <c r="D75" s="1" t="s">
        <v>12078</v>
      </c>
    </row>
    <row r="76" spans="1:4" x14ac:dyDescent="0.15">
      <c r="A76" s="1" t="s">
        <v>5672</v>
      </c>
      <c r="B76" s="1" t="s">
        <v>5673</v>
      </c>
      <c r="C76" s="1" t="s">
        <v>17097</v>
      </c>
      <c r="D76" s="1" t="s">
        <v>12079</v>
      </c>
    </row>
    <row r="77" spans="1:4" x14ac:dyDescent="0.15">
      <c r="A77" s="1" t="s">
        <v>5674</v>
      </c>
      <c r="B77" s="1" t="s">
        <v>5675</v>
      </c>
      <c r="C77" s="1" t="s">
        <v>17097</v>
      </c>
      <c r="D77" s="1" t="s">
        <v>12079</v>
      </c>
    </row>
    <row r="78" spans="1:4" x14ac:dyDescent="0.15">
      <c r="A78" s="1" t="s">
        <v>5680</v>
      </c>
      <c r="B78" s="1" t="s">
        <v>5681</v>
      </c>
      <c r="C78" s="1" t="s">
        <v>16921</v>
      </c>
      <c r="D78" s="1" t="s">
        <v>16918</v>
      </c>
    </row>
    <row r="79" spans="1:4" x14ac:dyDescent="0.15">
      <c r="A79" s="1" t="s">
        <v>5682</v>
      </c>
      <c r="B79" s="1" t="s">
        <v>5683</v>
      </c>
      <c r="C79" s="1" t="s">
        <v>16921</v>
      </c>
      <c r="D79" s="1" t="s">
        <v>16918</v>
      </c>
    </row>
    <row r="80" spans="1:4" x14ac:dyDescent="0.15">
      <c r="A80" s="1" t="s">
        <v>5684</v>
      </c>
      <c r="B80" s="1" t="s">
        <v>5685</v>
      </c>
      <c r="C80" s="1" t="s">
        <v>16935</v>
      </c>
      <c r="D80" s="1" t="s">
        <v>12081</v>
      </c>
    </row>
    <row r="81" spans="1:4" x14ac:dyDescent="0.15">
      <c r="A81" s="1" t="s">
        <v>5686</v>
      </c>
      <c r="B81" s="1" t="s">
        <v>5687</v>
      </c>
      <c r="C81" s="1" t="s">
        <v>16942</v>
      </c>
      <c r="D81" s="1" t="s">
        <v>12082</v>
      </c>
    </row>
    <row r="82" spans="1:4" x14ac:dyDescent="0.15">
      <c r="A82" s="1" t="s">
        <v>5688</v>
      </c>
      <c r="B82" s="1" t="s">
        <v>5689</v>
      </c>
      <c r="C82" s="1" t="s">
        <v>16946</v>
      </c>
      <c r="D82" s="1" t="s">
        <v>12083</v>
      </c>
    </row>
    <row r="83" spans="1:4" x14ac:dyDescent="0.15">
      <c r="A83" s="1" t="s">
        <v>5690</v>
      </c>
      <c r="B83" s="1" t="s">
        <v>5691</v>
      </c>
      <c r="C83" s="1" t="s">
        <v>16954</v>
      </c>
      <c r="D83" s="1" t="s">
        <v>16955</v>
      </c>
    </row>
    <row r="84" spans="1:4" x14ac:dyDescent="0.15">
      <c r="A84" s="1" t="s">
        <v>5692</v>
      </c>
      <c r="B84" s="1" t="s">
        <v>5693</v>
      </c>
      <c r="C84" s="1" t="s">
        <v>16962</v>
      </c>
      <c r="D84" s="1" t="s">
        <v>12084</v>
      </c>
    </row>
    <row r="85" spans="1:4" x14ac:dyDescent="0.15">
      <c r="A85" s="1" t="s">
        <v>5694</v>
      </c>
      <c r="B85" s="1" t="s">
        <v>5695</v>
      </c>
      <c r="C85" s="1" t="s">
        <v>16966</v>
      </c>
      <c r="D85" s="1" t="s">
        <v>12085</v>
      </c>
    </row>
    <row r="86" spans="1:4" x14ac:dyDescent="0.15">
      <c r="A86" s="1" t="s">
        <v>5696</v>
      </c>
      <c r="B86" s="1" t="s">
        <v>5697</v>
      </c>
      <c r="C86" s="1" t="s">
        <v>16989</v>
      </c>
      <c r="D86" s="1" t="s">
        <v>12088</v>
      </c>
    </row>
    <row r="87" spans="1:4" x14ac:dyDescent="0.15">
      <c r="A87" s="1" t="s">
        <v>3924</v>
      </c>
      <c r="B87" s="1" t="s">
        <v>3925</v>
      </c>
      <c r="C87" s="1" t="s">
        <v>12090</v>
      </c>
      <c r="D87" s="1" t="s">
        <v>17361</v>
      </c>
    </row>
    <row r="88" spans="1:4" x14ac:dyDescent="0.15">
      <c r="A88" s="1" t="s">
        <v>5702</v>
      </c>
      <c r="B88" s="1" t="s">
        <v>5703</v>
      </c>
      <c r="C88" s="1" t="s">
        <v>17026</v>
      </c>
      <c r="D88" s="1" t="s">
        <v>12092</v>
      </c>
    </row>
    <row r="89" spans="1:4" x14ac:dyDescent="0.15">
      <c r="A89" s="1" t="s">
        <v>5704</v>
      </c>
      <c r="B89" s="1" t="s">
        <v>5705</v>
      </c>
      <c r="C89" s="1" t="s">
        <v>17030</v>
      </c>
      <c r="D89" s="1" t="s">
        <v>12093</v>
      </c>
    </row>
    <row r="90" spans="1:4" x14ac:dyDescent="0.15">
      <c r="A90" s="1" t="s">
        <v>5706</v>
      </c>
      <c r="B90" s="1" t="s">
        <v>5707</v>
      </c>
      <c r="C90" s="1" t="s">
        <v>17034</v>
      </c>
      <c r="D90" s="1" t="s">
        <v>12094</v>
      </c>
    </row>
    <row r="91" spans="1:4" x14ac:dyDescent="0.15">
      <c r="A91" s="1" t="s">
        <v>5708</v>
      </c>
      <c r="B91" s="1" t="s">
        <v>5709</v>
      </c>
      <c r="C91" s="1" t="s">
        <v>17038</v>
      </c>
      <c r="D91" s="1" t="s">
        <v>12095</v>
      </c>
    </row>
    <row r="92" spans="1:4" x14ac:dyDescent="0.15">
      <c r="A92" s="1" t="s">
        <v>5710</v>
      </c>
      <c r="B92" s="1" t="s">
        <v>5711</v>
      </c>
      <c r="C92" s="1" t="s">
        <v>17042</v>
      </c>
      <c r="D92" s="1" t="s">
        <v>12096</v>
      </c>
    </row>
    <row r="93" spans="1:4" x14ac:dyDescent="0.15">
      <c r="A93" s="1" t="s">
        <v>5712</v>
      </c>
      <c r="B93" s="1" t="s">
        <v>5713</v>
      </c>
      <c r="C93" s="1" t="s">
        <v>17046</v>
      </c>
      <c r="D93" s="1" t="s">
        <v>12097</v>
      </c>
    </row>
    <row r="94" spans="1:4" x14ac:dyDescent="0.15">
      <c r="A94" s="1" t="s">
        <v>5714</v>
      </c>
      <c r="B94" s="1" t="s">
        <v>5715</v>
      </c>
      <c r="C94" s="1" t="s">
        <v>17050</v>
      </c>
      <c r="D94" s="1" t="s">
        <v>12098</v>
      </c>
    </row>
    <row r="95" spans="1:4" x14ac:dyDescent="0.15">
      <c r="A95" s="1" t="s">
        <v>5718</v>
      </c>
      <c r="B95" s="1" t="s">
        <v>5719</v>
      </c>
      <c r="C95" s="1" t="s">
        <v>17058</v>
      </c>
      <c r="D95" s="1" t="s">
        <v>12099</v>
      </c>
    </row>
    <row r="96" spans="1:4" x14ac:dyDescent="0.15">
      <c r="A96" s="1" t="s">
        <v>5720</v>
      </c>
      <c r="B96" s="1" t="s">
        <v>3551</v>
      </c>
      <c r="C96" s="1" t="s">
        <v>17062</v>
      </c>
      <c r="D96" s="1" t="s">
        <v>12100</v>
      </c>
    </row>
    <row r="97" spans="1:4" x14ac:dyDescent="0.15">
      <c r="A97" s="1" t="s">
        <v>3552</v>
      </c>
      <c r="B97" s="1" t="s">
        <v>3553</v>
      </c>
      <c r="C97" s="1" t="s">
        <v>17070</v>
      </c>
      <c r="D97" s="1" t="s">
        <v>12101</v>
      </c>
    </row>
    <row r="98" spans="1:4" x14ac:dyDescent="0.15">
      <c r="A98" s="1" t="s">
        <v>3554</v>
      </c>
      <c r="B98" s="1" t="s">
        <v>3555</v>
      </c>
      <c r="C98" s="1" t="s">
        <v>17078</v>
      </c>
      <c r="D98" s="1" t="s">
        <v>12102</v>
      </c>
    </row>
    <row r="99" spans="1:4" x14ac:dyDescent="0.15">
      <c r="A99" s="1" t="s">
        <v>3556</v>
      </c>
      <c r="B99" s="1" t="s">
        <v>3557</v>
      </c>
      <c r="C99" s="1" t="s">
        <v>16495</v>
      </c>
      <c r="D99" s="1" t="s">
        <v>12103</v>
      </c>
    </row>
    <row r="100" spans="1:4" x14ac:dyDescent="0.15">
      <c r="A100" s="1" t="s">
        <v>3558</v>
      </c>
      <c r="B100" s="1" t="s">
        <v>3559</v>
      </c>
      <c r="C100" s="1" t="s">
        <v>16499</v>
      </c>
      <c r="D100" s="1" t="s">
        <v>12104</v>
      </c>
    </row>
    <row r="101" spans="1:4" x14ac:dyDescent="0.15">
      <c r="A101" s="1" t="s">
        <v>3560</v>
      </c>
      <c r="B101" s="1" t="s">
        <v>3561</v>
      </c>
      <c r="C101" s="1" t="s">
        <v>16503</v>
      </c>
      <c r="D101" s="1" t="s">
        <v>12105</v>
      </c>
    </row>
    <row r="102" spans="1:4" x14ac:dyDescent="0.15">
      <c r="A102" s="1" t="s">
        <v>3564</v>
      </c>
      <c r="B102" s="1" t="s">
        <v>3565</v>
      </c>
      <c r="C102" s="1" t="s">
        <v>16507</v>
      </c>
      <c r="D102" s="1" t="s">
        <v>12106</v>
      </c>
    </row>
    <row r="103" spans="1:4" x14ac:dyDescent="0.15">
      <c r="A103" s="1" t="s">
        <v>3562</v>
      </c>
      <c r="B103" s="1" t="s">
        <v>3563</v>
      </c>
      <c r="C103" s="1" t="s">
        <v>16511</v>
      </c>
      <c r="D103" s="1" t="s">
        <v>12107</v>
      </c>
    </row>
    <row r="104" spans="1:4" x14ac:dyDescent="0.15">
      <c r="A104" s="1" t="s">
        <v>3566</v>
      </c>
      <c r="B104" s="1" t="s">
        <v>3567</v>
      </c>
      <c r="C104" s="1" t="s">
        <v>16531</v>
      </c>
      <c r="D104" s="1" t="s">
        <v>12110</v>
      </c>
    </row>
    <row r="105" spans="1:4" x14ac:dyDescent="0.15">
      <c r="A105" s="1" t="s">
        <v>3568</v>
      </c>
      <c r="B105" s="1" t="s">
        <v>3569</v>
      </c>
      <c r="C105" s="1" t="s">
        <v>16535</v>
      </c>
      <c r="D105" s="1" t="s">
        <v>12111</v>
      </c>
    </row>
    <row r="106" spans="1:4" x14ac:dyDescent="0.15">
      <c r="A106" s="1" t="s">
        <v>3572</v>
      </c>
      <c r="B106" s="1" t="s">
        <v>3573</v>
      </c>
      <c r="C106" s="1" t="s">
        <v>16551</v>
      </c>
      <c r="D106" s="1" t="s">
        <v>12114</v>
      </c>
    </row>
    <row r="107" spans="1:4" x14ac:dyDescent="0.15">
      <c r="A107" s="1" t="s">
        <v>3574</v>
      </c>
      <c r="B107" s="1" t="s">
        <v>3575</v>
      </c>
      <c r="C107" s="1" t="s">
        <v>16567</v>
      </c>
      <c r="D107" s="1" t="s">
        <v>12118</v>
      </c>
    </row>
    <row r="108" spans="1:4" x14ac:dyDescent="0.15">
      <c r="A108" s="1" t="s">
        <v>3576</v>
      </c>
      <c r="B108" s="1" t="s">
        <v>3577</v>
      </c>
      <c r="C108" s="1" t="s">
        <v>16571</v>
      </c>
      <c r="D108" s="1" t="s">
        <v>12119</v>
      </c>
    </row>
    <row r="109" spans="1:4" x14ac:dyDescent="0.15">
      <c r="A109" s="1" t="s">
        <v>3578</v>
      </c>
      <c r="B109" s="1" t="s">
        <v>3579</v>
      </c>
      <c r="C109" s="1" t="s">
        <v>16575</v>
      </c>
      <c r="D109" s="1" t="s">
        <v>12120</v>
      </c>
    </row>
    <row r="110" spans="1:4" x14ac:dyDescent="0.15">
      <c r="A110" s="1" t="s">
        <v>3580</v>
      </c>
      <c r="B110" s="1" t="s">
        <v>3581</v>
      </c>
      <c r="C110" s="1" t="s">
        <v>16579</v>
      </c>
      <c r="D110" s="1" t="s">
        <v>12121</v>
      </c>
    </row>
    <row r="111" spans="1:4" x14ac:dyDescent="0.15">
      <c r="A111" s="1" t="s">
        <v>3582</v>
      </c>
      <c r="B111" s="1" t="s">
        <v>3583</v>
      </c>
      <c r="C111" s="1" t="s">
        <v>16583</v>
      </c>
      <c r="D111" s="1" t="s">
        <v>12122</v>
      </c>
    </row>
    <row r="112" spans="1:4" x14ac:dyDescent="0.15">
      <c r="A112" s="1" t="s">
        <v>3584</v>
      </c>
      <c r="B112" s="1" t="s">
        <v>3585</v>
      </c>
      <c r="C112" s="1" t="s">
        <v>16655</v>
      </c>
      <c r="D112" s="1" t="s">
        <v>12128</v>
      </c>
    </row>
    <row r="113" spans="1:4" x14ac:dyDescent="0.15">
      <c r="A113" s="1" t="s">
        <v>3588</v>
      </c>
      <c r="B113" s="1" t="s">
        <v>3589</v>
      </c>
      <c r="C113" s="1" t="s">
        <v>16669</v>
      </c>
      <c r="D113" s="1" t="s">
        <v>16666</v>
      </c>
    </row>
    <row r="114" spans="1:4" x14ac:dyDescent="0.15">
      <c r="A114" s="1" t="s">
        <v>3590</v>
      </c>
      <c r="B114" s="1" t="s">
        <v>3591</v>
      </c>
      <c r="C114" s="1" t="s">
        <v>16669</v>
      </c>
      <c r="D114" s="1" t="s">
        <v>16666</v>
      </c>
    </row>
    <row r="115" spans="1:4" x14ac:dyDescent="0.15">
      <c r="A115" s="1" t="s">
        <v>3592</v>
      </c>
      <c r="B115" s="1" t="s">
        <v>3593</v>
      </c>
      <c r="C115" s="1" t="s">
        <v>16681</v>
      </c>
      <c r="D115" s="1" t="s">
        <v>16678</v>
      </c>
    </row>
    <row r="116" spans="1:4" x14ac:dyDescent="0.15">
      <c r="A116" s="1" t="s">
        <v>3594</v>
      </c>
      <c r="B116" s="1" t="s">
        <v>3595</v>
      </c>
      <c r="C116" s="1" t="s">
        <v>16681</v>
      </c>
      <c r="D116" s="1" t="s">
        <v>16678</v>
      </c>
    </row>
    <row r="117" spans="1:4" x14ac:dyDescent="0.15">
      <c r="A117" s="1" t="s">
        <v>3596</v>
      </c>
      <c r="B117" s="1" t="s">
        <v>3597</v>
      </c>
      <c r="C117" s="1" t="s">
        <v>16688</v>
      </c>
      <c r="D117" s="1" t="s">
        <v>12129</v>
      </c>
    </row>
    <row r="118" spans="1:4" x14ac:dyDescent="0.15">
      <c r="A118" s="1" t="s">
        <v>3598</v>
      </c>
      <c r="B118" s="1" t="s">
        <v>3599</v>
      </c>
      <c r="C118" s="1" t="s">
        <v>16695</v>
      </c>
      <c r="D118" s="1" t="s">
        <v>12130</v>
      </c>
    </row>
    <row r="119" spans="1:4" x14ac:dyDescent="0.15">
      <c r="A119" s="1" t="s">
        <v>3602</v>
      </c>
      <c r="B119" s="1" t="s">
        <v>3603</v>
      </c>
      <c r="C119" s="1" t="s">
        <v>16709</v>
      </c>
      <c r="D119" s="1" t="s">
        <v>12131</v>
      </c>
    </row>
    <row r="120" spans="1:4" x14ac:dyDescent="0.15">
      <c r="A120" s="1" t="s">
        <v>3606</v>
      </c>
      <c r="B120" s="1" t="s">
        <v>3607</v>
      </c>
      <c r="C120" s="1" t="s">
        <v>16723</v>
      </c>
      <c r="D120" s="1" t="s">
        <v>16720</v>
      </c>
    </row>
    <row r="121" spans="1:4" x14ac:dyDescent="0.15">
      <c r="A121" s="1" t="s">
        <v>3608</v>
      </c>
      <c r="B121" s="1" t="s">
        <v>3609</v>
      </c>
      <c r="C121" s="1" t="s">
        <v>16730</v>
      </c>
      <c r="D121" s="1" t="s">
        <v>16727</v>
      </c>
    </row>
    <row r="122" spans="1:4" x14ac:dyDescent="0.15">
      <c r="A122" s="1" t="s">
        <v>3610</v>
      </c>
      <c r="B122" s="1" t="s">
        <v>3611</v>
      </c>
      <c r="C122" s="1" t="s">
        <v>16765</v>
      </c>
      <c r="D122" s="1" t="s">
        <v>12132</v>
      </c>
    </row>
    <row r="123" spans="1:4" x14ac:dyDescent="0.15">
      <c r="A123" s="1" t="s">
        <v>3612</v>
      </c>
      <c r="B123" s="1" t="s">
        <v>3613</v>
      </c>
      <c r="C123" s="1" t="s">
        <v>16772</v>
      </c>
      <c r="D123" s="1" t="s">
        <v>16769</v>
      </c>
    </row>
    <row r="124" spans="1:4" x14ac:dyDescent="0.15">
      <c r="A124" s="1" t="s">
        <v>3614</v>
      </c>
      <c r="B124" s="1" t="s">
        <v>3615</v>
      </c>
      <c r="C124" s="1" t="s">
        <v>16779</v>
      </c>
      <c r="D124" s="1" t="s">
        <v>16776</v>
      </c>
    </row>
    <row r="125" spans="1:4" x14ac:dyDescent="0.15">
      <c r="A125" s="1" t="s">
        <v>3616</v>
      </c>
      <c r="B125" s="1" t="s">
        <v>3617</v>
      </c>
      <c r="C125" s="1" t="s">
        <v>16793</v>
      </c>
      <c r="D125" s="1" t="s">
        <v>12134</v>
      </c>
    </row>
    <row r="126" spans="1:4" x14ac:dyDescent="0.15">
      <c r="A126" s="1" t="s">
        <v>3636</v>
      </c>
      <c r="B126" s="1" t="s">
        <v>3637</v>
      </c>
      <c r="C126" s="1" t="s">
        <v>16814</v>
      </c>
      <c r="D126" s="1" t="s">
        <v>12135</v>
      </c>
    </row>
    <row r="127" spans="1:4" x14ac:dyDescent="0.15">
      <c r="A127" s="1" t="s">
        <v>3618</v>
      </c>
      <c r="B127" s="1" t="s">
        <v>3619</v>
      </c>
      <c r="C127" s="1" t="s">
        <v>16821</v>
      </c>
      <c r="D127" s="1" t="s">
        <v>16818</v>
      </c>
    </row>
    <row r="128" spans="1:4" x14ac:dyDescent="0.15">
      <c r="A128" s="1" t="s">
        <v>3620</v>
      </c>
      <c r="B128" s="1" t="s">
        <v>3621</v>
      </c>
      <c r="C128" s="1" t="s">
        <v>16828</v>
      </c>
      <c r="D128" s="1" t="s">
        <v>16825</v>
      </c>
    </row>
    <row r="129" spans="1:4" x14ac:dyDescent="0.15">
      <c r="A129" s="1" t="s">
        <v>3624</v>
      </c>
      <c r="B129" s="1" t="s">
        <v>3625</v>
      </c>
      <c r="C129" s="1" t="s">
        <v>16258</v>
      </c>
      <c r="D129" s="1" t="s">
        <v>12139</v>
      </c>
    </row>
    <row r="130" spans="1:4" x14ac:dyDescent="0.15">
      <c r="A130" s="1" t="s">
        <v>3628</v>
      </c>
      <c r="B130" s="1" t="s">
        <v>3629</v>
      </c>
      <c r="C130" s="1" t="s">
        <v>16272</v>
      </c>
      <c r="D130" s="1" t="s">
        <v>16269</v>
      </c>
    </row>
    <row r="131" spans="1:4" x14ac:dyDescent="0.15">
      <c r="A131" s="1" t="s">
        <v>3634</v>
      </c>
      <c r="B131" s="1" t="s">
        <v>3635</v>
      </c>
      <c r="C131" s="1" t="s">
        <v>16300</v>
      </c>
      <c r="D131" s="1" t="s">
        <v>12146</v>
      </c>
    </row>
    <row r="132" spans="1:4" x14ac:dyDescent="0.15">
      <c r="A132" s="1" t="s">
        <v>3644</v>
      </c>
      <c r="B132" s="1" t="s">
        <v>3645</v>
      </c>
      <c r="C132" s="1" t="s">
        <v>16335</v>
      </c>
      <c r="D132" s="1" t="s">
        <v>16332</v>
      </c>
    </row>
    <row r="133" spans="1:4" x14ac:dyDescent="0.15">
      <c r="A133" s="1" t="s">
        <v>3646</v>
      </c>
      <c r="B133" s="1" t="s">
        <v>3647</v>
      </c>
      <c r="C133" s="1" t="s">
        <v>16355</v>
      </c>
      <c r="D133" s="1" t="s">
        <v>12153</v>
      </c>
    </row>
    <row r="134" spans="1:4" x14ac:dyDescent="0.15">
      <c r="A134" s="1" t="s">
        <v>3646</v>
      </c>
      <c r="B134" s="1" t="s">
        <v>3647</v>
      </c>
      <c r="C134" s="1" t="s">
        <v>12157</v>
      </c>
      <c r="D134" s="1" t="s">
        <v>12158</v>
      </c>
    </row>
    <row r="135" spans="1:4" x14ac:dyDescent="0.15">
      <c r="A135" s="1" t="s">
        <v>3648</v>
      </c>
      <c r="B135" s="1" t="s">
        <v>3649</v>
      </c>
      <c r="C135" s="1" t="s">
        <v>16367</v>
      </c>
      <c r="D135" s="1" t="s">
        <v>12161</v>
      </c>
    </row>
    <row r="136" spans="1:4" x14ac:dyDescent="0.15">
      <c r="A136" s="1" t="s">
        <v>3656</v>
      </c>
      <c r="B136" s="1" t="s">
        <v>3657</v>
      </c>
      <c r="C136" s="1" t="s">
        <v>16439</v>
      </c>
      <c r="D136" s="1" t="s">
        <v>12166</v>
      </c>
    </row>
    <row r="137" spans="1:4" x14ac:dyDescent="0.15">
      <c r="A137" s="1" t="s">
        <v>3658</v>
      </c>
      <c r="B137" s="1" t="s">
        <v>3659</v>
      </c>
      <c r="C137" s="1" t="s">
        <v>16451</v>
      </c>
      <c r="D137" s="1" t="s">
        <v>12167</v>
      </c>
    </row>
    <row r="138" spans="1:4" x14ac:dyDescent="0.15">
      <c r="A138" s="1" t="s">
        <v>3670</v>
      </c>
      <c r="B138" s="1" t="s">
        <v>3671</v>
      </c>
      <c r="C138" s="1" t="s">
        <v>15958</v>
      </c>
      <c r="D138" s="1" t="s">
        <v>12171</v>
      </c>
    </row>
    <row r="139" spans="1:4" x14ac:dyDescent="0.15">
      <c r="A139" s="1" t="s">
        <v>3672</v>
      </c>
      <c r="B139" s="1" t="s">
        <v>3673</v>
      </c>
      <c r="C139" s="1" t="s">
        <v>15958</v>
      </c>
      <c r="D139" s="1" t="s">
        <v>12171</v>
      </c>
    </row>
    <row r="140" spans="1:4" x14ac:dyDescent="0.15">
      <c r="A140" s="1" t="s">
        <v>3674</v>
      </c>
      <c r="B140" s="1" t="s">
        <v>3675</v>
      </c>
      <c r="C140" s="1" t="s">
        <v>15971</v>
      </c>
      <c r="D140" s="1" t="s">
        <v>12172</v>
      </c>
    </row>
    <row r="141" spans="1:4" x14ac:dyDescent="0.15">
      <c r="A141" s="1" t="s">
        <v>3676</v>
      </c>
      <c r="B141" s="1" t="s">
        <v>3677</v>
      </c>
      <c r="C141" s="1" t="s">
        <v>15971</v>
      </c>
      <c r="D141" s="1" t="s">
        <v>12172</v>
      </c>
    </row>
    <row r="142" spans="1:4" x14ac:dyDescent="0.15">
      <c r="A142" s="1" t="s">
        <v>3688</v>
      </c>
      <c r="B142" s="1" t="s">
        <v>3689</v>
      </c>
      <c r="C142" s="1" t="s">
        <v>16003</v>
      </c>
      <c r="D142" s="1" t="s">
        <v>12173</v>
      </c>
    </row>
    <row r="143" spans="1:4" x14ac:dyDescent="0.15">
      <c r="A143" s="1" t="s">
        <v>3686</v>
      </c>
      <c r="B143" s="1" t="s">
        <v>3687</v>
      </c>
      <c r="C143" s="1" t="s">
        <v>16007</v>
      </c>
      <c r="D143" s="1" t="s">
        <v>12174</v>
      </c>
    </row>
    <row r="144" spans="1:4" x14ac:dyDescent="0.15">
      <c r="A144" s="1" t="s">
        <v>3690</v>
      </c>
      <c r="B144" s="1" t="s">
        <v>3691</v>
      </c>
      <c r="C144" s="1" t="s">
        <v>16021</v>
      </c>
      <c r="D144" s="1" t="s">
        <v>12175</v>
      </c>
    </row>
    <row r="145" spans="1:4" x14ac:dyDescent="0.15">
      <c r="A145" s="1" t="s">
        <v>3710</v>
      </c>
      <c r="B145" s="1" t="s">
        <v>3711</v>
      </c>
      <c r="C145" s="1" t="s">
        <v>16037</v>
      </c>
      <c r="D145" s="1" t="s">
        <v>12176</v>
      </c>
    </row>
    <row r="146" spans="1:4" x14ac:dyDescent="0.15">
      <c r="A146" s="1" t="s">
        <v>3696</v>
      </c>
      <c r="B146" s="1" t="s">
        <v>3697</v>
      </c>
      <c r="C146" s="1" t="s">
        <v>16051</v>
      </c>
      <c r="D146" s="1" t="s">
        <v>12177</v>
      </c>
    </row>
    <row r="147" spans="1:4" x14ac:dyDescent="0.15">
      <c r="A147" s="1" t="s">
        <v>3698</v>
      </c>
      <c r="B147" s="1" t="s">
        <v>3699</v>
      </c>
      <c r="C147" s="1" t="s">
        <v>16055</v>
      </c>
      <c r="D147" s="1" t="s">
        <v>12178</v>
      </c>
    </row>
    <row r="148" spans="1:4" x14ac:dyDescent="0.15">
      <c r="A148" s="1" t="s">
        <v>3712</v>
      </c>
      <c r="B148" s="1" t="s">
        <v>3713</v>
      </c>
      <c r="C148" s="1" t="s">
        <v>12179</v>
      </c>
      <c r="D148" s="1" t="s">
        <v>12180</v>
      </c>
    </row>
    <row r="149" spans="1:4" x14ac:dyDescent="0.15">
      <c r="A149" s="1" t="s">
        <v>3700</v>
      </c>
      <c r="B149" s="1" t="s">
        <v>3701</v>
      </c>
      <c r="C149" s="1" t="s">
        <v>16063</v>
      </c>
      <c r="D149" s="1" t="s">
        <v>12182</v>
      </c>
    </row>
    <row r="150" spans="1:4" x14ac:dyDescent="0.15">
      <c r="A150" s="1" t="s">
        <v>3714</v>
      </c>
      <c r="B150" s="1" t="s">
        <v>3715</v>
      </c>
      <c r="C150" s="1" t="s">
        <v>16111</v>
      </c>
      <c r="D150" s="1" t="s">
        <v>12183</v>
      </c>
    </row>
    <row r="151" spans="1:4" x14ac:dyDescent="0.15">
      <c r="A151" s="1" t="s">
        <v>3716</v>
      </c>
      <c r="B151" s="1" t="s">
        <v>3717</v>
      </c>
      <c r="C151" s="1" t="s">
        <v>16111</v>
      </c>
      <c r="D151" s="1" t="s">
        <v>12183</v>
      </c>
    </row>
    <row r="152" spans="1:4" x14ac:dyDescent="0.15">
      <c r="A152" s="1" t="s">
        <v>4032</v>
      </c>
      <c r="B152" s="1" t="s">
        <v>4033</v>
      </c>
      <c r="C152" s="1" t="s">
        <v>12184</v>
      </c>
      <c r="D152" s="1" t="s">
        <v>12185</v>
      </c>
    </row>
    <row r="153" spans="1:4" x14ac:dyDescent="0.15">
      <c r="A153" s="1" t="s">
        <v>4034</v>
      </c>
      <c r="B153" s="1" t="s">
        <v>4035</v>
      </c>
      <c r="C153" s="1" t="s">
        <v>12188</v>
      </c>
      <c r="D153" s="1" t="s">
        <v>12189</v>
      </c>
    </row>
    <row r="154" spans="1:4" x14ac:dyDescent="0.15">
      <c r="A154" s="1" t="s">
        <v>4036</v>
      </c>
      <c r="B154" s="1" t="s">
        <v>4037</v>
      </c>
      <c r="C154" s="1" t="s">
        <v>12188</v>
      </c>
      <c r="D154" s="1" t="s">
        <v>12189</v>
      </c>
    </row>
    <row r="155" spans="1:4" x14ac:dyDescent="0.15">
      <c r="A155" s="1" t="s">
        <v>4038</v>
      </c>
      <c r="B155" s="1" t="s">
        <v>4039</v>
      </c>
      <c r="C155" s="1" t="s">
        <v>12191</v>
      </c>
      <c r="D155" s="1" t="s">
        <v>12192</v>
      </c>
    </row>
    <row r="156" spans="1:4" x14ac:dyDescent="0.15">
      <c r="A156" s="1" t="s">
        <v>4040</v>
      </c>
      <c r="B156" s="1" t="s">
        <v>4041</v>
      </c>
      <c r="C156" s="1" t="s">
        <v>12191</v>
      </c>
      <c r="D156" s="1" t="s">
        <v>12192</v>
      </c>
    </row>
    <row r="157" spans="1:4" x14ac:dyDescent="0.15">
      <c r="A157" s="1" t="s">
        <v>4060</v>
      </c>
      <c r="B157" s="1" t="s">
        <v>4061</v>
      </c>
      <c r="C157" s="1" t="s">
        <v>12203</v>
      </c>
      <c r="D157" s="1" t="s">
        <v>12204</v>
      </c>
    </row>
    <row r="158" spans="1:4" x14ac:dyDescent="0.15">
      <c r="A158" s="1" t="s">
        <v>4062</v>
      </c>
      <c r="B158" s="1" t="s">
        <v>4063</v>
      </c>
      <c r="C158" s="1" t="s">
        <v>12203</v>
      </c>
      <c r="D158" s="1" t="s">
        <v>12204</v>
      </c>
    </row>
    <row r="159" spans="1:4" x14ac:dyDescent="0.15">
      <c r="A159" s="1" t="s">
        <v>4064</v>
      </c>
      <c r="B159" s="1" t="s">
        <v>4065</v>
      </c>
      <c r="C159" s="1" t="s">
        <v>12206</v>
      </c>
      <c r="D159" s="1" t="s">
        <v>12207</v>
      </c>
    </row>
    <row r="160" spans="1:4" x14ac:dyDescent="0.15">
      <c r="A160" s="1" t="s">
        <v>4066</v>
      </c>
      <c r="B160" s="1" t="s">
        <v>4067</v>
      </c>
      <c r="C160" s="1" t="s">
        <v>12209</v>
      </c>
      <c r="D160" s="1" t="s">
        <v>12210</v>
      </c>
    </row>
    <row r="161" spans="1:4" x14ac:dyDescent="0.15">
      <c r="A161" s="1" t="s">
        <v>4068</v>
      </c>
      <c r="B161" s="1" t="s">
        <v>4069</v>
      </c>
      <c r="C161" s="1" t="s">
        <v>12221</v>
      </c>
      <c r="D161" s="1" t="s">
        <v>12222</v>
      </c>
    </row>
    <row r="162" spans="1:4" x14ac:dyDescent="0.15">
      <c r="A162" s="1" t="s">
        <v>4070</v>
      </c>
      <c r="B162" s="1" t="s">
        <v>4071</v>
      </c>
      <c r="C162" s="1" t="s">
        <v>12224</v>
      </c>
      <c r="D162" s="1" t="s">
        <v>13807</v>
      </c>
    </row>
    <row r="163" spans="1:4" x14ac:dyDescent="0.15">
      <c r="A163" s="1" t="s">
        <v>4076</v>
      </c>
      <c r="B163" s="1" t="s">
        <v>4077</v>
      </c>
      <c r="C163" s="1" t="s">
        <v>12232</v>
      </c>
      <c r="D163" s="1" t="s">
        <v>12233</v>
      </c>
    </row>
    <row r="164" spans="1:4" x14ac:dyDescent="0.15">
      <c r="A164" s="1" t="s">
        <v>4050</v>
      </c>
      <c r="B164" s="1" t="s">
        <v>4051</v>
      </c>
      <c r="C164" s="1" t="s">
        <v>12241</v>
      </c>
      <c r="D164" s="1" t="s">
        <v>12242</v>
      </c>
    </row>
    <row r="165" spans="1:4" x14ac:dyDescent="0.15">
      <c r="A165" s="1" t="s">
        <v>4048</v>
      </c>
      <c r="B165" s="1" t="s">
        <v>4049</v>
      </c>
      <c r="C165" s="1" t="s">
        <v>12247</v>
      </c>
      <c r="D165" s="1" t="s">
        <v>12248</v>
      </c>
    </row>
    <row r="166" spans="1:4" x14ac:dyDescent="0.15">
      <c r="A166" s="1" t="s">
        <v>4082</v>
      </c>
      <c r="B166" s="1" t="s">
        <v>4083</v>
      </c>
      <c r="C166" s="1" t="s">
        <v>12252</v>
      </c>
      <c r="D166" s="1" t="s">
        <v>12253</v>
      </c>
    </row>
    <row r="167" spans="1:4" x14ac:dyDescent="0.15">
      <c r="A167" s="1" t="s">
        <v>4086</v>
      </c>
      <c r="B167" s="1" t="s">
        <v>4087</v>
      </c>
      <c r="C167" s="1" t="s">
        <v>12258</v>
      </c>
      <c r="D167" s="1" t="s">
        <v>12259</v>
      </c>
    </row>
    <row r="168" spans="1:4" x14ac:dyDescent="0.15">
      <c r="A168" s="1" t="s">
        <v>4098</v>
      </c>
      <c r="B168" s="1" t="s">
        <v>4099</v>
      </c>
      <c r="C168" s="1" t="s">
        <v>12265</v>
      </c>
      <c r="D168" s="1" t="s">
        <v>13511</v>
      </c>
    </row>
    <row r="169" spans="1:4" x14ac:dyDescent="0.15">
      <c r="A169" s="1" t="s">
        <v>4052</v>
      </c>
      <c r="B169" s="1" t="s">
        <v>4053</v>
      </c>
      <c r="C169" s="1" t="s">
        <v>12267</v>
      </c>
      <c r="D169" s="1" t="s">
        <v>12268</v>
      </c>
    </row>
    <row r="170" spans="1:4" x14ac:dyDescent="0.15">
      <c r="A170" s="1" t="s">
        <v>4100</v>
      </c>
      <c r="B170" s="1" t="s">
        <v>4101</v>
      </c>
      <c r="C170" s="1" t="s">
        <v>12270</v>
      </c>
      <c r="D170" s="1" t="s">
        <v>13519</v>
      </c>
    </row>
    <row r="171" spans="1:4" x14ac:dyDescent="0.15">
      <c r="A171" s="1" t="s">
        <v>4054</v>
      </c>
      <c r="B171" s="1" t="s">
        <v>4055</v>
      </c>
      <c r="C171" s="1" t="s">
        <v>12272</v>
      </c>
      <c r="D171" s="1" t="s">
        <v>12273</v>
      </c>
    </row>
    <row r="172" spans="1:4" x14ac:dyDescent="0.15">
      <c r="A172" s="1" t="s">
        <v>4064</v>
      </c>
      <c r="B172" s="1" t="s">
        <v>4065</v>
      </c>
      <c r="C172" s="1" t="s">
        <v>12277</v>
      </c>
      <c r="D172" s="1" t="s">
        <v>12278</v>
      </c>
    </row>
    <row r="173" spans="1:4" x14ac:dyDescent="0.15">
      <c r="A173" s="1" t="s">
        <v>4108</v>
      </c>
      <c r="B173" s="1" t="s">
        <v>4109</v>
      </c>
      <c r="C173" s="1" t="s">
        <v>12286</v>
      </c>
      <c r="D173" s="1" t="s">
        <v>12287</v>
      </c>
    </row>
    <row r="174" spans="1:4" x14ac:dyDescent="0.15">
      <c r="A174" s="1" t="s">
        <v>4110</v>
      </c>
      <c r="B174" s="1" t="s">
        <v>4111</v>
      </c>
      <c r="C174" s="1" t="s">
        <v>12286</v>
      </c>
      <c r="D174" s="1" t="s">
        <v>12287</v>
      </c>
    </row>
    <row r="175" spans="1:4" x14ac:dyDescent="0.15">
      <c r="A175" s="1" t="s">
        <v>4112</v>
      </c>
      <c r="B175" s="1" t="s">
        <v>4113</v>
      </c>
      <c r="C175" s="1" t="s">
        <v>12286</v>
      </c>
      <c r="D175" s="1" t="s">
        <v>12287</v>
      </c>
    </row>
    <row r="176" spans="1:4" x14ac:dyDescent="0.15">
      <c r="A176" s="1" t="s">
        <v>4114</v>
      </c>
      <c r="B176" s="1" t="s">
        <v>4115</v>
      </c>
      <c r="C176" s="1" t="s">
        <v>12286</v>
      </c>
      <c r="D176" s="1" t="s">
        <v>12287</v>
      </c>
    </row>
    <row r="177" spans="1:4" x14ac:dyDescent="0.15">
      <c r="A177" s="1" t="s">
        <v>4026</v>
      </c>
      <c r="B177" s="1" t="s">
        <v>4027</v>
      </c>
      <c r="C177" s="1" t="s">
        <v>12296</v>
      </c>
      <c r="D177" s="1" t="s">
        <v>12297</v>
      </c>
    </row>
    <row r="178" spans="1:4" x14ac:dyDescent="0.15">
      <c r="A178" s="1" t="s">
        <v>4028</v>
      </c>
      <c r="B178" s="1" t="s">
        <v>4029</v>
      </c>
      <c r="C178" s="1" t="s">
        <v>12299</v>
      </c>
      <c r="D178" s="1" t="s">
        <v>12300</v>
      </c>
    </row>
    <row r="179" spans="1:4" x14ac:dyDescent="0.15">
      <c r="A179" s="1" t="s">
        <v>4046</v>
      </c>
      <c r="B179" s="1" t="s">
        <v>4047</v>
      </c>
      <c r="C179" s="1" t="s">
        <v>12308</v>
      </c>
      <c r="D179" s="1" t="s">
        <v>12309</v>
      </c>
    </row>
    <row r="180" spans="1:4" x14ac:dyDescent="0.15">
      <c r="A180" s="1" t="s">
        <v>4070</v>
      </c>
      <c r="B180" s="1" t="s">
        <v>4071</v>
      </c>
      <c r="C180" s="1" t="s">
        <v>12313</v>
      </c>
      <c r="D180" s="1" t="s">
        <v>13807</v>
      </c>
    </row>
    <row r="181" spans="1:4" x14ac:dyDescent="0.15">
      <c r="A181" s="1" t="s">
        <v>4072</v>
      </c>
      <c r="B181" s="1" t="s">
        <v>4073</v>
      </c>
      <c r="C181" s="1" t="s">
        <v>12315</v>
      </c>
      <c r="D181" s="1" t="s">
        <v>12316</v>
      </c>
    </row>
    <row r="182" spans="1:4" x14ac:dyDescent="0.15">
      <c r="A182" s="1" t="s">
        <v>4078</v>
      </c>
      <c r="B182" s="1" t="s">
        <v>4079</v>
      </c>
      <c r="C182" s="1" t="s">
        <v>12321</v>
      </c>
      <c r="D182" s="1" t="s">
        <v>12322</v>
      </c>
    </row>
    <row r="183" spans="1:4" x14ac:dyDescent="0.15">
      <c r="A183" s="1" t="s">
        <v>4080</v>
      </c>
      <c r="B183" s="1" t="s">
        <v>4081</v>
      </c>
      <c r="C183" s="1" t="s">
        <v>12321</v>
      </c>
      <c r="D183" s="1" t="s">
        <v>12322</v>
      </c>
    </row>
    <row r="184" spans="1:4" x14ac:dyDescent="0.15">
      <c r="A184" s="1" t="s">
        <v>4090</v>
      </c>
      <c r="B184" s="1" t="s">
        <v>4091</v>
      </c>
      <c r="C184" s="1" t="s">
        <v>12334</v>
      </c>
      <c r="D184" s="1" t="s">
        <v>13424</v>
      </c>
    </row>
    <row r="185" spans="1:4" x14ac:dyDescent="0.15">
      <c r="A185" s="1" t="s">
        <v>4096</v>
      </c>
      <c r="B185" s="1" t="s">
        <v>4097</v>
      </c>
      <c r="C185" s="1" t="s">
        <v>12351</v>
      </c>
      <c r="D185" s="1" t="s">
        <v>12352</v>
      </c>
    </row>
    <row r="186" spans="1:4" x14ac:dyDescent="0.15">
      <c r="A186" s="1" t="s">
        <v>4102</v>
      </c>
      <c r="B186" s="1" t="s">
        <v>4103</v>
      </c>
      <c r="C186" s="1" t="s">
        <v>12356</v>
      </c>
      <c r="D186" s="1" t="s">
        <v>12357</v>
      </c>
    </row>
    <row r="187" spans="1:4" x14ac:dyDescent="0.15">
      <c r="A187" s="1" t="s">
        <v>4108</v>
      </c>
      <c r="B187" s="1" t="s">
        <v>4109</v>
      </c>
      <c r="C187" s="1" t="s">
        <v>12362</v>
      </c>
      <c r="D187" s="1" t="s">
        <v>12363</v>
      </c>
    </row>
    <row r="188" spans="1:4" x14ac:dyDescent="0.15">
      <c r="A188" s="1" t="s">
        <v>4110</v>
      </c>
      <c r="B188" s="1" t="s">
        <v>4111</v>
      </c>
      <c r="C188" s="1" t="s">
        <v>12362</v>
      </c>
      <c r="D188" s="1" t="s">
        <v>12363</v>
      </c>
    </row>
    <row r="189" spans="1:4" x14ac:dyDescent="0.15">
      <c r="A189" s="1" t="s">
        <v>4112</v>
      </c>
      <c r="B189" s="1" t="s">
        <v>4113</v>
      </c>
      <c r="C189" s="1" t="s">
        <v>12362</v>
      </c>
      <c r="D189" s="1" t="s">
        <v>12363</v>
      </c>
    </row>
    <row r="190" spans="1:4" x14ac:dyDescent="0.15">
      <c r="A190" s="1" t="s">
        <v>4114</v>
      </c>
      <c r="B190" s="1" t="s">
        <v>4115</v>
      </c>
      <c r="C190" s="1" t="s">
        <v>12362</v>
      </c>
      <c r="D190" s="1" t="s">
        <v>12363</v>
      </c>
    </row>
    <row r="191" spans="1:4" x14ac:dyDescent="0.15">
      <c r="A191" s="1" t="s">
        <v>3718</v>
      </c>
      <c r="B191" s="1" t="s">
        <v>3719</v>
      </c>
      <c r="C191" s="1" t="s">
        <v>17137</v>
      </c>
      <c r="D191" s="1" t="s">
        <v>17138</v>
      </c>
    </row>
    <row r="192" spans="1:4" x14ac:dyDescent="0.15">
      <c r="A192" s="1" t="s">
        <v>3720</v>
      </c>
      <c r="B192" s="1" t="s">
        <v>3721</v>
      </c>
      <c r="C192" s="1" t="s">
        <v>17137</v>
      </c>
      <c r="D192" s="1" t="s">
        <v>17138</v>
      </c>
    </row>
    <row r="193" spans="1:4" x14ac:dyDescent="0.15">
      <c r="A193" s="1" t="s">
        <v>3722</v>
      </c>
      <c r="B193" s="1" t="s">
        <v>3723</v>
      </c>
      <c r="C193" s="1" t="s">
        <v>17168</v>
      </c>
      <c r="D193" s="1" t="s">
        <v>12367</v>
      </c>
    </row>
    <row r="194" spans="1:4" x14ac:dyDescent="0.15">
      <c r="A194" s="1" t="s">
        <v>3724</v>
      </c>
      <c r="B194" s="1" t="s">
        <v>3725</v>
      </c>
      <c r="C194" s="1" t="s">
        <v>17180</v>
      </c>
      <c r="D194" s="1" t="s">
        <v>12368</v>
      </c>
    </row>
    <row r="195" spans="1:4" x14ac:dyDescent="0.15">
      <c r="A195" s="1" t="s">
        <v>3728</v>
      </c>
      <c r="B195" s="1" t="s">
        <v>3729</v>
      </c>
      <c r="C195" s="1" t="s">
        <v>17204</v>
      </c>
      <c r="D195" s="1" t="s">
        <v>12374</v>
      </c>
    </row>
    <row r="196" spans="1:4" x14ac:dyDescent="0.15">
      <c r="A196" s="1" t="s">
        <v>3730</v>
      </c>
      <c r="B196" s="1" t="s">
        <v>3731</v>
      </c>
      <c r="C196" s="1" t="s">
        <v>17220</v>
      </c>
      <c r="D196" s="1" t="s">
        <v>12376</v>
      </c>
    </row>
    <row r="197" spans="1:4" x14ac:dyDescent="0.15">
      <c r="A197" s="1" t="s">
        <v>3732</v>
      </c>
      <c r="B197" s="1" t="s">
        <v>3733</v>
      </c>
      <c r="C197" s="1" t="s">
        <v>16143</v>
      </c>
      <c r="D197" s="1" t="s">
        <v>12377</v>
      </c>
    </row>
    <row r="198" spans="1:4" x14ac:dyDescent="0.15">
      <c r="A198" s="1" t="s">
        <v>4167</v>
      </c>
      <c r="B198" s="1" t="s">
        <v>4168</v>
      </c>
      <c r="C198" s="1" t="s">
        <v>16150</v>
      </c>
      <c r="D198" s="1" t="s">
        <v>12381</v>
      </c>
    </row>
    <row r="199" spans="1:4" x14ac:dyDescent="0.15">
      <c r="A199" s="1" t="s">
        <v>3726</v>
      </c>
      <c r="B199" s="1" t="s">
        <v>3727</v>
      </c>
      <c r="C199" s="1" t="s">
        <v>12383</v>
      </c>
      <c r="D199" s="1" t="s">
        <v>12384</v>
      </c>
    </row>
    <row r="200" spans="1:4" x14ac:dyDescent="0.15">
      <c r="A200" s="1" t="s">
        <v>3734</v>
      </c>
      <c r="B200" s="1" t="s">
        <v>3735</v>
      </c>
      <c r="C200" s="1" t="s">
        <v>15665</v>
      </c>
      <c r="D200" s="1" t="s">
        <v>12389</v>
      </c>
    </row>
    <row r="201" spans="1:4" x14ac:dyDescent="0.15">
      <c r="A201" s="1" t="s">
        <v>3736</v>
      </c>
      <c r="B201" s="1" t="s">
        <v>3737</v>
      </c>
      <c r="C201" s="1" t="s">
        <v>15681</v>
      </c>
      <c r="D201" s="1" t="s">
        <v>12392</v>
      </c>
    </row>
    <row r="202" spans="1:4" x14ac:dyDescent="0.15">
      <c r="A202" s="1" t="s">
        <v>3738</v>
      </c>
      <c r="B202" s="1" t="s">
        <v>3739</v>
      </c>
      <c r="C202" s="1" t="s">
        <v>15694</v>
      </c>
      <c r="D202" s="1" t="s">
        <v>12393</v>
      </c>
    </row>
    <row r="203" spans="1:4" x14ac:dyDescent="0.15">
      <c r="A203" s="1" t="s">
        <v>3740</v>
      </c>
      <c r="B203" s="1" t="s">
        <v>3741</v>
      </c>
      <c r="C203" s="1" t="s">
        <v>15694</v>
      </c>
      <c r="D203" s="1" t="s">
        <v>12393</v>
      </c>
    </row>
    <row r="204" spans="1:4" x14ac:dyDescent="0.15">
      <c r="A204" s="1" t="s">
        <v>3708</v>
      </c>
      <c r="B204" s="1" t="s">
        <v>3709</v>
      </c>
      <c r="C204" s="1" t="s">
        <v>12394</v>
      </c>
      <c r="D204" s="1" t="s">
        <v>12395</v>
      </c>
    </row>
    <row r="205" spans="1:4" x14ac:dyDescent="0.15">
      <c r="A205" s="1" t="s">
        <v>3680</v>
      </c>
      <c r="B205" s="1" t="s">
        <v>3681</v>
      </c>
      <c r="C205" s="1" t="s">
        <v>15701</v>
      </c>
      <c r="D205" s="1" t="s">
        <v>15698</v>
      </c>
    </row>
    <row r="206" spans="1:4" x14ac:dyDescent="0.15">
      <c r="A206" s="1" t="s">
        <v>3742</v>
      </c>
      <c r="B206" s="1" t="s">
        <v>3743</v>
      </c>
      <c r="C206" s="1" t="s">
        <v>15715</v>
      </c>
      <c r="D206" s="1" t="s">
        <v>12397</v>
      </c>
    </row>
    <row r="207" spans="1:4" x14ac:dyDescent="0.15">
      <c r="A207" s="1" t="s">
        <v>3678</v>
      </c>
      <c r="B207" s="1" t="s">
        <v>3679</v>
      </c>
      <c r="C207" s="1" t="s">
        <v>12398</v>
      </c>
      <c r="D207" s="1" t="s">
        <v>12399</v>
      </c>
    </row>
    <row r="208" spans="1:4" x14ac:dyDescent="0.15">
      <c r="A208" s="1" t="s">
        <v>3744</v>
      </c>
      <c r="B208" s="1" t="s">
        <v>3745</v>
      </c>
      <c r="C208" s="1" t="s">
        <v>15729</v>
      </c>
      <c r="D208" s="1" t="s">
        <v>12401</v>
      </c>
    </row>
    <row r="209" spans="1:4" x14ac:dyDescent="0.15">
      <c r="A209" s="1" t="s">
        <v>3746</v>
      </c>
      <c r="B209" s="1" t="s">
        <v>3747</v>
      </c>
      <c r="C209" s="1" t="s">
        <v>15736</v>
      </c>
      <c r="D209" s="1" t="s">
        <v>12405</v>
      </c>
    </row>
    <row r="210" spans="1:4" x14ac:dyDescent="0.15">
      <c r="A210" s="1" t="s">
        <v>3748</v>
      </c>
      <c r="B210" s="1" t="s">
        <v>3749</v>
      </c>
      <c r="C210" s="1" t="s">
        <v>15750</v>
      </c>
      <c r="D210" s="1" t="s">
        <v>12407</v>
      </c>
    </row>
    <row r="211" spans="1:4" x14ac:dyDescent="0.15">
      <c r="A211" s="1" t="s">
        <v>3752</v>
      </c>
      <c r="B211" s="1" t="s">
        <v>3753</v>
      </c>
      <c r="C211" s="1" t="s">
        <v>15762</v>
      </c>
      <c r="D211" s="1" t="s">
        <v>12408</v>
      </c>
    </row>
    <row r="212" spans="1:4" x14ac:dyDescent="0.15">
      <c r="A212" s="1" t="s">
        <v>3750</v>
      </c>
      <c r="B212" s="1" t="s">
        <v>3751</v>
      </c>
      <c r="C212" s="1" t="s">
        <v>15762</v>
      </c>
      <c r="D212" s="1" t="s">
        <v>12408</v>
      </c>
    </row>
    <row r="213" spans="1:4" x14ac:dyDescent="0.15">
      <c r="A213" s="1" t="s">
        <v>3756</v>
      </c>
      <c r="B213" s="1" t="s">
        <v>3757</v>
      </c>
      <c r="C213" s="1" t="s">
        <v>15774</v>
      </c>
      <c r="D213" s="1" t="s">
        <v>12412</v>
      </c>
    </row>
    <row r="214" spans="1:4" x14ac:dyDescent="0.15">
      <c r="A214" s="1" t="s">
        <v>3760</v>
      </c>
      <c r="B214" s="1" t="s">
        <v>3761</v>
      </c>
      <c r="C214" s="1" t="s">
        <v>15794</v>
      </c>
      <c r="D214" s="1" t="s">
        <v>12418</v>
      </c>
    </row>
    <row r="215" spans="1:4" x14ac:dyDescent="0.15">
      <c r="A215" s="1" t="s">
        <v>3758</v>
      </c>
      <c r="B215" s="1" t="s">
        <v>3759</v>
      </c>
      <c r="C215" s="1" t="s">
        <v>12419</v>
      </c>
      <c r="D215" s="1" t="s">
        <v>15780</v>
      </c>
    </row>
    <row r="216" spans="1:4" x14ac:dyDescent="0.15">
      <c r="A216" s="1" t="s">
        <v>3764</v>
      </c>
      <c r="B216" s="1" t="s">
        <v>3765</v>
      </c>
      <c r="C216" s="1" t="s">
        <v>15812</v>
      </c>
      <c r="D216" s="1" t="s">
        <v>15809</v>
      </c>
    </row>
    <row r="217" spans="1:4" x14ac:dyDescent="0.15">
      <c r="A217" s="1" t="s">
        <v>3766</v>
      </c>
      <c r="B217" s="1" t="s">
        <v>3767</v>
      </c>
      <c r="C217" s="1" t="s">
        <v>15812</v>
      </c>
      <c r="D217" s="1" t="s">
        <v>15809</v>
      </c>
    </row>
    <row r="218" spans="1:4" x14ac:dyDescent="0.15">
      <c r="A218" s="1" t="s">
        <v>3768</v>
      </c>
      <c r="B218" s="1" t="s">
        <v>3769</v>
      </c>
      <c r="C218" s="1" t="s">
        <v>12421</v>
      </c>
      <c r="D218" s="1" t="s">
        <v>12422</v>
      </c>
    </row>
    <row r="219" spans="1:4" x14ac:dyDescent="0.15">
      <c r="A219" s="1" t="s">
        <v>3776</v>
      </c>
      <c r="B219" s="1" t="s">
        <v>3777</v>
      </c>
      <c r="C219" s="1" t="s">
        <v>15831</v>
      </c>
      <c r="D219" s="1" t="s">
        <v>15832</v>
      </c>
    </row>
    <row r="220" spans="1:4" x14ac:dyDescent="0.15">
      <c r="A220" s="1" t="s">
        <v>3798</v>
      </c>
      <c r="B220" s="1" t="s">
        <v>3799</v>
      </c>
      <c r="C220" s="1" t="s">
        <v>12424</v>
      </c>
      <c r="D220" s="1" t="s">
        <v>12425</v>
      </c>
    </row>
    <row r="221" spans="1:4" x14ac:dyDescent="0.15">
      <c r="A221" s="1" t="s">
        <v>3778</v>
      </c>
      <c r="B221" s="1" t="s">
        <v>3779</v>
      </c>
      <c r="C221" s="1" t="s">
        <v>15835</v>
      </c>
      <c r="D221" s="1" t="s">
        <v>15836</v>
      </c>
    </row>
    <row r="222" spans="1:4" x14ac:dyDescent="0.15">
      <c r="A222" s="1" t="s">
        <v>3788</v>
      </c>
      <c r="B222" s="1" t="s">
        <v>3789</v>
      </c>
      <c r="C222" s="1" t="s">
        <v>15867</v>
      </c>
      <c r="D222" s="1" t="s">
        <v>12427</v>
      </c>
    </row>
    <row r="223" spans="1:4" x14ac:dyDescent="0.15">
      <c r="A223" s="1" t="s">
        <v>3790</v>
      </c>
      <c r="B223" s="1" t="s">
        <v>3791</v>
      </c>
      <c r="C223" s="1" t="s">
        <v>15867</v>
      </c>
      <c r="D223" s="1" t="s">
        <v>12427</v>
      </c>
    </row>
    <row r="224" spans="1:4" x14ac:dyDescent="0.15">
      <c r="A224" s="1" t="s">
        <v>3786</v>
      </c>
      <c r="B224" s="1" t="s">
        <v>3787</v>
      </c>
      <c r="C224" s="1" t="s">
        <v>15874</v>
      </c>
      <c r="D224" s="1" t="s">
        <v>15875</v>
      </c>
    </row>
    <row r="225" spans="1:4" x14ac:dyDescent="0.15">
      <c r="A225" s="1" t="s">
        <v>3808</v>
      </c>
      <c r="B225" s="1" t="s">
        <v>3809</v>
      </c>
      <c r="C225" s="1" t="s">
        <v>15878</v>
      </c>
      <c r="D225" s="1" t="s">
        <v>15879</v>
      </c>
    </row>
    <row r="226" spans="1:4" x14ac:dyDescent="0.15">
      <c r="A226" s="1" t="s">
        <v>3810</v>
      </c>
      <c r="B226" s="1" t="s">
        <v>3811</v>
      </c>
      <c r="C226" s="1" t="s">
        <v>15882</v>
      </c>
      <c r="D226" s="1" t="s">
        <v>12431</v>
      </c>
    </row>
    <row r="227" spans="1:4" x14ac:dyDescent="0.15">
      <c r="A227" s="1" t="s">
        <v>3828</v>
      </c>
      <c r="B227" s="1" t="s">
        <v>3829</v>
      </c>
      <c r="C227" s="1" t="s">
        <v>15886</v>
      </c>
      <c r="D227" s="1" t="s">
        <v>12432</v>
      </c>
    </row>
    <row r="228" spans="1:4" x14ac:dyDescent="0.15">
      <c r="A228" s="1" t="s">
        <v>4169</v>
      </c>
      <c r="B228" s="1" t="s">
        <v>4170</v>
      </c>
      <c r="C228" s="1" t="s">
        <v>15161</v>
      </c>
      <c r="D228" s="1" t="s">
        <v>12435</v>
      </c>
    </row>
    <row r="229" spans="1:4" x14ac:dyDescent="0.15">
      <c r="A229" s="1" t="s">
        <v>4171</v>
      </c>
      <c r="B229" s="1" t="s">
        <v>4172</v>
      </c>
      <c r="C229" s="1" t="s">
        <v>15161</v>
      </c>
      <c r="D229" s="1" t="s">
        <v>12435</v>
      </c>
    </row>
    <row r="230" spans="1:4" x14ac:dyDescent="0.15">
      <c r="A230" s="1" t="s">
        <v>3792</v>
      </c>
      <c r="B230" s="1" t="s">
        <v>3793</v>
      </c>
      <c r="C230" s="1" t="s">
        <v>15169</v>
      </c>
      <c r="D230" s="1" t="s">
        <v>15170</v>
      </c>
    </row>
    <row r="231" spans="1:4" x14ac:dyDescent="0.15">
      <c r="A231" s="1" t="s">
        <v>3794</v>
      </c>
      <c r="B231" s="1" t="s">
        <v>3795</v>
      </c>
      <c r="C231" s="1" t="s">
        <v>15173</v>
      </c>
      <c r="D231" s="1" t="s">
        <v>15174</v>
      </c>
    </row>
    <row r="232" spans="1:4" x14ac:dyDescent="0.15">
      <c r="A232" s="1" t="s">
        <v>3798</v>
      </c>
      <c r="B232" s="1" t="s">
        <v>3799</v>
      </c>
      <c r="C232" s="1" t="s">
        <v>12436</v>
      </c>
      <c r="D232" s="1" t="s">
        <v>12437</v>
      </c>
    </row>
    <row r="233" spans="1:4" x14ac:dyDescent="0.15">
      <c r="A233" s="1" t="s">
        <v>3800</v>
      </c>
      <c r="B233" s="1" t="s">
        <v>3801</v>
      </c>
      <c r="C233" s="1" t="s">
        <v>15177</v>
      </c>
      <c r="D233" s="1" t="s">
        <v>12439</v>
      </c>
    </row>
    <row r="234" spans="1:4" x14ac:dyDescent="0.15">
      <c r="A234" s="1" t="s">
        <v>3802</v>
      </c>
      <c r="B234" s="1" t="s">
        <v>3803</v>
      </c>
      <c r="C234" s="1" t="s">
        <v>15181</v>
      </c>
      <c r="D234" s="1" t="s">
        <v>12440</v>
      </c>
    </row>
    <row r="235" spans="1:4" x14ac:dyDescent="0.15">
      <c r="A235" s="1" t="s">
        <v>3796</v>
      </c>
      <c r="B235" s="1" t="s">
        <v>3797</v>
      </c>
      <c r="C235" s="1" t="s">
        <v>15185</v>
      </c>
      <c r="D235" s="1" t="s">
        <v>12441</v>
      </c>
    </row>
    <row r="236" spans="1:4" x14ac:dyDescent="0.15">
      <c r="A236" s="1" t="s">
        <v>3812</v>
      </c>
      <c r="B236" s="1" t="s">
        <v>3813</v>
      </c>
      <c r="C236" s="1" t="s">
        <v>15197</v>
      </c>
      <c r="D236" s="1" t="s">
        <v>12442</v>
      </c>
    </row>
    <row r="237" spans="1:4" x14ac:dyDescent="0.15">
      <c r="A237" s="1" t="s">
        <v>3814</v>
      </c>
      <c r="B237" s="1" t="s">
        <v>3815</v>
      </c>
      <c r="C237" s="1" t="s">
        <v>15207</v>
      </c>
      <c r="D237" s="1" t="s">
        <v>12443</v>
      </c>
    </row>
    <row r="238" spans="1:4" x14ac:dyDescent="0.15">
      <c r="A238" s="1" t="s">
        <v>3816</v>
      </c>
      <c r="B238" s="1" t="s">
        <v>3817</v>
      </c>
      <c r="C238" s="1" t="s">
        <v>15207</v>
      </c>
      <c r="D238" s="1" t="s">
        <v>12443</v>
      </c>
    </row>
    <row r="239" spans="1:4" x14ac:dyDescent="0.15">
      <c r="A239" s="1" t="s">
        <v>3818</v>
      </c>
      <c r="B239" s="1" t="s">
        <v>3819</v>
      </c>
      <c r="C239" s="1" t="s">
        <v>15214</v>
      </c>
      <c r="D239" s="1" t="s">
        <v>15211</v>
      </c>
    </row>
    <row r="240" spans="1:4" x14ac:dyDescent="0.15">
      <c r="A240" s="1" t="s">
        <v>3820</v>
      </c>
      <c r="B240" s="1" t="s">
        <v>3821</v>
      </c>
      <c r="C240" s="1" t="s">
        <v>15230</v>
      </c>
      <c r="D240" s="1" t="s">
        <v>12444</v>
      </c>
    </row>
    <row r="241" spans="1:4" x14ac:dyDescent="0.15">
      <c r="A241" s="1" t="s">
        <v>3822</v>
      </c>
      <c r="B241" s="1" t="s">
        <v>3823</v>
      </c>
      <c r="C241" s="1" t="s">
        <v>15237</v>
      </c>
      <c r="D241" s="1" t="s">
        <v>15234</v>
      </c>
    </row>
    <row r="242" spans="1:4" x14ac:dyDescent="0.15">
      <c r="A242" s="1" t="s">
        <v>3824</v>
      </c>
      <c r="B242" s="1" t="s">
        <v>3825</v>
      </c>
      <c r="C242" s="1" t="s">
        <v>17244</v>
      </c>
      <c r="D242" s="1" t="s">
        <v>12448</v>
      </c>
    </row>
    <row r="243" spans="1:4" x14ac:dyDescent="0.15">
      <c r="A243" s="1" t="s">
        <v>3830</v>
      </c>
      <c r="B243" s="1" t="s">
        <v>3831</v>
      </c>
      <c r="C243" s="1" t="s">
        <v>12452</v>
      </c>
      <c r="D243" s="1" t="s">
        <v>12453</v>
      </c>
    </row>
    <row r="244" spans="1:4" x14ac:dyDescent="0.15">
      <c r="A244" s="1" t="s">
        <v>3832</v>
      </c>
      <c r="B244" s="1" t="s">
        <v>3833</v>
      </c>
      <c r="C244" s="1" t="s">
        <v>12452</v>
      </c>
      <c r="D244" s="1" t="s">
        <v>12453</v>
      </c>
    </row>
    <row r="245" spans="1:4" x14ac:dyDescent="0.15">
      <c r="A245" s="1" t="s">
        <v>3754</v>
      </c>
      <c r="B245" s="1" t="s">
        <v>3755</v>
      </c>
      <c r="C245" s="1" t="s">
        <v>12455</v>
      </c>
      <c r="D245" s="1" t="s">
        <v>12456</v>
      </c>
    </row>
    <row r="246" spans="1:4" x14ac:dyDescent="0.15">
      <c r="A246" s="1" t="s">
        <v>3830</v>
      </c>
      <c r="B246" s="1" t="s">
        <v>3831</v>
      </c>
      <c r="C246" s="1" t="s">
        <v>15280</v>
      </c>
      <c r="D246" s="1" t="s">
        <v>12469</v>
      </c>
    </row>
    <row r="247" spans="1:4" x14ac:dyDescent="0.15">
      <c r="A247" s="1" t="s">
        <v>3832</v>
      </c>
      <c r="B247" s="1" t="s">
        <v>3833</v>
      </c>
      <c r="C247" s="1" t="s">
        <v>15280</v>
      </c>
      <c r="D247" s="1" t="s">
        <v>12469</v>
      </c>
    </row>
    <row r="248" spans="1:4" x14ac:dyDescent="0.15">
      <c r="A248" s="1" t="s">
        <v>3834</v>
      </c>
      <c r="B248" s="1" t="s">
        <v>3835</v>
      </c>
      <c r="C248" s="1" t="s">
        <v>15298</v>
      </c>
      <c r="D248" s="1" t="s">
        <v>12474</v>
      </c>
    </row>
    <row r="249" spans="1:4" x14ac:dyDescent="0.15">
      <c r="A249" s="1" t="s">
        <v>3836</v>
      </c>
      <c r="B249" s="1" t="s">
        <v>3837</v>
      </c>
      <c r="C249" s="1" t="s">
        <v>15568</v>
      </c>
      <c r="D249" s="1" t="s">
        <v>15565</v>
      </c>
    </row>
    <row r="250" spans="1:4" x14ac:dyDescent="0.15">
      <c r="A250" s="1" t="s">
        <v>3838</v>
      </c>
      <c r="B250" s="1" t="s">
        <v>3839</v>
      </c>
      <c r="C250" s="1" t="s">
        <v>15575</v>
      </c>
      <c r="D250" s="1" t="s">
        <v>12479</v>
      </c>
    </row>
    <row r="251" spans="1:4" x14ac:dyDescent="0.15">
      <c r="A251" s="1" t="s">
        <v>3840</v>
      </c>
      <c r="B251" s="1" t="s">
        <v>3841</v>
      </c>
      <c r="C251" s="1" t="s">
        <v>15575</v>
      </c>
      <c r="D251" s="1" t="s">
        <v>12479</v>
      </c>
    </row>
    <row r="252" spans="1:4" x14ac:dyDescent="0.15">
      <c r="A252" s="1" t="s">
        <v>3844</v>
      </c>
      <c r="B252" s="1" t="s">
        <v>3845</v>
      </c>
      <c r="C252" s="1" t="s">
        <v>14885</v>
      </c>
      <c r="D252" s="1" t="s">
        <v>14882</v>
      </c>
    </row>
    <row r="253" spans="1:4" x14ac:dyDescent="0.15">
      <c r="A253" s="1" t="s">
        <v>3846</v>
      </c>
      <c r="B253" s="1" t="s">
        <v>3847</v>
      </c>
      <c r="C253" s="1" t="s">
        <v>14892</v>
      </c>
      <c r="D253" s="1" t="s">
        <v>12483</v>
      </c>
    </row>
    <row r="254" spans="1:4" x14ac:dyDescent="0.15">
      <c r="A254" s="1" t="s">
        <v>3848</v>
      </c>
      <c r="B254" s="1" t="s">
        <v>3849</v>
      </c>
      <c r="C254" s="1" t="s">
        <v>14899</v>
      </c>
      <c r="D254" s="1" t="s">
        <v>12484</v>
      </c>
    </row>
    <row r="255" spans="1:4" x14ac:dyDescent="0.15">
      <c r="A255" s="1" t="s">
        <v>3850</v>
      </c>
      <c r="B255" s="1" t="s">
        <v>3851</v>
      </c>
      <c r="C255" s="1" t="s">
        <v>14930</v>
      </c>
      <c r="D255" s="1" t="s">
        <v>12485</v>
      </c>
    </row>
    <row r="256" spans="1:4" x14ac:dyDescent="0.15">
      <c r="A256" s="1" t="s">
        <v>3852</v>
      </c>
      <c r="B256" s="1" t="s">
        <v>3853</v>
      </c>
      <c r="C256" s="1" t="s">
        <v>14930</v>
      </c>
      <c r="D256" s="1" t="s">
        <v>12485</v>
      </c>
    </row>
    <row r="257" spans="1:4" x14ac:dyDescent="0.15">
      <c r="A257" s="1" t="s">
        <v>3854</v>
      </c>
      <c r="B257" s="1" t="s">
        <v>3855</v>
      </c>
      <c r="C257" s="1" t="s">
        <v>14942</v>
      </c>
      <c r="D257" s="1" t="s">
        <v>12486</v>
      </c>
    </row>
    <row r="258" spans="1:4" x14ac:dyDescent="0.15">
      <c r="A258" s="1" t="s">
        <v>3856</v>
      </c>
      <c r="B258" s="1" t="s">
        <v>3857</v>
      </c>
      <c r="C258" s="1" t="s">
        <v>14942</v>
      </c>
      <c r="D258" s="1" t="s">
        <v>12486</v>
      </c>
    </row>
    <row r="259" spans="1:4" x14ac:dyDescent="0.15">
      <c r="A259" s="1" t="s">
        <v>3858</v>
      </c>
      <c r="B259" s="1" t="s">
        <v>3859</v>
      </c>
      <c r="C259" s="1" t="s">
        <v>14949</v>
      </c>
      <c r="D259" s="1" t="s">
        <v>14946</v>
      </c>
    </row>
    <row r="260" spans="1:4" x14ac:dyDescent="0.15">
      <c r="A260" s="1" t="s">
        <v>3864</v>
      </c>
      <c r="B260" s="1" t="s">
        <v>3865</v>
      </c>
      <c r="C260" s="1" t="s">
        <v>14970</v>
      </c>
      <c r="D260" s="1" t="s">
        <v>14971</v>
      </c>
    </row>
    <row r="261" spans="1:4" x14ac:dyDescent="0.15">
      <c r="A261" s="1" t="s">
        <v>4092</v>
      </c>
      <c r="B261" s="1" t="s">
        <v>4093</v>
      </c>
      <c r="C261" s="1" t="s">
        <v>14986</v>
      </c>
      <c r="D261" s="1" t="s">
        <v>12487</v>
      </c>
    </row>
    <row r="262" spans="1:4" x14ac:dyDescent="0.15">
      <c r="A262" s="1" t="s">
        <v>3874</v>
      </c>
      <c r="B262" s="1" t="s">
        <v>3875</v>
      </c>
      <c r="C262" s="1" t="s">
        <v>15006</v>
      </c>
      <c r="D262" s="1" t="s">
        <v>15007</v>
      </c>
    </row>
    <row r="263" spans="1:4" x14ac:dyDescent="0.15">
      <c r="A263" s="1" t="s">
        <v>3880</v>
      </c>
      <c r="B263" s="1" t="s">
        <v>3881</v>
      </c>
      <c r="C263" s="1" t="s">
        <v>15014</v>
      </c>
      <c r="D263" s="1" t="s">
        <v>15015</v>
      </c>
    </row>
    <row r="264" spans="1:4" x14ac:dyDescent="0.15">
      <c r="A264" s="1" t="s">
        <v>3884</v>
      </c>
      <c r="B264" s="1" t="s">
        <v>3885</v>
      </c>
      <c r="C264" s="1" t="s">
        <v>15034</v>
      </c>
      <c r="D264" s="1" t="s">
        <v>15035</v>
      </c>
    </row>
    <row r="265" spans="1:4" x14ac:dyDescent="0.15">
      <c r="A265" s="1" t="s">
        <v>3886</v>
      </c>
      <c r="B265" s="1" t="s">
        <v>3887</v>
      </c>
      <c r="C265" s="1" t="s">
        <v>15034</v>
      </c>
      <c r="D265" s="1" t="s">
        <v>15035</v>
      </c>
    </row>
    <row r="266" spans="1:4" x14ac:dyDescent="0.15">
      <c r="A266" s="1" t="s">
        <v>3876</v>
      </c>
      <c r="B266" s="1" t="s">
        <v>3877</v>
      </c>
      <c r="C266" s="1" t="s">
        <v>15038</v>
      </c>
      <c r="D266" s="1" t="s">
        <v>12489</v>
      </c>
    </row>
    <row r="267" spans="1:4" x14ac:dyDescent="0.15">
      <c r="A267" s="1" t="s">
        <v>3888</v>
      </c>
      <c r="B267" s="1" t="s">
        <v>3889</v>
      </c>
      <c r="C267" s="1" t="s">
        <v>15046</v>
      </c>
      <c r="D267" s="1" t="s">
        <v>15047</v>
      </c>
    </row>
    <row r="268" spans="1:4" x14ac:dyDescent="0.15">
      <c r="A268" s="1" t="s">
        <v>3904</v>
      </c>
      <c r="B268" s="1" t="s">
        <v>3905</v>
      </c>
      <c r="C268" s="1" t="s">
        <v>15137</v>
      </c>
      <c r="D268" s="1" t="s">
        <v>12496</v>
      </c>
    </row>
    <row r="269" spans="1:4" x14ac:dyDescent="0.15">
      <c r="A269" s="1" t="s">
        <v>3900</v>
      </c>
      <c r="B269" s="1" t="s">
        <v>3901</v>
      </c>
      <c r="C269" s="1" t="s">
        <v>15137</v>
      </c>
      <c r="D269" s="1" t="s">
        <v>12496</v>
      </c>
    </row>
    <row r="270" spans="1:4" x14ac:dyDescent="0.15">
      <c r="A270" s="1" t="s">
        <v>3902</v>
      </c>
      <c r="B270" s="1" t="s">
        <v>3903</v>
      </c>
      <c r="C270" s="1" t="s">
        <v>15137</v>
      </c>
      <c r="D270" s="1" t="s">
        <v>12496</v>
      </c>
    </row>
    <row r="271" spans="1:4" x14ac:dyDescent="0.15">
      <c r="A271" s="1" t="s">
        <v>3906</v>
      </c>
      <c r="B271" s="1" t="s">
        <v>3907</v>
      </c>
      <c r="C271" s="1" t="s">
        <v>14580</v>
      </c>
      <c r="D271" s="1" t="s">
        <v>14577</v>
      </c>
    </row>
    <row r="272" spans="1:4" x14ac:dyDescent="0.15">
      <c r="A272" s="1" t="s">
        <v>3908</v>
      </c>
      <c r="B272" s="1" t="s">
        <v>3909</v>
      </c>
      <c r="C272" s="1" t="s">
        <v>14580</v>
      </c>
      <c r="D272" s="1" t="s">
        <v>14577</v>
      </c>
    </row>
    <row r="273" spans="1:4" x14ac:dyDescent="0.15">
      <c r="A273" s="1" t="s">
        <v>3910</v>
      </c>
      <c r="B273" s="1" t="s">
        <v>3911</v>
      </c>
      <c r="C273" s="1" t="s">
        <v>14587</v>
      </c>
      <c r="D273" s="1" t="s">
        <v>14584</v>
      </c>
    </row>
    <row r="274" spans="1:4" x14ac:dyDescent="0.15">
      <c r="A274" s="1" t="s">
        <v>3912</v>
      </c>
      <c r="B274" s="1" t="s">
        <v>3913</v>
      </c>
      <c r="C274" s="1" t="s">
        <v>17322</v>
      </c>
      <c r="D274" s="1" t="s">
        <v>17319</v>
      </c>
    </row>
    <row r="275" spans="1:4" x14ac:dyDescent="0.15">
      <c r="A275" s="1" t="s">
        <v>3918</v>
      </c>
      <c r="B275" s="1" t="s">
        <v>3919</v>
      </c>
      <c r="C275" s="1" t="s">
        <v>17343</v>
      </c>
      <c r="D275" s="1" t="s">
        <v>12498</v>
      </c>
    </row>
    <row r="276" spans="1:4" x14ac:dyDescent="0.15">
      <c r="A276" s="1" t="s">
        <v>3920</v>
      </c>
      <c r="B276" s="1" t="s">
        <v>3921</v>
      </c>
      <c r="C276" s="1" t="s">
        <v>17350</v>
      </c>
      <c r="D276" s="1" t="s">
        <v>12499</v>
      </c>
    </row>
    <row r="277" spans="1:4" x14ac:dyDescent="0.15">
      <c r="A277" s="1" t="s">
        <v>3928</v>
      </c>
      <c r="B277" s="1" t="s">
        <v>3929</v>
      </c>
      <c r="C277" s="1" t="s">
        <v>17371</v>
      </c>
      <c r="D277" s="1" t="s">
        <v>17368</v>
      </c>
    </row>
    <row r="278" spans="1:4" x14ac:dyDescent="0.15">
      <c r="A278" s="1" t="s">
        <v>3930</v>
      </c>
      <c r="B278" s="1" t="s">
        <v>3931</v>
      </c>
      <c r="C278" s="1" t="s">
        <v>17371</v>
      </c>
      <c r="D278" s="1" t="s">
        <v>17368</v>
      </c>
    </row>
    <row r="279" spans="1:4" x14ac:dyDescent="0.15">
      <c r="A279" s="1" t="s">
        <v>3926</v>
      </c>
      <c r="B279" s="1" t="s">
        <v>3927</v>
      </c>
      <c r="C279" s="1" t="s">
        <v>17371</v>
      </c>
      <c r="D279" s="1" t="s">
        <v>17368</v>
      </c>
    </row>
    <row r="280" spans="1:4" x14ac:dyDescent="0.15">
      <c r="A280" s="1" t="s">
        <v>3932</v>
      </c>
      <c r="B280" s="1" t="s">
        <v>3933</v>
      </c>
      <c r="C280" s="1" t="s">
        <v>14590</v>
      </c>
      <c r="D280" s="1" t="s">
        <v>12500</v>
      </c>
    </row>
    <row r="281" spans="1:4" x14ac:dyDescent="0.15">
      <c r="A281" s="1" t="s">
        <v>3934</v>
      </c>
      <c r="B281" s="1" t="s">
        <v>3935</v>
      </c>
      <c r="C281" s="1" t="s">
        <v>14602</v>
      </c>
      <c r="D281" s="1" t="s">
        <v>12503</v>
      </c>
    </row>
    <row r="282" spans="1:4" x14ac:dyDescent="0.15">
      <c r="A282" s="1" t="s">
        <v>3932</v>
      </c>
      <c r="B282" s="1" t="s">
        <v>3933</v>
      </c>
      <c r="C282" s="1" t="s">
        <v>12504</v>
      </c>
      <c r="D282" s="1" t="s">
        <v>12505</v>
      </c>
    </row>
    <row r="283" spans="1:4" x14ac:dyDescent="0.15">
      <c r="A283" s="1" t="s">
        <v>3942</v>
      </c>
      <c r="B283" s="1" t="s">
        <v>3943</v>
      </c>
      <c r="C283" s="1" t="s">
        <v>12509</v>
      </c>
      <c r="D283" s="1" t="s">
        <v>12510</v>
      </c>
    </row>
    <row r="284" spans="1:4" x14ac:dyDescent="0.15">
      <c r="A284" s="1" t="s">
        <v>3938</v>
      </c>
      <c r="B284" s="1" t="s">
        <v>3939</v>
      </c>
      <c r="C284" s="1" t="s">
        <v>14650</v>
      </c>
      <c r="D284" s="1" t="s">
        <v>12512</v>
      </c>
    </row>
    <row r="285" spans="1:4" x14ac:dyDescent="0.15">
      <c r="A285" s="1" t="s">
        <v>3940</v>
      </c>
      <c r="B285" s="1" t="s">
        <v>3941</v>
      </c>
      <c r="C285" s="1" t="s">
        <v>14650</v>
      </c>
      <c r="D285" s="1" t="s">
        <v>12512</v>
      </c>
    </row>
    <row r="286" spans="1:4" x14ac:dyDescent="0.15">
      <c r="A286" s="1" t="s">
        <v>3942</v>
      </c>
      <c r="B286" s="1" t="s">
        <v>3943</v>
      </c>
      <c r="C286" s="1" t="s">
        <v>14657</v>
      </c>
      <c r="D286" s="1" t="s">
        <v>14654</v>
      </c>
    </row>
    <row r="287" spans="1:4" x14ac:dyDescent="0.15">
      <c r="A287" s="1" t="s">
        <v>3944</v>
      </c>
      <c r="B287" s="1" t="s">
        <v>3945</v>
      </c>
      <c r="C287" s="1" t="s">
        <v>14671</v>
      </c>
      <c r="D287" s="1" t="s">
        <v>12514</v>
      </c>
    </row>
    <row r="288" spans="1:4" x14ac:dyDescent="0.15">
      <c r="A288" s="1" t="s">
        <v>3944</v>
      </c>
      <c r="B288" s="1" t="s">
        <v>3945</v>
      </c>
      <c r="C288" s="1" t="s">
        <v>12518</v>
      </c>
      <c r="D288" s="1" t="s">
        <v>12519</v>
      </c>
    </row>
    <row r="289" spans="1:4" x14ac:dyDescent="0.15">
      <c r="A289" s="1" t="s">
        <v>3948</v>
      </c>
      <c r="B289" s="1" t="s">
        <v>3949</v>
      </c>
      <c r="C289" s="1" t="s">
        <v>14678</v>
      </c>
      <c r="D289" s="1" t="s">
        <v>12521</v>
      </c>
    </row>
    <row r="290" spans="1:4" x14ac:dyDescent="0.15">
      <c r="A290" s="1" t="s">
        <v>3950</v>
      </c>
      <c r="B290" s="1" t="s">
        <v>3951</v>
      </c>
      <c r="C290" s="1" t="s">
        <v>14678</v>
      </c>
      <c r="D290" s="1" t="s">
        <v>12521</v>
      </c>
    </row>
    <row r="291" spans="1:4" x14ac:dyDescent="0.15">
      <c r="A291" s="1" t="s">
        <v>3952</v>
      </c>
      <c r="B291" s="1" t="s">
        <v>3953</v>
      </c>
      <c r="C291" s="1" t="s">
        <v>14678</v>
      </c>
      <c r="D291" s="1" t="s">
        <v>12521</v>
      </c>
    </row>
    <row r="292" spans="1:4" x14ac:dyDescent="0.15">
      <c r="A292" s="1" t="s">
        <v>3946</v>
      </c>
      <c r="B292" s="1" t="s">
        <v>3947</v>
      </c>
      <c r="C292" s="1" t="s">
        <v>14678</v>
      </c>
      <c r="D292" s="1" t="s">
        <v>12521</v>
      </c>
    </row>
    <row r="293" spans="1:4" x14ac:dyDescent="0.15">
      <c r="A293" s="1" t="s">
        <v>3954</v>
      </c>
      <c r="B293" s="1" t="s">
        <v>3955</v>
      </c>
      <c r="C293" s="1" t="s">
        <v>14690</v>
      </c>
      <c r="D293" s="1" t="s">
        <v>12522</v>
      </c>
    </row>
    <row r="294" spans="1:4" x14ac:dyDescent="0.15">
      <c r="A294" s="1" t="s">
        <v>3956</v>
      </c>
      <c r="B294" s="1" t="s">
        <v>3957</v>
      </c>
      <c r="C294" s="1" t="s">
        <v>14690</v>
      </c>
      <c r="D294" s="1" t="s">
        <v>12522</v>
      </c>
    </row>
    <row r="295" spans="1:4" x14ac:dyDescent="0.15">
      <c r="A295" s="1" t="s">
        <v>3958</v>
      </c>
      <c r="B295" s="1" t="s">
        <v>3959</v>
      </c>
      <c r="C295" s="1" t="s">
        <v>14697</v>
      </c>
      <c r="D295" s="1" t="s">
        <v>14694</v>
      </c>
    </row>
    <row r="296" spans="1:4" x14ac:dyDescent="0.15">
      <c r="A296" s="1" t="s">
        <v>3960</v>
      </c>
      <c r="B296" s="1" t="s">
        <v>3961</v>
      </c>
      <c r="C296" s="1" t="s">
        <v>14704</v>
      </c>
      <c r="D296" s="1" t="s">
        <v>14701</v>
      </c>
    </row>
    <row r="297" spans="1:4" x14ac:dyDescent="0.15">
      <c r="A297" s="1" t="s">
        <v>3962</v>
      </c>
      <c r="B297" s="1" t="s">
        <v>3963</v>
      </c>
      <c r="C297" s="1" t="s">
        <v>14711</v>
      </c>
      <c r="D297" s="1" t="s">
        <v>14708</v>
      </c>
    </row>
    <row r="298" spans="1:4" x14ac:dyDescent="0.15">
      <c r="A298" s="1" t="s">
        <v>3966</v>
      </c>
      <c r="B298" s="1" t="s">
        <v>3967</v>
      </c>
      <c r="C298" s="1" t="s">
        <v>14725</v>
      </c>
      <c r="D298" s="1" t="s">
        <v>14722</v>
      </c>
    </row>
    <row r="299" spans="1:4" x14ac:dyDescent="0.15">
      <c r="A299" s="1" t="s">
        <v>3968</v>
      </c>
      <c r="B299" s="1" t="s">
        <v>3969</v>
      </c>
      <c r="C299" s="1" t="s">
        <v>14753</v>
      </c>
      <c r="D299" s="1" t="s">
        <v>14750</v>
      </c>
    </row>
    <row r="300" spans="1:4" x14ac:dyDescent="0.15">
      <c r="A300" s="1" t="s">
        <v>4164</v>
      </c>
      <c r="B300" s="1" t="s">
        <v>4165</v>
      </c>
      <c r="C300" s="1" t="s">
        <v>14764</v>
      </c>
      <c r="D300" s="1" t="s">
        <v>14761</v>
      </c>
    </row>
    <row r="301" spans="1:4" x14ac:dyDescent="0.15">
      <c r="A301" s="1" t="s">
        <v>3972</v>
      </c>
      <c r="B301" s="1" t="s">
        <v>3973</v>
      </c>
      <c r="C301" s="1" t="s">
        <v>14792</v>
      </c>
      <c r="D301" s="1" t="s">
        <v>12523</v>
      </c>
    </row>
    <row r="302" spans="1:4" x14ac:dyDescent="0.15">
      <c r="A302" s="1" t="s">
        <v>3970</v>
      </c>
      <c r="B302" s="1" t="s">
        <v>3971</v>
      </c>
      <c r="C302" s="1" t="s">
        <v>14792</v>
      </c>
      <c r="D302" s="1" t="s">
        <v>12523</v>
      </c>
    </row>
    <row r="303" spans="1:4" x14ac:dyDescent="0.15">
      <c r="A303" s="1" t="s">
        <v>3974</v>
      </c>
      <c r="B303" s="1" t="s">
        <v>3975</v>
      </c>
      <c r="C303" s="1" t="s">
        <v>14799</v>
      </c>
      <c r="D303" s="1" t="s">
        <v>12524</v>
      </c>
    </row>
    <row r="304" spans="1:4" x14ac:dyDescent="0.15">
      <c r="A304" s="1" t="s">
        <v>3976</v>
      </c>
      <c r="B304" s="1" t="s">
        <v>3977</v>
      </c>
      <c r="C304" s="1" t="s">
        <v>14815</v>
      </c>
      <c r="D304" s="1" t="s">
        <v>14812</v>
      </c>
    </row>
    <row r="305" spans="1:4" x14ac:dyDescent="0.15">
      <c r="A305" s="1" t="s">
        <v>3978</v>
      </c>
      <c r="B305" s="1" t="s">
        <v>3979</v>
      </c>
      <c r="C305" s="1" t="s">
        <v>14822</v>
      </c>
      <c r="D305" s="1" t="s">
        <v>12526</v>
      </c>
    </row>
    <row r="306" spans="1:4" x14ac:dyDescent="0.15">
      <c r="A306" s="1" t="s">
        <v>3980</v>
      </c>
      <c r="B306" s="1" t="s">
        <v>3981</v>
      </c>
      <c r="C306" s="1" t="s">
        <v>14829</v>
      </c>
      <c r="D306" s="1" t="s">
        <v>14830</v>
      </c>
    </row>
    <row r="307" spans="1:4" x14ac:dyDescent="0.15">
      <c r="A307" s="1" t="s">
        <v>3982</v>
      </c>
      <c r="B307" s="1" t="s">
        <v>3983</v>
      </c>
      <c r="C307" s="1" t="s">
        <v>14296</v>
      </c>
      <c r="D307" s="1" t="s">
        <v>12528</v>
      </c>
    </row>
    <row r="308" spans="1:4" x14ac:dyDescent="0.15">
      <c r="A308" s="1" t="s">
        <v>5654</v>
      </c>
      <c r="B308" s="1" t="s">
        <v>5655</v>
      </c>
      <c r="C308" s="1" t="s">
        <v>14459</v>
      </c>
      <c r="D308" s="1" t="s">
        <v>12536</v>
      </c>
    </row>
    <row r="309" spans="1:4" x14ac:dyDescent="0.15">
      <c r="A309" s="1" t="s">
        <v>4000</v>
      </c>
      <c r="B309" s="1" t="s">
        <v>4001</v>
      </c>
      <c r="C309" s="1" t="s">
        <v>12537</v>
      </c>
      <c r="D309" s="1" t="s">
        <v>12538</v>
      </c>
    </row>
    <row r="310" spans="1:4" x14ac:dyDescent="0.15">
      <c r="A310" s="1" t="s">
        <v>4002</v>
      </c>
      <c r="B310" s="1" t="s">
        <v>4003</v>
      </c>
      <c r="C310" s="1" t="s">
        <v>12537</v>
      </c>
      <c r="D310" s="1" t="s">
        <v>12538</v>
      </c>
    </row>
    <row r="311" spans="1:4" x14ac:dyDescent="0.15">
      <c r="A311" s="1" t="s">
        <v>3992</v>
      </c>
      <c r="B311" s="1" t="s">
        <v>3993</v>
      </c>
      <c r="C311" s="1" t="s">
        <v>13977</v>
      </c>
      <c r="D311" s="1" t="s">
        <v>12543</v>
      </c>
    </row>
    <row r="312" spans="1:4" x14ac:dyDescent="0.15">
      <c r="A312" s="1" t="s">
        <v>3994</v>
      </c>
      <c r="B312" s="1" t="s">
        <v>3995</v>
      </c>
      <c r="C312" s="1" t="s">
        <v>13977</v>
      </c>
      <c r="D312" s="1" t="s">
        <v>12543</v>
      </c>
    </row>
    <row r="313" spans="1:4" x14ac:dyDescent="0.15">
      <c r="A313" s="1" t="s">
        <v>3996</v>
      </c>
      <c r="B313" s="1" t="s">
        <v>3997</v>
      </c>
      <c r="C313" s="1" t="s">
        <v>13989</v>
      </c>
      <c r="D313" s="1" t="s">
        <v>12544</v>
      </c>
    </row>
    <row r="314" spans="1:4" x14ac:dyDescent="0.15">
      <c r="A314" s="1" t="s">
        <v>3998</v>
      </c>
      <c r="B314" s="1" t="s">
        <v>3999</v>
      </c>
      <c r="C314" s="1" t="s">
        <v>14003</v>
      </c>
      <c r="D314" s="1" t="s">
        <v>14000</v>
      </c>
    </row>
    <row r="315" spans="1:4" x14ac:dyDescent="0.15">
      <c r="A315" s="1" t="s">
        <v>4000</v>
      </c>
      <c r="B315" s="1" t="s">
        <v>4001</v>
      </c>
      <c r="C315" s="1" t="s">
        <v>14014</v>
      </c>
      <c r="D315" s="1" t="s">
        <v>12547</v>
      </c>
    </row>
    <row r="316" spans="1:4" x14ac:dyDescent="0.15">
      <c r="A316" s="1" t="s">
        <v>4002</v>
      </c>
      <c r="B316" s="1" t="s">
        <v>4003</v>
      </c>
      <c r="C316" s="1" t="s">
        <v>14014</v>
      </c>
      <c r="D316" s="1" t="s">
        <v>12547</v>
      </c>
    </row>
    <row r="317" spans="1:4" x14ac:dyDescent="0.15">
      <c r="A317" s="1" t="s">
        <v>4004</v>
      </c>
      <c r="B317" s="1" t="s">
        <v>4005</v>
      </c>
      <c r="C317" s="1" t="s">
        <v>14042</v>
      </c>
      <c r="D317" s="1" t="s">
        <v>12552</v>
      </c>
    </row>
    <row r="318" spans="1:4" x14ac:dyDescent="0.15">
      <c r="A318" s="1" t="s">
        <v>4008</v>
      </c>
      <c r="B318" s="1" t="s">
        <v>4009</v>
      </c>
      <c r="C318" s="1" t="s">
        <v>14078</v>
      </c>
      <c r="D318" s="1" t="s">
        <v>14079</v>
      </c>
    </row>
    <row r="319" spans="1:4" x14ac:dyDescent="0.15">
      <c r="A319" s="1" t="s">
        <v>4012</v>
      </c>
      <c r="B319" s="1" t="s">
        <v>4013</v>
      </c>
      <c r="C319" s="1" t="s">
        <v>14098</v>
      </c>
      <c r="D319" s="1" t="s">
        <v>12559</v>
      </c>
    </row>
    <row r="320" spans="1:4" x14ac:dyDescent="0.15">
      <c r="A320" s="1" t="s">
        <v>4014</v>
      </c>
      <c r="B320" s="1" t="s">
        <v>4015</v>
      </c>
      <c r="C320" s="1" t="s">
        <v>14138</v>
      </c>
      <c r="D320" s="1" t="s">
        <v>12560</v>
      </c>
    </row>
    <row r="321" spans="1:4" x14ac:dyDescent="0.15">
      <c r="A321" s="1" t="s">
        <v>4016</v>
      </c>
      <c r="B321" s="1" t="s">
        <v>4017</v>
      </c>
      <c r="C321" s="1" t="s">
        <v>14145</v>
      </c>
      <c r="D321" s="1" t="s">
        <v>14146</v>
      </c>
    </row>
    <row r="322" spans="1:4" x14ac:dyDescent="0.15">
      <c r="A322" s="1" t="s">
        <v>4018</v>
      </c>
      <c r="B322" s="1" t="s">
        <v>4019</v>
      </c>
      <c r="C322" s="1" t="s">
        <v>14149</v>
      </c>
      <c r="D322" s="1" t="s">
        <v>12561</v>
      </c>
    </row>
    <row r="323" spans="1:4" x14ac:dyDescent="0.15">
      <c r="A323" s="1" t="s">
        <v>4020</v>
      </c>
      <c r="B323" s="1" t="s">
        <v>4021</v>
      </c>
      <c r="C323" s="1" t="s">
        <v>14153</v>
      </c>
      <c r="D323" s="1" t="s">
        <v>12562</v>
      </c>
    </row>
    <row r="324" spans="1:4" x14ac:dyDescent="0.15">
      <c r="A324" s="1" t="s">
        <v>4022</v>
      </c>
      <c r="B324" s="1" t="s">
        <v>4023</v>
      </c>
      <c r="C324" s="1" t="s">
        <v>14189</v>
      </c>
      <c r="D324" s="1" t="s">
        <v>12567</v>
      </c>
    </row>
  </sheetData>
  <phoneticPr fontId="0" type="noConversion"/>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02"/>
  <sheetViews>
    <sheetView workbookViewId="0">
      <pane ySplit="1" topLeftCell="A2" activePane="bottomLeft" state="frozenSplit"/>
      <selection pane="bottomLeft" activeCell="B18" sqref="B18"/>
    </sheetView>
  </sheetViews>
  <sheetFormatPr baseColWidth="10" defaultRowHeight="13" x14ac:dyDescent="0.15"/>
  <cols>
    <col min="1" max="1" width="8.83203125" customWidth="1"/>
    <col min="2" max="2" width="34.6640625" customWidth="1"/>
    <col min="3" max="3" width="8.83203125" customWidth="1"/>
    <col min="4" max="4" width="41.83203125" customWidth="1"/>
    <col min="5" max="256" width="8.83203125" customWidth="1"/>
  </cols>
  <sheetData>
    <row r="1" spans="1:4" s="3" customFormat="1" x14ac:dyDescent="0.15">
      <c r="A1" s="2" t="s">
        <v>5539</v>
      </c>
      <c r="B1" s="2" t="s">
        <v>5540</v>
      </c>
      <c r="C1" s="2" t="s">
        <v>17843</v>
      </c>
      <c r="D1" s="2" t="s">
        <v>4173</v>
      </c>
    </row>
    <row r="2" spans="1:4" x14ac:dyDescent="0.15">
      <c r="A2" s="1" t="s">
        <v>5572</v>
      </c>
      <c r="B2" s="1" t="s">
        <v>5573</v>
      </c>
      <c r="C2" s="1" t="s">
        <v>17856</v>
      </c>
      <c r="D2" s="1" t="s">
        <v>17857</v>
      </c>
    </row>
    <row r="3" spans="1:4" x14ac:dyDescent="0.15">
      <c r="A3" s="1" t="s">
        <v>5574</v>
      </c>
      <c r="B3" s="1" t="s">
        <v>5575</v>
      </c>
      <c r="C3" s="1" t="s">
        <v>17856</v>
      </c>
      <c r="D3" s="1" t="s">
        <v>17857</v>
      </c>
    </row>
    <row r="4" spans="1:4" x14ac:dyDescent="0.15">
      <c r="A4" s="1" t="s">
        <v>5576</v>
      </c>
      <c r="B4" s="1" t="s">
        <v>5577</v>
      </c>
      <c r="C4" s="1" t="s">
        <v>17864</v>
      </c>
      <c r="D4" s="1" t="s">
        <v>17865</v>
      </c>
    </row>
    <row r="5" spans="1:4" x14ac:dyDescent="0.15">
      <c r="A5" s="1" t="s">
        <v>5578</v>
      </c>
      <c r="B5" s="1" t="s">
        <v>5579</v>
      </c>
      <c r="C5" s="1" t="s">
        <v>17952</v>
      </c>
      <c r="D5" s="1" t="s">
        <v>17953</v>
      </c>
    </row>
    <row r="6" spans="1:4" x14ac:dyDescent="0.15">
      <c r="A6" s="1" t="s">
        <v>5568</v>
      </c>
      <c r="B6" s="1" t="s">
        <v>5569</v>
      </c>
      <c r="C6" s="1" t="s">
        <v>17998</v>
      </c>
      <c r="D6" s="1" t="s">
        <v>17999</v>
      </c>
    </row>
    <row r="7" spans="1:4" x14ac:dyDescent="0.15">
      <c r="A7" s="1" t="s">
        <v>5570</v>
      </c>
      <c r="B7" s="1" t="s">
        <v>5571</v>
      </c>
      <c r="C7" s="1" t="s">
        <v>17998</v>
      </c>
      <c r="D7" s="1" t="s">
        <v>17999</v>
      </c>
    </row>
    <row r="8" spans="1:4" x14ac:dyDescent="0.15">
      <c r="A8" s="1" t="s">
        <v>5580</v>
      </c>
      <c r="B8" s="1" t="s">
        <v>5581</v>
      </c>
      <c r="C8" s="1" t="s">
        <v>18010</v>
      </c>
      <c r="D8" s="1" t="s">
        <v>18011</v>
      </c>
    </row>
    <row r="9" spans="1:4" x14ac:dyDescent="0.15">
      <c r="A9" s="1" t="s">
        <v>5582</v>
      </c>
      <c r="B9" s="1" t="s">
        <v>5583</v>
      </c>
      <c r="C9" s="1" t="s">
        <v>18030</v>
      </c>
      <c r="D9" s="1" t="s">
        <v>18031</v>
      </c>
    </row>
    <row r="10" spans="1:4" x14ac:dyDescent="0.15">
      <c r="A10" s="1" t="s">
        <v>5584</v>
      </c>
      <c r="B10" s="1" t="s">
        <v>5585</v>
      </c>
      <c r="C10" s="1" t="s">
        <v>18034</v>
      </c>
      <c r="D10" s="1" t="s">
        <v>18035</v>
      </c>
    </row>
    <row r="11" spans="1:4" x14ac:dyDescent="0.15">
      <c r="A11" s="1" t="s">
        <v>5586</v>
      </c>
      <c r="B11" s="1" t="s">
        <v>5587</v>
      </c>
      <c r="C11" s="1" t="s">
        <v>18046</v>
      </c>
      <c r="D11" s="1" t="s">
        <v>18043</v>
      </c>
    </row>
    <row r="12" spans="1:4" x14ac:dyDescent="0.15">
      <c r="A12" s="1" t="s">
        <v>5588</v>
      </c>
      <c r="B12" s="1" t="s">
        <v>5589</v>
      </c>
      <c r="C12" s="1" t="s">
        <v>18057</v>
      </c>
      <c r="D12" s="1" t="s">
        <v>18058</v>
      </c>
    </row>
    <row r="13" spans="1:4" x14ac:dyDescent="0.15">
      <c r="A13" s="1" t="s">
        <v>5590</v>
      </c>
      <c r="B13" s="1" t="s">
        <v>5591</v>
      </c>
      <c r="C13" s="1" t="s">
        <v>18061</v>
      </c>
      <c r="D13" s="1" t="s">
        <v>18062</v>
      </c>
    </row>
    <row r="14" spans="1:4" x14ac:dyDescent="0.15">
      <c r="A14" s="1" t="s">
        <v>5592</v>
      </c>
      <c r="B14" s="1" t="s">
        <v>5593</v>
      </c>
      <c r="C14" s="1" t="s">
        <v>18081</v>
      </c>
      <c r="D14" s="1" t="s">
        <v>18082</v>
      </c>
    </row>
    <row r="15" spans="1:4" x14ac:dyDescent="0.15">
      <c r="A15" s="1" t="s">
        <v>5594</v>
      </c>
      <c r="B15" s="1" t="s">
        <v>5595</v>
      </c>
      <c r="C15" s="1" t="s">
        <v>18093</v>
      </c>
      <c r="D15" s="1" t="s">
        <v>18090</v>
      </c>
    </row>
    <row r="16" spans="1:4" x14ac:dyDescent="0.15">
      <c r="A16" s="1" t="s">
        <v>5596</v>
      </c>
      <c r="B16" s="1" t="s">
        <v>5597</v>
      </c>
      <c r="C16" s="1" t="s">
        <v>18100</v>
      </c>
      <c r="D16" s="1" t="s">
        <v>18097</v>
      </c>
    </row>
    <row r="17" spans="1:4" x14ac:dyDescent="0.15">
      <c r="A17" s="1" t="s">
        <v>5598</v>
      </c>
      <c r="B17" s="1" t="s">
        <v>5599</v>
      </c>
      <c r="C17" s="1" t="s">
        <v>18100</v>
      </c>
      <c r="D17" s="1" t="s">
        <v>18097</v>
      </c>
    </row>
    <row r="18" spans="1:4" x14ac:dyDescent="0.15">
      <c r="A18" s="1" t="s">
        <v>5600</v>
      </c>
      <c r="B18" s="1" t="s">
        <v>5601</v>
      </c>
      <c r="C18" s="1" t="s">
        <v>18111</v>
      </c>
      <c r="D18" s="1" t="s">
        <v>18112</v>
      </c>
    </row>
    <row r="19" spans="1:4" x14ac:dyDescent="0.15">
      <c r="A19" s="1" t="s">
        <v>5602</v>
      </c>
      <c r="B19" s="1" t="s">
        <v>5603</v>
      </c>
      <c r="C19" s="1" t="s">
        <v>18111</v>
      </c>
      <c r="D19" s="1" t="s">
        <v>18112</v>
      </c>
    </row>
    <row r="20" spans="1:4" x14ac:dyDescent="0.15">
      <c r="A20" s="1" t="s">
        <v>5542</v>
      </c>
      <c r="B20" s="1" t="s">
        <v>5543</v>
      </c>
      <c r="C20" s="1" t="s">
        <v>18166</v>
      </c>
      <c r="D20" s="1" t="s">
        <v>18167</v>
      </c>
    </row>
    <row r="21" spans="1:4" x14ac:dyDescent="0.15">
      <c r="A21" s="1" t="s">
        <v>5544</v>
      </c>
      <c r="B21" s="1" t="s">
        <v>5545</v>
      </c>
      <c r="C21" s="1" t="s">
        <v>18190</v>
      </c>
      <c r="D21" s="1" t="s">
        <v>18187</v>
      </c>
    </row>
    <row r="22" spans="1:4" x14ac:dyDescent="0.15">
      <c r="A22" s="1" t="s">
        <v>5546</v>
      </c>
      <c r="B22" s="1" t="s">
        <v>5547</v>
      </c>
      <c r="C22" s="1" t="s">
        <v>18190</v>
      </c>
      <c r="D22" s="1" t="s">
        <v>18187</v>
      </c>
    </row>
    <row r="23" spans="1:4" x14ac:dyDescent="0.15">
      <c r="A23" s="1" t="s">
        <v>5548</v>
      </c>
      <c r="B23" s="1" t="s">
        <v>5549</v>
      </c>
      <c r="C23" s="1" t="s">
        <v>18209</v>
      </c>
      <c r="D23" s="1" t="s">
        <v>18206</v>
      </c>
    </row>
    <row r="24" spans="1:4" x14ac:dyDescent="0.15">
      <c r="A24" s="1" t="s">
        <v>5550</v>
      </c>
      <c r="B24" s="1" t="s">
        <v>5551</v>
      </c>
      <c r="C24" s="1" t="s">
        <v>18209</v>
      </c>
      <c r="D24" s="1" t="s">
        <v>18206</v>
      </c>
    </row>
    <row r="25" spans="1:4" x14ac:dyDescent="0.15">
      <c r="A25" s="1" t="s">
        <v>5552</v>
      </c>
      <c r="B25" s="1" t="s">
        <v>5553</v>
      </c>
      <c r="C25" s="1" t="s">
        <v>18216</v>
      </c>
      <c r="D25" s="1" t="s">
        <v>18213</v>
      </c>
    </row>
    <row r="26" spans="1:4" x14ac:dyDescent="0.15">
      <c r="A26" s="1" t="s">
        <v>5556</v>
      </c>
      <c r="B26" s="1" t="s">
        <v>5557</v>
      </c>
      <c r="C26" s="1" t="s">
        <v>18223</v>
      </c>
      <c r="D26" s="1" t="s">
        <v>18220</v>
      </c>
    </row>
    <row r="27" spans="1:4" x14ac:dyDescent="0.15">
      <c r="A27" s="1" t="s">
        <v>5558</v>
      </c>
      <c r="B27" s="1" t="s">
        <v>5559</v>
      </c>
      <c r="C27" s="1" t="s">
        <v>18230</v>
      </c>
      <c r="D27" s="1" t="s">
        <v>18227</v>
      </c>
    </row>
    <row r="28" spans="1:4" x14ac:dyDescent="0.15">
      <c r="A28" s="1" t="s">
        <v>5560</v>
      </c>
      <c r="B28" s="1" t="s">
        <v>5561</v>
      </c>
      <c r="C28" s="1" t="s">
        <v>17387</v>
      </c>
      <c r="D28" s="1" t="s">
        <v>17384</v>
      </c>
    </row>
    <row r="29" spans="1:4" x14ac:dyDescent="0.15">
      <c r="A29" s="1" t="s">
        <v>5554</v>
      </c>
      <c r="B29" s="1" t="s">
        <v>5555</v>
      </c>
      <c r="C29" s="1" t="s">
        <v>17394</v>
      </c>
      <c r="D29" s="1" t="s">
        <v>17391</v>
      </c>
    </row>
    <row r="30" spans="1:4" x14ac:dyDescent="0.15">
      <c r="A30" s="1" t="s">
        <v>5562</v>
      </c>
      <c r="B30" s="1" t="s">
        <v>5563</v>
      </c>
      <c r="C30" s="1" t="s">
        <v>17401</v>
      </c>
      <c r="D30" s="1" t="s">
        <v>17398</v>
      </c>
    </row>
    <row r="31" spans="1:4" x14ac:dyDescent="0.15">
      <c r="A31" s="1" t="s">
        <v>5564</v>
      </c>
      <c r="B31" s="1" t="s">
        <v>5565</v>
      </c>
      <c r="C31" s="1" t="s">
        <v>17413</v>
      </c>
      <c r="D31" s="1" t="s">
        <v>17414</v>
      </c>
    </row>
    <row r="32" spans="1:4" x14ac:dyDescent="0.15">
      <c r="A32" s="1" t="s">
        <v>5566</v>
      </c>
      <c r="B32" s="1" t="s">
        <v>5567</v>
      </c>
      <c r="C32" s="1" t="s">
        <v>17417</v>
      </c>
      <c r="D32" s="1" t="s">
        <v>17418</v>
      </c>
    </row>
    <row r="33" spans="1:4" x14ac:dyDescent="0.15">
      <c r="A33" s="1" t="s">
        <v>5604</v>
      </c>
      <c r="B33" s="1" t="s">
        <v>5605</v>
      </c>
      <c r="C33" s="1" t="s">
        <v>17421</v>
      </c>
      <c r="D33" s="1" t="s">
        <v>17422</v>
      </c>
    </row>
    <row r="34" spans="1:4" x14ac:dyDescent="0.15">
      <c r="A34" s="1" t="s">
        <v>5606</v>
      </c>
      <c r="B34" s="1" t="s">
        <v>5607</v>
      </c>
      <c r="C34" s="1" t="s">
        <v>17425</v>
      </c>
      <c r="D34" s="1" t="s">
        <v>17426</v>
      </c>
    </row>
    <row r="35" spans="1:4" x14ac:dyDescent="0.15">
      <c r="A35" s="1" t="s">
        <v>5608</v>
      </c>
      <c r="B35" s="1" t="s">
        <v>5609</v>
      </c>
      <c r="C35" s="1" t="s">
        <v>17429</v>
      </c>
      <c r="D35" s="1" t="s">
        <v>17430</v>
      </c>
    </row>
    <row r="36" spans="1:4" x14ac:dyDescent="0.15">
      <c r="A36" s="1" t="s">
        <v>5610</v>
      </c>
      <c r="B36" s="1" t="s">
        <v>5611</v>
      </c>
      <c r="C36" s="1" t="s">
        <v>17433</v>
      </c>
      <c r="D36" s="1" t="s">
        <v>17434</v>
      </c>
    </row>
    <row r="37" spans="1:4" x14ac:dyDescent="0.15">
      <c r="A37" s="1" t="s">
        <v>5612</v>
      </c>
      <c r="B37" s="1" t="s">
        <v>5613</v>
      </c>
      <c r="C37" s="1" t="s">
        <v>17437</v>
      </c>
      <c r="D37" s="1" t="s">
        <v>17438</v>
      </c>
    </row>
    <row r="38" spans="1:4" x14ac:dyDescent="0.15">
      <c r="A38" s="1" t="s">
        <v>5614</v>
      </c>
      <c r="B38" s="1" t="s">
        <v>5615</v>
      </c>
      <c r="C38" s="1" t="s">
        <v>17441</v>
      </c>
      <c r="D38" s="1" t="s">
        <v>17442</v>
      </c>
    </row>
    <row r="39" spans="1:4" x14ac:dyDescent="0.15">
      <c r="A39" s="1" t="s">
        <v>5616</v>
      </c>
      <c r="B39" s="1" t="s">
        <v>5617</v>
      </c>
      <c r="C39" s="1" t="s">
        <v>17445</v>
      </c>
      <c r="D39" s="1" t="s">
        <v>17446</v>
      </c>
    </row>
    <row r="40" spans="1:4" x14ac:dyDescent="0.15">
      <c r="A40" s="1" t="s">
        <v>5618</v>
      </c>
      <c r="B40" s="1" t="s">
        <v>5619</v>
      </c>
      <c r="C40" s="1" t="s">
        <v>17449</v>
      </c>
      <c r="D40" s="1" t="s">
        <v>17450</v>
      </c>
    </row>
    <row r="41" spans="1:4" x14ac:dyDescent="0.15">
      <c r="A41" s="1" t="s">
        <v>5620</v>
      </c>
      <c r="B41" s="1" t="s">
        <v>5621</v>
      </c>
      <c r="C41" s="1" t="s">
        <v>17457</v>
      </c>
      <c r="D41" s="1" t="s">
        <v>17458</v>
      </c>
    </row>
    <row r="42" spans="1:4" x14ac:dyDescent="0.15">
      <c r="A42" s="1" t="s">
        <v>5622</v>
      </c>
      <c r="B42" s="1" t="s">
        <v>5623</v>
      </c>
      <c r="C42" s="1" t="s">
        <v>17461</v>
      </c>
      <c r="D42" s="1" t="s">
        <v>17462</v>
      </c>
    </row>
    <row r="43" spans="1:4" x14ac:dyDescent="0.15">
      <c r="A43" s="1" t="s">
        <v>5624</v>
      </c>
      <c r="B43" s="1" t="s">
        <v>5625</v>
      </c>
      <c r="C43" s="1" t="s">
        <v>17465</v>
      </c>
      <c r="D43" s="1" t="s">
        <v>17466</v>
      </c>
    </row>
    <row r="44" spans="1:4" x14ac:dyDescent="0.15">
      <c r="A44" s="1" t="s">
        <v>5626</v>
      </c>
      <c r="B44" s="1" t="s">
        <v>5627</v>
      </c>
      <c r="C44" s="1" t="s">
        <v>17481</v>
      </c>
      <c r="D44" s="1" t="s">
        <v>17482</v>
      </c>
    </row>
    <row r="45" spans="1:4" x14ac:dyDescent="0.15">
      <c r="A45" s="1" t="s">
        <v>5628</v>
      </c>
      <c r="B45" s="1" t="s">
        <v>5629</v>
      </c>
      <c r="C45" s="1" t="s">
        <v>17485</v>
      </c>
      <c r="D45" s="1" t="s">
        <v>17486</v>
      </c>
    </row>
    <row r="46" spans="1:4" x14ac:dyDescent="0.15">
      <c r="A46" s="1" t="s">
        <v>5630</v>
      </c>
      <c r="B46" s="1" t="s">
        <v>5631</v>
      </c>
      <c r="C46" s="1" t="s">
        <v>17489</v>
      </c>
      <c r="D46" s="1" t="s">
        <v>17490</v>
      </c>
    </row>
    <row r="47" spans="1:4" x14ac:dyDescent="0.15">
      <c r="A47" s="1" t="s">
        <v>3842</v>
      </c>
      <c r="B47" s="1" t="s">
        <v>3843</v>
      </c>
      <c r="C47" s="1" t="s">
        <v>17493</v>
      </c>
      <c r="D47" s="1" t="s">
        <v>17494</v>
      </c>
    </row>
    <row r="48" spans="1:4" x14ac:dyDescent="0.15">
      <c r="A48" s="1" t="s">
        <v>5632</v>
      </c>
      <c r="B48" s="1" t="s">
        <v>5633</v>
      </c>
      <c r="C48" s="1" t="s">
        <v>17517</v>
      </c>
      <c r="D48" s="1" t="s">
        <v>17514</v>
      </c>
    </row>
    <row r="49" spans="1:4" x14ac:dyDescent="0.15">
      <c r="A49" s="1" t="s">
        <v>5634</v>
      </c>
      <c r="B49" s="1" t="s">
        <v>5635</v>
      </c>
      <c r="C49" s="1" t="s">
        <v>17517</v>
      </c>
      <c r="D49" s="1" t="s">
        <v>17514</v>
      </c>
    </row>
    <row r="50" spans="1:4" x14ac:dyDescent="0.15">
      <c r="A50" s="1" t="s">
        <v>4158</v>
      </c>
      <c r="B50" s="1" t="s">
        <v>4159</v>
      </c>
      <c r="C50" s="1" t="s">
        <v>17608</v>
      </c>
      <c r="D50" s="1" t="s">
        <v>17609</v>
      </c>
    </row>
    <row r="51" spans="1:4" x14ac:dyDescent="0.15">
      <c r="A51" s="1" t="s">
        <v>5636</v>
      </c>
      <c r="B51" s="1" t="s">
        <v>5637</v>
      </c>
      <c r="C51" s="1" t="s">
        <v>17725</v>
      </c>
      <c r="D51" s="1" t="s">
        <v>17722</v>
      </c>
    </row>
    <row r="52" spans="1:4" x14ac:dyDescent="0.15">
      <c r="A52" s="1" t="s">
        <v>5638</v>
      </c>
      <c r="B52" s="1" t="s">
        <v>5639</v>
      </c>
      <c r="C52" s="1" t="s">
        <v>17725</v>
      </c>
      <c r="D52" s="1" t="s">
        <v>17722</v>
      </c>
    </row>
    <row r="53" spans="1:4" x14ac:dyDescent="0.15">
      <c r="A53" s="1" t="s">
        <v>5644</v>
      </c>
      <c r="B53" s="1" t="s">
        <v>5645</v>
      </c>
      <c r="C53" s="1" t="s">
        <v>17732</v>
      </c>
      <c r="D53" s="1" t="s">
        <v>17729</v>
      </c>
    </row>
    <row r="54" spans="1:4" x14ac:dyDescent="0.15">
      <c r="A54" s="1" t="s">
        <v>5640</v>
      </c>
      <c r="B54" s="1" t="s">
        <v>5641</v>
      </c>
      <c r="C54" s="1" t="s">
        <v>17739</v>
      </c>
      <c r="D54" s="1" t="s">
        <v>17740</v>
      </c>
    </row>
    <row r="55" spans="1:4" x14ac:dyDescent="0.15">
      <c r="A55" s="1" t="s">
        <v>5642</v>
      </c>
      <c r="B55" s="1" t="s">
        <v>5643</v>
      </c>
      <c r="C55" s="1" t="s">
        <v>17766</v>
      </c>
      <c r="D55" s="1" t="s">
        <v>17763</v>
      </c>
    </row>
    <row r="56" spans="1:4" x14ac:dyDescent="0.15">
      <c r="A56" s="1" t="s">
        <v>5646</v>
      </c>
      <c r="B56" s="1" t="s">
        <v>5647</v>
      </c>
      <c r="C56" s="1" t="s">
        <v>17773</v>
      </c>
      <c r="D56" s="1" t="s">
        <v>17770</v>
      </c>
    </row>
    <row r="57" spans="1:4" x14ac:dyDescent="0.15">
      <c r="A57" s="1" t="s">
        <v>5648</v>
      </c>
      <c r="B57" s="1" t="s">
        <v>5649</v>
      </c>
      <c r="C57" s="1" t="s">
        <v>17787</v>
      </c>
      <c r="D57" s="1" t="s">
        <v>17788</v>
      </c>
    </row>
    <row r="58" spans="1:4" x14ac:dyDescent="0.15">
      <c r="A58" s="1" t="s">
        <v>5650</v>
      </c>
      <c r="B58" s="1" t="s">
        <v>5651</v>
      </c>
      <c r="C58" s="1" t="s">
        <v>17791</v>
      </c>
      <c r="D58" s="1" t="s">
        <v>17792</v>
      </c>
    </row>
    <row r="59" spans="1:4" x14ac:dyDescent="0.15">
      <c r="A59" s="1" t="s">
        <v>5652</v>
      </c>
      <c r="B59" s="1" t="s">
        <v>5653</v>
      </c>
      <c r="C59" s="1" t="s">
        <v>17791</v>
      </c>
      <c r="D59" s="1" t="s">
        <v>17792</v>
      </c>
    </row>
    <row r="60" spans="1:4" x14ac:dyDescent="0.15">
      <c r="A60" s="1" t="s">
        <v>5656</v>
      </c>
      <c r="B60" s="1" t="s">
        <v>5657</v>
      </c>
      <c r="C60" s="1" t="s">
        <v>17808</v>
      </c>
      <c r="D60" s="1" t="s">
        <v>17805</v>
      </c>
    </row>
    <row r="61" spans="1:4" x14ac:dyDescent="0.15">
      <c r="A61" s="1" t="s">
        <v>5658</v>
      </c>
      <c r="B61" s="1" t="s">
        <v>5659</v>
      </c>
      <c r="C61" s="1" t="s">
        <v>17815</v>
      </c>
      <c r="D61" s="1" t="s">
        <v>17812</v>
      </c>
    </row>
    <row r="62" spans="1:4" x14ac:dyDescent="0.15">
      <c r="A62" s="1" t="s">
        <v>5660</v>
      </c>
      <c r="B62" s="1" t="s">
        <v>5661</v>
      </c>
      <c r="C62" s="1" t="s">
        <v>17815</v>
      </c>
      <c r="D62" s="1" t="s">
        <v>17812</v>
      </c>
    </row>
    <row r="63" spans="1:4" x14ac:dyDescent="0.15">
      <c r="A63" s="1" t="s">
        <v>5662</v>
      </c>
      <c r="B63" s="1" t="s">
        <v>5663</v>
      </c>
      <c r="C63" s="1" t="s">
        <v>17822</v>
      </c>
      <c r="D63" s="1" t="s">
        <v>17823</v>
      </c>
    </row>
    <row r="64" spans="1:4" x14ac:dyDescent="0.15">
      <c r="A64" s="1" t="s">
        <v>5664</v>
      </c>
      <c r="B64" s="1" t="s">
        <v>5665</v>
      </c>
      <c r="C64" s="1" t="s">
        <v>17822</v>
      </c>
      <c r="D64" s="1" t="s">
        <v>17823</v>
      </c>
    </row>
    <row r="65" spans="1:4" x14ac:dyDescent="0.15">
      <c r="A65" s="1" t="s">
        <v>5666</v>
      </c>
      <c r="B65" s="1" t="s">
        <v>5667</v>
      </c>
      <c r="C65" s="1" t="s">
        <v>17829</v>
      </c>
      <c r="D65" s="1" t="s">
        <v>17826</v>
      </c>
    </row>
    <row r="66" spans="1:4" x14ac:dyDescent="0.15">
      <c r="A66" s="1" t="s">
        <v>5668</v>
      </c>
      <c r="B66" s="1" t="s">
        <v>5669</v>
      </c>
      <c r="C66" s="1" t="s">
        <v>17836</v>
      </c>
      <c r="D66" s="1" t="s">
        <v>17833</v>
      </c>
    </row>
    <row r="67" spans="1:4" x14ac:dyDescent="0.15">
      <c r="A67" s="1" t="s">
        <v>5672</v>
      </c>
      <c r="B67" s="1" t="s">
        <v>5673</v>
      </c>
      <c r="C67" s="1" t="s">
        <v>17097</v>
      </c>
      <c r="D67" s="1" t="s">
        <v>17094</v>
      </c>
    </row>
    <row r="68" spans="1:4" x14ac:dyDescent="0.15">
      <c r="A68" s="1" t="s">
        <v>5674</v>
      </c>
      <c r="B68" s="1" t="s">
        <v>5675</v>
      </c>
      <c r="C68" s="1" t="s">
        <v>17097</v>
      </c>
      <c r="D68" s="1" t="s">
        <v>17094</v>
      </c>
    </row>
    <row r="69" spans="1:4" x14ac:dyDescent="0.15">
      <c r="A69" s="1" t="s">
        <v>5676</v>
      </c>
      <c r="B69" s="1" t="s">
        <v>5677</v>
      </c>
      <c r="C69" s="1" t="s">
        <v>17132</v>
      </c>
      <c r="D69" s="1" t="s">
        <v>17133</v>
      </c>
    </row>
    <row r="70" spans="1:4" x14ac:dyDescent="0.15">
      <c r="A70" s="1" t="s">
        <v>3718</v>
      </c>
      <c r="B70" s="1" t="s">
        <v>3719</v>
      </c>
      <c r="C70" s="1" t="s">
        <v>17137</v>
      </c>
      <c r="D70" s="1" t="s">
        <v>17138</v>
      </c>
    </row>
    <row r="71" spans="1:4" x14ac:dyDescent="0.15">
      <c r="A71" s="1" t="s">
        <v>3720</v>
      </c>
      <c r="B71" s="1" t="s">
        <v>3721</v>
      </c>
      <c r="C71" s="1" t="s">
        <v>17137</v>
      </c>
      <c r="D71" s="1" t="s">
        <v>17138</v>
      </c>
    </row>
    <row r="72" spans="1:4" x14ac:dyDescent="0.15">
      <c r="A72" s="1" t="s">
        <v>3722</v>
      </c>
      <c r="B72" s="1" t="s">
        <v>3723</v>
      </c>
      <c r="C72" s="1" t="s">
        <v>17168</v>
      </c>
      <c r="D72" s="1" t="s">
        <v>17169</v>
      </c>
    </row>
    <row r="73" spans="1:4" x14ac:dyDescent="0.15">
      <c r="A73" s="1" t="s">
        <v>3724</v>
      </c>
      <c r="B73" s="1" t="s">
        <v>3725</v>
      </c>
      <c r="C73" s="1" t="s">
        <v>17180</v>
      </c>
      <c r="D73" s="1" t="s">
        <v>17181</v>
      </c>
    </row>
    <row r="74" spans="1:4" x14ac:dyDescent="0.15">
      <c r="A74" s="1" t="s">
        <v>3728</v>
      </c>
      <c r="B74" s="1" t="s">
        <v>3729</v>
      </c>
      <c r="C74" s="1" t="s">
        <v>17204</v>
      </c>
      <c r="D74" s="1" t="s">
        <v>17205</v>
      </c>
    </row>
    <row r="75" spans="1:4" x14ac:dyDescent="0.15">
      <c r="A75" s="1" t="s">
        <v>3730</v>
      </c>
      <c r="B75" s="1" t="s">
        <v>3731</v>
      </c>
      <c r="C75" s="1" t="s">
        <v>17220</v>
      </c>
      <c r="D75" s="1" t="s">
        <v>17221</v>
      </c>
    </row>
    <row r="76" spans="1:4" x14ac:dyDescent="0.15">
      <c r="A76" s="1" t="s">
        <v>3824</v>
      </c>
      <c r="B76" s="1" t="s">
        <v>3825</v>
      </c>
      <c r="C76" s="1" t="s">
        <v>17244</v>
      </c>
      <c r="D76" s="1" t="s">
        <v>17241</v>
      </c>
    </row>
    <row r="77" spans="1:4" x14ac:dyDescent="0.15">
      <c r="A77" s="1" t="s">
        <v>3912</v>
      </c>
      <c r="B77" s="1" t="s">
        <v>3913</v>
      </c>
      <c r="C77" s="1" t="s">
        <v>17322</v>
      </c>
      <c r="D77" s="1" t="s">
        <v>17319</v>
      </c>
    </row>
    <row r="78" spans="1:4" x14ac:dyDescent="0.15">
      <c r="A78" s="1" t="s">
        <v>3914</v>
      </c>
      <c r="B78" s="1" t="s">
        <v>3915</v>
      </c>
      <c r="C78" s="1" t="s">
        <v>17329</v>
      </c>
      <c r="D78" s="1" t="s">
        <v>17326</v>
      </c>
    </row>
    <row r="79" spans="1:4" x14ac:dyDescent="0.15">
      <c r="A79" s="1" t="s">
        <v>3916</v>
      </c>
      <c r="B79" s="1" t="s">
        <v>3917</v>
      </c>
      <c r="C79" s="1" t="s">
        <v>17336</v>
      </c>
      <c r="D79" s="1" t="s">
        <v>17333</v>
      </c>
    </row>
    <row r="80" spans="1:4" x14ac:dyDescent="0.15">
      <c r="A80" s="1" t="s">
        <v>3918</v>
      </c>
      <c r="B80" s="1" t="s">
        <v>3919</v>
      </c>
      <c r="C80" s="1" t="s">
        <v>17343</v>
      </c>
      <c r="D80" s="1" t="s">
        <v>17340</v>
      </c>
    </row>
    <row r="81" spans="1:4" x14ac:dyDescent="0.15">
      <c r="A81" s="1" t="s">
        <v>3920</v>
      </c>
      <c r="B81" s="1" t="s">
        <v>3921</v>
      </c>
      <c r="C81" s="1" t="s">
        <v>17350</v>
      </c>
      <c r="D81" s="1" t="s">
        <v>17347</v>
      </c>
    </row>
    <row r="82" spans="1:4" x14ac:dyDescent="0.15">
      <c r="A82" s="1" t="s">
        <v>3922</v>
      </c>
      <c r="B82" s="1" t="s">
        <v>3923</v>
      </c>
      <c r="C82" s="1" t="s">
        <v>17357</v>
      </c>
      <c r="D82" s="1" t="s">
        <v>17354</v>
      </c>
    </row>
    <row r="83" spans="1:4" x14ac:dyDescent="0.15">
      <c r="A83" s="1" t="s">
        <v>3926</v>
      </c>
      <c r="B83" s="1" t="s">
        <v>3927</v>
      </c>
      <c r="C83" s="1" t="s">
        <v>17371</v>
      </c>
      <c r="D83" s="1" t="s">
        <v>17368</v>
      </c>
    </row>
    <row r="84" spans="1:4" x14ac:dyDescent="0.15">
      <c r="A84" s="1" t="s">
        <v>3928</v>
      </c>
      <c r="B84" s="1" t="s">
        <v>3929</v>
      </c>
      <c r="C84" s="1" t="s">
        <v>17371</v>
      </c>
      <c r="D84" s="1" t="s">
        <v>17368</v>
      </c>
    </row>
    <row r="85" spans="1:4" x14ac:dyDescent="0.15">
      <c r="A85" s="1" t="s">
        <v>3930</v>
      </c>
      <c r="B85" s="1" t="s">
        <v>3931</v>
      </c>
      <c r="C85" s="1" t="s">
        <v>17371</v>
      </c>
      <c r="D85" s="1" t="s">
        <v>17368</v>
      </c>
    </row>
    <row r="86" spans="1:4" x14ac:dyDescent="0.15">
      <c r="A86" s="1" t="s">
        <v>5678</v>
      </c>
      <c r="B86" s="1" t="s">
        <v>5679</v>
      </c>
      <c r="C86" s="1" t="s">
        <v>16902</v>
      </c>
      <c r="D86" s="1" t="s">
        <v>16903</v>
      </c>
    </row>
    <row r="87" spans="1:4" x14ac:dyDescent="0.15">
      <c r="A87" s="1" t="s">
        <v>5680</v>
      </c>
      <c r="B87" s="1" t="s">
        <v>5681</v>
      </c>
      <c r="C87" s="1" t="s">
        <v>16921</v>
      </c>
      <c r="D87" s="1" t="s">
        <v>16918</v>
      </c>
    </row>
    <row r="88" spans="1:4" x14ac:dyDescent="0.15">
      <c r="A88" s="1" t="s">
        <v>5682</v>
      </c>
      <c r="B88" s="1" t="s">
        <v>5683</v>
      </c>
      <c r="C88" s="1" t="s">
        <v>16921</v>
      </c>
      <c r="D88" s="1" t="s">
        <v>16918</v>
      </c>
    </row>
    <row r="89" spans="1:4" x14ac:dyDescent="0.15">
      <c r="A89" s="1" t="s">
        <v>5684</v>
      </c>
      <c r="B89" s="1" t="s">
        <v>5685</v>
      </c>
      <c r="C89" s="1" t="s">
        <v>16935</v>
      </c>
      <c r="D89" s="1" t="s">
        <v>16932</v>
      </c>
    </row>
    <row r="90" spans="1:4" x14ac:dyDescent="0.15">
      <c r="A90" s="1" t="s">
        <v>5686</v>
      </c>
      <c r="B90" s="1" t="s">
        <v>5687</v>
      </c>
      <c r="C90" s="1" t="s">
        <v>16942</v>
      </c>
      <c r="D90" s="1" t="s">
        <v>16943</v>
      </c>
    </row>
    <row r="91" spans="1:4" x14ac:dyDescent="0.15">
      <c r="A91" s="1" t="s">
        <v>5688</v>
      </c>
      <c r="B91" s="1" t="s">
        <v>5689</v>
      </c>
      <c r="C91" s="1" t="s">
        <v>16946</v>
      </c>
      <c r="D91" s="1" t="s">
        <v>16947</v>
      </c>
    </row>
    <row r="92" spans="1:4" x14ac:dyDescent="0.15">
      <c r="A92" s="1" t="s">
        <v>5690</v>
      </c>
      <c r="B92" s="1" t="s">
        <v>5691</v>
      </c>
      <c r="C92" s="1" t="s">
        <v>16954</v>
      </c>
      <c r="D92" s="1" t="s">
        <v>16955</v>
      </c>
    </row>
    <row r="93" spans="1:4" x14ac:dyDescent="0.15">
      <c r="A93" s="1" t="s">
        <v>5692</v>
      </c>
      <c r="B93" s="1" t="s">
        <v>5693</v>
      </c>
      <c r="C93" s="1" t="s">
        <v>16962</v>
      </c>
      <c r="D93" s="1" t="s">
        <v>16963</v>
      </c>
    </row>
    <row r="94" spans="1:4" x14ac:dyDescent="0.15">
      <c r="A94" s="1" t="s">
        <v>5694</v>
      </c>
      <c r="B94" s="1" t="s">
        <v>5695</v>
      </c>
      <c r="C94" s="1" t="s">
        <v>16966</v>
      </c>
      <c r="D94" s="1" t="s">
        <v>16967</v>
      </c>
    </row>
    <row r="95" spans="1:4" x14ac:dyDescent="0.15">
      <c r="A95" s="1" t="s">
        <v>5696</v>
      </c>
      <c r="B95" s="1" t="s">
        <v>5697</v>
      </c>
      <c r="C95" s="1" t="s">
        <v>16989</v>
      </c>
      <c r="D95" s="1" t="s">
        <v>16990</v>
      </c>
    </row>
    <row r="96" spans="1:4" x14ac:dyDescent="0.15">
      <c r="A96" s="1" t="s">
        <v>5698</v>
      </c>
      <c r="B96" s="1" t="s">
        <v>5699</v>
      </c>
      <c r="C96" s="1" t="s">
        <v>16993</v>
      </c>
      <c r="D96" s="1" t="s">
        <v>16994</v>
      </c>
    </row>
    <row r="97" spans="1:4" x14ac:dyDescent="0.15">
      <c r="A97" s="1" t="s">
        <v>3924</v>
      </c>
      <c r="B97" s="1" t="s">
        <v>3925</v>
      </c>
      <c r="C97" s="1" t="s">
        <v>17012</v>
      </c>
      <c r="D97" s="1" t="s">
        <v>17009</v>
      </c>
    </row>
    <row r="98" spans="1:4" x14ac:dyDescent="0.15">
      <c r="A98" s="1" t="s">
        <v>5700</v>
      </c>
      <c r="B98" s="1" t="s">
        <v>5701</v>
      </c>
      <c r="C98" s="1" t="s">
        <v>17019</v>
      </c>
      <c r="D98" s="1" t="s">
        <v>17016</v>
      </c>
    </row>
    <row r="99" spans="1:4" x14ac:dyDescent="0.15">
      <c r="A99" s="1" t="s">
        <v>5702</v>
      </c>
      <c r="B99" s="1" t="s">
        <v>5703</v>
      </c>
      <c r="C99" s="1" t="s">
        <v>17026</v>
      </c>
      <c r="D99" s="1" t="s">
        <v>17027</v>
      </c>
    </row>
    <row r="100" spans="1:4" x14ac:dyDescent="0.15">
      <c r="A100" s="1" t="s">
        <v>5704</v>
      </c>
      <c r="B100" s="1" t="s">
        <v>5705</v>
      </c>
      <c r="C100" s="1" t="s">
        <v>17030</v>
      </c>
      <c r="D100" s="1" t="s">
        <v>17031</v>
      </c>
    </row>
    <row r="101" spans="1:4" x14ac:dyDescent="0.15">
      <c r="A101" s="1" t="s">
        <v>5706</v>
      </c>
      <c r="B101" s="1" t="s">
        <v>5707</v>
      </c>
      <c r="C101" s="1" t="s">
        <v>17034</v>
      </c>
      <c r="D101" s="1" t="s">
        <v>17035</v>
      </c>
    </row>
    <row r="102" spans="1:4" x14ac:dyDescent="0.15">
      <c r="A102" s="1" t="s">
        <v>5708</v>
      </c>
      <c r="B102" s="1" t="s">
        <v>5709</v>
      </c>
      <c r="C102" s="1" t="s">
        <v>17038</v>
      </c>
      <c r="D102" s="1" t="s">
        <v>17039</v>
      </c>
    </row>
    <row r="103" spans="1:4" x14ac:dyDescent="0.15">
      <c r="A103" s="1" t="s">
        <v>5710</v>
      </c>
      <c r="B103" s="1" t="s">
        <v>5711</v>
      </c>
      <c r="C103" s="1" t="s">
        <v>17042</v>
      </c>
      <c r="D103" s="1" t="s">
        <v>17043</v>
      </c>
    </row>
    <row r="104" spans="1:4" x14ac:dyDescent="0.15">
      <c r="A104" s="1" t="s">
        <v>5712</v>
      </c>
      <c r="B104" s="1" t="s">
        <v>5713</v>
      </c>
      <c r="C104" s="1" t="s">
        <v>17046</v>
      </c>
      <c r="D104" s="1" t="s">
        <v>17047</v>
      </c>
    </row>
    <row r="105" spans="1:4" x14ac:dyDescent="0.15">
      <c r="A105" s="1" t="s">
        <v>5714</v>
      </c>
      <c r="B105" s="1" t="s">
        <v>5715</v>
      </c>
      <c r="C105" s="1" t="s">
        <v>17050</v>
      </c>
      <c r="D105" s="1" t="s">
        <v>17051</v>
      </c>
    </row>
    <row r="106" spans="1:4" x14ac:dyDescent="0.15">
      <c r="A106" s="1" t="s">
        <v>5716</v>
      </c>
      <c r="B106" s="1" t="s">
        <v>5717</v>
      </c>
      <c r="C106" s="1" t="s">
        <v>17054</v>
      </c>
      <c r="D106" s="1" t="s">
        <v>17055</v>
      </c>
    </row>
    <row r="107" spans="1:4" x14ac:dyDescent="0.15">
      <c r="A107" s="1" t="s">
        <v>5718</v>
      </c>
      <c r="B107" s="1" t="s">
        <v>5719</v>
      </c>
      <c r="C107" s="1" t="s">
        <v>17058</v>
      </c>
      <c r="D107" s="1" t="s">
        <v>17059</v>
      </c>
    </row>
    <row r="108" spans="1:4" x14ac:dyDescent="0.15">
      <c r="A108" s="1" t="s">
        <v>5720</v>
      </c>
      <c r="B108" s="1" t="s">
        <v>3551</v>
      </c>
      <c r="C108" s="1" t="s">
        <v>17062</v>
      </c>
      <c r="D108" s="1" t="s">
        <v>17063</v>
      </c>
    </row>
    <row r="109" spans="1:4" x14ac:dyDescent="0.15">
      <c r="A109" s="1" t="s">
        <v>3552</v>
      </c>
      <c r="B109" s="1" t="s">
        <v>3553</v>
      </c>
      <c r="C109" s="1" t="s">
        <v>17070</v>
      </c>
      <c r="D109" s="1" t="s">
        <v>17071</v>
      </c>
    </row>
    <row r="110" spans="1:4" x14ac:dyDescent="0.15">
      <c r="A110" s="1" t="s">
        <v>3554</v>
      </c>
      <c r="B110" s="1" t="s">
        <v>3555</v>
      </c>
      <c r="C110" s="1" t="s">
        <v>17078</v>
      </c>
      <c r="D110" s="1" t="s">
        <v>17079</v>
      </c>
    </row>
    <row r="111" spans="1:4" x14ac:dyDescent="0.15">
      <c r="A111" s="1" t="s">
        <v>3556</v>
      </c>
      <c r="B111" s="1" t="s">
        <v>3557</v>
      </c>
      <c r="C111" s="1" t="s">
        <v>16495</v>
      </c>
      <c r="D111" s="1" t="s">
        <v>16496</v>
      </c>
    </row>
    <row r="112" spans="1:4" x14ac:dyDescent="0.15">
      <c r="A112" s="1" t="s">
        <v>3558</v>
      </c>
      <c r="B112" s="1" t="s">
        <v>3559</v>
      </c>
      <c r="C112" s="1" t="s">
        <v>16499</v>
      </c>
      <c r="D112" s="1" t="s">
        <v>16500</v>
      </c>
    </row>
    <row r="113" spans="1:4" x14ac:dyDescent="0.15">
      <c r="A113" s="1" t="s">
        <v>3560</v>
      </c>
      <c r="B113" s="1" t="s">
        <v>3561</v>
      </c>
      <c r="C113" s="1" t="s">
        <v>16503</v>
      </c>
      <c r="D113" s="1" t="s">
        <v>16504</v>
      </c>
    </row>
    <row r="114" spans="1:4" x14ac:dyDescent="0.15">
      <c r="A114" s="1" t="s">
        <v>3564</v>
      </c>
      <c r="B114" s="1" t="s">
        <v>3565</v>
      </c>
      <c r="C114" s="1" t="s">
        <v>16507</v>
      </c>
      <c r="D114" s="1" t="s">
        <v>16508</v>
      </c>
    </row>
    <row r="115" spans="1:4" x14ac:dyDescent="0.15">
      <c r="A115" s="1" t="s">
        <v>3562</v>
      </c>
      <c r="B115" s="1" t="s">
        <v>3563</v>
      </c>
      <c r="C115" s="1" t="s">
        <v>16511</v>
      </c>
      <c r="D115" s="1" t="s">
        <v>16512</v>
      </c>
    </row>
    <row r="116" spans="1:4" x14ac:dyDescent="0.15">
      <c r="A116" s="1" t="s">
        <v>3566</v>
      </c>
      <c r="B116" s="1" t="s">
        <v>3567</v>
      </c>
      <c r="C116" s="1" t="s">
        <v>16531</v>
      </c>
      <c r="D116" s="1" t="s">
        <v>16532</v>
      </c>
    </row>
    <row r="117" spans="1:4" x14ac:dyDescent="0.15">
      <c r="A117" s="1" t="s">
        <v>3568</v>
      </c>
      <c r="B117" s="1" t="s">
        <v>3569</v>
      </c>
      <c r="C117" s="1" t="s">
        <v>16535</v>
      </c>
      <c r="D117" s="1" t="s">
        <v>16536</v>
      </c>
    </row>
    <row r="118" spans="1:4" x14ac:dyDescent="0.15">
      <c r="A118" s="1" t="s">
        <v>3570</v>
      </c>
      <c r="B118" s="1" t="s">
        <v>3571</v>
      </c>
      <c r="C118" s="1" t="s">
        <v>16539</v>
      </c>
      <c r="D118" s="1" t="s">
        <v>16540</v>
      </c>
    </row>
    <row r="119" spans="1:4" x14ac:dyDescent="0.15">
      <c r="A119" s="1" t="s">
        <v>3572</v>
      </c>
      <c r="B119" s="1" t="s">
        <v>3573</v>
      </c>
      <c r="C119" s="1" t="s">
        <v>16551</v>
      </c>
      <c r="D119" s="1" t="s">
        <v>16552</v>
      </c>
    </row>
    <row r="120" spans="1:4" x14ac:dyDescent="0.15">
      <c r="A120" s="1" t="s">
        <v>3574</v>
      </c>
      <c r="B120" s="1" t="s">
        <v>3575</v>
      </c>
      <c r="C120" s="1" t="s">
        <v>16567</v>
      </c>
      <c r="D120" s="1" t="s">
        <v>16568</v>
      </c>
    </row>
    <row r="121" spans="1:4" x14ac:dyDescent="0.15">
      <c r="A121" s="1" t="s">
        <v>3576</v>
      </c>
      <c r="B121" s="1" t="s">
        <v>3577</v>
      </c>
      <c r="C121" s="1" t="s">
        <v>16571</v>
      </c>
      <c r="D121" s="1" t="s">
        <v>16572</v>
      </c>
    </row>
    <row r="122" spans="1:4" x14ac:dyDescent="0.15">
      <c r="A122" s="1" t="s">
        <v>3578</v>
      </c>
      <c r="B122" s="1" t="s">
        <v>3579</v>
      </c>
      <c r="C122" s="1" t="s">
        <v>16575</v>
      </c>
      <c r="D122" s="1" t="s">
        <v>16576</v>
      </c>
    </row>
    <row r="123" spans="1:4" x14ac:dyDescent="0.15">
      <c r="A123" s="1" t="s">
        <v>3580</v>
      </c>
      <c r="B123" s="1" t="s">
        <v>3581</v>
      </c>
      <c r="C123" s="1" t="s">
        <v>16579</v>
      </c>
      <c r="D123" s="1" t="s">
        <v>16580</v>
      </c>
    </row>
    <row r="124" spans="1:4" x14ac:dyDescent="0.15">
      <c r="A124" s="1" t="s">
        <v>3582</v>
      </c>
      <c r="B124" s="1" t="s">
        <v>3583</v>
      </c>
      <c r="C124" s="1" t="s">
        <v>16583</v>
      </c>
      <c r="D124" s="1" t="s">
        <v>16584</v>
      </c>
    </row>
    <row r="125" spans="1:4" x14ac:dyDescent="0.15">
      <c r="A125" s="1" t="s">
        <v>3584</v>
      </c>
      <c r="B125" s="1" t="s">
        <v>3585</v>
      </c>
      <c r="C125" s="1" t="s">
        <v>16655</v>
      </c>
      <c r="D125" s="1" t="s">
        <v>16652</v>
      </c>
    </row>
    <row r="126" spans="1:4" x14ac:dyDescent="0.15">
      <c r="A126" s="1" t="s">
        <v>3586</v>
      </c>
      <c r="B126" s="1" t="s">
        <v>3587</v>
      </c>
      <c r="C126" s="1" t="s">
        <v>16662</v>
      </c>
      <c r="D126" s="1" t="s">
        <v>16659</v>
      </c>
    </row>
    <row r="127" spans="1:4" x14ac:dyDescent="0.15">
      <c r="A127" s="1" t="s">
        <v>3588</v>
      </c>
      <c r="B127" s="1" t="s">
        <v>3589</v>
      </c>
      <c r="C127" s="1" t="s">
        <v>16669</v>
      </c>
      <c r="D127" s="1" t="s">
        <v>16666</v>
      </c>
    </row>
    <row r="128" spans="1:4" x14ac:dyDescent="0.15">
      <c r="A128" s="1" t="s">
        <v>3590</v>
      </c>
      <c r="B128" s="1" t="s">
        <v>3591</v>
      </c>
      <c r="C128" s="1" t="s">
        <v>16669</v>
      </c>
      <c r="D128" s="1" t="s">
        <v>16666</v>
      </c>
    </row>
    <row r="129" spans="1:4" x14ac:dyDescent="0.15">
      <c r="A129" s="1" t="s">
        <v>3592</v>
      </c>
      <c r="B129" s="1" t="s">
        <v>3593</v>
      </c>
      <c r="C129" s="1" t="s">
        <v>16681</v>
      </c>
      <c r="D129" s="1" t="s">
        <v>16678</v>
      </c>
    </row>
    <row r="130" spans="1:4" x14ac:dyDescent="0.15">
      <c r="A130" s="1" t="s">
        <v>3594</v>
      </c>
      <c r="B130" s="1" t="s">
        <v>3595</v>
      </c>
      <c r="C130" s="1" t="s">
        <v>16681</v>
      </c>
      <c r="D130" s="1" t="s">
        <v>16678</v>
      </c>
    </row>
    <row r="131" spans="1:4" x14ac:dyDescent="0.15">
      <c r="A131" s="1" t="s">
        <v>3596</v>
      </c>
      <c r="B131" s="1" t="s">
        <v>3597</v>
      </c>
      <c r="C131" s="1" t="s">
        <v>16688</v>
      </c>
      <c r="D131" s="1" t="s">
        <v>16685</v>
      </c>
    </row>
    <row r="132" spans="1:4" x14ac:dyDescent="0.15">
      <c r="A132" s="1" t="s">
        <v>3598</v>
      </c>
      <c r="B132" s="1" t="s">
        <v>3599</v>
      </c>
      <c r="C132" s="1" t="s">
        <v>16695</v>
      </c>
      <c r="D132" s="1" t="s">
        <v>16692</v>
      </c>
    </row>
    <row r="133" spans="1:4" x14ac:dyDescent="0.15">
      <c r="A133" s="1" t="s">
        <v>3600</v>
      </c>
      <c r="B133" s="1" t="s">
        <v>3601</v>
      </c>
      <c r="C133" s="1" t="s">
        <v>16702</v>
      </c>
      <c r="D133" s="1" t="s">
        <v>16699</v>
      </c>
    </row>
    <row r="134" spans="1:4" x14ac:dyDescent="0.15">
      <c r="A134" s="1" t="s">
        <v>3602</v>
      </c>
      <c r="B134" s="1" t="s">
        <v>3603</v>
      </c>
      <c r="C134" s="1" t="s">
        <v>16709</v>
      </c>
      <c r="D134" s="1" t="s">
        <v>16706</v>
      </c>
    </row>
    <row r="135" spans="1:4" x14ac:dyDescent="0.15">
      <c r="A135" s="1" t="s">
        <v>3604</v>
      </c>
      <c r="B135" s="1" t="s">
        <v>3605</v>
      </c>
      <c r="C135" s="1" t="s">
        <v>16716</v>
      </c>
      <c r="D135" s="1" t="s">
        <v>16713</v>
      </c>
    </row>
    <row r="136" spans="1:4" x14ac:dyDescent="0.15">
      <c r="A136" s="1" t="s">
        <v>3606</v>
      </c>
      <c r="B136" s="1" t="s">
        <v>3607</v>
      </c>
      <c r="C136" s="1" t="s">
        <v>16723</v>
      </c>
      <c r="D136" s="1" t="s">
        <v>16720</v>
      </c>
    </row>
    <row r="137" spans="1:4" x14ac:dyDescent="0.15">
      <c r="A137" s="1" t="s">
        <v>3608</v>
      </c>
      <c r="B137" s="1" t="s">
        <v>3609</v>
      </c>
      <c r="C137" s="1" t="s">
        <v>16730</v>
      </c>
      <c r="D137" s="1" t="s">
        <v>16731</v>
      </c>
    </row>
    <row r="138" spans="1:4" x14ac:dyDescent="0.15">
      <c r="A138" s="1" t="s">
        <v>3610</v>
      </c>
      <c r="B138" s="1" t="s">
        <v>3611</v>
      </c>
      <c r="C138" s="1" t="s">
        <v>16765</v>
      </c>
      <c r="D138" s="1" t="s">
        <v>16762</v>
      </c>
    </row>
    <row r="139" spans="1:4" x14ac:dyDescent="0.15">
      <c r="A139" s="1" t="s">
        <v>3612</v>
      </c>
      <c r="B139" s="1" t="s">
        <v>3613</v>
      </c>
      <c r="C139" s="1" t="s">
        <v>16772</v>
      </c>
      <c r="D139" s="1" t="s">
        <v>16769</v>
      </c>
    </row>
    <row r="140" spans="1:4" x14ac:dyDescent="0.15">
      <c r="A140" s="1" t="s">
        <v>3614</v>
      </c>
      <c r="B140" s="1" t="s">
        <v>3615</v>
      </c>
      <c r="C140" s="1" t="s">
        <v>16779</v>
      </c>
      <c r="D140" s="1" t="s">
        <v>16776</v>
      </c>
    </row>
    <row r="141" spans="1:4" x14ac:dyDescent="0.15">
      <c r="A141" s="1" t="s">
        <v>3616</v>
      </c>
      <c r="B141" s="1" t="s">
        <v>3617</v>
      </c>
      <c r="C141" s="1" t="s">
        <v>16793</v>
      </c>
      <c r="D141" s="1" t="s">
        <v>16790</v>
      </c>
    </row>
    <row r="142" spans="1:4" x14ac:dyDescent="0.15">
      <c r="A142" s="1" t="s">
        <v>3640</v>
      </c>
      <c r="B142" s="1" t="s">
        <v>3641</v>
      </c>
      <c r="C142" s="1" t="s">
        <v>16800</v>
      </c>
      <c r="D142" s="1" t="s">
        <v>16797</v>
      </c>
    </row>
    <row r="143" spans="1:4" x14ac:dyDescent="0.15">
      <c r="A143" s="1" t="s">
        <v>3642</v>
      </c>
      <c r="B143" s="1" t="s">
        <v>3643</v>
      </c>
      <c r="C143" s="1" t="s">
        <v>16807</v>
      </c>
      <c r="D143" s="1" t="s">
        <v>16804</v>
      </c>
    </row>
    <row r="144" spans="1:4" x14ac:dyDescent="0.15">
      <c r="A144" s="1" t="s">
        <v>3636</v>
      </c>
      <c r="B144" s="1" t="s">
        <v>3637</v>
      </c>
      <c r="C144" s="1" t="s">
        <v>16814</v>
      </c>
      <c r="D144" s="1" t="s">
        <v>16811</v>
      </c>
    </row>
    <row r="145" spans="1:4" x14ac:dyDescent="0.15">
      <c r="A145" s="1" t="s">
        <v>3618</v>
      </c>
      <c r="B145" s="1" t="s">
        <v>3619</v>
      </c>
      <c r="C145" s="1" t="s">
        <v>16821</v>
      </c>
      <c r="D145" s="1" t="s">
        <v>16818</v>
      </c>
    </row>
    <row r="146" spans="1:4" x14ac:dyDescent="0.15">
      <c r="A146" s="1" t="s">
        <v>3620</v>
      </c>
      <c r="B146" s="1" t="s">
        <v>3621</v>
      </c>
      <c r="C146" s="1" t="s">
        <v>16828</v>
      </c>
      <c r="D146" s="1" t="s">
        <v>16825</v>
      </c>
    </row>
    <row r="147" spans="1:4" x14ac:dyDescent="0.15">
      <c r="A147" s="1" t="s">
        <v>3622</v>
      </c>
      <c r="B147" s="1" t="s">
        <v>3623</v>
      </c>
      <c r="C147" s="1" t="s">
        <v>16835</v>
      </c>
      <c r="D147" s="1" t="s">
        <v>16832</v>
      </c>
    </row>
    <row r="148" spans="1:4" x14ac:dyDescent="0.15">
      <c r="A148" s="1" t="s">
        <v>3624</v>
      </c>
      <c r="B148" s="1" t="s">
        <v>3625</v>
      </c>
      <c r="C148" s="1" t="s">
        <v>16258</v>
      </c>
      <c r="D148" s="1" t="s">
        <v>16839</v>
      </c>
    </row>
    <row r="149" spans="1:4" x14ac:dyDescent="0.15">
      <c r="A149" s="1" t="s">
        <v>3626</v>
      </c>
      <c r="B149" s="1" t="s">
        <v>3627</v>
      </c>
      <c r="C149" s="1" t="s">
        <v>16265</v>
      </c>
      <c r="D149" s="1" t="s">
        <v>16262</v>
      </c>
    </row>
    <row r="150" spans="1:4" x14ac:dyDescent="0.15">
      <c r="A150" s="1" t="s">
        <v>3628</v>
      </c>
      <c r="B150" s="1" t="s">
        <v>3629</v>
      </c>
      <c r="C150" s="1" t="s">
        <v>16272</v>
      </c>
      <c r="D150" s="1" t="s">
        <v>16269</v>
      </c>
    </row>
    <row r="151" spans="1:4" x14ac:dyDescent="0.15">
      <c r="A151" s="1" t="s">
        <v>3630</v>
      </c>
      <c r="B151" s="1" t="s">
        <v>3631</v>
      </c>
      <c r="C151" s="1" t="s">
        <v>16279</v>
      </c>
      <c r="D151" s="1" t="s">
        <v>16276</v>
      </c>
    </row>
    <row r="152" spans="1:4" x14ac:dyDescent="0.15">
      <c r="A152" s="1" t="s">
        <v>3632</v>
      </c>
      <c r="B152" s="1" t="s">
        <v>3633</v>
      </c>
      <c r="C152" s="1" t="s">
        <v>16286</v>
      </c>
      <c r="D152" s="1" t="s">
        <v>16283</v>
      </c>
    </row>
    <row r="153" spans="1:4" x14ac:dyDescent="0.15">
      <c r="A153" s="1" t="s">
        <v>3634</v>
      </c>
      <c r="B153" s="1" t="s">
        <v>3635</v>
      </c>
      <c r="C153" s="1" t="s">
        <v>16300</v>
      </c>
      <c r="D153" s="1" t="s">
        <v>16297</v>
      </c>
    </row>
    <row r="154" spans="1:4" x14ac:dyDescent="0.15">
      <c r="A154" s="1" t="s">
        <v>3644</v>
      </c>
      <c r="B154" s="1" t="s">
        <v>3645</v>
      </c>
      <c r="C154" s="1" t="s">
        <v>16335</v>
      </c>
      <c r="D154" s="1" t="s">
        <v>16332</v>
      </c>
    </row>
    <row r="155" spans="1:4" x14ac:dyDescent="0.15">
      <c r="A155" s="1" t="s">
        <v>3646</v>
      </c>
      <c r="B155" s="1" t="s">
        <v>3647</v>
      </c>
      <c r="C155" s="1" t="s">
        <v>16355</v>
      </c>
      <c r="D155" s="1" t="s">
        <v>16356</v>
      </c>
    </row>
    <row r="156" spans="1:4" x14ac:dyDescent="0.15">
      <c r="A156" s="1" t="s">
        <v>3648</v>
      </c>
      <c r="B156" s="1" t="s">
        <v>3649</v>
      </c>
      <c r="C156" s="1" t="s">
        <v>16367</v>
      </c>
      <c r="D156" s="1" t="s">
        <v>16368</v>
      </c>
    </row>
    <row r="157" spans="1:4" x14ac:dyDescent="0.15">
      <c r="A157" s="1" t="s">
        <v>3650</v>
      </c>
      <c r="B157" s="1" t="s">
        <v>3651</v>
      </c>
      <c r="C157" s="1" t="s">
        <v>16391</v>
      </c>
      <c r="D157" s="1" t="s">
        <v>16392</v>
      </c>
    </row>
    <row r="158" spans="1:4" x14ac:dyDescent="0.15">
      <c r="A158" s="1" t="s">
        <v>3652</v>
      </c>
      <c r="B158" s="1" t="s">
        <v>3653</v>
      </c>
      <c r="C158" s="1" t="s">
        <v>16395</v>
      </c>
      <c r="D158" s="1" t="s">
        <v>16396</v>
      </c>
    </row>
    <row r="159" spans="1:4" x14ac:dyDescent="0.15">
      <c r="A159" s="1" t="s">
        <v>3654</v>
      </c>
      <c r="B159" s="1" t="s">
        <v>3655</v>
      </c>
      <c r="C159" s="1" t="s">
        <v>16427</v>
      </c>
      <c r="D159" s="1" t="s">
        <v>16428</v>
      </c>
    </row>
    <row r="160" spans="1:4" x14ac:dyDescent="0.15">
      <c r="A160" s="1" t="s">
        <v>3656</v>
      </c>
      <c r="B160" s="1" t="s">
        <v>3657</v>
      </c>
      <c r="C160" s="1" t="s">
        <v>16439</v>
      </c>
      <c r="D160" s="1" t="s">
        <v>16440</v>
      </c>
    </row>
    <row r="161" spans="1:4" x14ac:dyDescent="0.15">
      <c r="A161" s="1" t="s">
        <v>3658</v>
      </c>
      <c r="B161" s="1" t="s">
        <v>3659</v>
      </c>
      <c r="C161" s="1" t="s">
        <v>16451</v>
      </c>
      <c r="D161" s="1" t="s">
        <v>16452</v>
      </c>
    </row>
    <row r="162" spans="1:4" x14ac:dyDescent="0.15">
      <c r="A162" s="1" t="s">
        <v>3660</v>
      </c>
      <c r="B162" s="1" t="s">
        <v>3661</v>
      </c>
      <c r="C162" s="1" t="s">
        <v>16483</v>
      </c>
      <c r="D162" s="1" t="s">
        <v>16484</v>
      </c>
    </row>
    <row r="163" spans="1:4" x14ac:dyDescent="0.15">
      <c r="A163" s="1" t="s">
        <v>3662</v>
      </c>
      <c r="B163" s="1" t="s">
        <v>3663</v>
      </c>
      <c r="C163" s="1" t="s">
        <v>16483</v>
      </c>
      <c r="D163" s="1" t="s">
        <v>16484</v>
      </c>
    </row>
    <row r="164" spans="1:4" x14ac:dyDescent="0.15">
      <c r="A164" s="1" t="s">
        <v>3664</v>
      </c>
      <c r="B164" s="1" t="s">
        <v>3665</v>
      </c>
      <c r="C164" s="1" t="s">
        <v>15934</v>
      </c>
      <c r="D164" s="1" t="s">
        <v>15935</v>
      </c>
    </row>
    <row r="165" spans="1:4" x14ac:dyDescent="0.15">
      <c r="A165" s="1" t="s">
        <v>3670</v>
      </c>
      <c r="B165" s="1" t="s">
        <v>3671</v>
      </c>
      <c r="C165" s="1" t="s">
        <v>15958</v>
      </c>
      <c r="D165" s="1" t="s">
        <v>15959</v>
      </c>
    </row>
    <row r="166" spans="1:4" x14ac:dyDescent="0.15">
      <c r="A166" s="1" t="s">
        <v>3672</v>
      </c>
      <c r="B166" s="1" t="s">
        <v>3673</v>
      </c>
      <c r="C166" s="1" t="s">
        <v>15958</v>
      </c>
      <c r="D166" s="1" t="s">
        <v>15959</v>
      </c>
    </row>
    <row r="167" spans="1:4" x14ac:dyDescent="0.15">
      <c r="A167" s="1" t="s">
        <v>3674</v>
      </c>
      <c r="B167" s="1" t="s">
        <v>3675</v>
      </c>
      <c r="C167" s="1" t="s">
        <v>15971</v>
      </c>
      <c r="D167" s="1" t="s">
        <v>15972</v>
      </c>
    </row>
    <row r="168" spans="1:4" x14ac:dyDescent="0.15">
      <c r="A168" s="1" t="s">
        <v>3676</v>
      </c>
      <c r="B168" s="1" t="s">
        <v>3677</v>
      </c>
      <c r="C168" s="1" t="s">
        <v>15971</v>
      </c>
      <c r="D168" s="1" t="s">
        <v>15972</v>
      </c>
    </row>
    <row r="169" spans="1:4" x14ac:dyDescent="0.15">
      <c r="A169" s="1" t="s">
        <v>3678</v>
      </c>
      <c r="B169" s="1" t="s">
        <v>3679</v>
      </c>
      <c r="C169" s="1" t="s">
        <v>15975</v>
      </c>
      <c r="D169" s="1" t="s">
        <v>15976</v>
      </c>
    </row>
    <row r="170" spans="1:4" x14ac:dyDescent="0.15">
      <c r="A170" s="1" t="s">
        <v>3682</v>
      </c>
      <c r="B170" s="1" t="s">
        <v>3683</v>
      </c>
      <c r="C170" s="1" t="s">
        <v>15987</v>
      </c>
      <c r="D170" s="1" t="s">
        <v>15988</v>
      </c>
    </row>
    <row r="171" spans="1:4" x14ac:dyDescent="0.15">
      <c r="A171" s="1" t="s">
        <v>3684</v>
      </c>
      <c r="B171" s="1" t="s">
        <v>3685</v>
      </c>
      <c r="C171" s="1" t="s">
        <v>15991</v>
      </c>
      <c r="D171" s="1" t="s">
        <v>15992</v>
      </c>
    </row>
    <row r="172" spans="1:4" x14ac:dyDescent="0.15">
      <c r="A172" s="1" t="s">
        <v>3688</v>
      </c>
      <c r="B172" s="1" t="s">
        <v>3689</v>
      </c>
      <c r="C172" s="1" t="s">
        <v>16003</v>
      </c>
      <c r="D172" s="1" t="s">
        <v>16004</v>
      </c>
    </row>
    <row r="173" spans="1:4" x14ac:dyDescent="0.15">
      <c r="A173" s="1" t="s">
        <v>3686</v>
      </c>
      <c r="B173" s="1" t="s">
        <v>3687</v>
      </c>
      <c r="C173" s="1" t="s">
        <v>16007</v>
      </c>
      <c r="D173" s="1" t="s">
        <v>16008</v>
      </c>
    </row>
    <row r="174" spans="1:4" x14ac:dyDescent="0.15">
      <c r="A174" s="1" t="s">
        <v>3690</v>
      </c>
      <c r="B174" s="1" t="s">
        <v>3691</v>
      </c>
      <c r="C174" s="1" t="s">
        <v>16021</v>
      </c>
      <c r="D174" s="1" t="s">
        <v>16022</v>
      </c>
    </row>
    <row r="175" spans="1:4" x14ac:dyDescent="0.15">
      <c r="A175" s="1" t="s">
        <v>3692</v>
      </c>
      <c r="B175" s="1" t="s">
        <v>3693</v>
      </c>
      <c r="C175" s="1" t="s">
        <v>16025</v>
      </c>
      <c r="D175" s="1" t="s">
        <v>16026</v>
      </c>
    </row>
    <row r="176" spans="1:4" x14ac:dyDescent="0.15">
      <c r="A176" s="1" t="s">
        <v>3694</v>
      </c>
      <c r="B176" s="1" t="s">
        <v>3695</v>
      </c>
      <c r="C176" s="1" t="s">
        <v>16044</v>
      </c>
      <c r="D176" s="1" t="s">
        <v>16041</v>
      </c>
    </row>
    <row r="177" spans="1:4" x14ac:dyDescent="0.15">
      <c r="A177" s="1" t="s">
        <v>3696</v>
      </c>
      <c r="B177" s="1" t="s">
        <v>3697</v>
      </c>
      <c r="C177" s="1" t="s">
        <v>16051</v>
      </c>
      <c r="D177" s="1" t="s">
        <v>16052</v>
      </c>
    </row>
    <row r="178" spans="1:4" x14ac:dyDescent="0.15">
      <c r="A178" s="1" t="s">
        <v>3698</v>
      </c>
      <c r="B178" s="1" t="s">
        <v>3699</v>
      </c>
      <c r="C178" s="1" t="s">
        <v>16055</v>
      </c>
      <c r="D178" s="1" t="s">
        <v>16056</v>
      </c>
    </row>
    <row r="179" spans="1:4" x14ac:dyDescent="0.15">
      <c r="A179" s="1" t="s">
        <v>3700</v>
      </c>
      <c r="B179" s="1" t="s">
        <v>3701</v>
      </c>
      <c r="C179" s="1" t="s">
        <v>16063</v>
      </c>
      <c r="D179" s="1" t="s">
        <v>16064</v>
      </c>
    </row>
    <row r="180" spans="1:4" x14ac:dyDescent="0.15">
      <c r="A180" s="1" t="s">
        <v>3702</v>
      </c>
      <c r="B180" s="1" t="s">
        <v>3703</v>
      </c>
      <c r="C180" s="1" t="s">
        <v>16075</v>
      </c>
      <c r="D180" s="1" t="s">
        <v>16076</v>
      </c>
    </row>
    <row r="181" spans="1:4" x14ac:dyDescent="0.15">
      <c r="A181" s="1" t="s">
        <v>3704</v>
      </c>
      <c r="B181" s="1" t="s">
        <v>3705</v>
      </c>
      <c r="C181" s="1" t="s">
        <v>16079</v>
      </c>
      <c r="D181" s="1" t="s">
        <v>16080</v>
      </c>
    </row>
    <row r="182" spans="1:4" x14ac:dyDescent="0.15">
      <c r="A182" s="1" t="s">
        <v>3708</v>
      </c>
      <c r="B182" s="1" t="s">
        <v>3709</v>
      </c>
      <c r="C182" s="1" t="s">
        <v>16091</v>
      </c>
      <c r="D182" s="1" t="s">
        <v>16092</v>
      </c>
    </row>
    <row r="183" spans="1:4" x14ac:dyDescent="0.15">
      <c r="A183" s="1" t="s">
        <v>3710</v>
      </c>
      <c r="B183" s="1" t="s">
        <v>3711</v>
      </c>
      <c r="C183" s="1" t="s">
        <v>16095</v>
      </c>
      <c r="D183" s="1" t="s">
        <v>16096</v>
      </c>
    </row>
    <row r="184" spans="1:4" x14ac:dyDescent="0.15">
      <c r="A184" s="1" t="s">
        <v>3712</v>
      </c>
      <c r="B184" s="1" t="s">
        <v>3713</v>
      </c>
      <c r="C184" s="1" t="s">
        <v>16099</v>
      </c>
      <c r="D184" s="1" t="s">
        <v>16100</v>
      </c>
    </row>
    <row r="185" spans="1:4" x14ac:dyDescent="0.15">
      <c r="A185" s="1" t="s">
        <v>3714</v>
      </c>
      <c r="B185" s="1" t="s">
        <v>3715</v>
      </c>
      <c r="C185" s="1" t="s">
        <v>16111</v>
      </c>
      <c r="D185" s="1" t="s">
        <v>16108</v>
      </c>
    </row>
    <row r="186" spans="1:4" x14ac:dyDescent="0.15">
      <c r="A186" s="1" t="s">
        <v>3716</v>
      </c>
      <c r="B186" s="1" t="s">
        <v>3717</v>
      </c>
      <c r="C186" s="1" t="s">
        <v>16111</v>
      </c>
      <c r="D186" s="1" t="s">
        <v>16108</v>
      </c>
    </row>
    <row r="187" spans="1:4" x14ac:dyDescent="0.15">
      <c r="A187" s="1" t="s">
        <v>3732</v>
      </c>
      <c r="B187" s="1" t="s">
        <v>3733</v>
      </c>
      <c r="C187" s="1" t="s">
        <v>16143</v>
      </c>
      <c r="D187" s="1" t="s">
        <v>16140</v>
      </c>
    </row>
    <row r="188" spans="1:4" x14ac:dyDescent="0.15">
      <c r="A188" s="1" t="s">
        <v>4167</v>
      </c>
      <c r="B188" s="1" t="s">
        <v>4168</v>
      </c>
      <c r="C188" s="1" t="s">
        <v>16150</v>
      </c>
      <c r="D188" s="1" t="s">
        <v>16147</v>
      </c>
    </row>
    <row r="189" spans="1:4" x14ac:dyDescent="0.15">
      <c r="A189" s="1" t="s">
        <v>3726</v>
      </c>
      <c r="B189" s="1" t="s">
        <v>3727</v>
      </c>
      <c r="C189" s="1" t="s">
        <v>15589</v>
      </c>
      <c r="D189" s="1" t="s">
        <v>15590</v>
      </c>
    </row>
    <row r="190" spans="1:4" x14ac:dyDescent="0.15">
      <c r="A190" s="1" t="s">
        <v>4174</v>
      </c>
      <c r="B190" s="1" t="s">
        <v>4175</v>
      </c>
      <c r="C190" s="1" t="s">
        <v>15642</v>
      </c>
      <c r="D190" s="1" t="s">
        <v>15639</v>
      </c>
    </row>
    <row r="191" spans="1:4" x14ac:dyDescent="0.15">
      <c r="A191" s="1" t="s">
        <v>3734</v>
      </c>
      <c r="B191" s="1" t="s">
        <v>3735</v>
      </c>
      <c r="C191" s="1" t="s">
        <v>15665</v>
      </c>
      <c r="D191" s="1" t="s">
        <v>15666</v>
      </c>
    </row>
    <row r="192" spans="1:4" x14ac:dyDescent="0.15">
      <c r="A192" s="1" t="s">
        <v>3736</v>
      </c>
      <c r="B192" s="1" t="s">
        <v>3737</v>
      </c>
      <c r="C192" s="1" t="s">
        <v>15681</v>
      </c>
      <c r="D192" s="1" t="s">
        <v>15682</v>
      </c>
    </row>
    <row r="193" spans="1:4" x14ac:dyDescent="0.15">
      <c r="A193" s="1" t="s">
        <v>3738</v>
      </c>
      <c r="B193" s="1" t="s">
        <v>3739</v>
      </c>
      <c r="C193" s="1" t="s">
        <v>15694</v>
      </c>
      <c r="D193" s="1" t="s">
        <v>15691</v>
      </c>
    </row>
    <row r="194" spans="1:4" x14ac:dyDescent="0.15">
      <c r="A194" s="1" t="s">
        <v>3740</v>
      </c>
      <c r="B194" s="1" t="s">
        <v>3741</v>
      </c>
      <c r="C194" s="1" t="s">
        <v>15694</v>
      </c>
      <c r="D194" s="1" t="s">
        <v>15691</v>
      </c>
    </row>
    <row r="195" spans="1:4" x14ac:dyDescent="0.15">
      <c r="A195" s="1" t="s">
        <v>3680</v>
      </c>
      <c r="B195" s="1" t="s">
        <v>3681</v>
      </c>
      <c r="C195" s="1" t="s">
        <v>15701</v>
      </c>
      <c r="D195" s="1" t="s">
        <v>15698</v>
      </c>
    </row>
    <row r="196" spans="1:4" x14ac:dyDescent="0.15">
      <c r="A196" s="1" t="s">
        <v>3742</v>
      </c>
      <c r="B196" s="1" t="s">
        <v>3743</v>
      </c>
      <c r="C196" s="1" t="s">
        <v>15715</v>
      </c>
      <c r="D196" s="1" t="s">
        <v>15712</v>
      </c>
    </row>
    <row r="197" spans="1:4" x14ac:dyDescent="0.15">
      <c r="A197" s="1" t="s">
        <v>3744</v>
      </c>
      <c r="B197" s="1" t="s">
        <v>3745</v>
      </c>
      <c r="C197" s="1" t="s">
        <v>15729</v>
      </c>
      <c r="D197" s="1" t="s">
        <v>15726</v>
      </c>
    </row>
    <row r="198" spans="1:4" x14ac:dyDescent="0.15">
      <c r="A198" s="1" t="s">
        <v>3746</v>
      </c>
      <c r="B198" s="1" t="s">
        <v>3747</v>
      </c>
      <c r="C198" s="1" t="s">
        <v>15736</v>
      </c>
      <c r="D198" s="1" t="s">
        <v>15733</v>
      </c>
    </row>
    <row r="199" spans="1:4" x14ac:dyDescent="0.15">
      <c r="A199" s="1" t="s">
        <v>3748</v>
      </c>
      <c r="B199" s="1" t="s">
        <v>3749</v>
      </c>
      <c r="C199" s="1" t="s">
        <v>15750</v>
      </c>
      <c r="D199" s="1" t="s">
        <v>15747</v>
      </c>
    </row>
    <row r="200" spans="1:4" x14ac:dyDescent="0.15">
      <c r="A200" s="1" t="s">
        <v>3750</v>
      </c>
      <c r="B200" s="1" t="s">
        <v>3751</v>
      </c>
      <c r="C200" s="1" t="s">
        <v>15762</v>
      </c>
      <c r="D200" s="1" t="s">
        <v>15763</v>
      </c>
    </row>
    <row r="201" spans="1:4" x14ac:dyDescent="0.15">
      <c r="A201" s="1" t="s">
        <v>3752</v>
      </c>
      <c r="B201" s="1" t="s">
        <v>3753</v>
      </c>
      <c r="C201" s="1" t="s">
        <v>15762</v>
      </c>
      <c r="D201" s="1" t="s">
        <v>15763</v>
      </c>
    </row>
    <row r="202" spans="1:4" x14ac:dyDescent="0.15">
      <c r="A202" s="1" t="s">
        <v>3754</v>
      </c>
      <c r="B202" s="1" t="s">
        <v>3755</v>
      </c>
      <c r="C202" s="1" t="s">
        <v>15770</v>
      </c>
      <c r="D202" s="1" t="s">
        <v>15771</v>
      </c>
    </row>
    <row r="203" spans="1:4" x14ac:dyDescent="0.15">
      <c r="A203" s="1" t="s">
        <v>3756</v>
      </c>
      <c r="B203" s="1" t="s">
        <v>3757</v>
      </c>
      <c r="C203" s="1" t="s">
        <v>15774</v>
      </c>
      <c r="D203" s="1" t="s">
        <v>15775</v>
      </c>
    </row>
    <row r="204" spans="1:4" x14ac:dyDescent="0.15">
      <c r="A204" s="1" t="s">
        <v>3758</v>
      </c>
      <c r="B204" s="1" t="s">
        <v>3759</v>
      </c>
      <c r="C204" s="1" t="s">
        <v>15787</v>
      </c>
      <c r="D204" s="1" t="s">
        <v>15784</v>
      </c>
    </row>
    <row r="205" spans="1:4" x14ac:dyDescent="0.15">
      <c r="A205" s="1" t="s">
        <v>3760</v>
      </c>
      <c r="B205" s="1" t="s">
        <v>3761</v>
      </c>
      <c r="C205" s="1" t="s">
        <v>15794</v>
      </c>
      <c r="D205" s="1" t="s">
        <v>15791</v>
      </c>
    </row>
    <row r="206" spans="1:4" x14ac:dyDescent="0.15">
      <c r="A206" s="1" t="s">
        <v>3762</v>
      </c>
      <c r="B206" s="1" t="s">
        <v>3763</v>
      </c>
      <c r="C206" s="1" t="s">
        <v>15801</v>
      </c>
      <c r="D206" s="1" t="s">
        <v>15798</v>
      </c>
    </row>
    <row r="207" spans="1:4" x14ac:dyDescent="0.15">
      <c r="A207" s="1" t="s">
        <v>3764</v>
      </c>
      <c r="B207" s="1" t="s">
        <v>3765</v>
      </c>
      <c r="C207" s="1" t="s">
        <v>15812</v>
      </c>
      <c r="D207" s="1" t="s">
        <v>15809</v>
      </c>
    </row>
    <row r="208" spans="1:4" x14ac:dyDescent="0.15">
      <c r="A208" s="1" t="s">
        <v>3766</v>
      </c>
      <c r="B208" s="1" t="s">
        <v>3767</v>
      </c>
      <c r="C208" s="1" t="s">
        <v>15812</v>
      </c>
      <c r="D208" s="1" t="s">
        <v>15809</v>
      </c>
    </row>
    <row r="209" spans="1:4" x14ac:dyDescent="0.15">
      <c r="A209" s="1" t="s">
        <v>3768</v>
      </c>
      <c r="B209" s="1" t="s">
        <v>3769</v>
      </c>
      <c r="C209" s="1" t="s">
        <v>15819</v>
      </c>
      <c r="D209" s="1" t="s">
        <v>15820</v>
      </c>
    </row>
    <row r="210" spans="1:4" x14ac:dyDescent="0.15">
      <c r="A210" s="1" t="s">
        <v>3770</v>
      </c>
      <c r="B210" s="1" t="s">
        <v>3771</v>
      </c>
      <c r="C210" s="1" t="s">
        <v>15823</v>
      </c>
      <c r="D210" s="1" t="s">
        <v>15824</v>
      </c>
    </row>
    <row r="211" spans="1:4" x14ac:dyDescent="0.15">
      <c r="A211" s="1" t="s">
        <v>3776</v>
      </c>
      <c r="B211" s="1" t="s">
        <v>3777</v>
      </c>
      <c r="C211" s="1" t="s">
        <v>15831</v>
      </c>
      <c r="D211" s="1" t="s">
        <v>15832</v>
      </c>
    </row>
    <row r="212" spans="1:4" x14ac:dyDescent="0.15">
      <c r="A212" s="1" t="s">
        <v>3778</v>
      </c>
      <c r="B212" s="1" t="s">
        <v>3779</v>
      </c>
      <c r="C212" s="1" t="s">
        <v>15835</v>
      </c>
      <c r="D212" s="1" t="s">
        <v>15836</v>
      </c>
    </row>
    <row r="213" spans="1:4" x14ac:dyDescent="0.15">
      <c r="A213" s="1" t="s">
        <v>3780</v>
      </c>
      <c r="B213" s="1" t="s">
        <v>3781</v>
      </c>
      <c r="C213" s="1" t="s">
        <v>15839</v>
      </c>
      <c r="D213" s="1" t="s">
        <v>15840</v>
      </c>
    </row>
    <row r="214" spans="1:4" x14ac:dyDescent="0.15">
      <c r="A214" s="1" t="s">
        <v>3782</v>
      </c>
      <c r="B214" s="1" t="s">
        <v>3783</v>
      </c>
      <c r="C214" s="1" t="s">
        <v>15843</v>
      </c>
      <c r="D214" s="1" t="s">
        <v>15844</v>
      </c>
    </row>
    <row r="215" spans="1:4" x14ac:dyDescent="0.15">
      <c r="A215" s="1" t="s">
        <v>3784</v>
      </c>
      <c r="B215" s="1" t="s">
        <v>3785</v>
      </c>
      <c r="C215" s="1" t="s">
        <v>15851</v>
      </c>
      <c r="D215" s="1" t="s">
        <v>15852</v>
      </c>
    </row>
    <row r="216" spans="1:4" x14ac:dyDescent="0.15">
      <c r="A216" s="1" t="s">
        <v>3772</v>
      </c>
      <c r="B216" s="1" t="s">
        <v>3773</v>
      </c>
      <c r="C216" s="1" t="s">
        <v>15855</v>
      </c>
      <c r="D216" s="1" t="s">
        <v>15856</v>
      </c>
    </row>
    <row r="217" spans="1:4" x14ac:dyDescent="0.15">
      <c r="A217" s="1" t="s">
        <v>3788</v>
      </c>
      <c r="B217" s="1" t="s">
        <v>3789</v>
      </c>
      <c r="C217" s="1" t="s">
        <v>15867</v>
      </c>
      <c r="D217" s="1" t="s">
        <v>15864</v>
      </c>
    </row>
    <row r="218" spans="1:4" x14ac:dyDescent="0.15">
      <c r="A218" s="1" t="s">
        <v>3790</v>
      </c>
      <c r="B218" s="1" t="s">
        <v>3791</v>
      </c>
      <c r="C218" s="1" t="s">
        <v>15867</v>
      </c>
      <c r="D218" s="1" t="s">
        <v>15864</v>
      </c>
    </row>
    <row r="219" spans="1:4" x14ac:dyDescent="0.15">
      <c r="A219" s="1" t="s">
        <v>3786</v>
      </c>
      <c r="B219" s="1" t="s">
        <v>3787</v>
      </c>
      <c r="C219" s="1" t="s">
        <v>15874</v>
      </c>
      <c r="D219" s="1" t="s">
        <v>15875</v>
      </c>
    </row>
    <row r="220" spans="1:4" x14ac:dyDescent="0.15">
      <c r="A220" s="1" t="s">
        <v>3808</v>
      </c>
      <c r="B220" s="1" t="s">
        <v>3809</v>
      </c>
      <c r="C220" s="1" t="s">
        <v>15878</v>
      </c>
      <c r="D220" s="1" t="s">
        <v>15879</v>
      </c>
    </row>
    <row r="221" spans="1:4" x14ac:dyDescent="0.15">
      <c r="A221" s="1" t="s">
        <v>3810</v>
      </c>
      <c r="B221" s="1" t="s">
        <v>3811</v>
      </c>
      <c r="C221" s="1" t="s">
        <v>15882</v>
      </c>
      <c r="D221" s="1" t="s">
        <v>15883</v>
      </c>
    </row>
    <row r="222" spans="1:4" x14ac:dyDescent="0.15">
      <c r="A222" s="1" t="s">
        <v>3828</v>
      </c>
      <c r="B222" s="1" t="s">
        <v>3829</v>
      </c>
      <c r="C222" s="1" t="s">
        <v>15886</v>
      </c>
      <c r="D222" s="1" t="s">
        <v>15887</v>
      </c>
    </row>
    <row r="223" spans="1:4" x14ac:dyDescent="0.15">
      <c r="A223" s="1" t="s">
        <v>3826</v>
      </c>
      <c r="B223" s="1" t="s">
        <v>3827</v>
      </c>
      <c r="C223" s="1" t="s">
        <v>15890</v>
      </c>
      <c r="D223" s="1" t="s">
        <v>15891</v>
      </c>
    </row>
    <row r="224" spans="1:4" x14ac:dyDescent="0.15">
      <c r="A224" s="1" t="s">
        <v>3774</v>
      </c>
      <c r="B224" s="1" t="s">
        <v>3775</v>
      </c>
      <c r="C224" s="1" t="s">
        <v>15898</v>
      </c>
      <c r="D224" s="1" t="s">
        <v>15899</v>
      </c>
    </row>
    <row r="225" spans="1:4" x14ac:dyDescent="0.15">
      <c r="A225" s="1" t="s">
        <v>3804</v>
      </c>
      <c r="B225" s="1" t="s">
        <v>3805</v>
      </c>
      <c r="C225" s="1" t="s">
        <v>15902</v>
      </c>
      <c r="D225" s="1" t="s">
        <v>15903</v>
      </c>
    </row>
    <row r="226" spans="1:4" x14ac:dyDescent="0.15">
      <c r="A226" s="1" t="s">
        <v>3798</v>
      </c>
      <c r="B226" s="1" t="s">
        <v>3799</v>
      </c>
      <c r="C226" s="1" t="s">
        <v>15906</v>
      </c>
      <c r="D226" s="1" t="s">
        <v>15907</v>
      </c>
    </row>
    <row r="227" spans="1:4" x14ac:dyDescent="0.15">
      <c r="A227" s="1" t="s">
        <v>3806</v>
      </c>
      <c r="B227" s="1" t="s">
        <v>3807</v>
      </c>
      <c r="C227" s="1" t="s">
        <v>15910</v>
      </c>
      <c r="D227" s="1" t="s">
        <v>15911</v>
      </c>
    </row>
    <row r="228" spans="1:4" x14ac:dyDescent="0.15">
      <c r="A228" s="1" t="s">
        <v>4169</v>
      </c>
      <c r="B228" s="1" t="s">
        <v>4170</v>
      </c>
      <c r="C228" s="1" t="s">
        <v>15161</v>
      </c>
      <c r="D228" s="1" t="s">
        <v>15162</v>
      </c>
    </row>
    <row r="229" spans="1:4" x14ac:dyDescent="0.15">
      <c r="A229" s="1" t="s">
        <v>4171</v>
      </c>
      <c r="B229" s="1" t="s">
        <v>4172</v>
      </c>
      <c r="C229" s="1" t="s">
        <v>15161</v>
      </c>
      <c r="D229" s="1" t="s">
        <v>15162</v>
      </c>
    </row>
    <row r="230" spans="1:4" x14ac:dyDescent="0.15">
      <c r="A230" s="1" t="s">
        <v>3792</v>
      </c>
      <c r="B230" s="1" t="s">
        <v>3793</v>
      </c>
      <c r="C230" s="1" t="s">
        <v>15169</v>
      </c>
      <c r="D230" s="1" t="s">
        <v>15170</v>
      </c>
    </row>
    <row r="231" spans="1:4" x14ac:dyDescent="0.15">
      <c r="A231" s="1" t="s">
        <v>3794</v>
      </c>
      <c r="B231" s="1" t="s">
        <v>3795</v>
      </c>
      <c r="C231" s="1" t="s">
        <v>15173</v>
      </c>
      <c r="D231" s="1" t="s">
        <v>15174</v>
      </c>
    </row>
    <row r="232" spans="1:4" x14ac:dyDescent="0.15">
      <c r="A232" s="1" t="s">
        <v>3800</v>
      </c>
      <c r="B232" s="1" t="s">
        <v>3801</v>
      </c>
      <c r="C232" s="1" t="s">
        <v>15177</v>
      </c>
      <c r="D232" s="1" t="s">
        <v>15178</v>
      </c>
    </row>
    <row r="233" spans="1:4" x14ac:dyDescent="0.15">
      <c r="A233" s="1" t="s">
        <v>3802</v>
      </c>
      <c r="B233" s="1" t="s">
        <v>3803</v>
      </c>
      <c r="C233" s="1" t="s">
        <v>15181</v>
      </c>
      <c r="D233" s="1" t="s">
        <v>15182</v>
      </c>
    </row>
    <row r="234" spans="1:4" x14ac:dyDescent="0.15">
      <c r="A234" s="1" t="s">
        <v>3796</v>
      </c>
      <c r="B234" s="1" t="s">
        <v>3797</v>
      </c>
      <c r="C234" s="1" t="s">
        <v>15185</v>
      </c>
      <c r="D234" s="1" t="s">
        <v>15186</v>
      </c>
    </row>
    <row r="235" spans="1:4" x14ac:dyDescent="0.15">
      <c r="A235" s="1" t="s">
        <v>3812</v>
      </c>
      <c r="B235" s="1" t="s">
        <v>3813</v>
      </c>
      <c r="C235" s="1" t="s">
        <v>15197</v>
      </c>
      <c r="D235" s="1" t="s">
        <v>15194</v>
      </c>
    </row>
    <row r="236" spans="1:4" x14ac:dyDescent="0.15">
      <c r="A236" s="1" t="s">
        <v>3814</v>
      </c>
      <c r="B236" s="1" t="s">
        <v>3815</v>
      </c>
      <c r="C236" s="1" t="s">
        <v>15207</v>
      </c>
      <c r="D236" s="1" t="s">
        <v>15201</v>
      </c>
    </row>
    <row r="237" spans="1:4" x14ac:dyDescent="0.15">
      <c r="A237" s="1" t="s">
        <v>3816</v>
      </c>
      <c r="B237" s="1" t="s">
        <v>3817</v>
      </c>
      <c r="C237" s="1" t="s">
        <v>15207</v>
      </c>
      <c r="D237" s="1" t="s">
        <v>15201</v>
      </c>
    </row>
    <row r="238" spans="1:4" x14ac:dyDescent="0.15">
      <c r="A238" s="1" t="s">
        <v>3818</v>
      </c>
      <c r="B238" s="1" t="s">
        <v>3819</v>
      </c>
      <c r="C238" s="1" t="s">
        <v>15214</v>
      </c>
      <c r="D238" s="1" t="s">
        <v>15215</v>
      </c>
    </row>
    <row r="239" spans="1:4" x14ac:dyDescent="0.15">
      <c r="A239" s="1" t="s">
        <v>3638</v>
      </c>
      <c r="B239" s="1" t="s">
        <v>3639</v>
      </c>
      <c r="C239" s="1" t="s">
        <v>15218</v>
      </c>
      <c r="D239" s="1" t="s">
        <v>15219</v>
      </c>
    </row>
    <row r="240" spans="1:4" x14ac:dyDescent="0.15">
      <c r="A240" s="1" t="s">
        <v>3820</v>
      </c>
      <c r="B240" s="1" t="s">
        <v>3821</v>
      </c>
      <c r="C240" s="1" t="s">
        <v>15230</v>
      </c>
      <c r="D240" s="1" t="s">
        <v>15227</v>
      </c>
    </row>
    <row r="241" spans="1:4" x14ac:dyDescent="0.15">
      <c r="A241" s="1" t="s">
        <v>3822</v>
      </c>
      <c r="B241" s="1" t="s">
        <v>3823</v>
      </c>
      <c r="C241" s="1" t="s">
        <v>15237</v>
      </c>
      <c r="D241" s="1" t="s">
        <v>15234</v>
      </c>
    </row>
    <row r="242" spans="1:4" x14ac:dyDescent="0.15">
      <c r="A242" s="1" t="s">
        <v>3830</v>
      </c>
      <c r="B242" s="1" t="s">
        <v>3831</v>
      </c>
      <c r="C242" s="1" t="s">
        <v>15280</v>
      </c>
      <c r="D242" s="1" t="s">
        <v>15277</v>
      </c>
    </row>
    <row r="243" spans="1:4" x14ac:dyDescent="0.15">
      <c r="A243" s="1" t="s">
        <v>3832</v>
      </c>
      <c r="B243" s="1" t="s">
        <v>3833</v>
      </c>
      <c r="C243" s="1" t="s">
        <v>15280</v>
      </c>
      <c r="D243" s="1" t="s">
        <v>15277</v>
      </c>
    </row>
    <row r="244" spans="1:4" x14ac:dyDescent="0.15">
      <c r="A244" s="1" t="s">
        <v>3834</v>
      </c>
      <c r="B244" s="1" t="s">
        <v>3835</v>
      </c>
      <c r="C244" s="1" t="s">
        <v>15298</v>
      </c>
      <c r="D244" s="1" t="s">
        <v>15295</v>
      </c>
    </row>
    <row r="245" spans="1:4" x14ac:dyDescent="0.15">
      <c r="A245" s="1" t="s">
        <v>3836</v>
      </c>
      <c r="B245" s="1" t="s">
        <v>3837</v>
      </c>
      <c r="C245" s="1" t="s">
        <v>15568</v>
      </c>
      <c r="D245" s="1" t="s">
        <v>15565</v>
      </c>
    </row>
    <row r="246" spans="1:4" x14ac:dyDescent="0.15">
      <c r="A246" s="1" t="s">
        <v>3838</v>
      </c>
      <c r="B246" s="1" t="s">
        <v>3839</v>
      </c>
      <c r="C246" s="1" t="s">
        <v>15575</v>
      </c>
      <c r="D246" s="1" t="s">
        <v>15572</v>
      </c>
    </row>
    <row r="247" spans="1:4" x14ac:dyDescent="0.15">
      <c r="A247" s="1" t="s">
        <v>3840</v>
      </c>
      <c r="B247" s="1" t="s">
        <v>3841</v>
      </c>
      <c r="C247" s="1" t="s">
        <v>15575</v>
      </c>
      <c r="D247" s="1" t="s">
        <v>15572</v>
      </c>
    </row>
    <row r="248" spans="1:4" x14ac:dyDescent="0.15">
      <c r="A248" s="1" t="s">
        <v>3706</v>
      </c>
      <c r="B248" s="1" t="s">
        <v>3707</v>
      </c>
      <c r="C248" s="1" t="s">
        <v>14864</v>
      </c>
      <c r="D248" s="1" t="s">
        <v>14861</v>
      </c>
    </row>
    <row r="249" spans="1:4" x14ac:dyDescent="0.15">
      <c r="A249" s="1" t="s">
        <v>3844</v>
      </c>
      <c r="B249" s="1" t="s">
        <v>3845</v>
      </c>
      <c r="C249" s="1" t="s">
        <v>14885</v>
      </c>
      <c r="D249" s="1" t="s">
        <v>14882</v>
      </c>
    </row>
    <row r="250" spans="1:4" x14ac:dyDescent="0.15">
      <c r="A250" s="1" t="s">
        <v>3846</v>
      </c>
      <c r="B250" s="1" t="s">
        <v>3847</v>
      </c>
      <c r="C250" s="1" t="s">
        <v>14892</v>
      </c>
      <c r="D250" s="1" t="s">
        <v>14889</v>
      </c>
    </row>
    <row r="251" spans="1:4" x14ac:dyDescent="0.15">
      <c r="A251" s="1" t="s">
        <v>3848</v>
      </c>
      <c r="B251" s="1" t="s">
        <v>3849</v>
      </c>
      <c r="C251" s="1" t="s">
        <v>14899</v>
      </c>
      <c r="D251" s="1" t="s">
        <v>14900</v>
      </c>
    </row>
    <row r="252" spans="1:4" x14ac:dyDescent="0.15">
      <c r="A252" s="1" t="s">
        <v>3850</v>
      </c>
      <c r="B252" s="1" t="s">
        <v>3851</v>
      </c>
      <c r="C252" s="1" t="s">
        <v>14930</v>
      </c>
      <c r="D252" s="1" t="s">
        <v>14927</v>
      </c>
    </row>
    <row r="253" spans="1:4" x14ac:dyDescent="0.15">
      <c r="A253" s="1" t="s">
        <v>3852</v>
      </c>
      <c r="B253" s="1" t="s">
        <v>3853</v>
      </c>
      <c r="C253" s="1" t="s">
        <v>14930</v>
      </c>
      <c r="D253" s="1" t="s">
        <v>14927</v>
      </c>
    </row>
    <row r="254" spans="1:4" x14ac:dyDescent="0.15">
      <c r="A254" s="1" t="s">
        <v>3854</v>
      </c>
      <c r="B254" s="1" t="s">
        <v>3855</v>
      </c>
      <c r="C254" s="1" t="s">
        <v>14942</v>
      </c>
      <c r="D254" s="1" t="s">
        <v>14939</v>
      </c>
    </row>
    <row r="255" spans="1:4" x14ac:dyDescent="0.15">
      <c r="A255" s="1" t="s">
        <v>3856</v>
      </c>
      <c r="B255" s="1" t="s">
        <v>3857</v>
      </c>
      <c r="C255" s="1" t="s">
        <v>14942</v>
      </c>
      <c r="D255" s="1" t="s">
        <v>14939</v>
      </c>
    </row>
    <row r="256" spans="1:4" x14ac:dyDescent="0.15">
      <c r="A256" s="1" t="s">
        <v>3858</v>
      </c>
      <c r="B256" s="1" t="s">
        <v>3859</v>
      </c>
      <c r="C256" s="1" t="s">
        <v>14949</v>
      </c>
      <c r="D256" s="1" t="s">
        <v>14946</v>
      </c>
    </row>
    <row r="257" spans="1:4" x14ac:dyDescent="0.15">
      <c r="A257" s="1" t="s">
        <v>3860</v>
      </c>
      <c r="B257" s="1" t="s">
        <v>3861</v>
      </c>
      <c r="C257" s="1" t="s">
        <v>14956</v>
      </c>
      <c r="D257" s="1" t="s">
        <v>14953</v>
      </c>
    </row>
    <row r="258" spans="1:4" x14ac:dyDescent="0.15">
      <c r="A258" s="1" t="s">
        <v>3862</v>
      </c>
      <c r="B258" s="1" t="s">
        <v>3863</v>
      </c>
      <c r="C258" s="1" t="s">
        <v>14963</v>
      </c>
      <c r="D258" s="1" t="s">
        <v>14960</v>
      </c>
    </row>
    <row r="259" spans="1:4" x14ac:dyDescent="0.15">
      <c r="A259" s="1" t="s">
        <v>3864</v>
      </c>
      <c r="B259" s="1" t="s">
        <v>3865</v>
      </c>
      <c r="C259" s="1" t="s">
        <v>14970</v>
      </c>
      <c r="D259" s="1" t="s">
        <v>14971</v>
      </c>
    </row>
    <row r="260" spans="1:4" x14ac:dyDescent="0.15">
      <c r="A260" s="1" t="s">
        <v>3866</v>
      </c>
      <c r="B260" s="1" t="s">
        <v>3867</v>
      </c>
      <c r="C260" s="1" t="s">
        <v>14974</v>
      </c>
      <c r="D260" s="1" t="s">
        <v>14975</v>
      </c>
    </row>
    <row r="261" spans="1:4" x14ac:dyDescent="0.15">
      <c r="A261" s="1" t="s">
        <v>3868</v>
      </c>
      <c r="B261" s="1" t="s">
        <v>3869</v>
      </c>
      <c r="C261" s="1" t="s">
        <v>14978</v>
      </c>
      <c r="D261" s="1" t="s">
        <v>14979</v>
      </c>
    </row>
    <row r="262" spans="1:4" x14ac:dyDescent="0.15">
      <c r="A262" s="1" t="s">
        <v>3870</v>
      </c>
      <c r="B262" s="1" t="s">
        <v>3871</v>
      </c>
      <c r="C262" s="1" t="s">
        <v>14982</v>
      </c>
      <c r="D262" s="1" t="s">
        <v>14983</v>
      </c>
    </row>
    <row r="263" spans="1:4" x14ac:dyDescent="0.15">
      <c r="A263" s="1" t="s">
        <v>4092</v>
      </c>
      <c r="B263" s="1" t="s">
        <v>4093</v>
      </c>
      <c r="C263" s="1" t="s">
        <v>14986</v>
      </c>
      <c r="D263" s="1" t="s">
        <v>14987</v>
      </c>
    </row>
    <row r="264" spans="1:4" x14ac:dyDescent="0.15">
      <c r="A264" s="1" t="s">
        <v>3872</v>
      </c>
      <c r="B264" s="1" t="s">
        <v>3873</v>
      </c>
      <c r="C264" s="1" t="s">
        <v>14990</v>
      </c>
      <c r="D264" s="1" t="s">
        <v>14991</v>
      </c>
    </row>
    <row r="265" spans="1:4" x14ac:dyDescent="0.15">
      <c r="A265" s="1" t="s">
        <v>3874</v>
      </c>
      <c r="B265" s="1" t="s">
        <v>3875</v>
      </c>
      <c r="C265" s="1" t="s">
        <v>15006</v>
      </c>
      <c r="D265" s="1" t="s">
        <v>15007</v>
      </c>
    </row>
    <row r="266" spans="1:4" x14ac:dyDescent="0.15">
      <c r="A266" s="1" t="s">
        <v>3878</v>
      </c>
      <c r="B266" s="1" t="s">
        <v>3879</v>
      </c>
      <c r="C266" s="1" t="s">
        <v>15010</v>
      </c>
      <c r="D266" s="1" t="s">
        <v>15011</v>
      </c>
    </row>
    <row r="267" spans="1:4" x14ac:dyDescent="0.15">
      <c r="A267" s="1" t="s">
        <v>3880</v>
      </c>
      <c r="B267" s="1" t="s">
        <v>3881</v>
      </c>
      <c r="C267" s="1" t="s">
        <v>15014</v>
      </c>
      <c r="D267" s="1" t="s">
        <v>15015</v>
      </c>
    </row>
    <row r="268" spans="1:4" x14ac:dyDescent="0.15">
      <c r="A268" s="1" t="s">
        <v>3882</v>
      </c>
      <c r="B268" s="1" t="s">
        <v>3883</v>
      </c>
      <c r="C268" s="1" t="s">
        <v>15018</v>
      </c>
      <c r="D268" s="1" t="s">
        <v>15019</v>
      </c>
    </row>
    <row r="269" spans="1:4" x14ac:dyDescent="0.15">
      <c r="A269" s="1" t="s">
        <v>3894</v>
      </c>
      <c r="B269" s="1" t="s">
        <v>3895</v>
      </c>
      <c r="C269" s="1" t="s">
        <v>15030</v>
      </c>
      <c r="D269" s="1" t="s">
        <v>15031</v>
      </c>
    </row>
    <row r="270" spans="1:4" x14ac:dyDescent="0.15">
      <c r="A270" s="1" t="s">
        <v>3884</v>
      </c>
      <c r="B270" s="1" t="s">
        <v>3885</v>
      </c>
      <c r="C270" s="1" t="s">
        <v>15034</v>
      </c>
      <c r="D270" s="1" t="s">
        <v>15035</v>
      </c>
    </row>
    <row r="271" spans="1:4" x14ac:dyDescent="0.15">
      <c r="A271" s="1" t="s">
        <v>3886</v>
      </c>
      <c r="B271" s="1" t="s">
        <v>3887</v>
      </c>
      <c r="C271" s="1" t="s">
        <v>15034</v>
      </c>
      <c r="D271" s="1" t="s">
        <v>15035</v>
      </c>
    </row>
    <row r="272" spans="1:4" x14ac:dyDescent="0.15">
      <c r="A272" s="1" t="s">
        <v>3876</v>
      </c>
      <c r="B272" s="1" t="s">
        <v>3877</v>
      </c>
      <c r="C272" s="1" t="s">
        <v>15038</v>
      </c>
      <c r="D272" s="1" t="s">
        <v>15039</v>
      </c>
    </row>
    <row r="273" spans="1:4" x14ac:dyDescent="0.15">
      <c r="A273" s="1" t="s">
        <v>3888</v>
      </c>
      <c r="B273" s="1" t="s">
        <v>3889</v>
      </c>
      <c r="C273" s="1" t="s">
        <v>15046</v>
      </c>
      <c r="D273" s="1" t="s">
        <v>15047</v>
      </c>
    </row>
    <row r="274" spans="1:4" x14ac:dyDescent="0.15">
      <c r="A274" s="1" t="s">
        <v>3890</v>
      </c>
      <c r="B274" s="1" t="s">
        <v>3891</v>
      </c>
      <c r="C274" s="1" t="s">
        <v>15050</v>
      </c>
      <c r="D274" s="1" t="s">
        <v>15051</v>
      </c>
    </row>
    <row r="275" spans="1:4" x14ac:dyDescent="0.15">
      <c r="A275" s="1" t="s">
        <v>3892</v>
      </c>
      <c r="B275" s="1" t="s">
        <v>3893</v>
      </c>
      <c r="C275" s="1" t="s">
        <v>15062</v>
      </c>
      <c r="D275" s="1" t="s">
        <v>15063</v>
      </c>
    </row>
    <row r="276" spans="1:4" x14ac:dyDescent="0.15">
      <c r="A276" s="1" t="s">
        <v>3896</v>
      </c>
      <c r="B276" s="1" t="s">
        <v>3897</v>
      </c>
      <c r="C276" s="1" t="s">
        <v>15113</v>
      </c>
      <c r="D276" s="1" t="s">
        <v>15114</v>
      </c>
    </row>
    <row r="277" spans="1:4" x14ac:dyDescent="0.15">
      <c r="A277" s="1" t="s">
        <v>3898</v>
      </c>
      <c r="B277" s="1" t="s">
        <v>3899</v>
      </c>
      <c r="C277" s="1" t="s">
        <v>15125</v>
      </c>
      <c r="D277" s="1" t="s">
        <v>15126</v>
      </c>
    </row>
    <row r="278" spans="1:4" x14ac:dyDescent="0.15">
      <c r="A278" s="1" t="s">
        <v>3900</v>
      </c>
      <c r="B278" s="1" t="s">
        <v>3901</v>
      </c>
      <c r="C278" s="1" t="s">
        <v>15137</v>
      </c>
      <c r="D278" s="1" t="s">
        <v>15138</v>
      </c>
    </row>
    <row r="279" spans="1:4" x14ac:dyDescent="0.15">
      <c r="A279" s="1" t="s">
        <v>3902</v>
      </c>
      <c r="B279" s="1" t="s">
        <v>3903</v>
      </c>
      <c r="C279" s="1" t="s">
        <v>15137</v>
      </c>
      <c r="D279" s="1" t="s">
        <v>15138</v>
      </c>
    </row>
    <row r="280" spans="1:4" x14ac:dyDescent="0.15">
      <c r="A280" s="1" t="s">
        <v>3904</v>
      </c>
      <c r="B280" s="1" t="s">
        <v>3905</v>
      </c>
      <c r="C280" s="1" t="s">
        <v>15137</v>
      </c>
      <c r="D280" s="1" t="s">
        <v>15138</v>
      </c>
    </row>
    <row r="281" spans="1:4" x14ac:dyDescent="0.15">
      <c r="A281" s="1" t="s">
        <v>3906</v>
      </c>
      <c r="B281" s="1" t="s">
        <v>3907</v>
      </c>
      <c r="C281" s="1" t="s">
        <v>14580</v>
      </c>
      <c r="D281" s="1" t="s">
        <v>14577</v>
      </c>
    </row>
    <row r="282" spans="1:4" x14ac:dyDescent="0.15">
      <c r="A282" s="1" t="s">
        <v>3908</v>
      </c>
      <c r="B282" s="1" t="s">
        <v>3909</v>
      </c>
      <c r="C282" s="1" t="s">
        <v>14580</v>
      </c>
      <c r="D282" s="1" t="s">
        <v>14577</v>
      </c>
    </row>
    <row r="283" spans="1:4" x14ac:dyDescent="0.15">
      <c r="A283" s="1" t="s">
        <v>3910</v>
      </c>
      <c r="B283" s="1" t="s">
        <v>3911</v>
      </c>
      <c r="C283" s="1" t="s">
        <v>14587</v>
      </c>
      <c r="D283" s="1" t="s">
        <v>14584</v>
      </c>
    </row>
    <row r="284" spans="1:4" x14ac:dyDescent="0.15">
      <c r="A284" s="1" t="s">
        <v>3932</v>
      </c>
      <c r="B284" s="1" t="s">
        <v>3933</v>
      </c>
      <c r="C284" s="1" t="s">
        <v>14590</v>
      </c>
      <c r="D284" s="1" t="s">
        <v>14591</v>
      </c>
    </row>
    <row r="285" spans="1:4" x14ac:dyDescent="0.15">
      <c r="A285" s="1" t="s">
        <v>3934</v>
      </c>
      <c r="B285" s="1" t="s">
        <v>3935</v>
      </c>
      <c r="C285" s="1" t="s">
        <v>14602</v>
      </c>
      <c r="D285" s="1" t="s">
        <v>14603</v>
      </c>
    </row>
    <row r="286" spans="1:4" x14ac:dyDescent="0.15">
      <c r="A286" s="1" t="s">
        <v>3936</v>
      </c>
      <c r="B286" s="1" t="s">
        <v>3937</v>
      </c>
      <c r="C286" s="1" t="s">
        <v>14618</v>
      </c>
      <c r="D286" s="1" t="s">
        <v>14619</v>
      </c>
    </row>
    <row r="287" spans="1:4" x14ac:dyDescent="0.15">
      <c r="A287" s="1" t="s">
        <v>3938</v>
      </c>
      <c r="B287" s="1" t="s">
        <v>3939</v>
      </c>
      <c r="C287" s="1" t="s">
        <v>14650</v>
      </c>
      <c r="D287" s="1" t="s">
        <v>14647</v>
      </c>
    </row>
    <row r="288" spans="1:4" x14ac:dyDescent="0.15">
      <c r="A288" s="1" t="s">
        <v>3940</v>
      </c>
      <c r="B288" s="1" t="s">
        <v>3941</v>
      </c>
      <c r="C288" s="1" t="s">
        <v>14650</v>
      </c>
      <c r="D288" s="1" t="s">
        <v>14647</v>
      </c>
    </row>
    <row r="289" spans="1:4" x14ac:dyDescent="0.15">
      <c r="A289" s="1" t="s">
        <v>3942</v>
      </c>
      <c r="B289" s="1" t="s">
        <v>3943</v>
      </c>
      <c r="C289" s="1" t="s">
        <v>14657</v>
      </c>
      <c r="D289" s="1" t="s">
        <v>14654</v>
      </c>
    </row>
    <row r="290" spans="1:4" x14ac:dyDescent="0.15">
      <c r="A290" s="1" t="s">
        <v>3944</v>
      </c>
      <c r="B290" s="1" t="s">
        <v>3945</v>
      </c>
      <c r="C290" s="1" t="s">
        <v>14671</v>
      </c>
      <c r="D290" s="1" t="s">
        <v>14668</v>
      </c>
    </row>
    <row r="291" spans="1:4" x14ac:dyDescent="0.15">
      <c r="A291" s="1" t="s">
        <v>3946</v>
      </c>
      <c r="B291" s="1" t="s">
        <v>3947</v>
      </c>
      <c r="C291" s="1" t="s">
        <v>14678</v>
      </c>
      <c r="D291" s="1" t="s">
        <v>14675</v>
      </c>
    </row>
    <row r="292" spans="1:4" x14ac:dyDescent="0.15">
      <c r="A292" s="1" t="s">
        <v>3948</v>
      </c>
      <c r="B292" s="1" t="s">
        <v>3949</v>
      </c>
      <c r="C292" s="1" t="s">
        <v>14678</v>
      </c>
      <c r="D292" s="1" t="s">
        <v>14675</v>
      </c>
    </row>
    <row r="293" spans="1:4" x14ac:dyDescent="0.15">
      <c r="A293" s="1" t="s">
        <v>3950</v>
      </c>
      <c r="B293" s="1" t="s">
        <v>3951</v>
      </c>
      <c r="C293" s="1" t="s">
        <v>14678</v>
      </c>
      <c r="D293" s="1" t="s">
        <v>14675</v>
      </c>
    </row>
    <row r="294" spans="1:4" x14ac:dyDescent="0.15">
      <c r="A294" s="1" t="s">
        <v>3952</v>
      </c>
      <c r="B294" s="1" t="s">
        <v>3953</v>
      </c>
      <c r="C294" s="1" t="s">
        <v>14678</v>
      </c>
      <c r="D294" s="1" t="s">
        <v>14675</v>
      </c>
    </row>
    <row r="295" spans="1:4" x14ac:dyDescent="0.15">
      <c r="A295" s="1" t="s">
        <v>3954</v>
      </c>
      <c r="B295" s="1" t="s">
        <v>3955</v>
      </c>
      <c r="C295" s="1" t="s">
        <v>14690</v>
      </c>
      <c r="D295" s="1" t="s">
        <v>14687</v>
      </c>
    </row>
    <row r="296" spans="1:4" x14ac:dyDescent="0.15">
      <c r="A296" s="1" t="s">
        <v>3956</v>
      </c>
      <c r="B296" s="1" t="s">
        <v>3957</v>
      </c>
      <c r="C296" s="1" t="s">
        <v>14690</v>
      </c>
      <c r="D296" s="1" t="s">
        <v>14687</v>
      </c>
    </row>
    <row r="297" spans="1:4" x14ac:dyDescent="0.15">
      <c r="A297" s="1" t="s">
        <v>3958</v>
      </c>
      <c r="B297" s="1" t="s">
        <v>3959</v>
      </c>
      <c r="C297" s="1" t="s">
        <v>14697</v>
      </c>
      <c r="D297" s="1" t="s">
        <v>14694</v>
      </c>
    </row>
    <row r="298" spans="1:4" x14ac:dyDescent="0.15">
      <c r="A298" s="1" t="s">
        <v>3960</v>
      </c>
      <c r="B298" s="1" t="s">
        <v>3961</v>
      </c>
      <c r="C298" s="1" t="s">
        <v>14704</v>
      </c>
      <c r="D298" s="1" t="s">
        <v>14701</v>
      </c>
    </row>
    <row r="299" spans="1:4" x14ac:dyDescent="0.15">
      <c r="A299" s="1" t="s">
        <v>3962</v>
      </c>
      <c r="B299" s="1" t="s">
        <v>3963</v>
      </c>
      <c r="C299" s="1" t="s">
        <v>14711</v>
      </c>
      <c r="D299" s="1" t="s">
        <v>14708</v>
      </c>
    </row>
    <row r="300" spans="1:4" x14ac:dyDescent="0.15">
      <c r="A300" s="1" t="s">
        <v>3964</v>
      </c>
      <c r="B300" s="1" t="s">
        <v>3965</v>
      </c>
      <c r="C300" s="1" t="s">
        <v>14718</v>
      </c>
      <c r="D300" s="1" t="s">
        <v>14715</v>
      </c>
    </row>
    <row r="301" spans="1:4" x14ac:dyDescent="0.15">
      <c r="A301" s="1" t="s">
        <v>3966</v>
      </c>
      <c r="B301" s="1" t="s">
        <v>3967</v>
      </c>
      <c r="C301" s="1" t="s">
        <v>14725</v>
      </c>
      <c r="D301" s="1" t="s">
        <v>14726</v>
      </c>
    </row>
    <row r="302" spans="1:4" x14ac:dyDescent="0.15">
      <c r="A302" s="1" t="s">
        <v>3968</v>
      </c>
      <c r="B302" s="1" t="s">
        <v>3969</v>
      </c>
      <c r="C302" s="1" t="s">
        <v>14753</v>
      </c>
      <c r="D302" s="1" t="s">
        <v>14750</v>
      </c>
    </row>
    <row r="303" spans="1:4" x14ac:dyDescent="0.15">
      <c r="A303" s="1" t="s">
        <v>4164</v>
      </c>
      <c r="B303" s="1" t="s">
        <v>4165</v>
      </c>
      <c r="C303" s="1" t="s">
        <v>14764</v>
      </c>
      <c r="D303" s="1" t="s">
        <v>14765</v>
      </c>
    </row>
    <row r="304" spans="1:4" x14ac:dyDescent="0.15">
      <c r="A304" s="1" t="s">
        <v>3970</v>
      </c>
      <c r="B304" s="1" t="s">
        <v>3971</v>
      </c>
      <c r="C304" s="1" t="s">
        <v>14792</v>
      </c>
      <c r="D304" s="1" t="s">
        <v>14789</v>
      </c>
    </row>
    <row r="305" spans="1:4" x14ac:dyDescent="0.15">
      <c r="A305" s="1" t="s">
        <v>3972</v>
      </c>
      <c r="B305" s="1" t="s">
        <v>3973</v>
      </c>
      <c r="C305" s="1" t="s">
        <v>14792</v>
      </c>
      <c r="D305" s="1" t="s">
        <v>14789</v>
      </c>
    </row>
    <row r="306" spans="1:4" x14ac:dyDescent="0.15">
      <c r="A306" s="1" t="s">
        <v>3974</v>
      </c>
      <c r="B306" s="1" t="s">
        <v>3975</v>
      </c>
      <c r="C306" s="1" t="s">
        <v>14799</v>
      </c>
      <c r="D306" s="1" t="s">
        <v>14800</v>
      </c>
    </row>
    <row r="307" spans="1:4" x14ac:dyDescent="0.15">
      <c r="A307" s="1" t="s">
        <v>3976</v>
      </c>
      <c r="B307" s="1" t="s">
        <v>3977</v>
      </c>
      <c r="C307" s="1" t="s">
        <v>14815</v>
      </c>
      <c r="D307" s="1" t="s">
        <v>14812</v>
      </c>
    </row>
    <row r="308" spans="1:4" x14ac:dyDescent="0.15">
      <c r="A308" s="1" t="s">
        <v>3978</v>
      </c>
      <c r="B308" s="1" t="s">
        <v>3979</v>
      </c>
      <c r="C308" s="1" t="s">
        <v>14822</v>
      </c>
      <c r="D308" s="1" t="s">
        <v>14819</v>
      </c>
    </row>
    <row r="309" spans="1:4" x14ac:dyDescent="0.15">
      <c r="A309" s="1" t="s">
        <v>3980</v>
      </c>
      <c r="B309" s="1" t="s">
        <v>3981</v>
      </c>
      <c r="C309" s="1" t="s">
        <v>14829</v>
      </c>
      <c r="D309" s="1" t="s">
        <v>14830</v>
      </c>
    </row>
    <row r="310" spans="1:4" x14ac:dyDescent="0.15">
      <c r="A310" s="1" t="s">
        <v>3982</v>
      </c>
      <c r="B310" s="1" t="s">
        <v>3983</v>
      </c>
      <c r="C310" s="1" t="s">
        <v>14296</v>
      </c>
      <c r="D310" s="1" t="s">
        <v>14297</v>
      </c>
    </row>
    <row r="311" spans="1:4" x14ac:dyDescent="0.15">
      <c r="A311" s="1" t="s">
        <v>3984</v>
      </c>
      <c r="B311" s="1" t="s">
        <v>3985</v>
      </c>
      <c r="C311" s="1" t="s">
        <v>14380</v>
      </c>
      <c r="D311" s="1" t="s">
        <v>14381</v>
      </c>
    </row>
    <row r="312" spans="1:4" x14ac:dyDescent="0.15">
      <c r="A312" s="1" t="s">
        <v>3986</v>
      </c>
      <c r="B312" s="1" t="s">
        <v>3987</v>
      </c>
      <c r="C312" s="1" t="s">
        <v>14384</v>
      </c>
      <c r="D312" s="1" t="s">
        <v>14385</v>
      </c>
    </row>
    <row r="313" spans="1:4" x14ac:dyDescent="0.15">
      <c r="A313" s="1" t="s">
        <v>3988</v>
      </c>
      <c r="B313" s="1" t="s">
        <v>3989</v>
      </c>
      <c r="C313" s="1" t="s">
        <v>14400</v>
      </c>
      <c r="D313" s="1" t="s">
        <v>14401</v>
      </c>
    </row>
    <row r="314" spans="1:4" x14ac:dyDescent="0.15">
      <c r="A314" s="1" t="s">
        <v>3666</v>
      </c>
      <c r="B314" s="1" t="s">
        <v>3667</v>
      </c>
      <c r="C314" s="1" t="s">
        <v>14435</v>
      </c>
      <c r="D314" s="1" t="s">
        <v>14436</v>
      </c>
    </row>
    <row r="315" spans="1:4" x14ac:dyDescent="0.15">
      <c r="A315" s="1" t="s">
        <v>3668</v>
      </c>
      <c r="B315" s="1" t="s">
        <v>3669</v>
      </c>
      <c r="C315" s="1" t="s">
        <v>14447</v>
      </c>
      <c r="D315" s="1" t="s">
        <v>14448</v>
      </c>
    </row>
    <row r="316" spans="1:4" x14ac:dyDescent="0.15">
      <c r="A316" s="1" t="s">
        <v>5654</v>
      </c>
      <c r="B316" s="1" t="s">
        <v>5655</v>
      </c>
      <c r="C316" s="1" t="s">
        <v>14459</v>
      </c>
      <c r="D316" s="1" t="s">
        <v>14460</v>
      </c>
    </row>
    <row r="317" spans="1:4" x14ac:dyDescent="0.15">
      <c r="A317" s="1" t="s">
        <v>3990</v>
      </c>
      <c r="B317" s="1" t="s">
        <v>3991</v>
      </c>
      <c r="C317" s="1" t="s">
        <v>14522</v>
      </c>
      <c r="D317" s="1" t="s">
        <v>14523</v>
      </c>
    </row>
    <row r="318" spans="1:4" x14ac:dyDescent="0.15">
      <c r="A318" s="1" t="s">
        <v>3992</v>
      </c>
      <c r="B318" s="1" t="s">
        <v>3993</v>
      </c>
      <c r="C318" s="1" t="s">
        <v>13977</v>
      </c>
      <c r="D318" s="1" t="s">
        <v>13974</v>
      </c>
    </row>
    <row r="319" spans="1:4" x14ac:dyDescent="0.15">
      <c r="A319" s="1" t="s">
        <v>3994</v>
      </c>
      <c r="B319" s="1" t="s">
        <v>3995</v>
      </c>
      <c r="C319" s="1" t="s">
        <v>13977</v>
      </c>
      <c r="D319" s="1" t="s">
        <v>13974</v>
      </c>
    </row>
    <row r="320" spans="1:4" x14ac:dyDescent="0.15">
      <c r="A320" s="1" t="s">
        <v>3996</v>
      </c>
      <c r="B320" s="1" t="s">
        <v>3997</v>
      </c>
      <c r="C320" s="1" t="s">
        <v>13989</v>
      </c>
      <c r="D320" s="1" t="s">
        <v>13986</v>
      </c>
    </row>
    <row r="321" spans="1:4" x14ac:dyDescent="0.15">
      <c r="A321" s="1" t="s">
        <v>3998</v>
      </c>
      <c r="B321" s="1" t="s">
        <v>3999</v>
      </c>
      <c r="C321" s="1" t="s">
        <v>14003</v>
      </c>
      <c r="D321" s="1" t="s">
        <v>14000</v>
      </c>
    </row>
    <row r="322" spans="1:4" x14ac:dyDescent="0.15">
      <c r="A322" s="1" t="s">
        <v>4000</v>
      </c>
      <c r="B322" s="1" t="s">
        <v>4001</v>
      </c>
      <c r="C322" s="1" t="s">
        <v>14014</v>
      </c>
      <c r="D322" s="1" t="s">
        <v>14015</v>
      </c>
    </row>
    <row r="323" spans="1:4" x14ac:dyDescent="0.15">
      <c r="A323" s="1" t="s">
        <v>4002</v>
      </c>
      <c r="B323" s="1" t="s">
        <v>4003</v>
      </c>
      <c r="C323" s="1" t="s">
        <v>14014</v>
      </c>
      <c r="D323" s="1" t="s">
        <v>14015</v>
      </c>
    </row>
    <row r="324" spans="1:4" x14ac:dyDescent="0.15">
      <c r="A324" s="1" t="s">
        <v>4004</v>
      </c>
      <c r="B324" s="1" t="s">
        <v>4005</v>
      </c>
      <c r="C324" s="1" t="s">
        <v>14042</v>
      </c>
      <c r="D324" s="1" t="s">
        <v>14043</v>
      </c>
    </row>
    <row r="325" spans="1:4" x14ac:dyDescent="0.15">
      <c r="A325" s="1" t="s">
        <v>4006</v>
      </c>
      <c r="B325" s="1" t="s">
        <v>4007</v>
      </c>
      <c r="C325" s="1" t="s">
        <v>14074</v>
      </c>
      <c r="D325" s="1" t="s">
        <v>14075</v>
      </c>
    </row>
    <row r="326" spans="1:4" x14ac:dyDescent="0.15">
      <c r="A326" s="1" t="s">
        <v>4008</v>
      </c>
      <c r="B326" s="1" t="s">
        <v>4009</v>
      </c>
      <c r="C326" s="1" t="s">
        <v>14078</v>
      </c>
      <c r="D326" s="1" t="s">
        <v>14079</v>
      </c>
    </row>
    <row r="327" spans="1:4" x14ac:dyDescent="0.15">
      <c r="A327" s="1" t="s">
        <v>4010</v>
      </c>
      <c r="B327" s="1" t="s">
        <v>4011</v>
      </c>
      <c r="C327" s="1" t="s">
        <v>14094</v>
      </c>
      <c r="D327" s="1" t="s">
        <v>14095</v>
      </c>
    </row>
    <row r="328" spans="1:4" x14ac:dyDescent="0.15">
      <c r="A328" s="1" t="s">
        <v>4012</v>
      </c>
      <c r="B328" s="1" t="s">
        <v>4013</v>
      </c>
      <c r="C328" s="1" t="s">
        <v>14098</v>
      </c>
      <c r="D328" s="1" t="s">
        <v>14099</v>
      </c>
    </row>
    <row r="329" spans="1:4" x14ac:dyDescent="0.15">
      <c r="A329" s="1" t="s">
        <v>4014</v>
      </c>
      <c r="B329" s="1" t="s">
        <v>4015</v>
      </c>
      <c r="C329" s="1" t="s">
        <v>14138</v>
      </c>
      <c r="D329" s="1" t="s">
        <v>14139</v>
      </c>
    </row>
    <row r="330" spans="1:4" x14ac:dyDescent="0.15">
      <c r="A330" s="1" t="s">
        <v>4016</v>
      </c>
      <c r="B330" s="1" t="s">
        <v>4017</v>
      </c>
      <c r="C330" s="1" t="s">
        <v>14145</v>
      </c>
      <c r="D330" s="1" t="s">
        <v>14146</v>
      </c>
    </row>
    <row r="331" spans="1:4" x14ac:dyDescent="0.15">
      <c r="A331" s="1" t="s">
        <v>4018</v>
      </c>
      <c r="B331" s="1" t="s">
        <v>4019</v>
      </c>
      <c r="C331" s="1" t="s">
        <v>14149</v>
      </c>
      <c r="D331" s="1" t="s">
        <v>14150</v>
      </c>
    </row>
    <row r="332" spans="1:4" x14ac:dyDescent="0.15">
      <c r="A332" s="1" t="s">
        <v>4020</v>
      </c>
      <c r="B332" s="1" t="s">
        <v>4021</v>
      </c>
      <c r="C332" s="1" t="s">
        <v>14153</v>
      </c>
      <c r="D332" s="1" t="s">
        <v>14154</v>
      </c>
    </row>
    <row r="333" spans="1:4" x14ac:dyDescent="0.15">
      <c r="A333" s="1" t="s">
        <v>4022</v>
      </c>
      <c r="B333" s="1" t="s">
        <v>4023</v>
      </c>
      <c r="C333" s="1" t="s">
        <v>14189</v>
      </c>
      <c r="D333" s="1" t="s">
        <v>14186</v>
      </c>
    </row>
    <row r="334" spans="1:4" x14ac:dyDescent="0.15">
      <c r="A334" s="1" t="s">
        <v>4024</v>
      </c>
      <c r="B334" s="1" t="s">
        <v>4025</v>
      </c>
      <c r="C334" s="1" t="s">
        <v>14200</v>
      </c>
      <c r="D334" s="1" t="s">
        <v>14197</v>
      </c>
    </row>
    <row r="335" spans="1:4" x14ac:dyDescent="0.15">
      <c r="A335" s="1" t="s">
        <v>4026</v>
      </c>
      <c r="B335" s="1" t="s">
        <v>4027</v>
      </c>
      <c r="C335" s="1" t="s">
        <v>13604</v>
      </c>
      <c r="D335" s="1" t="s">
        <v>13605</v>
      </c>
    </row>
    <row r="336" spans="1:4" x14ac:dyDescent="0.15">
      <c r="A336" s="1" t="s">
        <v>4028</v>
      </c>
      <c r="B336" s="1" t="s">
        <v>4029</v>
      </c>
      <c r="C336" s="1" t="s">
        <v>13628</v>
      </c>
      <c r="D336" s="1" t="s">
        <v>13625</v>
      </c>
    </row>
    <row r="337" spans="1:4" x14ac:dyDescent="0.15">
      <c r="A337" s="1" t="s">
        <v>4030</v>
      </c>
      <c r="B337" s="1" t="s">
        <v>4031</v>
      </c>
      <c r="C337" s="1" t="s">
        <v>13635</v>
      </c>
      <c r="D337" s="1" t="s">
        <v>13632</v>
      </c>
    </row>
    <row r="338" spans="1:4" x14ac:dyDescent="0.15">
      <c r="A338" s="1" t="s">
        <v>4032</v>
      </c>
      <c r="B338" s="1" t="s">
        <v>4033</v>
      </c>
      <c r="C338" s="1" t="s">
        <v>13642</v>
      </c>
      <c r="D338" s="1" t="s">
        <v>13643</v>
      </c>
    </row>
    <row r="339" spans="1:4" x14ac:dyDescent="0.15">
      <c r="A339" s="1" t="s">
        <v>4034</v>
      </c>
      <c r="B339" s="1" t="s">
        <v>4035</v>
      </c>
      <c r="C339" s="1" t="s">
        <v>13646</v>
      </c>
      <c r="D339" s="1" t="s">
        <v>13647</v>
      </c>
    </row>
    <row r="340" spans="1:4" x14ac:dyDescent="0.15">
      <c r="A340" s="1" t="s">
        <v>4036</v>
      </c>
      <c r="B340" s="1" t="s">
        <v>4037</v>
      </c>
      <c r="C340" s="1" t="s">
        <v>13646</v>
      </c>
      <c r="D340" s="1" t="s">
        <v>13647</v>
      </c>
    </row>
    <row r="341" spans="1:4" x14ac:dyDescent="0.15">
      <c r="A341" s="1" t="s">
        <v>4038</v>
      </c>
      <c r="B341" s="1" t="s">
        <v>4039</v>
      </c>
      <c r="C341" s="1" t="s">
        <v>13650</v>
      </c>
      <c r="D341" s="1" t="s">
        <v>13651</v>
      </c>
    </row>
    <row r="342" spans="1:4" x14ac:dyDescent="0.15">
      <c r="A342" s="1" t="s">
        <v>4040</v>
      </c>
      <c r="B342" s="1" t="s">
        <v>4041</v>
      </c>
      <c r="C342" s="1" t="s">
        <v>13650</v>
      </c>
      <c r="D342" s="1" t="s">
        <v>13651</v>
      </c>
    </row>
    <row r="343" spans="1:4" x14ac:dyDescent="0.15">
      <c r="A343" s="1" t="s">
        <v>4042</v>
      </c>
      <c r="B343" s="1" t="s">
        <v>4043</v>
      </c>
      <c r="C343" s="1" t="s">
        <v>13666</v>
      </c>
      <c r="D343" s="1" t="s">
        <v>13667</v>
      </c>
    </row>
    <row r="344" spans="1:4" x14ac:dyDescent="0.15">
      <c r="A344" s="1" t="s">
        <v>4044</v>
      </c>
      <c r="B344" s="1" t="s">
        <v>4045</v>
      </c>
      <c r="C344" s="1" t="s">
        <v>13670</v>
      </c>
      <c r="D344" s="1" t="s">
        <v>13671</v>
      </c>
    </row>
    <row r="345" spans="1:4" x14ac:dyDescent="0.15">
      <c r="A345" s="1" t="s">
        <v>4046</v>
      </c>
      <c r="B345" s="1" t="s">
        <v>4047</v>
      </c>
      <c r="C345" s="1" t="s">
        <v>13682</v>
      </c>
      <c r="D345" s="1" t="s">
        <v>13683</v>
      </c>
    </row>
    <row r="346" spans="1:4" x14ac:dyDescent="0.15">
      <c r="A346" s="1" t="s">
        <v>4048</v>
      </c>
      <c r="B346" s="1" t="s">
        <v>4049</v>
      </c>
      <c r="C346" s="1" t="s">
        <v>13686</v>
      </c>
      <c r="D346" s="1" t="s">
        <v>13687</v>
      </c>
    </row>
    <row r="347" spans="1:4" x14ac:dyDescent="0.15">
      <c r="A347" s="1" t="s">
        <v>4050</v>
      </c>
      <c r="B347" s="1" t="s">
        <v>4051</v>
      </c>
      <c r="C347" s="1" t="s">
        <v>13702</v>
      </c>
      <c r="D347" s="1" t="s">
        <v>13703</v>
      </c>
    </row>
    <row r="348" spans="1:4" x14ac:dyDescent="0.15">
      <c r="A348" s="1" t="s">
        <v>4052</v>
      </c>
      <c r="B348" s="1" t="s">
        <v>4053</v>
      </c>
      <c r="C348" s="1" t="s">
        <v>13710</v>
      </c>
      <c r="D348" s="1" t="s">
        <v>13711</v>
      </c>
    </row>
    <row r="349" spans="1:4" x14ac:dyDescent="0.15">
      <c r="A349" s="1" t="s">
        <v>4054</v>
      </c>
      <c r="B349" s="1" t="s">
        <v>4055</v>
      </c>
      <c r="C349" s="1" t="s">
        <v>13722</v>
      </c>
      <c r="D349" s="1" t="s">
        <v>13723</v>
      </c>
    </row>
    <row r="350" spans="1:4" x14ac:dyDescent="0.15">
      <c r="A350" s="1" t="s">
        <v>4056</v>
      </c>
      <c r="B350" s="1" t="s">
        <v>4057</v>
      </c>
      <c r="C350" s="1" t="s">
        <v>13730</v>
      </c>
      <c r="D350" s="1" t="s">
        <v>13731</v>
      </c>
    </row>
    <row r="351" spans="1:4" x14ac:dyDescent="0.15">
      <c r="A351" s="1" t="s">
        <v>4058</v>
      </c>
      <c r="B351" s="1" t="s">
        <v>4059</v>
      </c>
      <c r="C351" s="1" t="s">
        <v>13742</v>
      </c>
      <c r="D351" s="1" t="s">
        <v>13743</v>
      </c>
    </row>
    <row r="352" spans="1:4" x14ac:dyDescent="0.15">
      <c r="A352" s="1" t="s">
        <v>4060</v>
      </c>
      <c r="B352" s="1" t="s">
        <v>4061</v>
      </c>
      <c r="C352" s="1" t="s">
        <v>13766</v>
      </c>
      <c r="D352" s="1" t="s">
        <v>13767</v>
      </c>
    </row>
    <row r="353" spans="1:4" x14ac:dyDescent="0.15">
      <c r="A353" s="1" t="s">
        <v>4062</v>
      </c>
      <c r="B353" s="1" t="s">
        <v>4063</v>
      </c>
      <c r="C353" s="1" t="s">
        <v>13766</v>
      </c>
      <c r="D353" s="1" t="s">
        <v>13767</v>
      </c>
    </row>
    <row r="354" spans="1:4" x14ac:dyDescent="0.15">
      <c r="A354" s="1" t="s">
        <v>4064</v>
      </c>
      <c r="B354" s="1" t="s">
        <v>4065</v>
      </c>
      <c r="C354" s="1" t="s">
        <v>13770</v>
      </c>
      <c r="D354" s="1" t="s">
        <v>13771</v>
      </c>
    </row>
    <row r="355" spans="1:4" x14ac:dyDescent="0.15">
      <c r="A355" s="1" t="s">
        <v>4066</v>
      </c>
      <c r="B355" s="1" t="s">
        <v>4067</v>
      </c>
      <c r="C355" s="1" t="s">
        <v>13774</v>
      </c>
      <c r="D355" s="1" t="s">
        <v>13775</v>
      </c>
    </row>
    <row r="356" spans="1:4" x14ac:dyDescent="0.15">
      <c r="A356" s="1" t="s">
        <v>4068</v>
      </c>
      <c r="B356" s="1" t="s">
        <v>4069</v>
      </c>
      <c r="C356" s="1" t="s">
        <v>13802</v>
      </c>
      <c r="D356" s="1" t="s">
        <v>13803</v>
      </c>
    </row>
    <row r="357" spans="1:4" x14ac:dyDescent="0.15">
      <c r="A357" s="1" t="s">
        <v>4070</v>
      </c>
      <c r="B357" s="1" t="s">
        <v>4071</v>
      </c>
      <c r="C357" s="1" t="s">
        <v>13806</v>
      </c>
      <c r="D357" s="1" t="s">
        <v>13807</v>
      </c>
    </row>
    <row r="358" spans="1:4" x14ac:dyDescent="0.15">
      <c r="A358" s="1" t="s">
        <v>4072</v>
      </c>
      <c r="B358" s="1" t="s">
        <v>4073</v>
      </c>
      <c r="C358" s="1" t="s">
        <v>13846</v>
      </c>
      <c r="D358" s="1" t="s">
        <v>13843</v>
      </c>
    </row>
    <row r="359" spans="1:4" x14ac:dyDescent="0.15">
      <c r="A359" s="1" t="s">
        <v>4074</v>
      </c>
      <c r="B359" s="1" t="s">
        <v>4075</v>
      </c>
      <c r="C359" s="1" t="s">
        <v>13293</v>
      </c>
      <c r="D359" s="1" t="s">
        <v>13914</v>
      </c>
    </row>
    <row r="360" spans="1:4" x14ac:dyDescent="0.15">
      <c r="A360" s="1" t="s">
        <v>4076</v>
      </c>
      <c r="B360" s="1" t="s">
        <v>4077</v>
      </c>
      <c r="C360" s="1" t="s">
        <v>13304</v>
      </c>
      <c r="D360" s="1" t="s">
        <v>13305</v>
      </c>
    </row>
    <row r="361" spans="1:4" x14ac:dyDescent="0.15">
      <c r="A361" s="1" t="s">
        <v>4078</v>
      </c>
      <c r="B361" s="1" t="s">
        <v>4079</v>
      </c>
      <c r="C361" s="1" t="s">
        <v>13320</v>
      </c>
      <c r="D361" s="1" t="s">
        <v>13321</v>
      </c>
    </row>
    <row r="362" spans="1:4" x14ac:dyDescent="0.15">
      <c r="A362" s="1" t="s">
        <v>4080</v>
      </c>
      <c r="B362" s="1" t="s">
        <v>4081</v>
      </c>
      <c r="C362" s="1" t="s">
        <v>13320</v>
      </c>
      <c r="D362" s="1" t="s">
        <v>13321</v>
      </c>
    </row>
    <row r="363" spans="1:4" x14ac:dyDescent="0.15">
      <c r="A363" s="1" t="s">
        <v>4082</v>
      </c>
      <c r="B363" s="1" t="s">
        <v>4083</v>
      </c>
      <c r="C363" s="1" t="s">
        <v>13368</v>
      </c>
      <c r="D363" s="1" t="s">
        <v>13369</v>
      </c>
    </row>
    <row r="364" spans="1:4" x14ac:dyDescent="0.15">
      <c r="A364" s="1" t="s">
        <v>4084</v>
      </c>
      <c r="B364" s="1" t="s">
        <v>4085</v>
      </c>
      <c r="C364" s="1" t="s">
        <v>13388</v>
      </c>
      <c r="D364" s="1" t="s">
        <v>13389</v>
      </c>
    </row>
    <row r="365" spans="1:4" x14ac:dyDescent="0.15">
      <c r="A365" s="1" t="s">
        <v>4086</v>
      </c>
      <c r="B365" s="1" t="s">
        <v>4087</v>
      </c>
      <c r="C365" s="1" t="s">
        <v>13400</v>
      </c>
      <c r="D365" s="1" t="s">
        <v>13401</v>
      </c>
    </row>
    <row r="366" spans="1:4" x14ac:dyDescent="0.15">
      <c r="A366" s="1" t="s">
        <v>4088</v>
      </c>
      <c r="B366" s="1" t="s">
        <v>4089</v>
      </c>
      <c r="C366" s="1" t="s">
        <v>13420</v>
      </c>
      <c r="D366" s="1" t="s">
        <v>13417</v>
      </c>
    </row>
    <row r="367" spans="1:4" x14ac:dyDescent="0.15">
      <c r="A367" s="1" t="s">
        <v>4090</v>
      </c>
      <c r="B367" s="1" t="s">
        <v>4091</v>
      </c>
      <c r="C367" s="1" t="s">
        <v>13427</v>
      </c>
      <c r="D367" s="1" t="s">
        <v>13428</v>
      </c>
    </row>
    <row r="368" spans="1:4" x14ac:dyDescent="0.15">
      <c r="A368" s="1" t="s">
        <v>4094</v>
      </c>
      <c r="B368" s="1" t="s">
        <v>4095</v>
      </c>
      <c r="C368" s="1" t="s">
        <v>13447</v>
      </c>
      <c r="D368" s="1" t="s">
        <v>13444</v>
      </c>
    </row>
    <row r="369" spans="1:4" x14ac:dyDescent="0.15">
      <c r="A369" s="1" t="s">
        <v>4096</v>
      </c>
      <c r="B369" s="1" t="s">
        <v>4097</v>
      </c>
      <c r="C369" s="1" t="s">
        <v>13454</v>
      </c>
      <c r="D369" s="1" t="s">
        <v>13455</v>
      </c>
    </row>
    <row r="370" spans="1:4" x14ac:dyDescent="0.15">
      <c r="A370" s="1" t="s">
        <v>4098</v>
      </c>
      <c r="B370" s="1" t="s">
        <v>4099</v>
      </c>
      <c r="C370" s="1" t="s">
        <v>13510</v>
      </c>
      <c r="D370" s="1" t="s">
        <v>13511</v>
      </c>
    </row>
    <row r="371" spans="1:4" x14ac:dyDescent="0.15">
      <c r="A371" s="1" t="s">
        <v>4100</v>
      </c>
      <c r="B371" s="1" t="s">
        <v>4101</v>
      </c>
      <c r="C371" s="1" t="s">
        <v>13518</v>
      </c>
      <c r="D371" s="1" t="s">
        <v>13519</v>
      </c>
    </row>
    <row r="372" spans="1:4" x14ac:dyDescent="0.15">
      <c r="A372" s="1" t="s">
        <v>4102</v>
      </c>
      <c r="B372" s="1" t="s">
        <v>4103</v>
      </c>
      <c r="C372" s="1" t="s">
        <v>13538</v>
      </c>
      <c r="D372" s="1" t="s">
        <v>13535</v>
      </c>
    </row>
    <row r="373" spans="1:4" x14ac:dyDescent="0.15">
      <c r="A373" s="1" t="s">
        <v>4104</v>
      </c>
      <c r="B373" s="1" t="s">
        <v>4105</v>
      </c>
      <c r="C373" s="1" t="s">
        <v>13545</v>
      </c>
      <c r="D373" s="1" t="s">
        <v>13542</v>
      </c>
    </row>
    <row r="374" spans="1:4" x14ac:dyDescent="0.15">
      <c r="A374" s="1" t="s">
        <v>4106</v>
      </c>
      <c r="B374" s="1" t="s">
        <v>4107</v>
      </c>
      <c r="C374" s="1" t="s">
        <v>13568</v>
      </c>
      <c r="D374" s="1" t="s">
        <v>13569</v>
      </c>
    </row>
    <row r="375" spans="1:4" x14ac:dyDescent="0.15">
      <c r="A375" s="1" t="s">
        <v>4108</v>
      </c>
      <c r="B375" s="1" t="s">
        <v>4109</v>
      </c>
      <c r="C375" s="1" t="s">
        <v>12709</v>
      </c>
      <c r="D375" s="1" t="s">
        <v>12710</v>
      </c>
    </row>
    <row r="376" spans="1:4" x14ac:dyDescent="0.15">
      <c r="A376" s="1" t="s">
        <v>4110</v>
      </c>
      <c r="B376" s="1" t="s">
        <v>4111</v>
      </c>
      <c r="C376" s="1" t="s">
        <v>12709</v>
      </c>
      <c r="D376" s="1" t="s">
        <v>12710</v>
      </c>
    </row>
    <row r="377" spans="1:4" x14ac:dyDescent="0.15">
      <c r="A377" s="1" t="s">
        <v>4112</v>
      </c>
      <c r="B377" s="1" t="s">
        <v>4113</v>
      </c>
      <c r="C377" s="1" t="s">
        <v>12709</v>
      </c>
      <c r="D377" s="1" t="s">
        <v>12710</v>
      </c>
    </row>
    <row r="378" spans="1:4" x14ac:dyDescent="0.15">
      <c r="A378" s="1" t="s">
        <v>4114</v>
      </c>
      <c r="B378" s="1" t="s">
        <v>4115</v>
      </c>
      <c r="C378" s="1" t="s">
        <v>12709</v>
      </c>
      <c r="D378" s="1" t="s">
        <v>12710</v>
      </c>
    </row>
    <row r="379" spans="1:4" x14ac:dyDescent="0.15">
      <c r="A379" s="1" t="s">
        <v>4116</v>
      </c>
      <c r="B379" s="1" t="s">
        <v>4117</v>
      </c>
      <c r="C379" s="1" t="s">
        <v>12722</v>
      </c>
      <c r="D379" s="1" t="s">
        <v>12723</v>
      </c>
    </row>
    <row r="380" spans="1:4" x14ac:dyDescent="0.15">
      <c r="A380" s="1" t="s">
        <v>4118</v>
      </c>
      <c r="B380" s="1" t="s">
        <v>4119</v>
      </c>
      <c r="C380" s="1" t="s">
        <v>12722</v>
      </c>
      <c r="D380" s="1" t="s">
        <v>12723</v>
      </c>
    </row>
    <row r="381" spans="1:4" x14ac:dyDescent="0.15">
      <c r="A381" s="1" t="s">
        <v>4120</v>
      </c>
      <c r="B381" s="1" t="s">
        <v>4121</v>
      </c>
      <c r="C381" s="1" t="s">
        <v>12730</v>
      </c>
      <c r="D381" s="1" t="s">
        <v>12731</v>
      </c>
    </row>
    <row r="382" spans="1:4" x14ac:dyDescent="0.15">
      <c r="A382" s="1" t="s">
        <v>4122</v>
      </c>
      <c r="B382" s="1" t="s">
        <v>4123</v>
      </c>
      <c r="C382" s="1" t="s">
        <v>12730</v>
      </c>
      <c r="D382" s="1" t="s">
        <v>12731</v>
      </c>
    </row>
    <row r="383" spans="1:4" x14ac:dyDescent="0.15">
      <c r="A383" s="1" t="s">
        <v>4124</v>
      </c>
      <c r="B383" s="1" t="s">
        <v>4125</v>
      </c>
      <c r="C383" s="1" t="s">
        <v>12762</v>
      </c>
      <c r="D383" s="1" t="s">
        <v>12759</v>
      </c>
    </row>
    <row r="384" spans="1:4" x14ac:dyDescent="0.15">
      <c r="A384" s="1" t="s">
        <v>4126</v>
      </c>
      <c r="B384" s="1" t="s">
        <v>4127</v>
      </c>
      <c r="C384" s="1" t="s">
        <v>12765</v>
      </c>
      <c r="D384" s="1" t="s">
        <v>12766</v>
      </c>
    </row>
    <row r="385" spans="1:4" x14ac:dyDescent="0.15">
      <c r="A385" s="1" t="s">
        <v>4128</v>
      </c>
      <c r="B385" s="1" t="s">
        <v>4129</v>
      </c>
      <c r="C385" s="1" t="s">
        <v>12777</v>
      </c>
      <c r="D385" s="1" t="s">
        <v>12778</v>
      </c>
    </row>
    <row r="386" spans="1:4" x14ac:dyDescent="0.15">
      <c r="A386" s="1" t="s">
        <v>4130</v>
      </c>
      <c r="B386" s="1" t="s">
        <v>4131</v>
      </c>
      <c r="C386" s="1" t="s">
        <v>12777</v>
      </c>
      <c r="D386" s="1" t="s">
        <v>12778</v>
      </c>
    </row>
    <row r="387" spans="1:4" x14ac:dyDescent="0.15">
      <c r="A387" s="1" t="s">
        <v>4132</v>
      </c>
      <c r="B387" s="1" t="s">
        <v>4133</v>
      </c>
      <c r="C387" s="1" t="s">
        <v>12801</v>
      </c>
      <c r="D387" s="1" t="s">
        <v>12802</v>
      </c>
    </row>
    <row r="388" spans="1:4" x14ac:dyDescent="0.15">
      <c r="A388" s="1" t="s">
        <v>4134</v>
      </c>
      <c r="B388" s="1" t="s">
        <v>4135</v>
      </c>
      <c r="C388" s="1" t="s">
        <v>12824</v>
      </c>
      <c r="D388" s="1" t="s">
        <v>12821</v>
      </c>
    </row>
    <row r="389" spans="1:4" x14ac:dyDescent="0.15">
      <c r="A389" s="1" t="s">
        <v>4136</v>
      </c>
      <c r="B389" s="1" t="s">
        <v>4137</v>
      </c>
      <c r="C389" s="1" t="s">
        <v>12847</v>
      </c>
      <c r="D389" s="1" t="s">
        <v>12848</v>
      </c>
    </row>
    <row r="390" spans="1:4" x14ac:dyDescent="0.15">
      <c r="A390" s="1" t="s">
        <v>4138</v>
      </c>
      <c r="B390" s="1" t="s">
        <v>4139</v>
      </c>
      <c r="C390" s="1" t="s">
        <v>12855</v>
      </c>
      <c r="D390" s="1" t="s">
        <v>12856</v>
      </c>
    </row>
    <row r="391" spans="1:4" x14ac:dyDescent="0.15">
      <c r="A391" s="1" t="s">
        <v>4156</v>
      </c>
      <c r="B391" s="1" t="s">
        <v>4157</v>
      </c>
      <c r="C391" s="1" t="s">
        <v>12863</v>
      </c>
      <c r="D391" s="1" t="s">
        <v>12864</v>
      </c>
    </row>
    <row r="392" spans="1:4" x14ac:dyDescent="0.15">
      <c r="A392" s="1" t="s">
        <v>4140</v>
      </c>
      <c r="B392" s="1" t="s">
        <v>4141</v>
      </c>
      <c r="C392" s="1" t="s">
        <v>12871</v>
      </c>
      <c r="D392" s="1" t="s">
        <v>12872</v>
      </c>
    </row>
    <row r="393" spans="1:4" x14ac:dyDescent="0.15">
      <c r="A393" s="1" t="s">
        <v>4142</v>
      </c>
      <c r="B393" s="1" t="s">
        <v>4143</v>
      </c>
      <c r="C393" s="1" t="s">
        <v>12891</v>
      </c>
      <c r="D393" s="1" t="s">
        <v>12892</v>
      </c>
    </row>
    <row r="394" spans="1:4" x14ac:dyDescent="0.15">
      <c r="A394" s="1" t="s">
        <v>4144</v>
      </c>
      <c r="B394" s="1" t="s">
        <v>4145</v>
      </c>
      <c r="C394" s="1" t="s">
        <v>12891</v>
      </c>
      <c r="D394" s="1" t="s">
        <v>12892</v>
      </c>
    </row>
    <row r="395" spans="1:4" x14ac:dyDescent="0.15">
      <c r="A395" s="1" t="s">
        <v>4146</v>
      </c>
      <c r="B395" s="1" t="s">
        <v>4147</v>
      </c>
      <c r="C395" s="1" t="s">
        <v>12907</v>
      </c>
      <c r="D395" s="1" t="s">
        <v>12904</v>
      </c>
    </row>
    <row r="396" spans="1:4" x14ac:dyDescent="0.15">
      <c r="A396" s="1" t="s">
        <v>4148</v>
      </c>
      <c r="B396" s="1" t="s">
        <v>4149</v>
      </c>
      <c r="C396" s="1" t="s">
        <v>12910</v>
      </c>
      <c r="D396" s="1" t="s">
        <v>12911</v>
      </c>
    </row>
    <row r="397" spans="1:4" x14ac:dyDescent="0.15">
      <c r="A397" s="1" t="s">
        <v>4150</v>
      </c>
      <c r="B397" s="1" t="s">
        <v>4151</v>
      </c>
      <c r="C397" s="1" t="s">
        <v>12926</v>
      </c>
      <c r="D397" s="1" t="s">
        <v>12923</v>
      </c>
    </row>
    <row r="398" spans="1:4" x14ac:dyDescent="0.15">
      <c r="A398" s="1" t="s">
        <v>5670</v>
      </c>
      <c r="B398" s="1" t="s">
        <v>5671</v>
      </c>
      <c r="C398" s="1" t="s">
        <v>12949</v>
      </c>
      <c r="D398" s="1" t="s">
        <v>12950</v>
      </c>
    </row>
    <row r="399" spans="1:4" x14ac:dyDescent="0.15">
      <c r="A399" s="1" t="s">
        <v>4152</v>
      </c>
      <c r="B399" s="1" t="s">
        <v>4153</v>
      </c>
      <c r="C399" s="1" t="s">
        <v>11781</v>
      </c>
      <c r="D399" s="1" t="s">
        <v>11782</v>
      </c>
    </row>
    <row r="400" spans="1:4" x14ac:dyDescent="0.15">
      <c r="A400" s="1" t="s">
        <v>4154</v>
      </c>
      <c r="B400" s="1" t="s">
        <v>4155</v>
      </c>
      <c r="C400" s="1" t="s">
        <v>11813</v>
      </c>
      <c r="D400" s="1" t="s">
        <v>11810</v>
      </c>
    </row>
    <row r="401" spans="1:4" x14ac:dyDescent="0.15">
      <c r="A401" s="1" t="s">
        <v>4160</v>
      </c>
      <c r="B401" s="1" t="s">
        <v>4161</v>
      </c>
      <c r="C401" s="1" t="s">
        <v>11827</v>
      </c>
      <c r="D401" s="1" t="s">
        <v>11824</v>
      </c>
    </row>
    <row r="402" spans="1:4" x14ac:dyDescent="0.15">
      <c r="A402" s="1" t="s">
        <v>4162</v>
      </c>
      <c r="B402" s="1" t="s">
        <v>4163</v>
      </c>
      <c r="C402" s="1" t="s">
        <v>11827</v>
      </c>
      <c r="D402" s="1" t="s">
        <v>11824</v>
      </c>
    </row>
  </sheetData>
  <phoneticPr fontId="0" type="noConversion"/>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963"/>
  <sheetViews>
    <sheetView workbookViewId="0">
      <pane ySplit="1" topLeftCell="A2" activePane="bottomLeft" state="frozenSplit"/>
      <selection activeCell="B18" sqref="B18"/>
      <selection pane="bottomLeft" activeCell="B9" sqref="B9"/>
    </sheetView>
  </sheetViews>
  <sheetFormatPr baseColWidth="10" defaultRowHeight="13" x14ac:dyDescent="0.15"/>
  <cols>
    <col min="1" max="1" width="8.83203125" customWidth="1"/>
    <col min="2" max="2" width="22.33203125" customWidth="1"/>
    <col min="3" max="3" width="8.83203125" customWidth="1"/>
    <col min="4" max="4" width="35.33203125" customWidth="1"/>
    <col min="5" max="5" width="8.83203125" customWidth="1"/>
    <col min="6" max="6" width="27.83203125" customWidth="1"/>
    <col min="7" max="7" width="17.6640625" customWidth="1"/>
    <col min="8" max="8" width="46.5" customWidth="1"/>
    <col min="9" max="9" width="8.83203125" customWidth="1"/>
    <col min="10" max="10" width="29" customWidth="1"/>
    <col min="11" max="11" width="8.83203125" customWidth="1"/>
    <col min="12" max="12" width="29.33203125" customWidth="1"/>
    <col min="13" max="256" width="8.83203125" customWidth="1"/>
  </cols>
  <sheetData>
    <row r="1" spans="1:14" s="3" customFormat="1" x14ac:dyDescent="0.15">
      <c r="A1" s="2" t="s">
        <v>4176</v>
      </c>
      <c r="B1" s="2" t="s">
        <v>4177</v>
      </c>
      <c r="C1" s="2" t="s">
        <v>4178</v>
      </c>
      <c r="D1" s="2" t="s">
        <v>4179</v>
      </c>
      <c r="E1" s="2" t="s">
        <v>4180</v>
      </c>
      <c r="F1" s="2" t="s">
        <v>4181</v>
      </c>
      <c r="G1" s="2" t="s">
        <v>4182</v>
      </c>
      <c r="H1" s="2" t="s">
        <v>4183</v>
      </c>
      <c r="I1" s="2" t="s">
        <v>4184</v>
      </c>
      <c r="J1" s="2" t="s">
        <v>4185</v>
      </c>
      <c r="K1" s="2" t="s">
        <v>4186</v>
      </c>
      <c r="L1" s="2" t="s">
        <v>4187</v>
      </c>
      <c r="M1" s="2" t="s">
        <v>4188</v>
      </c>
      <c r="N1" s="2" t="s">
        <v>4189</v>
      </c>
    </row>
    <row r="2" spans="1:14" x14ac:dyDescent="0.15">
      <c r="A2" s="1">
        <v>1</v>
      </c>
      <c r="B2" s="1" t="s">
        <v>4190</v>
      </c>
      <c r="C2" s="1" t="s">
        <v>4191</v>
      </c>
      <c r="D2" s="1" t="s">
        <v>4190</v>
      </c>
      <c r="E2" s="1" t="s">
        <v>4191</v>
      </c>
      <c r="F2" s="1" t="s">
        <v>4190</v>
      </c>
      <c r="G2" s="1" t="s">
        <v>4192</v>
      </c>
      <c r="H2" s="1" t="s">
        <v>4190</v>
      </c>
      <c r="I2" s="1" t="s">
        <v>14657</v>
      </c>
      <c r="J2" s="1" t="s">
        <v>14654</v>
      </c>
      <c r="K2" s="1">
        <v>2</v>
      </c>
      <c r="L2" s="1" t="s">
        <v>4193</v>
      </c>
      <c r="M2" s="1">
        <v>4</v>
      </c>
      <c r="N2" s="1" t="s">
        <v>4194</v>
      </c>
    </row>
    <row r="3" spans="1:14" x14ac:dyDescent="0.15">
      <c r="A3" s="1">
        <v>1</v>
      </c>
      <c r="B3" s="1" t="s">
        <v>4190</v>
      </c>
      <c r="C3" s="1" t="s">
        <v>4191</v>
      </c>
      <c r="D3" s="1" t="s">
        <v>4190</v>
      </c>
      <c r="E3" s="1" t="s">
        <v>4191</v>
      </c>
      <c r="F3" s="1" t="s">
        <v>4190</v>
      </c>
      <c r="G3" s="1" t="s">
        <v>4192</v>
      </c>
      <c r="H3" s="1" t="s">
        <v>4190</v>
      </c>
      <c r="I3" s="1" t="s">
        <v>14664</v>
      </c>
      <c r="J3" s="1" t="s">
        <v>14661</v>
      </c>
      <c r="K3" s="1">
        <v>2</v>
      </c>
      <c r="L3" s="1" t="s">
        <v>4193</v>
      </c>
      <c r="M3" s="1">
        <v>4</v>
      </c>
      <c r="N3" s="1" t="s">
        <v>4194</v>
      </c>
    </row>
    <row r="4" spans="1:14" x14ac:dyDescent="0.15">
      <c r="A4" s="1">
        <v>1</v>
      </c>
      <c r="B4" s="1" t="s">
        <v>4190</v>
      </c>
      <c r="C4" s="1" t="s">
        <v>4191</v>
      </c>
      <c r="D4" s="1" t="s">
        <v>4190</v>
      </c>
      <c r="E4" s="1" t="s">
        <v>4191</v>
      </c>
      <c r="F4" s="1" t="s">
        <v>4190</v>
      </c>
      <c r="G4" s="1" t="s">
        <v>4192</v>
      </c>
      <c r="H4" s="1" t="s">
        <v>4190</v>
      </c>
      <c r="I4" s="1" t="s">
        <v>14678</v>
      </c>
      <c r="J4" s="1" t="s">
        <v>14675</v>
      </c>
      <c r="K4" s="1">
        <v>2</v>
      </c>
      <c r="L4" s="1" t="s">
        <v>4193</v>
      </c>
      <c r="M4" s="1">
        <v>4</v>
      </c>
      <c r="N4" s="1" t="s">
        <v>4194</v>
      </c>
    </row>
    <row r="5" spans="1:14" x14ac:dyDescent="0.15">
      <c r="A5" s="1">
        <v>1</v>
      </c>
      <c r="B5" s="1" t="s">
        <v>4190</v>
      </c>
      <c r="C5" s="1" t="s">
        <v>4191</v>
      </c>
      <c r="D5" s="1" t="s">
        <v>4190</v>
      </c>
      <c r="E5" s="1" t="s">
        <v>4191</v>
      </c>
      <c r="F5" s="1" t="s">
        <v>4190</v>
      </c>
      <c r="G5" s="1" t="s">
        <v>4192</v>
      </c>
      <c r="H5" s="1" t="s">
        <v>4190</v>
      </c>
      <c r="I5" s="1" t="s">
        <v>12722</v>
      </c>
      <c r="J5" s="1" t="s">
        <v>5225</v>
      </c>
      <c r="K5" s="1">
        <v>2</v>
      </c>
      <c r="L5" s="1" t="s">
        <v>4193</v>
      </c>
      <c r="M5" s="1">
        <v>4</v>
      </c>
      <c r="N5" s="1" t="s">
        <v>4194</v>
      </c>
    </row>
    <row r="6" spans="1:14" x14ac:dyDescent="0.15">
      <c r="A6" s="1">
        <v>1</v>
      </c>
      <c r="B6" s="1" t="s">
        <v>4190</v>
      </c>
      <c r="C6" s="1" t="s">
        <v>4191</v>
      </c>
      <c r="D6" s="1" t="s">
        <v>4190</v>
      </c>
      <c r="E6" s="1" t="s">
        <v>4191</v>
      </c>
      <c r="F6" s="1" t="s">
        <v>4190</v>
      </c>
      <c r="G6" s="1" t="s">
        <v>4192</v>
      </c>
      <c r="H6" s="1" t="s">
        <v>4190</v>
      </c>
      <c r="I6" s="1" t="s">
        <v>12730</v>
      </c>
      <c r="J6" s="1" t="s">
        <v>4195</v>
      </c>
      <c r="K6" s="1">
        <v>2</v>
      </c>
      <c r="L6" s="1" t="s">
        <v>4193</v>
      </c>
      <c r="M6" s="1">
        <v>4</v>
      </c>
      <c r="N6" s="1" t="s">
        <v>4194</v>
      </c>
    </row>
    <row r="7" spans="1:14" x14ac:dyDescent="0.15">
      <c r="A7" s="1">
        <v>1</v>
      </c>
      <c r="B7" s="1" t="s">
        <v>4190</v>
      </c>
      <c r="C7" s="1" t="s">
        <v>4191</v>
      </c>
      <c r="D7" s="1" t="s">
        <v>4190</v>
      </c>
      <c r="E7" s="1" t="s">
        <v>4191</v>
      </c>
      <c r="F7" s="1" t="s">
        <v>4190</v>
      </c>
      <c r="G7" s="1" t="s">
        <v>4192</v>
      </c>
      <c r="H7" s="1" t="s">
        <v>4190</v>
      </c>
      <c r="I7" s="1" t="s">
        <v>7861</v>
      </c>
      <c r="J7" s="1" t="s">
        <v>4196</v>
      </c>
      <c r="K7" s="1">
        <v>2</v>
      </c>
      <c r="L7" s="1" t="s">
        <v>4193</v>
      </c>
      <c r="M7" s="1">
        <v>4</v>
      </c>
      <c r="N7" s="1" t="s">
        <v>4194</v>
      </c>
    </row>
    <row r="8" spans="1:14" x14ac:dyDescent="0.15">
      <c r="A8" s="1">
        <v>1</v>
      </c>
      <c r="B8" s="1" t="s">
        <v>4190</v>
      </c>
      <c r="C8" s="1" t="s">
        <v>4191</v>
      </c>
      <c r="D8" s="1" t="s">
        <v>4190</v>
      </c>
      <c r="E8" s="1" t="s">
        <v>4191</v>
      </c>
      <c r="F8" s="1" t="s">
        <v>4190</v>
      </c>
      <c r="G8" s="1" t="s">
        <v>4192</v>
      </c>
      <c r="H8" s="1" t="s">
        <v>4190</v>
      </c>
      <c r="I8" s="1" t="s">
        <v>12831</v>
      </c>
      <c r="J8" s="1" t="s">
        <v>5271</v>
      </c>
      <c r="K8" s="1">
        <v>2</v>
      </c>
      <c r="L8" s="1" t="s">
        <v>4193</v>
      </c>
      <c r="M8" s="1">
        <v>4</v>
      </c>
      <c r="N8" s="1" t="s">
        <v>4194</v>
      </c>
    </row>
    <row r="9" spans="1:14" x14ac:dyDescent="0.15">
      <c r="A9" s="1">
        <v>1</v>
      </c>
      <c r="B9" s="1" t="s">
        <v>4190</v>
      </c>
      <c r="C9" s="1" t="s">
        <v>4191</v>
      </c>
      <c r="D9" s="1" t="s">
        <v>4190</v>
      </c>
      <c r="E9" s="1" t="s">
        <v>4191</v>
      </c>
      <c r="F9" s="1" t="s">
        <v>4190</v>
      </c>
      <c r="G9" s="1" t="s">
        <v>4192</v>
      </c>
      <c r="H9" s="1" t="s">
        <v>4190</v>
      </c>
      <c r="I9" s="1" t="s">
        <v>12926</v>
      </c>
      <c r="J9" s="1" t="s">
        <v>5298</v>
      </c>
      <c r="K9" s="1">
        <v>2</v>
      </c>
      <c r="L9" s="1" t="s">
        <v>4193</v>
      </c>
      <c r="M9" s="1">
        <v>4</v>
      </c>
      <c r="N9" s="1" t="s">
        <v>4194</v>
      </c>
    </row>
    <row r="10" spans="1:14" x14ac:dyDescent="0.15">
      <c r="A10" s="1">
        <v>1</v>
      </c>
      <c r="B10" s="1" t="s">
        <v>4190</v>
      </c>
      <c r="C10" s="1" t="s">
        <v>4191</v>
      </c>
      <c r="D10" s="1" t="s">
        <v>4190</v>
      </c>
      <c r="E10" s="1" t="s">
        <v>4191</v>
      </c>
      <c r="F10" s="1" t="s">
        <v>4190</v>
      </c>
      <c r="G10" s="1" t="s">
        <v>4197</v>
      </c>
      <c r="H10" s="1" t="s">
        <v>4198</v>
      </c>
      <c r="I10" s="1" t="s">
        <v>14657</v>
      </c>
      <c r="J10" s="1" t="s">
        <v>14654</v>
      </c>
      <c r="K10" s="1">
        <v>9</v>
      </c>
      <c r="L10" s="1" t="s">
        <v>4199</v>
      </c>
      <c r="M10" s="1">
        <v>7</v>
      </c>
      <c r="N10" s="1" t="s">
        <v>4200</v>
      </c>
    </row>
    <row r="11" spans="1:14" x14ac:dyDescent="0.15">
      <c r="A11" s="1">
        <v>1</v>
      </c>
      <c r="B11" s="1" t="s">
        <v>4190</v>
      </c>
      <c r="C11" s="1" t="s">
        <v>4191</v>
      </c>
      <c r="D11" s="1" t="s">
        <v>4190</v>
      </c>
      <c r="E11" s="1" t="s">
        <v>4191</v>
      </c>
      <c r="F11" s="1" t="s">
        <v>4190</v>
      </c>
      <c r="G11" s="1" t="s">
        <v>4197</v>
      </c>
      <c r="H11" s="1" t="s">
        <v>4198</v>
      </c>
      <c r="I11" s="1" t="s">
        <v>14664</v>
      </c>
      <c r="J11" s="1" t="s">
        <v>14661</v>
      </c>
      <c r="K11" s="1">
        <v>9</v>
      </c>
      <c r="L11" s="1" t="s">
        <v>4199</v>
      </c>
      <c r="M11" s="1">
        <v>7</v>
      </c>
      <c r="N11" s="1" t="s">
        <v>4200</v>
      </c>
    </row>
    <row r="12" spans="1:14" x14ac:dyDescent="0.15">
      <c r="A12" s="1">
        <v>1</v>
      </c>
      <c r="B12" s="1" t="s">
        <v>4190</v>
      </c>
      <c r="C12" s="1" t="s">
        <v>4191</v>
      </c>
      <c r="D12" s="1" t="s">
        <v>4190</v>
      </c>
      <c r="E12" s="1" t="s">
        <v>4191</v>
      </c>
      <c r="F12" s="1" t="s">
        <v>4190</v>
      </c>
      <c r="G12" s="1" t="s">
        <v>4197</v>
      </c>
      <c r="H12" s="1" t="s">
        <v>4198</v>
      </c>
      <c r="I12" s="1" t="s">
        <v>14678</v>
      </c>
      <c r="J12" s="1" t="s">
        <v>14675</v>
      </c>
      <c r="K12" s="1">
        <v>9</v>
      </c>
      <c r="L12" s="1" t="s">
        <v>4199</v>
      </c>
      <c r="M12" s="1">
        <v>7</v>
      </c>
      <c r="N12" s="1" t="s">
        <v>4200</v>
      </c>
    </row>
    <row r="13" spans="1:14" x14ac:dyDescent="0.15">
      <c r="A13" s="1">
        <v>1</v>
      </c>
      <c r="B13" s="1" t="s">
        <v>4190</v>
      </c>
      <c r="C13" s="1" t="s">
        <v>4191</v>
      </c>
      <c r="D13" s="1" t="s">
        <v>4190</v>
      </c>
      <c r="E13" s="1" t="s">
        <v>4191</v>
      </c>
      <c r="F13" s="1" t="s">
        <v>4190</v>
      </c>
      <c r="G13" s="1" t="s">
        <v>4201</v>
      </c>
      <c r="H13" s="1" t="s">
        <v>4202</v>
      </c>
      <c r="I13" s="1" t="s">
        <v>12730</v>
      </c>
      <c r="J13" s="1" t="s">
        <v>4195</v>
      </c>
      <c r="K13" s="1">
        <v>2</v>
      </c>
      <c r="L13" s="1" t="s">
        <v>4193</v>
      </c>
      <c r="M13" s="1">
        <v>4</v>
      </c>
      <c r="N13" s="1" t="s">
        <v>4194</v>
      </c>
    </row>
    <row r="14" spans="1:14" x14ac:dyDescent="0.15">
      <c r="A14" s="1">
        <v>1</v>
      </c>
      <c r="B14" s="1" t="s">
        <v>4190</v>
      </c>
      <c r="C14" s="1" t="s">
        <v>4191</v>
      </c>
      <c r="D14" s="1" t="s">
        <v>4190</v>
      </c>
      <c r="E14" s="1" t="s">
        <v>4191</v>
      </c>
      <c r="F14" s="1" t="s">
        <v>4190</v>
      </c>
      <c r="G14" s="1" t="s">
        <v>4201</v>
      </c>
      <c r="H14" s="1" t="s">
        <v>4202</v>
      </c>
      <c r="I14" s="1" t="s">
        <v>12730</v>
      </c>
      <c r="J14" s="1" t="s">
        <v>4196</v>
      </c>
      <c r="K14" s="1">
        <v>2</v>
      </c>
      <c r="L14" s="1" t="s">
        <v>4193</v>
      </c>
      <c r="M14" s="1">
        <v>4</v>
      </c>
      <c r="N14" s="1" t="s">
        <v>4194</v>
      </c>
    </row>
    <row r="15" spans="1:14" x14ac:dyDescent="0.15">
      <c r="A15" s="1">
        <v>1</v>
      </c>
      <c r="B15" s="1" t="s">
        <v>4190</v>
      </c>
      <c r="C15" s="1" t="s">
        <v>4191</v>
      </c>
      <c r="D15" s="1" t="s">
        <v>4190</v>
      </c>
      <c r="E15" s="1" t="s">
        <v>4191</v>
      </c>
      <c r="F15" s="1" t="s">
        <v>4190</v>
      </c>
      <c r="G15" s="1" t="s">
        <v>4201</v>
      </c>
      <c r="H15" s="1" t="s">
        <v>4202</v>
      </c>
      <c r="I15" s="1" t="s">
        <v>12831</v>
      </c>
      <c r="J15" s="1" t="s">
        <v>5271</v>
      </c>
      <c r="K15" s="1">
        <v>2</v>
      </c>
      <c r="L15" s="1" t="s">
        <v>4193</v>
      </c>
      <c r="M15" s="1">
        <v>4</v>
      </c>
      <c r="N15" s="1" t="s">
        <v>4194</v>
      </c>
    </row>
    <row r="16" spans="1:14" x14ac:dyDescent="0.15">
      <c r="A16" s="1">
        <v>1</v>
      </c>
      <c r="B16" s="1" t="s">
        <v>4190</v>
      </c>
      <c r="C16" s="1" t="s">
        <v>4191</v>
      </c>
      <c r="D16" s="1" t="s">
        <v>4190</v>
      </c>
      <c r="E16" s="1" t="s">
        <v>4191</v>
      </c>
      <c r="F16" s="1" t="s">
        <v>4190</v>
      </c>
      <c r="G16" s="1" t="s">
        <v>4201</v>
      </c>
      <c r="H16" s="1" t="s">
        <v>4202</v>
      </c>
      <c r="I16" s="1" t="s">
        <v>12926</v>
      </c>
      <c r="J16" s="1" t="s">
        <v>5298</v>
      </c>
      <c r="K16" s="1">
        <v>2</v>
      </c>
      <c r="L16" s="1" t="s">
        <v>4193</v>
      </c>
      <c r="M16" s="1">
        <v>4</v>
      </c>
      <c r="N16" s="1" t="s">
        <v>4194</v>
      </c>
    </row>
    <row r="17" spans="1:14" x14ac:dyDescent="0.15">
      <c r="A17" s="1">
        <v>12</v>
      </c>
      <c r="B17" s="1" t="s">
        <v>4203</v>
      </c>
      <c r="C17" s="1" t="s">
        <v>4204</v>
      </c>
      <c r="D17" s="1" t="s">
        <v>4203</v>
      </c>
      <c r="E17" s="1" t="s">
        <v>4204</v>
      </c>
      <c r="F17" s="1" t="s">
        <v>4203</v>
      </c>
      <c r="G17" s="1" t="s">
        <v>4205</v>
      </c>
      <c r="H17" s="1" t="s">
        <v>4203</v>
      </c>
      <c r="I17" s="1" t="s">
        <v>12867</v>
      </c>
      <c r="J17" s="1" t="s">
        <v>12868</v>
      </c>
      <c r="K17" s="1">
        <v>5</v>
      </c>
      <c r="L17" s="1" t="s">
        <v>4206</v>
      </c>
      <c r="M17" s="1">
        <v>6</v>
      </c>
      <c r="N17" s="1" t="s">
        <v>4207</v>
      </c>
    </row>
    <row r="18" spans="1:14" x14ac:dyDescent="0.15">
      <c r="A18" s="1">
        <v>12</v>
      </c>
      <c r="B18" s="1" t="s">
        <v>4203</v>
      </c>
      <c r="C18" s="1" t="s">
        <v>4204</v>
      </c>
      <c r="D18" s="1" t="s">
        <v>4203</v>
      </c>
      <c r="E18" s="1" t="s">
        <v>4204</v>
      </c>
      <c r="F18" s="1" t="s">
        <v>4203</v>
      </c>
      <c r="G18" s="1" t="s">
        <v>4205</v>
      </c>
      <c r="H18" s="1" t="s">
        <v>4203</v>
      </c>
      <c r="I18" s="1" t="s">
        <v>12875</v>
      </c>
      <c r="J18" s="1" t="s">
        <v>12876</v>
      </c>
      <c r="K18" s="1">
        <v>5</v>
      </c>
      <c r="L18" s="1" t="s">
        <v>4206</v>
      </c>
      <c r="M18" s="1">
        <v>6</v>
      </c>
      <c r="N18" s="1" t="s">
        <v>4207</v>
      </c>
    </row>
    <row r="19" spans="1:14" x14ac:dyDescent="0.15">
      <c r="A19" s="1">
        <v>12</v>
      </c>
      <c r="B19" s="1" t="s">
        <v>4203</v>
      </c>
      <c r="C19" s="1" t="s">
        <v>4204</v>
      </c>
      <c r="D19" s="1" t="s">
        <v>4203</v>
      </c>
      <c r="E19" s="1" t="s">
        <v>4204</v>
      </c>
      <c r="F19" s="1" t="s">
        <v>4203</v>
      </c>
      <c r="G19" s="1" t="s">
        <v>4205</v>
      </c>
      <c r="H19" s="1" t="s">
        <v>4203</v>
      </c>
      <c r="I19" s="1" t="s">
        <v>7579</v>
      </c>
      <c r="J19" s="1" t="s">
        <v>4208</v>
      </c>
      <c r="K19" s="1">
        <v>5</v>
      </c>
      <c r="L19" s="1" t="s">
        <v>4206</v>
      </c>
      <c r="M19" s="1">
        <v>6</v>
      </c>
      <c r="N19" s="1" t="s">
        <v>4207</v>
      </c>
    </row>
    <row r="20" spans="1:14" x14ac:dyDescent="0.15">
      <c r="A20" s="1">
        <v>2</v>
      </c>
      <c r="B20" s="1" t="s">
        <v>4209</v>
      </c>
      <c r="C20" s="1" t="s">
        <v>4210</v>
      </c>
      <c r="D20" s="1" t="s">
        <v>4209</v>
      </c>
      <c r="E20" s="1" t="s">
        <v>4210</v>
      </c>
      <c r="F20" s="1" t="s">
        <v>4209</v>
      </c>
      <c r="G20" s="1" t="s">
        <v>4211</v>
      </c>
      <c r="H20" s="1" t="s">
        <v>4209</v>
      </c>
      <c r="I20" s="1" t="s">
        <v>14657</v>
      </c>
      <c r="J20" s="1" t="s">
        <v>14654</v>
      </c>
      <c r="K20" s="1">
        <v>2</v>
      </c>
      <c r="L20" s="1" t="s">
        <v>4193</v>
      </c>
      <c r="M20" s="1">
        <v>4</v>
      </c>
      <c r="N20" s="1" t="s">
        <v>4194</v>
      </c>
    </row>
    <row r="21" spans="1:14" x14ac:dyDescent="0.15">
      <c r="A21" s="1">
        <v>2</v>
      </c>
      <c r="B21" s="1" t="s">
        <v>4209</v>
      </c>
      <c r="C21" s="1" t="s">
        <v>4210</v>
      </c>
      <c r="D21" s="1" t="s">
        <v>4209</v>
      </c>
      <c r="E21" s="1" t="s">
        <v>4210</v>
      </c>
      <c r="F21" s="1" t="s">
        <v>4209</v>
      </c>
      <c r="G21" s="1" t="s">
        <v>4211</v>
      </c>
      <c r="H21" s="1" t="s">
        <v>4209</v>
      </c>
      <c r="I21" s="1" t="s">
        <v>12730</v>
      </c>
      <c r="J21" s="1" t="s">
        <v>4195</v>
      </c>
      <c r="K21" s="1">
        <v>2</v>
      </c>
      <c r="L21" s="1" t="s">
        <v>4193</v>
      </c>
      <c r="M21" s="1">
        <v>4</v>
      </c>
      <c r="N21" s="1" t="s">
        <v>4194</v>
      </c>
    </row>
    <row r="22" spans="1:14" x14ac:dyDescent="0.15">
      <c r="A22" s="1">
        <v>2</v>
      </c>
      <c r="B22" s="1" t="s">
        <v>4209</v>
      </c>
      <c r="C22" s="1" t="s">
        <v>4210</v>
      </c>
      <c r="D22" s="1" t="s">
        <v>4209</v>
      </c>
      <c r="E22" s="1" t="s">
        <v>4210</v>
      </c>
      <c r="F22" s="1" t="s">
        <v>4209</v>
      </c>
      <c r="G22" s="1" t="s">
        <v>4211</v>
      </c>
      <c r="H22" s="1" t="s">
        <v>4209</v>
      </c>
      <c r="I22" s="1" t="s">
        <v>12831</v>
      </c>
      <c r="J22" s="1" t="s">
        <v>5271</v>
      </c>
      <c r="K22" s="1">
        <v>2</v>
      </c>
      <c r="L22" s="1" t="s">
        <v>4193</v>
      </c>
      <c r="M22" s="1">
        <v>4</v>
      </c>
      <c r="N22" s="1" t="s">
        <v>4194</v>
      </c>
    </row>
    <row r="23" spans="1:14" x14ac:dyDescent="0.15">
      <c r="A23" s="1">
        <v>2</v>
      </c>
      <c r="B23" s="1" t="s">
        <v>4209</v>
      </c>
      <c r="C23" s="1" t="s">
        <v>4210</v>
      </c>
      <c r="D23" s="1" t="s">
        <v>4209</v>
      </c>
      <c r="E23" s="1" t="s">
        <v>4210</v>
      </c>
      <c r="F23" s="1" t="s">
        <v>4209</v>
      </c>
      <c r="G23" s="1" t="s">
        <v>4211</v>
      </c>
      <c r="H23" s="1" t="s">
        <v>4209</v>
      </c>
      <c r="I23" s="1" t="s">
        <v>12926</v>
      </c>
      <c r="J23" s="1" t="s">
        <v>5298</v>
      </c>
      <c r="K23" s="1">
        <v>2</v>
      </c>
      <c r="L23" s="1" t="s">
        <v>4193</v>
      </c>
      <c r="M23" s="1">
        <v>4</v>
      </c>
      <c r="N23" s="1" t="s">
        <v>4194</v>
      </c>
    </row>
    <row r="24" spans="1:14" x14ac:dyDescent="0.15">
      <c r="A24" s="1">
        <v>3</v>
      </c>
      <c r="B24" s="1" t="s">
        <v>4212</v>
      </c>
      <c r="C24" s="1" t="s">
        <v>4213</v>
      </c>
      <c r="D24" s="1" t="s">
        <v>4212</v>
      </c>
      <c r="E24" s="1" t="s">
        <v>4213</v>
      </c>
      <c r="F24" s="1" t="s">
        <v>4212</v>
      </c>
      <c r="G24" s="1" t="s">
        <v>4214</v>
      </c>
      <c r="H24" s="1" t="s">
        <v>4212</v>
      </c>
      <c r="I24" s="1" t="s">
        <v>14657</v>
      </c>
      <c r="J24" s="1" t="s">
        <v>14654</v>
      </c>
      <c r="K24" s="1">
        <v>9</v>
      </c>
      <c r="L24" s="1" t="s">
        <v>4199</v>
      </c>
      <c r="M24" s="1">
        <v>7</v>
      </c>
      <c r="N24" s="1" t="s">
        <v>4200</v>
      </c>
    </row>
    <row r="25" spans="1:14" x14ac:dyDescent="0.15">
      <c r="A25" s="1">
        <v>3</v>
      </c>
      <c r="B25" s="1" t="s">
        <v>4212</v>
      </c>
      <c r="C25" s="1" t="s">
        <v>4213</v>
      </c>
      <c r="D25" s="1" t="s">
        <v>4212</v>
      </c>
      <c r="E25" s="1" t="s">
        <v>4213</v>
      </c>
      <c r="F25" s="1" t="s">
        <v>4212</v>
      </c>
      <c r="G25" s="1" t="s">
        <v>4214</v>
      </c>
      <c r="H25" s="1" t="s">
        <v>4212</v>
      </c>
      <c r="I25" s="1" t="s">
        <v>14664</v>
      </c>
      <c r="J25" s="1" t="s">
        <v>14661</v>
      </c>
      <c r="K25" s="1">
        <v>9</v>
      </c>
      <c r="L25" s="1" t="s">
        <v>4199</v>
      </c>
      <c r="M25" s="1">
        <v>7</v>
      </c>
      <c r="N25" s="1" t="s">
        <v>4200</v>
      </c>
    </row>
    <row r="26" spans="1:14" x14ac:dyDescent="0.15">
      <c r="A26" s="1">
        <v>3</v>
      </c>
      <c r="B26" s="1" t="s">
        <v>4212</v>
      </c>
      <c r="C26" s="1" t="s">
        <v>4213</v>
      </c>
      <c r="D26" s="1" t="s">
        <v>4212</v>
      </c>
      <c r="E26" s="1" t="s">
        <v>4213</v>
      </c>
      <c r="F26" s="1" t="s">
        <v>4212</v>
      </c>
      <c r="G26" s="1" t="s">
        <v>4214</v>
      </c>
      <c r="H26" s="1" t="s">
        <v>4212</v>
      </c>
      <c r="I26" s="1" t="s">
        <v>14678</v>
      </c>
      <c r="J26" s="1" t="s">
        <v>14675</v>
      </c>
      <c r="K26" s="1">
        <v>9</v>
      </c>
      <c r="L26" s="1" t="s">
        <v>4199</v>
      </c>
      <c r="M26" s="1">
        <v>7</v>
      </c>
      <c r="N26" s="1" t="s">
        <v>4200</v>
      </c>
    </row>
    <row r="27" spans="1:14" x14ac:dyDescent="0.15">
      <c r="A27" s="1">
        <v>4</v>
      </c>
      <c r="B27" s="1" t="s">
        <v>4215</v>
      </c>
      <c r="C27" s="1" t="s">
        <v>4216</v>
      </c>
      <c r="D27" s="1" t="s">
        <v>4215</v>
      </c>
      <c r="E27" s="1" t="s">
        <v>4216</v>
      </c>
      <c r="F27" s="1" t="s">
        <v>4215</v>
      </c>
      <c r="G27" s="1" t="s">
        <v>4217</v>
      </c>
      <c r="H27" s="1" t="s">
        <v>4215</v>
      </c>
      <c r="I27" s="1" t="s">
        <v>10993</v>
      </c>
      <c r="J27" s="1" t="s">
        <v>4218</v>
      </c>
      <c r="K27" s="1">
        <v>13</v>
      </c>
      <c r="L27" s="1" t="s">
        <v>4219</v>
      </c>
      <c r="M27" s="1">
        <v>14</v>
      </c>
      <c r="N27" s="1" t="s">
        <v>4220</v>
      </c>
    </row>
    <row r="28" spans="1:14" x14ac:dyDescent="0.15">
      <c r="A28" s="1">
        <v>4</v>
      </c>
      <c r="B28" s="1" t="s">
        <v>4215</v>
      </c>
      <c r="C28" s="1" t="s">
        <v>4216</v>
      </c>
      <c r="D28" s="1" t="s">
        <v>4215</v>
      </c>
      <c r="E28" s="1" t="s">
        <v>4216</v>
      </c>
      <c r="F28" s="1" t="s">
        <v>4215</v>
      </c>
      <c r="G28" s="1" t="s">
        <v>4217</v>
      </c>
      <c r="H28" s="1" t="s">
        <v>4215</v>
      </c>
      <c r="I28" s="1" t="s">
        <v>10996</v>
      </c>
      <c r="J28" s="1" t="s">
        <v>4221</v>
      </c>
      <c r="K28" s="1">
        <v>13</v>
      </c>
      <c r="L28" s="1" t="s">
        <v>4219</v>
      </c>
      <c r="M28" s="1">
        <v>14</v>
      </c>
      <c r="N28" s="1" t="s">
        <v>4220</v>
      </c>
    </row>
    <row r="29" spans="1:14" x14ac:dyDescent="0.15">
      <c r="A29" s="1">
        <v>4</v>
      </c>
      <c r="B29" s="1" t="s">
        <v>4215</v>
      </c>
      <c r="C29" s="1" t="s">
        <v>4216</v>
      </c>
      <c r="D29" s="1" t="s">
        <v>4215</v>
      </c>
      <c r="E29" s="1" t="s">
        <v>4216</v>
      </c>
      <c r="F29" s="1" t="s">
        <v>4215</v>
      </c>
      <c r="G29" s="1" t="s">
        <v>4217</v>
      </c>
      <c r="H29" s="1" t="s">
        <v>4215</v>
      </c>
      <c r="I29" s="1" t="s">
        <v>11793</v>
      </c>
      <c r="J29" s="1" t="s">
        <v>5324</v>
      </c>
      <c r="K29" s="1">
        <v>13</v>
      </c>
      <c r="L29" s="1" t="s">
        <v>4219</v>
      </c>
      <c r="M29" s="1">
        <v>14</v>
      </c>
      <c r="N29" s="1" t="s">
        <v>4220</v>
      </c>
    </row>
    <row r="30" spans="1:14" x14ac:dyDescent="0.15">
      <c r="A30" s="1">
        <v>5</v>
      </c>
      <c r="B30" s="1" t="s">
        <v>4222</v>
      </c>
      <c r="C30" s="1" t="s">
        <v>4223</v>
      </c>
      <c r="D30" s="1" t="s">
        <v>4224</v>
      </c>
      <c r="E30" s="1" t="s">
        <v>4223</v>
      </c>
      <c r="F30" s="1" t="s">
        <v>4224</v>
      </c>
      <c r="G30" s="1" t="s">
        <v>4225</v>
      </c>
      <c r="H30" s="1" t="s">
        <v>4224</v>
      </c>
      <c r="I30" s="1" t="s">
        <v>9991</v>
      </c>
      <c r="J30" s="1" t="s">
        <v>4226</v>
      </c>
      <c r="K30" s="1">
        <v>11</v>
      </c>
      <c r="L30" s="1" t="s">
        <v>4227</v>
      </c>
      <c r="M30" s="1">
        <v>14</v>
      </c>
      <c r="N30" s="1" t="s">
        <v>4220</v>
      </c>
    </row>
    <row r="31" spans="1:14" x14ac:dyDescent="0.15">
      <c r="A31" s="1">
        <v>5</v>
      </c>
      <c r="B31" s="1" t="s">
        <v>4222</v>
      </c>
      <c r="C31" s="1" t="s">
        <v>4223</v>
      </c>
      <c r="D31" s="1" t="s">
        <v>4224</v>
      </c>
      <c r="E31" s="1" t="s">
        <v>4223</v>
      </c>
      <c r="F31" s="1" t="s">
        <v>4224</v>
      </c>
      <c r="G31" s="1" t="s">
        <v>4225</v>
      </c>
      <c r="H31" s="1" t="s">
        <v>4224</v>
      </c>
      <c r="I31" s="1" t="s">
        <v>9586</v>
      </c>
      <c r="J31" s="1" t="s">
        <v>4228</v>
      </c>
      <c r="K31" s="1">
        <v>11</v>
      </c>
      <c r="L31" s="1" t="s">
        <v>4227</v>
      </c>
      <c r="M31" s="1">
        <v>14</v>
      </c>
      <c r="N31" s="1" t="s">
        <v>4220</v>
      </c>
    </row>
    <row r="32" spans="1:14" x14ac:dyDescent="0.15">
      <c r="A32" s="1">
        <v>5</v>
      </c>
      <c r="B32" s="1" t="s">
        <v>4222</v>
      </c>
      <c r="C32" s="1" t="s">
        <v>4223</v>
      </c>
      <c r="D32" s="1" t="s">
        <v>4224</v>
      </c>
      <c r="E32" s="1" t="s">
        <v>4223</v>
      </c>
      <c r="F32" s="1" t="s">
        <v>4224</v>
      </c>
      <c r="G32" s="1" t="s">
        <v>4225</v>
      </c>
      <c r="H32" s="1" t="s">
        <v>4224</v>
      </c>
      <c r="I32" s="1" t="s">
        <v>11793</v>
      </c>
      <c r="J32" s="1" t="s">
        <v>5324</v>
      </c>
      <c r="K32" s="1">
        <v>11</v>
      </c>
      <c r="L32" s="1" t="s">
        <v>4227</v>
      </c>
      <c r="M32" s="1">
        <v>14</v>
      </c>
      <c r="N32" s="1" t="s">
        <v>4220</v>
      </c>
    </row>
    <row r="33" spans="1:14" x14ac:dyDescent="0.15">
      <c r="A33" s="1">
        <v>84</v>
      </c>
      <c r="B33" s="1" t="s">
        <v>4229</v>
      </c>
      <c r="C33" s="1" t="s">
        <v>4230</v>
      </c>
      <c r="D33" s="1" t="s">
        <v>4229</v>
      </c>
      <c r="E33" s="1" t="s">
        <v>4230</v>
      </c>
      <c r="F33" s="1" t="s">
        <v>4229</v>
      </c>
      <c r="G33" s="1" t="s">
        <v>4231</v>
      </c>
      <c r="H33" s="1" t="s">
        <v>4229</v>
      </c>
      <c r="I33" s="1" t="s">
        <v>7513</v>
      </c>
      <c r="J33" s="1" t="s">
        <v>4232</v>
      </c>
      <c r="K33" s="1">
        <v>5</v>
      </c>
      <c r="L33" s="1" t="s">
        <v>4206</v>
      </c>
      <c r="M33" s="1">
        <v>6</v>
      </c>
      <c r="N33" s="1" t="s">
        <v>4207</v>
      </c>
    </row>
    <row r="34" spans="1:14" x14ac:dyDescent="0.15">
      <c r="A34" s="1">
        <v>204</v>
      </c>
      <c r="B34" s="1" t="s">
        <v>4233</v>
      </c>
      <c r="C34" s="1" t="s">
        <v>4234</v>
      </c>
      <c r="D34" s="1" t="s">
        <v>4233</v>
      </c>
      <c r="E34" s="1" t="s">
        <v>4234</v>
      </c>
      <c r="F34" s="1" t="s">
        <v>4233</v>
      </c>
      <c r="G34" s="1" t="s">
        <v>4235</v>
      </c>
      <c r="H34" s="1" t="s">
        <v>4233</v>
      </c>
      <c r="I34" s="1" t="s">
        <v>14923</v>
      </c>
      <c r="J34" s="1" t="s">
        <v>6175</v>
      </c>
      <c r="K34" s="1">
        <v>16</v>
      </c>
      <c r="L34" s="1" t="s">
        <v>4236</v>
      </c>
      <c r="M34" s="1">
        <v>10</v>
      </c>
      <c r="N34" s="1" t="s">
        <v>4237</v>
      </c>
    </row>
    <row r="35" spans="1:14" x14ac:dyDescent="0.15">
      <c r="A35" s="1">
        <v>204</v>
      </c>
      <c r="B35" s="1" t="s">
        <v>4233</v>
      </c>
      <c r="C35" s="1" t="s">
        <v>4234</v>
      </c>
      <c r="D35" s="1" t="s">
        <v>4233</v>
      </c>
      <c r="E35" s="1" t="s">
        <v>4234</v>
      </c>
      <c r="F35" s="1" t="s">
        <v>4233</v>
      </c>
      <c r="G35" s="1" t="s">
        <v>4235</v>
      </c>
      <c r="H35" s="1" t="s">
        <v>4233</v>
      </c>
      <c r="I35" s="1" t="s">
        <v>9393</v>
      </c>
      <c r="J35" s="1" t="s">
        <v>4238</v>
      </c>
      <c r="K35" s="1">
        <v>16</v>
      </c>
      <c r="L35" s="1" t="s">
        <v>4236</v>
      </c>
      <c r="M35" s="1">
        <v>10</v>
      </c>
      <c r="N35" s="1" t="s">
        <v>4237</v>
      </c>
    </row>
    <row r="36" spans="1:14" x14ac:dyDescent="0.15">
      <c r="A36" s="1">
        <v>5</v>
      </c>
      <c r="B36" s="1" t="s">
        <v>4222</v>
      </c>
      <c r="C36" s="1" t="s">
        <v>4223</v>
      </c>
      <c r="D36" s="1" t="s">
        <v>4224</v>
      </c>
      <c r="E36" s="1" t="s">
        <v>4223</v>
      </c>
      <c r="F36" s="1" t="s">
        <v>4224</v>
      </c>
      <c r="G36" s="1" t="s">
        <v>4225</v>
      </c>
      <c r="H36" s="1" t="s">
        <v>4224</v>
      </c>
      <c r="I36" s="1" t="s">
        <v>11797</v>
      </c>
      <c r="J36" s="1" t="s">
        <v>11798</v>
      </c>
      <c r="K36" s="1">
        <v>11</v>
      </c>
      <c r="L36" s="1" t="s">
        <v>4227</v>
      </c>
      <c r="M36" s="1">
        <v>14</v>
      </c>
      <c r="N36" s="1" t="s">
        <v>4220</v>
      </c>
    </row>
    <row r="37" spans="1:14" x14ac:dyDescent="0.15">
      <c r="A37" s="1">
        <v>5</v>
      </c>
      <c r="B37" s="1" t="s">
        <v>4222</v>
      </c>
      <c r="C37" s="1" t="s">
        <v>4223</v>
      </c>
      <c r="D37" s="1" t="s">
        <v>4224</v>
      </c>
      <c r="E37" s="1" t="s">
        <v>4223</v>
      </c>
      <c r="F37" s="1" t="s">
        <v>4224</v>
      </c>
      <c r="G37" s="1" t="s">
        <v>4225</v>
      </c>
      <c r="H37" s="1" t="s">
        <v>4224</v>
      </c>
      <c r="I37" s="1" t="s">
        <v>11801</v>
      </c>
      <c r="J37" s="1" t="s">
        <v>5325</v>
      </c>
      <c r="K37" s="1">
        <v>11</v>
      </c>
      <c r="L37" s="1" t="s">
        <v>4227</v>
      </c>
      <c r="M37" s="1">
        <v>14</v>
      </c>
      <c r="N37" s="1" t="s">
        <v>4220</v>
      </c>
    </row>
    <row r="38" spans="1:14" x14ac:dyDescent="0.15">
      <c r="A38" s="1">
        <v>5</v>
      </c>
      <c r="B38" s="1" t="s">
        <v>4222</v>
      </c>
      <c r="C38" s="1" t="s">
        <v>4223</v>
      </c>
      <c r="D38" s="1" t="s">
        <v>4224</v>
      </c>
      <c r="E38" s="1" t="s">
        <v>4223</v>
      </c>
      <c r="F38" s="1" t="s">
        <v>4224</v>
      </c>
      <c r="G38" s="1" t="s">
        <v>4225</v>
      </c>
      <c r="H38" s="1" t="s">
        <v>4224</v>
      </c>
      <c r="I38" s="1" t="s">
        <v>11805</v>
      </c>
      <c r="J38" s="1" t="s">
        <v>5327</v>
      </c>
      <c r="K38" s="1">
        <v>11</v>
      </c>
      <c r="L38" s="1" t="s">
        <v>4227</v>
      </c>
      <c r="M38" s="1">
        <v>14</v>
      </c>
      <c r="N38" s="1" t="s">
        <v>4220</v>
      </c>
    </row>
    <row r="39" spans="1:14" x14ac:dyDescent="0.15">
      <c r="A39" s="1">
        <v>5</v>
      </c>
      <c r="B39" s="1" t="s">
        <v>4222</v>
      </c>
      <c r="C39" s="1" t="s">
        <v>4239</v>
      </c>
      <c r="D39" s="1" t="s">
        <v>4240</v>
      </c>
      <c r="E39" s="1" t="s">
        <v>4239</v>
      </c>
      <c r="F39" s="1" t="s">
        <v>4240</v>
      </c>
      <c r="G39" s="1" t="s">
        <v>4241</v>
      </c>
      <c r="H39" s="1" t="s">
        <v>4240</v>
      </c>
      <c r="I39" s="1" t="s">
        <v>9991</v>
      </c>
      <c r="J39" s="1" t="s">
        <v>4226</v>
      </c>
      <c r="K39" s="1">
        <v>11</v>
      </c>
      <c r="L39" s="1" t="s">
        <v>4227</v>
      </c>
      <c r="M39" s="1">
        <v>14</v>
      </c>
      <c r="N39" s="1" t="s">
        <v>4220</v>
      </c>
    </row>
    <row r="40" spans="1:14" x14ac:dyDescent="0.15">
      <c r="A40" s="1">
        <v>5</v>
      </c>
      <c r="B40" s="1" t="s">
        <v>4222</v>
      </c>
      <c r="C40" s="1" t="s">
        <v>4239</v>
      </c>
      <c r="D40" s="1" t="s">
        <v>4240</v>
      </c>
      <c r="E40" s="1" t="s">
        <v>4239</v>
      </c>
      <c r="F40" s="1" t="s">
        <v>4240</v>
      </c>
      <c r="G40" s="1" t="s">
        <v>4241</v>
      </c>
      <c r="H40" s="1" t="s">
        <v>4240</v>
      </c>
      <c r="I40" s="1" t="s">
        <v>12722</v>
      </c>
      <c r="J40" s="1" t="s">
        <v>5225</v>
      </c>
      <c r="K40" s="1">
        <v>11</v>
      </c>
      <c r="L40" s="1" t="s">
        <v>4227</v>
      </c>
      <c r="M40" s="1">
        <v>14</v>
      </c>
      <c r="N40" s="1" t="s">
        <v>4220</v>
      </c>
    </row>
    <row r="41" spans="1:14" x14ac:dyDescent="0.15">
      <c r="A41" s="1">
        <v>5</v>
      </c>
      <c r="B41" s="1" t="s">
        <v>4222</v>
      </c>
      <c r="C41" s="1" t="s">
        <v>4239</v>
      </c>
      <c r="D41" s="1" t="s">
        <v>4240</v>
      </c>
      <c r="E41" s="1" t="s">
        <v>4239</v>
      </c>
      <c r="F41" s="1" t="s">
        <v>4240</v>
      </c>
      <c r="G41" s="1" t="s">
        <v>4241</v>
      </c>
      <c r="H41" s="1" t="s">
        <v>4240</v>
      </c>
      <c r="I41" s="1" t="s">
        <v>12730</v>
      </c>
      <c r="J41" s="1" t="s">
        <v>4195</v>
      </c>
      <c r="K41" s="1">
        <v>11</v>
      </c>
      <c r="L41" s="1" t="s">
        <v>4227</v>
      </c>
      <c r="M41" s="1">
        <v>14</v>
      </c>
      <c r="N41" s="1" t="s">
        <v>4220</v>
      </c>
    </row>
    <row r="42" spans="1:14" x14ac:dyDescent="0.15">
      <c r="A42" s="1">
        <v>5</v>
      </c>
      <c r="B42" s="1" t="s">
        <v>4222</v>
      </c>
      <c r="C42" s="1" t="s">
        <v>4239</v>
      </c>
      <c r="D42" s="1" t="s">
        <v>4240</v>
      </c>
      <c r="E42" s="1" t="s">
        <v>4239</v>
      </c>
      <c r="F42" s="1" t="s">
        <v>4240</v>
      </c>
      <c r="G42" s="1" t="s">
        <v>4241</v>
      </c>
      <c r="H42" s="1" t="s">
        <v>4240</v>
      </c>
      <c r="I42" s="1" t="s">
        <v>11793</v>
      </c>
      <c r="J42" s="1" t="s">
        <v>5324</v>
      </c>
      <c r="K42" s="1">
        <v>11</v>
      </c>
      <c r="L42" s="1" t="s">
        <v>4227</v>
      </c>
      <c r="M42" s="1">
        <v>14</v>
      </c>
      <c r="N42" s="1" t="s">
        <v>4220</v>
      </c>
    </row>
    <row r="43" spans="1:14" x14ac:dyDescent="0.15">
      <c r="A43" s="1">
        <v>5</v>
      </c>
      <c r="B43" s="1" t="s">
        <v>4222</v>
      </c>
      <c r="C43" s="1" t="s">
        <v>4239</v>
      </c>
      <c r="D43" s="1" t="s">
        <v>4240</v>
      </c>
      <c r="E43" s="1" t="s">
        <v>4239</v>
      </c>
      <c r="F43" s="1" t="s">
        <v>4240</v>
      </c>
      <c r="G43" s="1" t="s">
        <v>4241</v>
      </c>
      <c r="H43" s="1" t="s">
        <v>4240</v>
      </c>
      <c r="I43" s="1" t="s">
        <v>11805</v>
      </c>
      <c r="J43" s="1" t="s">
        <v>5327</v>
      </c>
      <c r="K43" s="1">
        <v>11</v>
      </c>
      <c r="L43" s="1" t="s">
        <v>4227</v>
      </c>
      <c r="M43" s="1">
        <v>14</v>
      </c>
      <c r="N43" s="1" t="s">
        <v>4220</v>
      </c>
    </row>
    <row r="44" spans="1:14" x14ac:dyDescent="0.15">
      <c r="A44" s="1">
        <v>6</v>
      </c>
      <c r="B44" s="1" t="s">
        <v>4242</v>
      </c>
      <c r="C44" s="1" t="s">
        <v>4243</v>
      </c>
      <c r="D44" s="1" t="s">
        <v>4242</v>
      </c>
      <c r="E44" s="1" t="s">
        <v>4243</v>
      </c>
      <c r="F44" s="1" t="s">
        <v>4242</v>
      </c>
      <c r="G44" s="1" t="s">
        <v>4244</v>
      </c>
      <c r="H44" s="1" t="s">
        <v>4242</v>
      </c>
      <c r="I44" s="1" t="s">
        <v>10993</v>
      </c>
      <c r="J44" s="1" t="s">
        <v>4218</v>
      </c>
      <c r="K44" s="1">
        <v>13</v>
      </c>
      <c r="L44" s="1" t="s">
        <v>4219</v>
      </c>
      <c r="M44" s="1">
        <v>4</v>
      </c>
      <c r="N44" s="1" t="s">
        <v>4194</v>
      </c>
    </row>
    <row r="45" spans="1:14" x14ac:dyDescent="0.15">
      <c r="A45" s="1">
        <v>10</v>
      </c>
      <c r="B45" s="1" t="s">
        <v>4245</v>
      </c>
      <c r="C45" s="1" t="s">
        <v>4246</v>
      </c>
      <c r="D45" s="1" t="s">
        <v>4245</v>
      </c>
      <c r="E45" s="1" t="s">
        <v>4246</v>
      </c>
      <c r="F45" s="1" t="s">
        <v>4245</v>
      </c>
      <c r="G45" s="1" t="s">
        <v>4247</v>
      </c>
      <c r="H45" s="1" t="s">
        <v>4245</v>
      </c>
      <c r="I45" s="1" t="s">
        <v>14657</v>
      </c>
      <c r="J45" s="1" t="s">
        <v>14654</v>
      </c>
      <c r="K45" s="1">
        <v>2</v>
      </c>
      <c r="L45" s="1" t="s">
        <v>4193</v>
      </c>
      <c r="M45" s="1">
        <v>4</v>
      </c>
      <c r="N45" s="1" t="s">
        <v>4194</v>
      </c>
    </row>
    <row r="46" spans="1:14" x14ac:dyDescent="0.15">
      <c r="A46" s="1">
        <v>10</v>
      </c>
      <c r="B46" s="1" t="s">
        <v>4245</v>
      </c>
      <c r="C46" s="1" t="s">
        <v>4246</v>
      </c>
      <c r="D46" s="1" t="s">
        <v>4245</v>
      </c>
      <c r="E46" s="1" t="s">
        <v>4246</v>
      </c>
      <c r="F46" s="1" t="s">
        <v>4245</v>
      </c>
      <c r="G46" s="1" t="s">
        <v>4247</v>
      </c>
      <c r="H46" s="1" t="s">
        <v>4245</v>
      </c>
      <c r="I46" s="1" t="s">
        <v>8243</v>
      </c>
      <c r="J46" s="1" t="s">
        <v>4248</v>
      </c>
      <c r="K46" s="1">
        <v>2</v>
      </c>
      <c r="L46" s="1" t="s">
        <v>4193</v>
      </c>
      <c r="M46" s="1">
        <v>4</v>
      </c>
      <c r="N46" s="1" t="s">
        <v>4194</v>
      </c>
    </row>
    <row r="47" spans="1:14" x14ac:dyDescent="0.15">
      <c r="A47" s="1">
        <v>10</v>
      </c>
      <c r="B47" s="1" t="s">
        <v>4245</v>
      </c>
      <c r="C47" s="1" t="s">
        <v>4246</v>
      </c>
      <c r="D47" s="1" t="s">
        <v>4245</v>
      </c>
      <c r="E47" s="1" t="s">
        <v>4246</v>
      </c>
      <c r="F47" s="1" t="s">
        <v>4245</v>
      </c>
      <c r="G47" s="1" t="s">
        <v>4247</v>
      </c>
      <c r="H47" s="1" t="s">
        <v>4245</v>
      </c>
      <c r="I47" s="1" t="s">
        <v>8259</v>
      </c>
      <c r="J47" s="1" t="s">
        <v>4249</v>
      </c>
      <c r="K47" s="1">
        <v>2</v>
      </c>
      <c r="L47" s="1" t="s">
        <v>4193</v>
      </c>
      <c r="M47" s="1">
        <v>4</v>
      </c>
      <c r="N47" s="1" t="s">
        <v>4194</v>
      </c>
    </row>
    <row r="48" spans="1:14" x14ac:dyDescent="0.15">
      <c r="A48" s="1">
        <v>10</v>
      </c>
      <c r="B48" s="1" t="s">
        <v>4245</v>
      </c>
      <c r="C48" s="1" t="s">
        <v>4246</v>
      </c>
      <c r="D48" s="1" t="s">
        <v>4245</v>
      </c>
      <c r="E48" s="1" t="s">
        <v>4246</v>
      </c>
      <c r="F48" s="1" t="s">
        <v>4245</v>
      </c>
      <c r="G48" s="1" t="s">
        <v>4247</v>
      </c>
      <c r="H48" s="1" t="s">
        <v>4245</v>
      </c>
      <c r="I48" s="1" t="s">
        <v>12722</v>
      </c>
      <c r="J48" s="1" t="s">
        <v>5225</v>
      </c>
      <c r="K48" s="1">
        <v>2</v>
      </c>
      <c r="L48" s="1" t="s">
        <v>4193</v>
      </c>
      <c r="M48" s="1">
        <v>4</v>
      </c>
      <c r="N48" s="1" t="s">
        <v>4194</v>
      </c>
    </row>
    <row r="49" spans="1:14" x14ac:dyDescent="0.15">
      <c r="A49" s="1">
        <v>306</v>
      </c>
      <c r="B49" s="1" t="s">
        <v>4250</v>
      </c>
      <c r="C49" s="1" t="s">
        <v>4251</v>
      </c>
      <c r="D49" s="1" t="s">
        <v>4252</v>
      </c>
      <c r="E49" s="1" t="s">
        <v>4251</v>
      </c>
      <c r="F49" s="1" t="s">
        <v>4252</v>
      </c>
      <c r="G49" s="1" t="s">
        <v>4253</v>
      </c>
      <c r="H49" s="1" t="s">
        <v>4252</v>
      </c>
      <c r="I49" s="1" t="s">
        <v>7491</v>
      </c>
      <c r="J49" s="1" t="s">
        <v>5445</v>
      </c>
      <c r="K49" s="1">
        <v>6</v>
      </c>
      <c r="L49" s="1" t="s">
        <v>4254</v>
      </c>
      <c r="M49" s="1">
        <v>8</v>
      </c>
      <c r="N49" s="1" t="s">
        <v>4255</v>
      </c>
    </row>
    <row r="50" spans="1:14" x14ac:dyDescent="0.15">
      <c r="A50" s="1">
        <v>306</v>
      </c>
      <c r="B50" s="1" t="s">
        <v>4250</v>
      </c>
      <c r="C50" s="1" t="s">
        <v>4251</v>
      </c>
      <c r="D50" s="1" t="s">
        <v>4252</v>
      </c>
      <c r="E50" s="1" t="s">
        <v>4251</v>
      </c>
      <c r="F50" s="1" t="s">
        <v>4252</v>
      </c>
      <c r="G50" s="1" t="s">
        <v>4253</v>
      </c>
      <c r="H50" s="1" t="s">
        <v>4252</v>
      </c>
      <c r="I50" s="1" t="s">
        <v>7039</v>
      </c>
      <c r="J50" s="1" t="s">
        <v>5458</v>
      </c>
      <c r="K50" s="1">
        <v>6</v>
      </c>
      <c r="L50" s="1" t="s">
        <v>4254</v>
      </c>
      <c r="M50" s="1">
        <v>8</v>
      </c>
      <c r="N50" s="1" t="s">
        <v>4255</v>
      </c>
    </row>
    <row r="51" spans="1:14" x14ac:dyDescent="0.15">
      <c r="A51" s="1">
        <v>325</v>
      </c>
      <c r="B51" s="1" t="s">
        <v>4256</v>
      </c>
      <c r="C51" s="1" t="s">
        <v>4257</v>
      </c>
      <c r="D51" s="1" t="s">
        <v>4256</v>
      </c>
      <c r="E51" s="1" t="s">
        <v>4257</v>
      </c>
      <c r="F51" s="1" t="s">
        <v>4256</v>
      </c>
      <c r="G51" s="1" t="s">
        <v>4258</v>
      </c>
      <c r="H51" s="1" t="s">
        <v>4256</v>
      </c>
      <c r="I51" s="1" t="s">
        <v>7132</v>
      </c>
      <c r="J51" s="1" t="s">
        <v>13290</v>
      </c>
      <c r="K51" s="1">
        <v>1</v>
      </c>
      <c r="L51" s="1" t="s">
        <v>4259</v>
      </c>
      <c r="M51" s="1">
        <v>8</v>
      </c>
      <c r="N51" s="1" t="s">
        <v>4255</v>
      </c>
    </row>
    <row r="52" spans="1:14" x14ac:dyDescent="0.15">
      <c r="A52" s="1">
        <v>10</v>
      </c>
      <c r="B52" s="1" t="s">
        <v>4245</v>
      </c>
      <c r="C52" s="1" t="s">
        <v>4246</v>
      </c>
      <c r="D52" s="1" t="s">
        <v>4245</v>
      </c>
      <c r="E52" s="1" t="s">
        <v>4246</v>
      </c>
      <c r="F52" s="1" t="s">
        <v>4245</v>
      </c>
      <c r="G52" s="1" t="s">
        <v>4247</v>
      </c>
      <c r="H52" s="1" t="s">
        <v>4245</v>
      </c>
      <c r="I52" s="1" t="s">
        <v>12730</v>
      </c>
      <c r="J52" s="1" t="s">
        <v>4195</v>
      </c>
      <c r="K52" s="1">
        <v>2</v>
      </c>
      <c r="L52" s="1" t="s">
        <v>4193</v>
      </c>
      <c r="M52" s="1">
        <v>4</v>
      </c>
      <c r="N52" s="1" t="s">
        <v>4194</v>
      </c>
    </row>
    <row r="53" spans="1:14" x14ac:dyDescent="0.15">
      <c r="A53" s="1">
        <v>10</v>
      </c>
      <c r="B53" s="1" t="s">
        <v>4245</v>
      </c>
      <c r="C53" s="1" t="s">
        <v>4246</v>
      </c>
      <c r="D53" s="1" t="s">
        <v>4245</v>
      </c>
      <c r="E53" s="1" t="s">
        <v>4246</v>
      </c>
      <c r="F53" s="1" t="s">
        <v>4245</v>
      </c>
      <c r="G53" s="1" t="s">
        <v>4247</v>
      </c>
      <c r="H53" s="1" t="s">
        <v>4245</v>
      </c>
      <c r="I53" s="1" t="s">
        <v>12734</v>
      </c>
      <c r="J53" s="1" t="s">
        <v>4260</v>
      </c>
      <c r="K53" s="1">
        <v>2</v>
      </c>
      <c r="L53" s="1" t="s">
        <v>4193</v>
      </c>
      <c r="M53" s="1">
        <v>4</v>
      </c>
      <c r="N53" s="1" t="s">
        <v>4194</v>
      </c>
    </row>
    <row r="54" spans="1:14" x14ac:dyDescent="0.15">
      <c r="A54" s="1">
        <v>10</v>
      </c>
      <c r="B54" s="1" t="s">
        <v>4245</v>
      </c>
      <c r="C54" s="1" t="s">
        <v>4246</v>
      </c>
      <c r="D54" s="1" t="s">
        <v>4245</v>
      </c>
      <c r="E54" s="1" t="s">
        <v>4246</v>
      </c>
      <c r="F54" s="1" t="s">
        <v>4245</v>
      </c>
      <c r="G54" s="1" t="s">
        <v>4247</v>
      </c>
      <c r="H54" s="1" t="s">
        <v>4245</v>
      </c>
      <c r="I54" s="1" t="s">
        <v>7861</v>
      </c>
      <c r="J54" s="1" t="s">
        <v>4196</v>
      </c>
      <c r="K54" s="1">
        <v>2</v>
      </c>
      <c r="L54" s="1" t="s">
        <v>4193</v>
      </c>
      <c r="M54" s="1">
        <v>4</v>
      </c>
      <c r="N54" s="1" t="s">
        <v>4194</v>
      </c>
    </row>
    <row r="55" spans="1:14" x14ac:dyDescent="0.15">
      <c r="A55" s="1">
        <v>11</v>
      </c>
      <c r="B55" s="1" t="s">
        <v>4261</v>
      </c>
      <c r="C55" s="1" t="s">
        <v>4262</v>
      </c>
      <c r="D55" s="1" t="s">
        <v>4261</v>
      </c>
      <c r="E55" s="1" t="s">
        <v>4262</v>
      </c>
      <c r="F55" s="1" t="s">
        <v>4261</v>
      </c>
      <c r="G55" s="1" t="s">
        <v>4263</v>
      </c>
      <c r="H55" s="1" t="s">
        <v>4261</v>
      </c>
      <c r="I55" s="1" t="s">
        <v>17808</v>
      </c>
      <c r="J55" s="1" t="s">
        <v>17805</v>
      </c>
      <c r="K55" s="1">
        <v>12</v>
      </c>
      <c r="L55" s="1" t="s">
        <v>4264</v>
      </c>
      <c r="M55" s="1">
        <v>11</v>
      </c>
      <c r="N55" s="1" t="s">
        <v>4265</v>
      </c>
    </row>
    <row r="56" spans="1:14" x14ac:dyDescent="0.15">
      <c r="A56" s="1">
        <v>11</v>
      </c>
      <c r="B56" s="1" t="s">
        <v>4261</v>
      </c>
      <c r="C56" s="1" t="s">
        <v>4262</v>
      </c>
      <c r="D56" s="1" t="s">
        <v>4261</v>
      </c>
      <c r="E56" s="1" t="s">
        <v>4262</v>
      </c>
      <c r="F56" s="1" t="s">
        <v>4261</v>
      </c>
      <c r="G56" s="1" t="s">
        <v>4263</v>
      </c>
      <c r="H56" s="1" t="s">
        <v>4261</v>
      </c>
      <c r="I56" s="1" t="s">
        <v>17090</v>
      </c>
      <c r="J56" s="1" t="s">
        <v>17840</v>
      </c>
      <c r="K56" s="1">
        <v>12</v>
      </c>
      <c r="L56" s="1" t="s">
        <v>4264</v>
      </c>
      <c r="M56" s="1">
        <v>11</v>
      </c>
      <c r="N56" s="1" t="s">
        <v>4265</v>
      </c>
    </row>
    <row r="57" spans="1:14" x14ac:dyDescent="0.15">
      <c r="A57" s="1">
        <v>11</v>
      </c>
      <c r="B57" s="1" t="s">
        <v>4261</v>
      </c>
      <c r="C57" s="1" t="s">
        <v>4262</v>
      </c>
      <c r="D57" s="1" t="s">
        <v>4261</v>
      </c>
      <c r="E57" s="1" t="s">
        <v>4262</v>
      </c>
      <c r="F57" s="1" t="s">
        <v>4261</v>
      </c>
      <c r="G57" s="1" t="s">
        <v>4263</v>
      </c>
      <c r="H57" s="1" t="s">
        <v>4261</v>
      </c>
      <c r="I57" s="1" t="s">
        <v>17829</v>
      </c>
      <c r="J57" s="1" t="s">
        <v>6631</v>
      </c>
      <c r="K57" s="1">
        <v>12</v>
      </c>
      <c r="L57" s="1" t="s">
        <v>4264</v>
      </c>
      <c r="M57" s="1">
        <v>11</v>
      </c>
      <c r="N57" s="1" t="s">
        <v>4265</v>
      </c>
    </row>
    <row r="58" spans="1:14" x14ac:dyDescent="0.15">
      <c r="A58" s="1">
        <v>11</v>
      </c>
      <c r="B58" s="1" t="s">
        <v>4261</v>
      </c>
      <c r="C58" s="1" t="s">
        <v>4262</v>
      </c>
      <c r="D58" s="1" t="s">
        <v>4261</v>
      </c>
      <c r="E58" s="1" t="s">
        <v>4262</v>
      </c>
      <c r="F58" s="1" t="s">
        <v>4261</v>
      </c>
      <c r="G58" s="1" t="s">
        <v>4263</v>
      </c>
      <c r="H58" s="1" t="s">
        <v>4261</v>
      </c>
      <c r="I58" s="1" t="s">
        <v>10810</v>
      </c>
      <c r="J58" s="1" t="s">
        <v>4266</v>
      </c>
      <c r="K58" s="1">
        <v>12</v>
      </c>
      <c r="L58" s="1" t="s">
        <v>4264</v>
      </c>
      <c r="M58" s="1">
        <v>11</v>
      </c>
      <c r="N58" s="1" t="s">
        <v>4265</v>
      </c>
    </row>
    <row r="59" spans="1:14" x14ac:dyDescent="0.15">
      <c r="A59" s="1">
        <v>11</v>
      </c>
      <c r="B59" s="1" t="s">
        <v>4261</v>
      </c>
      <c r="C59" s="1" t="s">
        <v>4262</v>
      </c>
      <c r="D59" s="1" t="s">
        <v>4261</v>
      </c>
      <c r="E59" s="1" t="s">
        <v>4262</v>
      </c>
      <c r="F59" s="1" t="s">
        <v>4261</v>
      </c>
      <c r="G59" s="1" t="s">
        <v>4263</v>
      </c>
      <c r="H59" s="1" t="s">
        <v>4261</v>
      </c>
      <c r="I59" s="1" t="s">
        <v>12746</v>
      </c>
      <c r="J59" s="1" t="s">
        <v>12747</v>
      </c>
      <c r="K59" s="1">
        <v>12</v>
      </c>
      <c r="L59" s="1" t="s">
        <v>4264</v>
      </c>
      <c r="M59" s="1">
        <v>11</v>
      </c>
      <c r="N59" s="1" t="s">
        <v>4265</v>
      </c>
    </row>
    <row r="60" spans="1:14" x14ac:dyDescent="0.15">
      <c r="A60" s="1">
        <v>11</v>
      </c>
      <c r="B60" s="1" t="s">
        <v>4261</v>
      </c>
      <c r="C60" s="1" t="s">
        <v>4262</v>
      </c>
      <c r="D60" s="1" t="s">
        <v>4261</v>
      </c>
      <c r="E60" s="1" t="s">
        <v>4262</v>
      </c>
      <c r="F60" s="1" t="s">
        <v>4261</v>
      </c>
      <c r="G60" s="1" t="s">
        <v>4263</v>
      </c>
      <c r="H60" s="1" t="s">
        <v>4261</v>
      </c>
      <c r="I60" s="1" t="s">
        <v>12933</v>
      </c>
      <c r="J60" s="1" t="s">
        <v>5304</v>
      </c>
      <c r="K60" s="1">
        <v>12</v>
      </c>
      <c r="L60" s="1" t="s">
        <v>4264</v>
      </c>
      <c r="M60" s="1">
        <v>11</v>
      </c>
      <c r="N60" s="1" t="s">
        <v>4265</v>
      </c>
    </row>
    <row r="61" spans="1:14" x14ac:dyDescent="0.15">
      <c r="A61" s="1">
        <v>11</v>
      </c>
      <c r="B61" s="1" t="s">
        <v>4261</v>
      </c>
      <c r="C61" s="1" t="s">
        <v>4262</v>
      </c>
      <c r="D61" s="1" t="s">
        <v>4261</v>
      </c>
      <c r="E61" s="1" t="s">
        <v>4262</v>
      </c>
      <c r="F61" s="1" t="s">
        <v>4261</v>
      </c>
      <c r="G61" s="1" t="s">
        <v>4263</v>
      </c>
      <c r="H61" s="1" t="s">
        <v>4261</v>
      </c>
      <c r="I61" s="1" t="s">
        <v>10808</v>
      </c>
      <c r="J61" s="1" t="s">
        <v>4267</v>
      </c>
      <c r="K61" s="1">
        <v>12</v>
      </c>
      <c r="L61" s="1" t="s">
        <v>4264</v>
      </c>
      <c r="M61" s="1">
        <v>11</v>
      </c>
      <c r="N61" s="1" t="s">
        <v>4265</v>
      </c>
    </row>
    <row r="62" spans="1:14" x14ac:dyDescent="0.15">
      <c r="A62" s="1">
        <v>11</v>
      </c>
      <c r="B62" s="1" t="s">
        <v>4261</v>
      </c>
      <c r="C62" s="1" t="s">
        <v>4262</v>
      </c>
      <c r="D62" s="1" t="s">
        <v>4261</v>
      </c>
      <c r="E62" s="1" t="s">
        <v>4262</v>
      </c>
      <c r="F62" s="1" t="s">
        <v>4261</v>
      </c>
      <c r="G62" s="1" t="s">
        <v>4263</v>
      </c>
      <c r="H62" s="1" t="s">
        <v>4261</v>
      </c>
      <c r="I62" s="1" t="s">
        <v>7636</v>
      </c>
      <c r="J62" s="1" t="s">
        <v>4268</v>
      </c>
      <c r="K62" s="1">
        <v>12</v>
      </c>
      <c r="L62" s="1" t="s">
        <v>4264</v>
      </c>
      <c r="M62" s="1">
        <v>11</v>
      </c>
      <c r="N62" s="1" t="s">
        <v>4265</v>
      </c>
    </row>
    <row r="63" spans="1:14" x14ac:dyDescent="0.15">
      <c r="A63" s="1">
        <v>12</v>
      </c>
      <c r="B63" s="1" t="s">
        <v>4203</v>
      </c>
      <c r="C63" s="1" t="s">
        <v>4204</v>
      </c>
      <c r="D63" s="1" t="s">
        <v>4203</v>
      </c>
      <c r="E63" s="1" t="s">
        <v>4204</v>
      </c>
      <c r="F63" s="1" t="s">
        <v>4203</v>
      </c>
      <c r="G63" s="1" t="s">
        <v>4205</v>
      </c>
      <c r="H63" s="1" t="s">
        <v>4203</v>
      </c>
      <c r="I63" s="1" t="s">
        <v>7510</v>
      </c>
      <c r="J63" s="1" t="s">
        <v>5247</v>
      </c>
      <c r="K63" s="1">
        <v>5</v>
      </c>
      <c r="L63" s="1" t="s">
        <v>4206</v>
      </c>
      <c r="M63" s="1">
        <v>6</v>
      </c>
      <c r="N63" s="1" t="s">
        <v>4207</v>
      </c>
    </row>
    <row r="64" spans="1:14" x14ac:dyDescent="0.15">
      <c r="A64" s="1">
        <v>12</v>
      </c>
      <c r="B64" s="1" t="s">
        <v>4203</v>
      </c>
      <c r="C64" s="1" t="s">
        <v>4204</v>
      </c>
      <c r="D64" s="1" t="s">
        <v>4203</v>
      </c>
      <c r="E64" s="1" t="s">
        <v>4204</v>
      </c>
      <c r="F64" s="1" t="s">
        <v>4203</v>
      </c>
      <c r="G64" s="1" t="s">
        <v>4205</v>
      </c>
      <c r="H64" s="1" t="s">
        <v>4203</v>
      </c>
      <c r="I64" s="1" t="s">
        <v>7513</v>
      </c>
      <c r="J64" s="1" t="s">
        <v>4232</v>
      </c>
      <c r="K64" s="1">
        <v>5</v>
      </c>
      <c r="L64" s="1" t="s">
        <v>4206</v>
      </c>
      <c r="M64" s="1">
        <v>6</v>
      </c>
      <c r="N64" s="1" t="s">
        <v>4207</v>
      </c>
    </row>
    <row r="65" spans="1:14" x14ac:dyDescent="0.15">
      <c r="A65" s="1">
        <v>12</v>
      </c>
      <c r="B65" s="1" t="s">
        <v>4203</v>
      </c>
      <c r="C65" s="1" t="s">
        <v>4204</v>
      </c>
      <c r="D65" s="1" t="s">
        <v>4203</v>
      </c>
      <c r="E65" s="1" t="s">
        <v>4204</v>
      </c>
      <c r="F65" s="1" t="s">
        <v>4203</v>
      </c>
      <c r="G65" s="1" t="s">
        <v>4205</v>
      </c>
      <c r="H65" s="1" t="s">
        <v>4203</v>
      </c>
      <c r="I65" s="1" t="s">
        <v>12847</v>
      </c>
      <c r="J65" s="1" t="s">
        <v>12848</v>
      </c>
      <c r="K65" s="1">
        <v>5</v>
      </c>
      <c r="L65" s="1" t="s">
        <v>4206</v>
      </c>
      <c r="M65" s="1">
        <v>6</v>
      </c>
      <c r="N65" s="1" t="s">
        <v>4207</v>
      </c>
    </row>
    <row r="66" spans="1:14" x14ac:dyDescent="0.15">
      <c r="A66" s="1">
        <v>12</v>
      </c>
      <c r="B66" s="1" t="s">
        <v>4203</v>
      </c>
      <c r="C66" s="1" t="s">
        <v>4204</v>
      </c>
      <c r="D66" s="1" t="s">
        <v>4203</v>
      </c>
      <c r="E66" s="1" t="s">
        <v>4204</v>
      </c>
      <c r="F66" s="1" t="s">
        <v>4203</v>
      </c>
      <c r="G66" s="1" t="s">
        <v>4205</v>
      </c>
      <c r="H66" s="1" t="s">
        <v>4203</v>
      </c>
      <c r="I66" s="1" t="s">
        <v>12879</v>
      </c>
      <c r="J66" s="1" t="s">
        <v>4269</v>
      </c>
      <c r="K66" s="1">
        <v>5</v>
      </c>
      <c r="L66" s="1" t="s">
        <v>4206</v>
      </c>
      <c r="M66" s="1">
        <v>6</v>
      </c>
      <c r="N66" s="1" t="s">
        <v>4207</v>
      </c>
    </row>
    <row r="67" spans="1:14" x14ac:dyDescent="0.15">
      <c r="A67" s="1">
        <v>12</v>
      </c>
      <c r="B67" s="1" t="s">
        <v>4203</v>
      </c>
      <c r="C67" s="1" t="s">
        <v>4204</v>
      </c>
      <c r="D67" s="1" t="s">
        <v>4203</v>
      </c>
      <c r="E67" s="1" t="s">
        <v>4204</v>
      </c>
      <c r="F67" s="1" t="s">
        <v>4203</v>
      </c>
      <c r="G67" s="1" t="s">
        <v>4270</v>
      </c>
      <c r="H67" s="1" t="s">
        <v>4271</v>
      </c>
      <c r="I67" s="1" t="s">
        <v>7510</v>
      </c>
      <c r="J67" s="1" t="s">
        <v>4272</v>
      </c>
      <c r="K67" s="1">
        <v>5</v>
      </c>
      <c r="L67" s="1" t="s">
        <v>4206</v>
      </c>
      <c r="M67" s="1">
        <v>6</v>
      </c>
      <c r="N67" s="1" t="s">
        <v>4207</v>
      </c>
    </row>
    <row r="68" spans="1:14" x14ac:dyDescent="0.15">
      <c r="A68" s="1">
        <v>12</v>
      </c>
      <c r="B68" s="1" t="s">
        <v>4203</v>
      </c>
      <c r="C68" s="1" t="s">
        <v>4204</v>
      </c>
      <c r="D68" s="1" t="s">
        <v>4203</v>
      </c>
      <c r="E68" s="1" t="s">
        <v>4204</v>
      </c>
      <c r="F68" s="1" t="s">
        <v>4203</v>
      </c>
      <c r="G68" s="1" t="s">
        <v>4270</v>
      </c>
      <c r="H68" s="1" t="s">
        <v>4271</v>
      </c>
      <c r="I68" s="1" t="s">
        <v>7513</v>
      </c>
      <c r="J68" s="1" t="s">
        <v>4232</v>
      </c>
      <c r="K68" s="1">
        <v>5</v>
      </c>
      <c r="L68" s="1" t="s">
        <v>4206</v>
      </c>
      <c r="M68" s="1">
        <v>6</v>
      </c>
      <c r="N68" s="1" t="s">
        <v>4207</v>
      </c>
    </row>
    <row r="69" spans="1:14" x14ac:dyDescent="0.15">
      <c r="A69" s="1">
        <v>12</v>
      </c>
      <c r="B69" s="1" t="s">
        <v>4203</v>
      </c>
      <c r="C69" s="1" t="s">
        <v>4204</v>
      </c>
      <c r="D69" s="1" t="s">
        <v>4203</v>
      </c>
      <c r="E69" s="1" t="s">
        <v>4204</v>
      </c>
      <c r="F69" s="1" t="s">
        <v>4203</v>
      </c>
      <c r="G69" s="1" t="s">
        <v>4270</v>
      </c>
      <c r="H69" s="1" t="s">
        <v>4271</v>
      </c>
      <c r="I69" s="1" t="s">
        <v>12847</v>
      </c>
      <c r="J69" s="1" t="s">
        <v>12848</v>
      </c>
      <c r="K69" s="1">
        <v>5</v>
      </c>
      <c r="L69" s="1" t="s">
        <v>4206</v>
      </c>
      <c r="M69" s="1">
        <v>6</v>
      </c>
      <c r="N69" s="1" t="s">
        <v>4207</v>
      </c>
    </row>
    <row r="70" spans="1:14" x14ac:dyDescent="0.15">
      <c r="A70" s="1">
        <v>12</v>
      </c>
      <c r="B70" s="1" t="s">
        <v>4203</v>
      </c>
      <c r="C70" s="1" t="s">
        <v>4204</v>
      </c>
      <c r="D70" s="1" t="s">
        <v>4203</v>
      </c>
      <c r="E70" s="1" t="s">
        <v>4204</v>
      </c>
      <c r="F70" s="1" t="s">
        <v>4203</v>
      </c>
      <c r="G70" s="1" t="s">
        <v>4270</v>
      </c>
      <c r="H70" s="1" t="s">
        <v>4271</v>
      </c>
      <c r="I70" s="1" t="s">
        <v>12867</v>
      </c>
      <c r="J70" s="1" t="s">
        <v>12868</v>
      </c>
      <c r="K70" s="1">
        <v>5</v>
      </c>
      <c r="L70" s="1" t="s">
        <v>4206</v>
      </c>
      <c r="M70" s="1">
        <v>6</v>
      </c>
      <c r="N70" s="1" t="s">
        <v>4207</v>
      </c>
    </row>
    <row r="71" spans="1:14" x14ac:dyDescent="0.15">
      <c r="A71" s="1">
        <v>12</v>
      </c>
      <c r="B71" s="1" t="s">
        <v>4203</v>
      </c>
      <c r="C71" s="1" t="s">
        <v>4204</v>
      </c>
      <c r="D71" s="1" t="s">
        <v>4203</v>
      </c>
      <c r="E71" s="1" t="s">
        <v>4204</v>
      </c>
      <c r="F71" s="1" t="s">
        <v>4203</v>
      </c>
      <c r="G71" s="1" t="s">
        <v>4270</v>
      </c>
      <c r="H71" s="1" t="s">
        <v>4271</v>
      </c>
      <c r="I71" s="1" t="s">
        <v>12875</v>
      </c>
      <c r="J71" s="1" t="s">
        <v>12876</v>
      </c>
      <c r="K71" s="1">
        <v>5</v>
      </c>
      <c r="L71" s="1" t="s">
        <v>4206</v>
      </c>
      <c r="M71" s="1">
        <v>6</v>
      </c>
      <c r="N71" s="1" t="s">
        <v>4207</v>
      </c>
    </row>
    <row r="72" spans="1:14" x14ac:dyDescent="0.15">
      <c r="A72" s="1">
        <v>12</v>
      </c>
      <c r="B72" s="1" t="s">
        <v>4203</v>
      </c>
      <c r="C72" s="1" t="s">
        <v>4204</v>
      </c>
      <c r="D72" s="1" t="s">
        <v>4203</v>
      </c>
      <c r="E72" s="1" t="s">
        <v>4204</v>
      </c>
      <c r="F72" s="1" t="s">
        <v>4203</v>
      </c>
      <c r="G72" s="1" t="s">
        <v>4270</v>
      </c>
      <c r="H72" s="1" t="s">
        <v>4271</v>
      </c>
      <c r="I72" s="1" t="s">
        <v>7579</v>
      </c>
      <c r="J72" s="1" t="s">
        <v>4208</v>
      </c>
      <c r="K72" s="1">
        <v>5</v>
      </c>
      <c r="L72" s="1" t="s">
        <v>4206</v>
      </c>
      <c r="M72" s="1">
        <v>6</v>
      </c>
      <c r="N72" s="1" t="s">
        <v>4207</v>
      </c>
    </row>
    <row r="73" spans="1:14" x14ac:dyDescent="0.15">
      <c r="A73" s="1">
        <v>12</v>
      </c>
      <c r="B73" s="1" t="s">
        <v>4203</v>
      </c>
      <c r="C73" s="1" t="s">
        <v>4204</v>
      </c>
      <c r="D73" s="1" t="s">
        <v>4203</v>
      </c>
      <c r="E73" s="1" t="s">
        <v>4204</v>
      </c>
      <c r="F73" s="1" t="s">
        <v>4203</v>
      </c>
      <c r="G73" s="1" t="s">
        <v>4270</v>
      </c>
      <c r="H73" s="1" t="s">
        <v>4271</v>
      </c>
      <c r="I73" s="1" t="s">
        <v>12879</v>
      </c>
      <c r="J73" s="1" t="s">
        <v>4269</v>
      </c>
      <c r="K73" s="1">
        <v>5</v>
      </c>
      <c r="L73" s="1" t="s">
        <v>4206</v>
      </c>
      <c r="M73" s="1">
        <v>6</v>
      </c>
      <c r="N73" s="1" t="s">
        <v>4207</v>
      </c>
    </row>
    <row r="74" spans="1:14" x14ac:dyDescent="0.15">
      <c r="A74" s="1">
        <v>12</v>
      </c>
      <c r="B74" s="1" t="s">
        <v>4203</v>
      </c>
      <c r="C74" s="1" t="s">
        <v>4204</v>
      </c>
      <c r="D74" s="1" t="s">
        <v>4203</v>
      </c>
      <c r="E74" s="1" t="s">
        <v>4204</v>
      </c>
      <c r="F74" s="1" t="s">
        <v>4203</v>
      </c>
      <c r="G74" s="1" t="s">
        <v>4273</v>
      </c>
      <c r="H74" s="1" t="s">
        <v>4274</v>
      </c>
      <c r="I74" s="1" t="s">
        <v>7510</v>
      </c>
      <c r="J74" s="1" t="s">
        <v>4272</v>
      </c>
      <c r="K74" s="1">
        <v>5</v>
      </c>
      <c r="L74" s="1" t="s">
        <v>4206</v>
      </c>
      <c r="M74" s="1">
        <v>6</v>
      </c>
      <c r="N74" s="1" t="s">
        <v>4207</v>
      </c>
    </row>
    <row r="75" spans="1:14" x14ac:dyDescent="0.15">
      <c r="A75" s="1">
        <v>12</v>
      </c>
      <c r="B75" s="1" t="s">
        <v>4203</v>
      </c>
      <c r="C75" s="1" t="s">
        <v>4204</v>
      </c>
      <c r="D75" s="1" t="s">
        <v>4203</v>
      </c>
      <c r="E75" s="1" t="s">
        <v>4204</v>
      </c>
      <c r="F75" s="1" t="s">
        <v>4203</v>
      </c>
      <c r="G75" s="1" t="s">
        <v>4273</v>
      </c>
      <c r="H75" s="1" t="s">
        <v>4274</v>
      </c>
      <c r="I75" s="1" t="s">
        <v>12847</v>
      </c>
      <c r="J75" s="1" t="s">
        <v>12848</v>
      </c>
      <c r="K75" s="1">
        <v>5</v>
      </c>
      <c r="L75" s="1" t="s">
        <v>4206</v>
      </c>
      <c r="M75" s="1">
        <v>6</v>
      </c>
      <c r="N75" s="1" t="s">
        <v>4207</v>
      </c>
    </row>
    <row r="76" spans="1:14" x14ac:dyDescent="0.15">
      <c r="A76" s="1">
        <v>12</v>
      </c>
      <c r="B76" s="1" t="s">
        <v>4203</v>
      </c>
      <c r="C76" s="1" t="s">
        <v>4204</v>
      </c>
      <c r="D76" s="1" t="s">
        <v>4203</v>
      </c>
      <c r="E76" s="1" t="s">
        <v>4204</v>
      </c>
      <c r="F76" s="1" t="s">
        <v>4203</v>
      </c>
      <c r="G76" s="1" t="s">
        <v>4273</v>
      </c>
      <c r="H76" s="1" t="s">
        <v>4274</v>
      </c>
      <c r="I76" s="1" t="s">
        <v>12867</v>
      </c>
      <c r="J76" s="1" t="s">
        <v>12868</v>
      </c>
      <c r="K76" s="1">
        <v>5</v>
      </c>
      <c r="L76" s="1" t="s">
        <v>4206</v>
      </c>
      <c r="M76" s="1">
        <v>6</v>
      </c>
      <c r="N76" s="1" t="s">
        <v>4207</v>
      </c>
    </row>
    <row r="77" spans="1:14" x14ac:dyDescent="0.15">
      <c r="A77" s="1">
        <v>12</v>
      </c>
      <c r="B77" s="1" t="s">
        <v>4203</v>
      </c>
      <c r="C77" s="1" t="s">
        <v>4204</v>
      </c>
      <c r="D77" s="1" t="s">
        <v>4203</v>
      </c>
      <c r="E77" s="1" t="s">
        <v>4204</v>
      </c>
      <c r="F77" s="1" t="s">
        <v>4203</v>
      </c>
      <c r="G77" s="1" t="s">
        <v>4273</v>
      </c>
      <c r="H77" s="1" t="s">
        <v>4274</v>
      </c>
      <c r="I77" s="1" t="s">
        <v>12875</v>
      </c>
      <c r="J77" s="1" t="s">
        <v>12876</v>
      </c>
      <c r="K77" s="1">
        <v>5</v>
      </c>
      <c r="L77" s="1" t="s">
        <v>4206</v>
      </c>
      <c r="M77" s="1">
        <v>6</v>
      </c>
      <c r="N77" s="1" t="s">
        <v>4207</v>
      </c>
    </row>
    <row r="78" spans="1:14" x14ac:dyDescent="0.15">
      <c r="A78" s="1">
        <v>12</v>
      </c>
      <c r="B78" s="1" t="s">
        <v>4203</v>
      </c>
      <c r="C78" s="1" t="s">
        <v>4204</v>
      </c>
      <c r="D78" s="1" t="s">
        <v>4203</v>
      </c>
      <c r="E78" s="1" t="s">
        <v>4204</v>
      </c>
      <c r="F78" s="1" t="s">
        <v>4203</v>
      </c>
      <c r="G78" s="1" t="s">
        <v>4273</v>
      </c>
      <c r="H78" s="1" t="s">
        <v>4274</v>
      </c>
      <c r="I78" s="1" t="s">
        <v>7579</v>
      </c>
      <c r="J78" s="1" t="s">
        <v>4208</v>
      </c>
      <c r="K78" s="1">
        <v>5</v>
      </c>
      <c r="L78" s="1" t="s">
        <v>4206</v>
      </c>
      <c r="M78" s="1">
        <v>6</v>
      </c>
      <c r="N78" s="1" t="s">
        <v>4207</v>
      </c>
    </row>
    <row r="79" spans="1:14" x14ac:dyDescent="0.15">
      <c r="A79" s="1">
        <v>12</v>
      </c>
      <c r="B79" s="1" t="s">
        <v>4203</v>
      </c>
      <c r="C79" s="1" t="s">
        <v>4204</v>
      </c>
      <c r="D79" s="1" t="s">
        <v>4203</v>
      </c>
      <c r="E79" s="1" t="s">
        <v>4204</v>
      </c>
      <c r="F79" s="1" t="s">
        <v>4203</v>
      </c>
      <c r="G79" s="1" t="s">
        <v>4273</v>
      </c>
      <c r="H79" s="1" t="s">
        <v>4274</v>
      </c>
      <c r="I79" s="1" t="s">
        <v>12879</v>
      </c>
      <c r="J79" s="1" t="s">
        <v>4269</v>
      </c>
      <c r="K79" s="1">
        <v>5</v>
      </c>
      <c r="L79" s="1" t="s">
        <v>4206</v>
      </c>
      <c r="M79" s="1">
        <v>6</v>
      </c>
      <c r="N79" s="1" t="s">
        <v>4207</v>
      </c>
    </row>
    <row r="80" spans="1:14" x14ac:dyDescent="0.15">
      <c r="A80" s="1">
        <v>13</v>
      </c>
      <c r="B80" s="1" t="s">
        <v>4275</v>
      </c>
      <c r="C80" s="1" t="s">
        <v>4276</v>
      </c>
      <c r="D80" s="1" t="s">
        <v>4275</v>
      </c>
      <c r="E80" s="1" t="s">
        <v>4276</v>
      </c>
      <c r="F80" s="1" t="s">
        <v>4275</v>
      </c>
      <c r="G80" s="1" t="s">
        <v>4277</v>
      </c>
      <c r="H80" s="1" t="s">
        <v>4275</v>
      </c>
      <c r="I80" s="1" t="s">
        <v>11879</v>
      </c>
      <c r="J80" s="1" t="s">
        <v>4278</v>
      </c>
      <c r="K80" s="1">
        <v>2</v>
      </c>
      <c r="L80" s="1" t="s">
        <v>4193</v>
      </c>
      <c r="M80" s="1">
        <v>4</v>
      </c>
      <c r="N80" s="1" t="s">
        <v>4194</v>
      </c>
    </row>
    <row r="81" spans="1:14" x14ac:dyDescent="0.15">
      <c r="A81" s="1">
        <v>325</v>
      </c>
      <c r="B81" s="1" t="s">
        <v>4256</v>
      </c>
      <c r="C81" s="1" t="s">
        <v>4257</v>
      </c>
      <c r="D81" s="1" t="s">
        <v>4256</v>
      </c>
      <c r="E81" s="1" t="s">
        <v>4257</v>
      </c>
      <c r="F81" s="1" t="s">
        <v>4256</v>
      </c>
      <c r="G81" s="1" t="s">
        <v>4258</v>
      </c>
      <c r="H81" s="1" t="s">
        <v>4256</v>
      </c>
      <c r="I81" s="1" t="s">
        <v>7144</v>
      </c>
      <c r="J81" s="1" t="s">
        <v>12690</v>
      </c>
      <c r="K81" s="1">
        <v>1</v>
      </c>
      <c r="L81" s="1" t="s">
        <v>4259</v>
      </c>
      <c r="M81" s="1">
        <v>8</v>
      </c>
      <c r="N81" s="1" t="s">
        <v>4255</v>
      </c>
    </row>
    <row r="82" spans="1:14" x14ac:dyDescent="0.15">
      <c r="A82" s="1">
        <v>623</v>
      </c>
      <c r="B82" s="1" t="s">
        <v>14214</v>
      </c>
      <c r="C82" s="1" t="s">
        <v>4279</v>
      </c>
      <c r="D82" s="1" t="s">
        <v>14214</v>
      </c>
      <c r="E82" s="1" t="s">
        <v>4279</v>
      </c>
      <c r="F82" s="1" t="s">
        <v>14214</v>
      </c>
      <c r="G82" s="1" t="s">
        <v>4280</v>
      </c>
      <c r="H82" s="1" t="s">
        <v>4281</v>
      </c>
      <c r="I82" s="1" t="s">
        <v>14217</v>
      </c>
      <c r="J82" s="1" t="s">
        <v>6305</v>
      </c>
      <c r="K82" s="1">
        <v>3</v>
      </c>
      <c r="L82" s="1" t="s">
        <v>4282</v>
      </c>
      <c r="M82" s="1">
        <v>2</v>
      </c>
      <c r="N82" s="1" t="s">
        <v>4283</v>
      </c>
    </row>
    <row r="83" spans="1:14" x14ac:dyDescent="0.15">
      <c r="A83" s="1">
        <v>13</v>
      </c>
      <c r="B83" s="1" t="s">
        <v>4275</v>
      </c>
      <c r="C83" s="1" t="s">
        <v>4276</v>
      </c>
      <c r="D83" s="1" t="s">
        <v>4275</v>
      </c>
      <c r="E83" s="1" t="s">
        <v>4284</v>
      </c>
      <c r="F83" s="1" t="s">
        <v>4285</v>
      </c>
      <c r="G83" s="1" t="s">
        <v>4286</v>
      </c>
      <c r="H83" s="1" t="s">
        <v>4285</v>
      </c>
      <c r="I83" s="1" t="s">
        <v>12907</v>
      </c>
      <c r="J83" s="1" t="s">
        <v>5294</v>
      </c>
      <c r="K83" s="1">
        <v>2</v>
      </c>
      <c r="L83" s="1" t="s">
        <v>4193</v>
      </c>
      <c r="M83" s="1">
        <v>4</v>
      </c>
      <c r="N83" s="1" t="s">
        <v>4194</v>
      </c>
    </row>
    <row r="84" spans="1:14" x14ac:dyDescent="0.15">
      <c r="A84" s="1">
        <v>13</v>
      </c>
      <c r="B84" s="1" t="s">
        <v>4275</v>
      </c>
      <c r="C84" s="1" t="s">
        <v>4276</v>
      </c>
      <c r="D84" s="1" t="s">
        <v>4275</v>
      </c>
      <c r="E84" s="1" t="s">
        <v>4284</v>
      </c>
      <c r="F84" s="1" t="s">
        <v>4285</v>
      </c>
      <c r="G84" s="1" t="s">
        <v>4286</v>
      </c>
      <c r="H84" s="1" t="s">
        <v>4285</v>
      </c>
      <c r="I84" s="1" t="s">
        <v>12910</v>
      </c>
      <c r="J84" s="1" t="s">
        <v>4287</v>
      </c>
      <c r="K84" s="1">
        <v>2</v>
      </c>
      <c r="L84" s="1" t="s">
        <v>4193</v>
      </c>
      <c r="M84" s="1">
        <v>4</v>
      </c>
      <c r="N84" s="1" t="s">
        <v>4194</v>
      </c>
    </row>
    <row r="85" spans="1:14" x14ac:dyDescent="0.15">
      <c r="A85" s="1">
        <v>13</v>
      </c>
      <c r="B85" s="1" t="s">
        <v>4275</v>
      </c>
      <c r="C85" s="1" t="s">
        <v>4276</v>
      </c>
      <c r="D85" s="1" t="s">
        <v>4275</v>
      </c>
      <c r="E85" s="1" t="s">
        <v>4288</v>
      </c>
      <c r="F85" s="1" t="s">
        <v>4289</v>
      </c>
      <c r="G85" s="1" t="s">
        <v>4290</v>
      </c>
      <c r="H85" s="1" t="s">
        <v>4289</v>
      </c>
      <c r="I85" s="1" t="s">
        <v>12907</v>
      </c>
      <c r="J85" s="1" t="s">
        <v>5294</v>
      </c>
      <c r="K85" s="1">
        <v>2</v>
      </c>
      <c r="L85" s="1" t="s">
        <v>4193</v>
      </c>
      <c r="M85" s="1">
        <v>4</v>
      </c>
      <c r="N85" s="1" t="s">
        <v>4194</v>
      </c>
    </row>
    <row r="86" spans="1:14" x14ac:dyDescent="0.15">
      <c r="A86" s="1">
        <v>13</v>
      </c>
      <c r="B86" s="1" t="s">
        <v>4275</v>
      </c>
      <c r="C86" s="1" t="s">
        <v>4276</v>
      </c>
      <c r="D86" s="1" t="s">
        <v>4275</v>
      </c>
      <c r="E86" s="1" t="s">
        <v>4288</v>
      </c>
      <c r="F86" s="1" t="s">
        <v>4289</v>
      </c>
      <c r="G86" s="1" t="s">
        <v>4290</v>
      </c>
      <c r="H86" s="1" t="s">
        <v>4289</v>
      </c>
      <c r="I86" s="1" t="s">
        <v>7613</v>
      </c>
      <c r="J86" s="1" t="s">
        <v>4291</v>
      </c>
      <c r="K86" s="1">
        <v>2</v>
      </c>
      <c r="L86" s="1" t="s">
        <v>4193</v>
      </c>
      <c r="M86" s="1">
        <v>4</v>
      </c>
      <c r="N86" s="1" t="s">
        <v>4194</v>
      </c>
    </row>
    <row r="87" spans="1:14" x14ac:dyDescent="0.15">
      <c r="A87" s="1">
        <v>13</v>
      </c>
      <c r="B87" s="1" t="s">
        <v>4275</v>
      </c>
      <c r="C87" s="1" t="s">
        <v>4276</v>
      </c>
      <c r="D87" s="1" t="s">
        <v>4275</v>
      </c>
      <c r="E87" s="1" t="s">
        <v>4292</v>
      </c>
      <c r="F87" s="1" t="s">
        <v>4293</v>
      </c>
      <c r="G87" s="1" t="s">
        <v>4294</v>
      </c>
      <c r="H87" s="1" t="s">
        <v>4293</v>
      </c>
      <c r="I87" s="1" t="s">
        <v>12907</v>
      </c>
      <c r="J87" s="1" t="s">
        <v>5294</v>
      </c>
      <c r="K87" s="1">
        <v>2</v>
      </c>
      <c r="L87" s="1" t="s">
        <v>4193</v>
      </c>
      <c r="M87" s="1">
        <v>4</v>
      </c>
      <c r="N87" s="1" t="s">
        <v>4194</v>
      </c>
    </row>
    <row r="88" spans="1:14" x14ac:dyDescent="0.15">
      <c r="A88" s="1">
        <v>13</v>
      </c>
      <c r="B88" s="1" t="s">
        <v>4275</v>
      </c>
      <c r="C88" s="1" t="s">
        <v>4276</v>
      </c>
      <c r="D88" s="1" t="s">
        <v>4275</v>
      </c>
      <c r="E88" s="1" t="s">
        <v>4292</v>
      </c>
      <c r="F88" s="1" t="s">
        <v>4293</v>
      </c>
      <c r="G88" s="1" t="s">
        <v>4294</v>
      </c>
      <c r="H88" s="1" t="s">
        <v>4293</v>
      </c>
      <c r="I88" s="1" t="s">
        <v>12910</v>
      </c>
      <c r="J88" s="1" t="s">
        <v>4287</v>
      </c>
      <c r="K88" s="1">
        <v>2</v>
      </c>
      <c r="L88" s="1" t="s">
        <v>4193</v>
      </c>
      <c r="M88" s="1">
        <v>4</v>
      </c>
      <c r="N88" s="1" t="s">
        <v>4194</v>
      </c>
    </row>
    <row r="89" spans="1:14" x14ac:dyDescent="0.15">
      <c r="A89" s="1">
        <v>13</v>
      </c>
      <c r="B89" s="1" t="s">
        <v>4275</v>
      </c>
      <c r="C89" s="1" t="s">
        <v>4276</v>
      </c>
      <c r="D89" s="1" t="s">
        <v>4275</v>
      </c>
      <c r="E89" s="1" t="s">
        <v>4292</v>
      </c>
      <c r="F89" s="1" t="s">
        <v>4293</v>
      </c>
      <c r="G89" s="1" t="s">
        <v>4294</v>
      </c>
      <c r="H89" s="1" t="s">
        <v>4293</v>
      </c>
      <c r="I89" s="1" t="s">
        <v>7610</v>
      </c>
      <c r="J89" s="1" t="s">
        <v>4295</v>
      </c>
      <c r="K89" s="1">
        <v>2</v>
      </c>
      <c r="L89" s="1" t="s">
        <v>4193</v>
      </c>
      <c r="M89" s="1">
        <v>4</v>
      </c>
      <c r="N89" s="1" t="s">
        <v>4194</v>
      </c>
    </row>
    <row r="90" spans="1:14" x14ac:dyDescent="0.15">
      <c r="A90" s="1">
        <v>14</v>
      </c>
      <c r="B90" s="1" t="s">
        <v>4296</v>
      </c>
      <c r="C90" s="1" t="s">
        <v>4297</v>
      </c>
      <c r="D90" s="1" t="s">
        <v>4296</v>
      </c>
      <c r="E90" s="1" t="s">
        <v>4297</v>
      </c>
      <c r="F90" s="1" t="s">
        <v>4296</v>
      </c>
      <c r="G90" s="1" t="s">
        <v>4298</v>
      </c>
      <c r="H90" s="1" t="s">
        <v>4296</v>
      </c>
      <c r="I90" s="1" t="s">
        <v>12722</v>
      </c>
      <c r="J90" s="1" t="s">
        <v>5225</v>
      </c>
      <c r="K90" s="1">
        <v>2</v>
      </c>
      <c r="L90" s="1" t="s">
        <v>4193</v>
      </c>
      <c r="M90" s="1">
        <v>4</v>
      </c>
      <c r="N90" s="1" t="s">
        <v>4194</v>
      </c>
    </row>
    <row r="91" spans="1:14" x14ac:dyDescent="0.15">
      <c r="A91" s="1">
        <v>14</v>
      </c>
      <c r="B91" s="1" t="s">
        <v>4296</v>
      </c>
      <c r="C91" s="1" t="s">
        <v>4297</v>
      </c>
      <c r="D91" s="1" t="s">
        <v>4296</v>
      </c>
      <c r="E91" s="1" t="s">
        <v>4297</v>
      </c>
      <c r="F91" s="1" t="s">
        <v>4296</v>
      </c>
      <c r="G91" s="1" t="s">
        <v>4298</v>
      </c>
      <c r="H91" s="1" t="s">
        <v>4296</v>
      </c>
      <c r="I91" s="1" t="s">
        <v>12730</v>
      </c>
      <c r="J91" s="1" t="s">
        <v>4195</v>
      </c>
      <c r="K91" s="1">
        <v>7</v>
      </c>
      <c r="L91" s="1" t="s">
        <v>4299</v>
      </c>
      <c r="M91" s="1">
        <v>13</v>
      </c>
      <c r="N91" s="1" t="s">
        <v>4300</v>
      </c>
    </row>
    <row r="92" spans="1:14" x14ac:dyDescent="0.15">
      <c r="A92" s="1">
        <v>14</v>
      </c>
      <c r="B92" s="1" t="s">
        <v>4296</v>
      </c>
      <c r="C92" s="1" t="s">
        <v>4297</v>
      </c>
      <c r="D92" s="1" t="s">
        <v>4296</v>
      </c>
      <c r="E92" s="1" t="s">
        <v>4297</v>
      </c>
      <c r="F92" s="1" t="s">
        <v>4296</v>
      </c>
      <c r="G92" s="1" t="s">
        <v>4298</v>
      </c>
      <c r="H92" s="1" t="s">
        <v>4296</v>
      </c>
      <c r="I92" s="1" t="s">
        <v>12746</v>
      </c>
      <c r="J92" s="1" t="s">
        <v>12747</v>
      </c>
      <c r="K92" s="1">
        <v>7</v>
      </c>
      <c r="L92" s="1" t="s">
        <v>4299</v>
      </c>
      <c r="M92" s="1">
        <v>13</v>
      </c>
      <c r="N92" s="1" t="s">
        <v>4300</v>
      </c>
    </row>
    <row r="93" spans="1:14" x14ac:dyDescent="0.15">
      <c r="A93" s="1">
        <v>15</v>
      </c>
      <c r="B93" s="1" t="s">
        <v>4301</v>
      </c>
      <c r="C93" s="1" t="s">
        <v>4302</v>
      </c>
      <c r="D93" s="1" t="s">
        <v>4301</v>
      </c>
      <c r="E93" s="1" t="s">
        <v>4302</v>
      </c>
      <c r="F93" s="1" t="s">
        <v>4301</v>
      </c>
      <c r="G93" s="1" t="s">
        <v>4303</v>
      </c>
      <c r="H93" s="1" t="s">
        <v>4301</v>
      </c>
      <c r="I93" s="1" t="s">
        <v>12734</v>
      </c>
      <c r="J93" s="1" t="s">
        <v>4260</v>
      </c>
      <c r="K93" s="1">
        <v>11</v>
      </c>
      <c r="L93" s="1" t="s">
        <v>4227</v>
      </c>
      <c r="M93" s="1">
        <v>14</v>
      </c>
      <c r="N93" s="1" t="s">
        <v>4220</v>
      </c>
    </row>
    <row r="94" spans="1:14" x14ac:dyDescent="0.15">
      <c r="A94" s="1">
        <v>16</v>
      </c>
      <c r="B94" s="1" t="s">
        <v>4304</v>
      </c>
      <c r="C94" s="1" t="s">
        <v>4305</v>
      </c>
      <c r="D94" s="1" t="s">
        <v>4304</v>
      </c>
      <c r="E94" s="1" t="s">
        <v>4305</v>
      </c>
      <c r="F94" s="1" t="s">
        <v>4304</v>
      </c>
      <c r="G94" s="1" t="s">
        <v>4306</v>
      </c>
      <c r="H94" s="1" t="s">
        <v>4304</v>
      </c>
      <c r="I94" s="1" t="s">
        <v>14657</v>
      </c>
      <c r="J94" s="1" t="s">
        <v>14654</v>
      </c>
      <c r="K94" s="1">
        <v>14</v>
      </c>
      <c r="L94" s="1" t="s">
        <v>4307</v>
      </c>
      <c r="M94" s="1">
        <v>16</v>
      </c>
      <c r="N94" s="1" t="s">
        <v>4308</v>
      </c>
    </row>
    <row r="95" spans="1:14" x14ac:dyDescent="0.15">
      <c r="A95" s="1">
        <v>16</v>
      </c>
      <c r="B95" s="1" t="s">
        <v>4304</v>
      </c>
      <c r="C95" s="1" t="s">
        <v>4305</v>
      </c>
      <c r="D95" s="1" t="s">
        <v>4304</v>
      </c>
      <c r="E95" s="1" t="s">
        <v>4305</v>
      </c>
      <c r="F95" s="1" t="s">
        <v>4304</v>
      </c>
      <c r="G95" s="1" t="s">
        <v>4306</v>
      </c>
      <c r="H95" s="1" t="s">
        <v>4304</v>
      </c>
      <c r="I95" s="1" t="s">
        <v>14565</v>
      </c>
      <c r="J95" s="1" t="s">
        <v>4309</v>
      </c>
      <c r="K95" s="1">
        <v>14</v>
      </c>
      <c r="L95" s="1" t="s">
        <v>4307</v>
      </c>
      <c r="M95" s="1">
        <v>16</v>
      </c>
      <c r="N95" s="1" t="s">
        <v>4308</v>
      </c>
    </row>
    <row r="96" spans="1:14" x14ac:dyDescent="0.15">
      <c r="A96" s="1">
        <v>16</v>
      </c>
      <c r="B96" s="1" t="s">
        <v>4304</v>
      </c>
      <c r="C96" s="1" t="s">
        <v>4305</v>
      </c>
      <c r="D96" s="1" t="s">
        <v>4304</v>
      </c>
      <c r="E96" s="1" t="s">
        <v>4305</v>
      </c>
      <c r="F96" s="1" t="s">
        <v>4304</v>
      </c>
      <c r="G96" s="1" t="s">
        <v>4306</v>
      </c>
      <c r="H96" s="1" t="s">
        <v>4304</v>
      </c>
      <c r="I96" s="1" t="s">
        <v>14573</v>
      </c>
      <c r="J96" s="1" t="s">
        <v>4310</v>
      </c>
      <c r="K96" s="1">
        <v>14</v>
      </c>
      <c r="L96" s="1" t="s">
        <v>4307</v>
      </c>
      <c r="M96" s="1">
        <v>16</v>
      </c>
      <c r="N96" s="1" t="s">
        <v>4308</v>
      </c>
    </row>
    <row r="97" spans="1:14" x14ac:dyDescent="0.15">
      <c r="A97" s="1">
        <v>16</v>
      </c>
      <c r="B97" s="1" t="s">
        <v>4304</v>
      </c>
      <c r="C97" s="1" t="s">
        <v>4305</v>
      </c>
      <c r="D97" s="1" t="s">
        <v>4304</v>
      </c>
      <c r="E97" s="1" t="s">
        <v>4305</v>
      </c>
      <c r="F97" s="1" t="s">
        <v>4304</v>
      </c>
      <c r="G97" s="1" t="s">
        <v>4306</v>
      </c>
      <c r="H97" s="1" t="s">
        <v>4304</v>
      </c>
      <c r="I97" s="1" t="s">
        <v>12722</v>
      </c>
      <c r="J97" s="1" t="s">
        <v>5225</v>
      </c>
      <c r="K97" s="1">
        <v>14</v>
      </c>
      <c r="L97" s="1" t="s">
        <v>4307</v>
      </c>
      <c r="M97" s="1">
        <v>16</v>
      </c>
      <c r="N97" s="1" t="s">
        <v>4308</v>
      </c>
    </row>
    <row r="98" spans="1:14" x14ac:dyDescent="0.15">
      <c r="A98" s="1">
        <v>16</v>
      </c>
      <c r="B98" s="1" t="s">
        <v>4304</v>
      </c>
      <c r="C98" s="1" t="s">
        <v>4305</v>
      </c>
      <c r="D98" s="1" t="s">
        <v>4304</v>
      </c>
      <c r="E98" s="1" t="s">
        <v>4305</v>
      </c>
      <c r="F98" s="1" t="s">
        <v>4304</v>
      </c>
      <c r="G98" s="1" t="s">
        <v>4306</v>
      </c>
      <c r="H98" s="1" t="s">
        <v>4304</v>
      </c>
      <c r="I98" s="1" t="s">
        <v>12730</v>
      </c>
      <c r="J98" s="1" t="s">
        <v>4195</v>
      </c>
      <c r="K98" s="1">
        <v>14</v>
      </c>
      <c r="L98" s="1" t="s">
        <v>4307</v>
      </c>
      <c r="M98" s="1">
        <v>16</v>
      </c>
      <c r="N98" s="1" t="s">
        <v>4308</v>
      </c>
    </row>
    <row r="99" spans="1:14" x14ac:dyDescent="0.15">
      <c r="A99" s="1">
        <v>16</v>
      </c>
      <c r="B99" s="1" t="s">
        <v>4304</v>
      </c>
      <c r="C99" s="1" t="s">
        <v>4305</v>
      </c>
      <c r="D99" s="1" t="s">
        <v>4304</v>
      </c>
      <c r="E99" s="1" t="s">
        <v>4305</v>
      </c>
      <c r="F99" s="1" t="s">
        <v>4304</v>
      </c>
      <c r="G99" s="1" t="s">
        <v>4306</v>
      </c>
      <c r="H99" s="1" t="s">
        <v>4304</v>
      </c>
      <c r="I99" s="1" t="s">
        <v>12738</v>
      </c>
      <c r="J99" s="1" t="s">
        <v>12739</v>
      </c>
      <c r="K99" s="1">
        <v>14</v>
      </c>
      <c r="L99" s="1" t="s">
        <v>4307</v>
      </c>
      <c r="M99" s="1">
        <v>16</v>
      </c>
      <c r="N99" s="1" t="s">
        <v>4308</v>
      </c>
    </row>
    <row r="100" spans="1:14" x14ac:dyDescent="0.15">
      <c r="A100" s="1">
        <v>16</v>
      </c>
      <c r="B100" s="1" t="s">
        <v>4304</v>
      </c>
      <c r="C100" s="1" t="s">
        <v>4305</v>
      </c>
      <c r="D100" s="1" t="s">
        <v>4304</v>
      </c>
      <c r="E100" s="1" t="s">
        <v>4305</v>
      </c>
      <c r="F100" s="1" t="s">
        <v>4304</v>
      </c>
      <c r="G100" s="1" t="s">
        <v>4306</v>
      </c>
      <c r="H100" s="1" t="s">
        <v>4304</v>
      </c>
      <c r="I100" s="1" t="s">
        <v>12738</v>
      </c>
      <c r="J100" s="1" t="s">
        <v>4196</v>
      </c>
      <c r="K100" s="1">
        <v>14</v>
      </c>
      <c r="L100" s="1" t="s">
        <v>4307</v>
      </c>
      <c r="M100" s="1">
        <v>16</v>
      </c>
      <c r="N100" s="1" t="s">
        <v>4308</v>
      </c>
    </row>
    <row r="101" spans="1:14" x14ac:dyDescent="0.15">
      <c r="A101" s="1">
        <v>16</v>
      </c>
      <c r="B101" s="1" t="s">
        <v>4304</v>
      </c>
      <c r="C101" s="1" t="s">
        <v>4305</v>
      </c>
      <c r="D101" s="1" t="s">
        <v>4304</v>
      </c>
      <c r="E101" s="1" t="s">
        <v>4305</v>
      </c>
      <c r="F101" s="1" t="s">
        <v>4304</v>
      </c>
      <c r="G101" s="1" t="s">
        <v>4311</v>
      </c>
      <c r="H101" s="1" t="s">
        <v>4312</v>
      </c>
      <c r="I101" s="1" t="s">
        <v>14657</v>
      </c>
      <c r="J101" s="1" t="s">
        <v>14654</v>
      </c>
      <c r="K101" s="1">
        <v>14</v>
      </c>
      <c r="L101" s="1" t="s">
        <v>4307</v>
      </c>
      <c r="M101" s="1">
        <v>16</v>
      </c>
      <c r="N101" s="1" t="s">
        <v>4308</v>
      </c>
    </row>
    <row r="102" spans="1:14" x14ac:dyDescent="0.15">
      <c r="A102" s="1">
        <v>16</v>
      </c>
      <c r="B102" s="1" t="s">
        <v>4304</v>
      </c>
      <c r="C102" s="1" t="s">
        <v>4305</v>
      </c>
      <c r="D102" s="1" t="s">
        <v>4304</v>
      </c>
      <c r="E102" s="1" t="s">
        <v>4305</v>
      </c>
      <c r="F102" s="1" t="s">
        <v>4304</v>
      </c>
      <c r="G102" s="1" t="s">
        <v>4311</v>
      </c>
      <c r="H102" s="1" t="s">
        <v>4312</v>
      </c>
      <c r="I102" s="1" t="s">
        <v>14565</v>
      </c>
      <c r="J102" s="1" t="s">
        <v>4309</v>
      </c>
      <c r="K102" s="1">
        <v>14</v>
      </c>
      <c r="L102" s="1" t="s">
        <v>4307</v>
      </c>
      <c r="M102" s="1">
        <v>16</v>
      </c>
      <c r="N102" s="1" t="s">
        <v>4308</v>
      </c>
    </row>
    <row r="103" spans="1:14" x14ac:dyDescent="0.15">
      <c r="A103" s="1">
        <v>16</v>
      </c>
      <c r="B103" s="1" t="s">
        <v>4304</v>
      </c>
      <c r="C103" s="1" t="s">
        <v>4305</v>
      </c>
      <c r="D103" s="1" t="s">
        <v>4304</v>
      </c>
      <c r="E103" s="1" t="s">
        <v>4305</v>
      </c>
      <c r="F103" s="1" t="s">
        <v>4304</v>
      </c>
      <c r="G103" s="1" t="s">
        <v>4311</v>
      </c>
      <c r="H103" s="1" t="s">
        <v>4312</v>
      </c>
      <c r="I103" s="1" t="s">
        <v>14573</v>
      </c>
      <c r="J103" s="1" t="s">
        <v>4310</v>
      </c>
      <c r="K103" s="1">
        <v>14</v>
      </c>
      <c r="L103" s="1" t="s">
        <v>4307</v>
      </c>
      <c r="M103" s="1">
        <v>16</v>
      </c>
      <c r="N103" s="1" t="s">
        <v>4308</v>
      </c>
    </row>
    <row r="104" spans="1:14" x14ac:dyDescent="0.15">
      <c r="A104" s="1">
        <v>16</v>
      </c>
      <c r="B104" s="1" t="s">
        <v>4304</v>
      </c>
      <c r="C104" s="1" t="s">
        <v>4305</v>
      </c>
      <c r="D104" s="1" t="s">
        <v>4304</v>
      </c>
      <c r="E104" s="1" t="s">
        <v>4305</v>
      </c>
      <c r="F104" s="1" t="s">
        <v>4304</v>
      </c>
      <c r="G104" s="1" t="s">
        <v>4311</v>
      </c>
      <c r="H104" s="1" t="s">
        <v>4312</v>
      </c>
      <c r="I104" s="1" t="s">
        <v>12730</v>
      </c>
      <c r="J104" s="1" t="s">
        <v>4195</v>
      </c>
      <c r="K104" s="1">
        <v>14</v>
      </c>
      <c r="L104" s="1" t="s">
        <v>4307</v>
      </c>
      <c r="M104" s="1">
        <v>16</v>
      </c>
      <c r="N104" s="1" t="s">
        <v>4308</v>
      </c>
    </row>
    <row r="105" spans="1:14" x14ac:dyDescent="0.15">
      <c r="A105" s="1">
        <v>16</v>
      </c>
      <c r="B105" s="1" t="s">
        <v>4304</v>
      </c>
      <c r="C105" s="1" t="s">
        <v>4305</v>
      </c>
      <c r="D105" s="1" t="s">
        <v>4304</v>
      </c>
      <c r="E105" s="1" t="s">
        <v>4305</v>
      </c>
      <c r="F105" s="1" t="s">
        <v>4304</v>
      </c>
      <c r="G105" s="1" t="s">
        <v>4311</v>
      </c>
      <c r="H105" s="1" t="s">
        <v>4312</v>
      </c>
      <c r="I105" s="1" t="s">
        <v>12738</v>
      </c>
      <c r="J105" s="1" t="s">
        <v>12739</v>
      </c>
      <c r="K105" s="1">
        <v>14</v>
      </c>
      <c r="L105" s="1" t="s">
        <v>4307</v>
      </c>
      <c r="M105" s="1">
        <v>16</v>
      </c>
      <c r="N105" s="1" t="s">
        <v>4308</v>
      </c>
    </row>
    <row r="106" spans="1:14" x14ac:dyDescent="0.15">
      <c r="A106" s="1">
        <v>16</v>
      </c>
      <c r="B106" s="1" t="s">
        <v>4304</v>
      </c>
      <c r="C106" s="1" t="s">
        <v>4305</v>
      </c>
      <c r="D106" s="1" t="s">
        <v>4304</v>
      </c>
      <c r="E106" s="1" t="s">
        <v>4305</v>
      </c>
      <c r="F106" s="1" t="s">
        <v>4304</v>
      </c>
      <c r="G106" s="1" t="s">
        <v>4311</v>
      </c>
      <c r="H106" s="1" t="s">
        <v>4312</v>
      </c>
      <c r="I106" s="1" t="s">
        <v>7861</v>
      </c>
      <c r="J106" s="1" t="s">
        <v>4196</v>
      </c>
      <c r="K106" s="1">
        <v>14</v>
      </c>
      <c r="L106" s="1" t="s">
        <v>4307</v>
      </c>
      <c r="M106" s="1">
        <v>16</v>
      </c>
      <c r="N106" s="1" t="s">
        <v>4308</v>
      </c>
    </row>
    <row r="107" spans="1:14" x14ac:dyDescent="0.15">
      <c r="A107" s="1">
        <v>16</v>
      </c>
      <c r="B107" s="1" t="s">
        <v>4304</v>
      </c>
      <c r="C107" s="1" t="s">
        <v>4305</v>
      </c>
      <c r="D107" s="1" t="s">
        <v>4304</v>
      </c>
      <c r="E107" s="1" t="s">
        <v>4305</v>
      </c>
      <c r="F107" s="1" t="s">
        <v>4304</v>
      </c>
      <c r="G107" s="1" t="s">
        <v>4313</v>
      </c>
      <c r="H107" s="1" t="s">
        <v>4314</v>
      </c>
      <c r="I107" s="1" t="s">
        <v>14657</v>
      </c>
      <c r="J107" s="1" t="s">
        <v>14654</v>
      </c>
      <c r="K107" s="1">
        <v>14</v>
      </c>
      <c r="L107" s="1" t="s">
        <v>4307</v>
      </c>
      <c r="M107" s="1">
        <v>16</v>
      </c>
      <c r="N107" s="1" t="s">
        <v>4308</v>
      </c>
    </row>
    <row r="108" spans="1:14" x14ac:dyDescent="0.15">
      <c r="A108" s="1">
        <v>16</v>
      </c>
      <c r="B108" s="1" t="s">
        <v>4304</v>
      </c>
      <c r="C108" s="1" t="s">
        <v>4305</v>
      </c>
      <c r="D108" s="1" t="s">
        <v>4304</v>
      </c>
      <c r="E108" s="1" t="s">
        <v>4305</v>
      </c>
      <c r="F108" s="1" t="s">
        <v>4304</v>
      </c>
      <c r="G108" s="1" t="s">
        <v>4313</v>
      </c>
      <c r="H108" s="1" t="s">
        <v>4314</v>
      </c>
      <c r="I108" s="1" t="s">
        <v>14565</v>
      </c>
      <c r="J108" s="1" t="s">
        <v>4309</v>
      </c>
      <c r="K108" s="1">
        <v>14</v>
      </c>
      <c r="L108" s="1" t="s">
        <v>4307</v>
      </c>
      <c r="M108" s="1">
        <v>16</v>
      </c>
      <c r="N108" s="1" t="s">
        <v>4308</v>
      </c>
    </row>
    <row r="109" spans="1:14" x14ac:dyDescent="0.15">
      <c r="A109" s="1">
        <v>16</v>
      </c>
      <c r="B109" s="1" t="s">
        <v>4304</v>
      </c>
      <c r="C109" s="1" t="s">
        <v>4305</v>
      </c>
      <c r="D109" s="1" t="s">
        <v>4304</v>
      </c>
      <c r="E109" s="1" t="s">
        <v>4305</v>
      </c>
      <c r="F109" s="1" t="s">
        <v>4304</v>
      </c>
      <c r="G109" s="1" t="s">
        <v>4313</v>
      </c>
      <c r="H109" s="1" t="s">
        <v>4314</v>
      </c>
      <c r="I109" s="1" t="s">
        <v>14573</v>
      </c>
      <c r="J109" s="1" t="s">
        <v>4310</v>
      </c>
      <c r="K109" s="1">
        <v>14</v>
      </c>
      <c r="L109" s="1" t="s">
        <v>4307</v>
      </c>
      <c r="M109" s="1">
        <v>16</v>
      </c>
      <c r="N109" s="1" t="s">
        <v>4308</v>
      </c>
    </row>
    <row r="110" spans="1:14" x14ac:dyDescent="0.15">
      <c r="A110" s="1">
        <v>16</v>
      </c>
      <c r="B110" s="1" t="s">
        <v>4304</v>
      </c>
      <c r="C110" s="1" t="s">
        <v>4305</v>
      </c>
      <c r="D110" s="1" t="s">
        <v>4304</v>
      </c>
      <c r="E110" s="1" t="s">
        <v>4305</v>
      </c>
      <c r="F110" s="1" t="s">
        <v>4304</v>
      </c>
      <c r="G110" s="1" t="s">
        <v>4313</v>
      </c>
      <c r="H110" s="1" t="s">
        <v>4314</v>
      </c>
      <c r="I110" s="1" t="s">
        <v>12730</v>
      </c>
      <c r="J110" s="1" t="s">
        <v>4195</v>
      </c>
      <c r="K110" s="1">
        <v>14</v>
      </c>
      <c r="L110" s="1" t="s">
        <v>4307</v>
      </c>
      <c r="M110" s="1">
        <v>16</v>
      </c>
      <c r="N110" s="1" t="s">
        <v>4308</v>
      </c>
    </row>
    <row r="111" spans="1:14" x14ac:dyDescent="0.15">
      <c r="A111" s="1">
        <v>16</v>
      </c>
      <c r="B111" s="1" t="s">
        <v>4304</v>
      </c>
      <c r="C111" s="1" t="s">
        <v>4305</v>
      </c>
      <c r="D111" s="1" t="s">
        <v>4304</v>
      </c>
      <c r="E111" s="1" t="s">
        <v>4305</v>
      </c>
      <c r="F111" s="1" t="s">
        <v>4304</v>
      </c>
      <c r="G111" s="1" t="s">
        <v>4313</v>
      </c>
      <c r="H111" s="1" t="s">
        <v>4314</v>
      </c>
      <c r="I111" s="1" t="s">
        <v>12738</v>
      </c>
      <c r="J111" s="1" t="s">
        <v>12739</v>
      </c>
      <c r="K111" s="1">
        <v>14</v>
      </c>
      <c r="L111" s="1" t="s">
        <v>4307</v>
      </c>
      <c r="M111" s="1">
        <v>16</v>
      </c>
      <c r="N111" s="1" t="s">
        <v>4308</v>
      </c>
    </row>
    <row r="112" spans="1:14" x14ac:dyDescent="0.15">
      <c r="A112" s="1">
        <v>16</v>
      </c>
      <c r="B112" s="1" t="s">
        <v>4304</v>
      </c>
      <c r="C112" s="1" t="s">
        <v>4305</v>
      </c>
      <c r="D112" s="1" t="s">
        <v>4304</v>
      </c>
      <c r="E112" s="1" t="s">
        <v>4305</v>
      </c>
      <c r="F112" s="1" t="s">
        <v>4304</v>
      </c>
      <c r="G112" s="1" t="s">
        <v>4313</v>
      </c>
      <c r="H112" s="1" t="s">
        <v>4314</v>
      </c>
      <c r="I112" s="1" t="s">
        <v>7861</v>
      </c>
      <c r="J112" s="1" t="s">
        <v>4196</v>
      </c>
      <c r="K112" s="1">
        <v>14</v>
      </c>
      <c r="L112" s="1" t="s">
        <v>4307</v>
      </c>
      <c r="M112" s="1">
        <v>16</v>
      </c>
      <c r="N112" s="1" t="s">
        <v>4308</v>
      </c>
    </row>
    <row r="113" spans="1:14" x14ac:dyDescent="0.15">
      <c r="A113" s="1">
        <v>20</v>
      </c>
      <c r="B113" s="1" t="s">
        <v>4315</v>
      </c>
      <c r="C113" s="1" t="s">
        <v>4316</v>
      </c>
      <c r="D113" s="1" t="s">
        <v>4315</v>
      </c>
      <c r="E113" s="1" t="s">
        <v>4316</v>
      </c>
      <c r="F113" s="1" t="s">
        <v>4315</v>
      </c>
      <c r="G113" s="1" t="s">
        <v>4317</v>
      </c>
      <c r="H113" s="1" t="s">
        <v>4315</v>
      </c>
      <c r="I113" s="1" t="s">
        <v>17856</v>
      </c>
      <c r="J113" s="1" t="s">
        <v>17857</v>
      </c>
      <c r="K113" s="1">
        <v>1</v>
      </c>
      <c r="L113" s="1" t="s">
        <v>4259</v>
      </c>
      <c r="M113" s="1">
        <v>1</v>
      </c>
      <c r="N113" s="1" t="s">
        <v>4318</v>
      </c>
    </row>
    <row r="114" spans="1:14" x14ac:dyDescent="0.15">
      <c r="A114" s="1">
        <v>20</v>
      </c>
      <c r="B114" s="1" t="s">
        <v>4315</v>
      </c>
      <c r="C114" s="1" t="s">
        <v>4316</v>
      </c>
      <c r="D114" s="1" t="s">
        <v>4315</v>
      </c>
      <c r="E114" s="1" t="s">
        <v>4316</v>
      </c>
      <c r="F114" s="1" t="s">
        <v>4315</v>
      </c>
      <c r="G114" s="1" t="s">
        <v>4317</v>
      </c>
      <c r="H114" s="1" t="s">
        <v>4315</v>
      </c>
      <c r="I114" s="1" t="s">
        <v>17860</v>
      </c>
      <c r="J114" s="1" t="s">
        <v>6523</v>
      </c>
      <c r="K114" s="1">
        <v>1</v>
      </c>
      <c r="L114" s="1" t="s">
        <v>4259</v>
      </c>
      <c r="M114" s="1">
        <v>1</v>
      </c>
      <c r="N114" s="1" t="s">
        <v>4318</v>
      </c>
    </row>
    <row r="115" spans="1:14" x14ac:dyDescent="0.15">
      <c r="A115" s="1">
        <v>20</v>
      </c>
      <c r="B115" s="1" t="s">
        <v>4315</v>
      </c>
      <c r="C115" s="1" t="s">
        <v>4316</v>
      </c>
      <c r="D115" s="1" t="s">
        <v>4315</v>
      </c>
      <c r="E115" s="1" t="s">
        <v>4316</v>
      </c>
      <c r="F115" s="1" t="s">
        <v>4315</v>
      </c>
      <c r="G115" s="1" t="s">
        <v>4317</v>
      </c>
      <c r="H115" s="1" t="s">
        <v>4315</v>
      </c>
      <c r="I115" s="1" t="s">
        <v>17868</v>
      </c>
      <c r="J115" s="1" t="s">
        <v>4319</v>
      </c>
      <c r="K115" s="1">
        <v>1</v>
      </c>
      <c r="L115" s="1" t="s">
        <v>4259</v>
      </c>
      <c r="M115" s="1">
        <v>1</v>
      </c>
      <c r="N115" s="1" t="s">
        <v>4318</v>
      </c>
    </row>
    <row r="116" spans="1:14" x14ac:dyDescent="0.15">
      <c r="A116" s="1">
        <v>20</v>
      </c>
      <c r="B116" s="1" t="s">
        <v>4315</v>
      </c>
      <c r="C116" s="1" t="s">
        <v>4316</v>
      </c>
      <c r="D116" s="1" t="s">
        <v>4315</v>
      </c>
      <c r="E116" s="1" t="s">
        <v>4316</v>
      </c>
      <c r="F116" s="1" t="s">
        <v>4315</v>
      </c>
      <c r="G116" s="1" t="s">
        <v>4317</v>
      </c>
      <c r="H116" s="1" t="s">
        <v>4315</v>
      </c>
      <c r="I116" s="1" t="s">
        <v>17872</v>
      </c>
      <c r="J116" s="1" t="s">
        <v>17873</v>
      </c>
      <c r="K116" s="1">
        <v>1</v>
      </c>
      <c r="L116" s="1" t="s">
        <v>4259</v>
      </c>
      <c r="M116" s="1">
        <v>1</v>
      </c>
      <c r="N116" s="1" t="s">
        <v>4318</v>
      </c>
    </row>
    <row r="117" spans="1:14" x14ac:dyDescent="0.15">
      <c r="A117" s="1">
        <v>20</v>
      </c>
      <c r="B117" s="1" t="s">
        <v>4315</v>
      </c>
      <c r="C117" s="1" t="s">
        <v>4316</v>
      </c>
      <c r="D117" s="1" t="s">
        <v>4315</v>
      </c>
      <c r="E117" s="1" t="s">
        <v>4316</v>
      </c>
      <c r="F117" s="1" t="s">
        <v>4315</v>
      </c>
      <c r="G117" s="1" t="s">
        <v>4317</v>
      </c>
      <c r="H117" s="1" t="s">
        <v>4315</v>
      </c>
      <c r="I117" s="1" t="s">
        <v>17896</v>
      </c>
      <c r="J117" s="1" t="s">
        <v>6533</v>
      </c>
      <c r="K117" s="1">
        <v>1</v>
      </c>
      <c r="L117" s="1" t="s">
        <v>4259</v>
      </c>
      <c r="M117" s="1">
        <v>1</v>
      </c>
      <c r="N117" s="1" t="s">
        <v>4318</v>
      </c>
    </row>
    <row r="118" spans="1:14" x14ac:dyDescent="0.15">
      <c r="A118" s="1">
        <v>20</v>
      </c>
      <c r="B118" s="1" t="s">
        <v>4315</v>
      </c>
      <c r="C118" s="1" t="s">
        <v>4316</v>
      </c>
      <c r="D118" s="1" t="s">
        <v>4315</v>
      </c>
      <c r="E118" s="1" t="s">
        <v>4316</v>
      </c>
      <c r="F118" s="1" t="s">
        <v>4315</v>
      </c>
      <c r="G118" s="1" t="s">
        <v>4317</v>
      </c>
      <c r="H118" s="1" t="s">
        <v>4315</v>
      </c>
      <c r="I118" s="1" t="s">
        <v>17900</v>
      </c>
      <c r="J118" s="1" t="s">
        <v>4320</v>
      </c>
      <c r="K118" s="1">
        <v>1</v>
      </c>
      <c r="L118" s="1" t="s">
        <v>4259</v>
      </c>
      <c r="M118" s="1">
        <v>1</v>
      </c>
      <c r="N118" s="1" t="s">
        <v>4318</v>
      </c>
    </row>
    <row r="119" spans="1:14" x14ac:dyDescent="0.15">
      <c r="A119" s="1">
        <v>20</v>
      </c>
      <c r="B119" s="1" t="s">
        <v>4315</v>
      </c>
      <c r="C119" s="1" t="s">
        <v>4316</v>
      </c>
      <c r="D119" s="1" t="s">
        <v>4315</v>
      </c>
      <c r="E119" s="1" t="s">
        <v>4316</v>
      </c>
      <c r="F119" s="1" t="s">
        <v>4315</v>
      </c>
      <c r="G119" s="1" t="s">
        <v>4317</v>
      </c>
      <c r="H119" s="1" t="s">
        <v>4315</v>
      </c>
      <c r="I119" s="1" t="s">
        <v>17908</v>
      </c>
      <c r="J119" s="1" t="s">
        <v>6539</v>
      </c>
      <c r="K119" s="1">
        <v>1</v>
      </c>
      <c r="L119" s="1" t="s">
        <v>4259</v>
      </c>
      <c r="M119" s="1">
        <v>1</v>
      </c>
      <c r="N119" s="1" t="s">
        <v>4318</v>
      </c>
    </row>
    <row r="120" spans="1:14" x14ac:dyDescent="0.15">
      <c r="A120" s="1">
        <v>20</v>
      </c>
      <c r="B120" s="1" t="s">
        <v>4315</v>
      </c>
      <c r="C120" s="1" t="s">
        <v>4316</v>
      </c>
      <c r="D120" s="1" t="s">
        <v>4315</v>
      </c>
      <c r="E120" s="1" t="s">
        <v>4316</v>
      </c>
      <c r="F120" s="1" t="s">
        <v>4315</v>
      </c>
      <c r="G120" s="1" t="s">
        <v>4317</v>
      </c>
      <c r="H120" s="1" t="s">
        <v>4315</v>
      </c>
      <c r="I120" s="1" t="s">
        <v>11636</v>
      </c>
      <c r="J120" s="1" t="s">
        <v>4321</v>
      </c>
      <c r="K120" s="1">
        <v>1</v>
      </c>
      <c r="L120" s="1" t="s">
        <v>4259</v>
      </c>
      <c r="M120" s="1">
        <v>1</v>
      </c>
      <c r="N120" s="1" t="s">
        <v>4318</v>
      </c>
    </row>
    <row r="121" spans="1:14" x14ac:dyDescent="0.15">
      <c r="A121" s="1">
        <v>20</v>
      </c>
      <c r="B121" s="1" t="s">
        <v>4315</v>
      </c>
      <c r="C121" s="1" t="s">
        <v>4316</v>
      </c>
      <c r="D121" s="1" t="s">
        <v>4315</v>
      </c>
      <c r="E121" s="1" t="s">
        <v>4316</v>
      </c>
      <c r="F121" s="1" t="s">
        <v>4315</v>
      </c>
      <c r="G121" s="1" t="s">
        <v>4317</v>
      </c>
      <c r="H121" s="1" t="s">
        <v>4315</v>
      </c>
      <c r="I121" s="1" t="s">
        <v>11639</v>
      </c>
      <c r="J121" s="1" t="s">
        <v>4322</v>
      </c>
      <c r="K121" s="1">
        <v>1</v>
      </c>
      <c r="L121" s="1" t="s">
        <v>4259</v>
      </c>
      <c r="M121" s="1">
        <v>1</v>
      </c>
      <c r="N121" s="1" t="s">
        <v>4318</v>
      </c>
    </row>
    <row r="122" spans="1:14" x14ac:dyDescent="0.15">
      <c r="A122" s="1">
        <v>20</v>
      </c>
      <c r="B122" s="1" t="s">
        <v>4315</v>
      </c>
      <c r="C122" s="1" t="s">
        <v>4316</v>
      </c>
      <c r="D122" s="1" t="s">
        <v>4315</v>
      </c>
      <c r="E122" s="1" t="s">
        <v>4316</v>
      </c>
      <c r="F122" s="1" t="s">
        <v>4315</v>
      </c>
      <c r="G122" s="1" t="s">
        <v>4317</v>
      </c>
      <c r="H122" s="1" t="s">
        <v>4315</v>
      </c>
      <c r="I122" s="1" t="s">
        <v>17912</v>
      </c>
      <c r="J122" s="1" t="s">
        <v>6546</v>
      </c>
      <c r="K122" s="1">
        <v>1</v>
      </c>
      <c r="L122" s="1" t="s">
        <v>4259</v>
      </c>
      <c r="M122" s="1">
        <v>1</v>
      </c>
      <c r="N122" s="1" t="s">
        <v>4318</v>
      </c>
    </row>
    <row r="123" spans="1:14" x14ac:dyDescent="0.15">
      <c r="A123" s="1">
        <v>20</v>
      </c>
      <c r="B123" s="1" t="s">
        <v>4315</v>
      </c>
      <c r="C123" s="1" t="s">
        <v>4316</v>
      </c>
      <c r="D123" s="1" t="s">
        <v>4315</v>
      </c>
      <c r="E123" s="1" t="s">
        <v>4316</v>
      </c>
      <c r="F123" s="1" t="s">
        <v>4315</v>
      </c>
      <c r="G123" s="1" t="s">
        <v>4317</v>
      </c>
      <c r="H123" s="1" t="s">
        <v>4315</v>
      </c>
      <c r="I123" s="1" t="s">
        <v>17952</v>
      </c>
      <c r="J123" s="1" t="s">
        <v>6566</v>
      </c>
      <c r="K123" s="1">
        <v>1</v>
      </c>
      <c r="L123" s="1" t="s">
        <v>4259</v>
      </c>
      <c r="M123" s="1">
        <v>1</v>
      </c>
      <c r="N123" s="1" t="s">
        <v>4318</v>
      </c>
    </row>
    <row r="124" spans="1:14" x14ac:dyDescent="0.15">
      <c r="A124" s="1">
        <v>20</v>
      </c>
      <c r="B124" s="1" t="s">
        <v>4315</v>
      </c>
      <c r="C124" s="1" t="s">
        <v>4316</v>
      </c>
      <c r="D124" s="1" t="s">
        <v>4315</v>
      </c>
      <c r="E124" s="1" t="s">
        <v>4316</v>
      </c>
      <c r="F124" s="1" t="s">
        <v>4315</v>
      </c>
      <c r="G124" s="1" t="s">
        <v>4317</v>
      </c>
      <c r="H124" s="1" t="s">
        <v>4315</v>
      </c>
      <c r="I124" s="1" t="s">
        <v>17956</v>
      </c>
      <c r="J124" s="1" t="s">
        <v>17957</v>
      </c>
      <c r="K124" s="1">
        <v>1</v>
      </c>
      <c r="L124" s="1" t="s">
        <v>4259</v>
      </c>
      <c r="M124" s="1">
        <v>1</v>
      </c>
      <c r="N124" s="1" t="s">
        <v>4318</v>
      </c>
    </row>
    <row r="125" spans="1:14" x14ac:dyDescent="0.15">
      <c r="A125" s="1">
        <v>20</v>
      </c>
      <c r="B125" s="1" t="s">
        <v>4315</v>
      </c>
      <c r="C125" s="1" t="s">
        <v>4316</v>
      </c>
      <c r="D125" s="1" t="s">
        <v>4315</v>
      </c>
      <c r="E125" s="1" t="s">
        <v>4316</v>
      </c>
      <c r="F125" s="1" t="s">
        <v>4315</v>
      </c>
      <c r="G125" s="1" t="s">
        <v>4317</v>
      </c>
      <c r="H125" s="1" t="s">
        <v>4315</v>
      </c>
      <c r="I125" s="1" t="s">
        <v>17964</v>
      </c>
      <c r="J125" s="1" t="s">
        <v>4323</v>
      </c>
      <c r="K125" s="1">
        <v>1</v>
      </c>
      <c r="L125" s="1" t="s">
        <v>4259</v>
      </c>
      <c r="M125" s="1">
        <v>1</v>
      </c>
      <c r="N125" s="1" t="s">
        <v>4318</v>
      </c>
    </row>
    <row r="126" spans="1:14" x14ac:dyDescent="0.15">
      <c r="A126" s="1">
        <v>20</v>
      </c>
      <c r="B126" s="1" t="s">
        <v>4315</v>
      </c>
      <c r="C126" s="1" t="s">
        <v>4316</v>
      </c>
      <c r="D126" s="1" t="s">
        <v>4315</v>
      </c>
      <c r="E126" s="1" t="s">
        <v>4316</v>
      </c>
      <c r="F126" s="1" t="s">
        <v>4315</v>
      </c>
      <c r="G126" s="1" t="s">
        <v>4317</v>
      </c>
      <c r="H126" s="1" t="s">
        <v>4315</v>
      </c>
      <c r="I126" s="1" t="s">
        <v>11710</v>
      </c>
      <c r="J126" s="1" t="s">
        <v>18011</v>
      </c>
      <c r="K126" s="1">
        <v>1</v>
      </c>
      <c r="L126" s="1" t="s">
        <v>4259</v>
      </c>
      <c r="M126" s="1">
        <v>1</v>
      </c>
      <c r="N126" s="1" t="s">
        <v>4318</v>
      </c>
    </row>
    <row r="127" spans="1:14" x14ac:dyDescent="0.15">
      <c r="A127" s="1">
        <v>20</v>
      </c>
      <c r="B127" s="1" t="s">
        <v>4315</v>
      </c>
      <c r="C127" s="1" t="s">
        <v>4316</v>
      </c>
      <c r="D127" s="1" t="s">
        <v>4315</v>
      </c>
      <c r="E127" s="1" t="s">
        <v>4316</v>
      </c>
      <c r="F127" s="1" t="s">
        <v>4315</v>
      </c>
      <c r="G127" s="1" t="s">
        <v>4317</v>
      </c>
      <c r="H127" s="1" t="s">
        <v>4315</v>
      </c>
      <c r="I127" s="1" t="s">
        <v>11722</v>
      </c>
      <c r="J127" s="1" t="s">
        <v>6593</v>
      </c>
      <c r="K127" s="1">
        <v>1</v>
      </c>
      <c r="L127" s="1" t="s">
        <v>4259</v>
      </c>
      <c r="M127" s="1">
        <v>1</v>
      </c>
      <c r="N127" s="1" t="s">
        <v>4318</v>
      </c>
    </row>
    <row r="128" spans="1:14" x14ac:dyDescent="0.15">
      <c r="A128" s="1">
        <v>20</v>
      </c>
      <c r="B128" s="1" t="s">
        <v>4315</v>
      </c>
      <c r="C128" s="1" t="s">
        <v>4316</v>
      </c>
      <c r="D128" s="1" t="s">
        <v>4315</v>
      </c>
      <c r="E128" s="1" t="s">
        <v>4316</v>
      </c>
      <c r="F128" s="1" t="s">
        <v>4315</v>
      </c>
      <c r="G128" s="1" t="s">
        <v>4317</v>
      </c>
      <c r="H128" s="1" t="s">
        <v>4315</v>
      </c>
      <c r="I128" s="1" t="s">
        <v>11739</v>
      </c>
      <c r="J128" s="1" t="s">
        <v>6595</v>
      </c>
      <c r="K128" s="1">
        <v>1</v>
      </c>
      <c r="L128" s="1" t="s">
        <v>4259</v>
      </c>
      <c r="M128" s="1">
        <v>1</v>
      </c>
      <c r="N128" s="1" t="s">
        <v>4318</v>
      </c>
    </row>
    <row r="129" spans="1:14" x14ac:dyDescent="0.15">
      <c r="A129" s="1">
        <v>20</v>
      </c>
      <c r="B129" s="1" t="s">
        <v>4315</v>
      </c>
      <c r="C129" s="1" t="s">
        <v>4316</v>
      </c>
      <c r="D129" s="1" t="s">
        <v>4315</v>
      </c>
      <c r="E129" s="1" t="s">
        <v>4316</v>
      </c>
      <c r="F129" s="1" t="s">
        <v>4315</v>
      </c>
      <c r="G129" s="1" t="s">
        <v>4317</v>
      </c>
      <c r="H129" s="1" t="s">
        <v>4315</v>
      </c>
      <c r="I129" s="1" t="s">
        <v>11748</v>
      </c>
      <c r="J129" s="1" t="s">
        <v>18031</v>
      </c>
      <c r="K129" s="1">
        <v>1</v>
      </c>
      <c r="L129" s="1" t="s">
        <v>4259</v>
      </c>
      <c r="M129" s="1">
        <v>1</v>
      </c>
      <c r="N129" s="1" t="s">
        <v>4318</v>
      </c>
    </row>
    <row r="130" spans="1:14" x14ac:dyDescent="0.15">
      <c r="A130" s="1">
        <v>20</v>
      </c>
      <c r="B130" s="1" t="s">
        <v>4315</v>
      </c>
      <c r="C130" s="1" t="s">
        <v>4316</v>
      </c>
      <c r="D130" s="1" t="s">
        <v>4315</v>
      </c>
      <c r="E130" s="1" t="s">
        <v>4316</v>
      </c>
      <c r="F130" s="1" t="s">
        <v>4315</v>
      </c>
      <c r="G130" s="1" t="s">
        <v>4317</v>
      </c>
      <c r="H130" s="1" t="s">
        <v>4315</v>
      </c>
      <c r="I130" s="1" t="s">
        <v>11751</v>
      </c>
      <c r="J130" s="1" t="s">
        <v>4324</v>
      </c>
      <c r="K130" s="1">
        <v>1</v>
      </c>
      <c r="L130" s="1" t="s">
        <v>4259</v>
      </c>
      <c r="M130" s="1">
        <v>1</v>
      </c>
      <c r="N130" s="1" t="s">
        <v>4318</v>
      </c>
    </row>
    <row r="131" spans="1:14" x14ac:dyDescent="0.15">
      <c r="A131" s="1">
        <v>20</v>
      </c>
      <c r="B131" s="1" t="s">
        <v>4315</v>
      </c>
      <c r="C131" s="1" t="s">
        <v>4316</v>
      </c>
      <c r="D131" s="1" t="s">
        <v>4315</v>
      </c>
      <c r="E131" s="1" t="s">
        <v>4316</v>
      </c>
      <c r="F131" s="1" t="s">
        <v>4315</v>
      </c>
      <c r="G131" s="1" t="s">
        <v>4317</v>
      </c>
      <c r="H131" s="1" t="s">
        <v>4315</v>
      </c>
      <c r="I131" s="1" t="s">
        <v>11754</v>
      </c>
      <c r="J131" s="1" t="s">
        <v>4325</v>
      </c>
      <c r="K131" s="1">
        <v>1</v>
      </c>
      <c r="L131" s="1" t="s">
        <v>4259</v>
      </c>
      <c r="M131" s="1">
        <v>1</v>
      </c>
      <c r="N131" s="1" t="s">
        <v>4318</v>
      </c>
    </row>
    <row r="132" spans="1:14" x14ac:dyDescent="0.15">
      <c r="A132" s="1">
        <v>20</v>
      </c>
      <c r="B132" s="1" t="s">
        <v>4315</v>
      </c>
      <c r="C132" s="1" t="s">
        <v>4316</v>
      </c>
      <c r="D132" s="1" t="s">
        <v>4315</v>
      </c>
      <c r="E132" s="1" t="s">
        <v>4316</v>
      </c>
      <c r="F132" s="1" t="s">
        <v>4315</v>
      </c>
      <c r="G132" s="1" t="s">
        <v>4317</v>
      </c>
      <c r="H132" s="1" t="s">
        <v>4315</v>
      </c>
      <c r="I132" s="1" t="s">
        <v>11773</v>
      </c>
      <c r="J132" s="1" t="s">
        <v>18054</v>
      </c>
      <c r="K132" s="1">
        <v>1</v>
      </c>
      <c r="L132" s="1" t="s">
        <v>4259</v>
      </c>
      <c r="M132" s="1">
        <v>1</v>
      </c>
      <c r="N132" s="1" t="s">
        <v>4318</v>
      </c>
    </row>
    <row r="133" spans="1:14" x14ac:dyDescent="0.15">
      <c r="A133" s="1">
        <v>20</v>
      </c>
      <c r="B133" s="1" t="s">
        <v>4315</v>
      </c>
      <c r="C133" s="1" t="s">
        <v>4316</v>
      </c>
      <c r="D133" s="1" t="s">
        <v>4315</v>
      </c>
      <c r="E133" s="1" t="s">
        <v>4316</v>
      </c>
      <c r="F133" s="1" t="s">
        <v>4315</v>
      </c>
      <c r="G133" s="1" t="s">
        <v>4317</v>
      </c>
      <c r="H133" s="1" t="s">
        <v>4315</v>
      </c>
      <c r="I133" s="1" t="s">
        <v>11227</v>
      </c>
      <c r="J133" s="1" t="s">
        <v>18058</v>
      </c>
      <c r="K133" s="1">
        <v>1</v>
      </c>
      <c r="L133" s="1" t="s">
        <v>4259</v>
      </c>
      <c r="M133" s="1">
        <v>1</v>
      </c>
      <c r="N133" s="1" t="s">
        <v>4318</v>
      </c>
    </row>
    <row r="134" spans="1:14" x14ac:dyDescent="0.15">
      <c r="A134" s="1">
        <v>20</v>
      </c>
      <c r="B134" s="1" t="s">
        <v>4315</v>
      </c>
      <c r="C134" s="1" t="s">
        <v>4316</v>
      </c>
      <c r="D134" s="1" t="s">
        <v>4315</v>
      </c>
      <c r="E134" s="1" t="s">
        <v>4316</v>
      </c>
      <c r="F134" s="1" t="s">
        <v>4315</v>
      </c>
      <c r="G134" s="1" t="s">
        <v>4317</v>
      </c>
      <c r="H134" s="1" t="s">
        <v>4315</v>
      </c>
      <c r="I134" s="1" t="s">
        <v>11230</v>
      </c>
      <c r="J134" s="1" t="s">
        <v>6606</v>
      </c>
      <c r="K134" s="1">
        <v>1</v>
      </c>
      <c r="L134" s="1" t="s">
        <v>4259</v>
      </c>
      <c r="M134" s="1">
        <v>1</v>
      </c>
      <c r="N134" s="1" t="s">
        <v>4318</v>
      </c>
    </row>
    <row r="135" spans="1:14" x14ac:dyDescent="0.15">
      <c r="A135" s="1">
        <v>20</v>
      </c>
      <c r="B135" s="1" t="s">
        <v>4315</v>
      </c>
      <c r="C135" s="1" t="s">
        <v>4316</v>
      </c>
      <c r="D135" s="1" t="s">
        <v>4315</v>
      </c>
      <c r="E135" s="1" t="s">
        <v>4316</v>
      </c>
      <c r="F135" s="1" t="s">
        <v>4315</v>
      </c>
      <c r="G135" s="1" t="s">
        <v>4317</v>
      </c>
      <c r="H135" s="1" t="s">
        <v>4315</v>
      </c>
      <c r="I135" s="1" t="s">
        <v>11244</v>
      </c>
      <c r="J135" s="1" t="s">
        <v>6610</v>
      </c>
      <c r="K135" s="1">
        <v>1</v>
      </c>
      <c r="L135" s="1" t="s">
        <v>4259</v>
      </c>
      <c r="M135" s="1">
        <v>1</v>
      </c>
      <c r="N135" s="1" t="s">
        <v>4318</v>
      </c>
    </row>
    <row r="136" spans="1:14" x14ac:dyDescent="0.15">
      <c r="A136" s="1">
        <v>20</v>
      </c>
      <c r="B136" s="1" t="s">
        <v>4315</v>
      </c>
      <c r="C136" s="1" t="s">
        <v>4316</v>
      </c>
      <c r="D136" s="1" t="s">
        <v>4315</v>
      </c>
      <c r="E136" s="1" t="s">
        <v>4316</v>
      </c>
      <c r="F136" s="1" t="s">
        <v>4315</v>
      </c>
      <c r="G136" s="1" t="s">
        <v>4317</v>
      </c>
      <c r="H136" s="1" t="s">
        <v>4315</v>
      </c>
      <c r="I136" s="1" t="s">
        <v>12607</v>
      </c>
      <c r="J136" s="1" t="s">
        <v>18082</v>
      </c>
      <c r="K136" s="1">
        <v>1</v>
      </c>
      <c r="L136" s="1" t="s">
        <v>4259</v>
      </c>
      <c r="M136" s="1">
        <v>1</v>
      </c>
      <c r="N136" s="1" t="s">
        <v>4318</v>
      </c>
    </row>
    <row r="137" spans="1:14" x14ac:dyDescent="0.15">
      <c r="A137" s="1">
        <v>20</v>
      </c>
      <c r="B137" s="1" t="s">
        <v>4315</v>
      </c>
      <c r="C137" s="1" t="s">
        <v>4316</v>
      </c>
      <c r="D137" s="1" t="s">
        <v>4315</v>
      </c>
      <c r="E137" s="1" t="s">
        <v>4316</v>
      </c>
      <c r="F137" s="1" t="s">
        <v>4315</v>
      </c>
      <c r="G137" s="1" t="s">
        <v>4326</v>
      </c>
      <c r="H137" s="1" t="s">
        <v>4327</v>
      </c>
      <c r="I137" s="1" t="s">
        <v>17856</v>
      </c>
      <c r="J137" s="1" t="s">
        <v>17857</v>
      </c>
      <c r="K137" s="1">
        <v>1</v>
      </c>
      <c r="L137" s="1" t="s">
        <v>4259</v>
      </c>
      <c r="M137" s="1">
        <v>1</v>
      </c>
      <c r="N137" s="1" t="s">
        <v>4318</v>
      </c>
    </row>
    <row r="138" spans="1:14" x14ac:dyDescent="0.15">
      <c r="A138" s="1">
        <v>20</v>
      </c>
      <c r="B138" s="1" t="s">
        <v>4315</v>
      </c>
      <c r="C138" s="1" t="s">
        <v>4316</v>
      </c>
      <c r="D138" s="1" t="s">
        <v>4315</v>
      </c>
      <c r="E138" s="1" t="s">
        <v>4316</v>
      </c>
      <c r="F138" s="1" t="s">
        <v>4315</v>
      </c>
      <c r="G138" s="1" t="s">
        <v>4326</v>
      </c>
      <c r="H138" s="1" t="s">
        <v>4327</v>
      </c>
      <c r="I138" s="1" t="s">
        <v>17860</v>
      </c>
      <c r="J138" s="1" t="s">
        <v>6523</v>
      </c>
      <c r="K138" s="1">
        <v>1</v>
      </c>
      <c r="L138" s="1" t="s">
        <v>4259</v>
      </c>
      <c r="M138" s="1">
        <v>1</v>
      </c>
      <c r="N138" s="1" t="s">
        <v>4318</v>
      </c>
    </row>
    <row r="139" spans="1:14" x14ac:dyDescent="0.15">
      <c r="A139" s="1">
        <v>20</v>
      </c>
      <c r="B139" s="1" t="s">
        <v>4315</v>
      </c>
      <c r="C139" s="1" t="s">
        <v>4316</v>
      </c>
      <c r="D139" s="1" t="s">
        <v>4315</v>
      </c>
      <c r="E139" s="1" t="s">
        <v>4316</v>
      </c>
      <c r="F139" s="1" t="s">
        <v>4315</v>
      </c>
      <c r="G139" s="1" t="s">
        <v>4326</v>
      </c>
      <c r="H139" s="1" t="s">
        <v>4327</v>
      </c>
      <c r="I139" s="1" t="s">
        <v>17952</v>
      </c>
      <c r="J139" s="1" t="s">
        <v>6566</v>
      </c>
      <c r="K139" s="1">
        <v>1</v>
      </c>
      <c r="L139" s="1" t="s">
        <v>4259</v>
      </c>
      <c r="M139" s="1">
        <v>1</v>
      </c>
      <c r="N139" s="1" t="s">
        <v>4318</v>
      </c>
    </row>
    <row r="140" spans="1:14" x14ac:dyDescent="0.15">
      <c r="A140" s="1">
        <v>20</v>
      </c>
      <c r="B140" s="1" t="s">
        <v>4315</v>
      </c>
      <c r="C140" s="1" t="s">
        <v>4316</v>
      </c>
      <c r="D140" s="1" t="s">
        <v>4315</v>
      </c>
      <c r="E140" s="1" t="s">
        <v>4316</v>
      </c>
      <c r="F140" s="1" t="s">
        <v>4315</v>
      </c>
      <c r="G140" s="1" t="s">
        <v>4326</v>
      </c>
      <c r="H140" s="1" t="s">
        <v>4327</v>
      </c>
      <c r="I140" s="1" t="s">
        <v>17956</v>
      </c>
      <c r="J140" s="1" t="s">
        <v>17957</v>
      </c>
      <c r="K140" s="1">
        <v>1</v>
      </c>
      <c r="L140" s="1" t="s">
        <v>4259</v>
      </c>
      <c r="M140" s="1">
        <v>1</v>
      </c>
      <c r="N140" s="1" t="s">
        <v>4318</v>
      </c>
    </row>
    <row r="141" spans="1:14" x14ac:dyDescent="0.15">
      <c r="A141" s="1">
        <v>20</v>
      </c>
      <c r="B141" s="1" t="s">
        <v>4315</v>
      </c>
      <c r="C141" s="1" t="s">
        <v>4316</v>
      </c>
      <c r="D141" s="1" t="s">
        <v>4315</v>
      </c>
      <c r="E141" s="1" t="s">
        <v>4316</v>
      </c>
      <c r="F141" s="1" t="s">
        <v>4315</v>
      </c>
      <c r="G141" s="1" t="s">
        <v>4326</v>
      </c>
      <c r="H141" s="1" t="s">
        <v>4327</v>
      </c>
      <c r="I141" s="1" t="s">
        <v>17964</v>
      </c>
      <c r="J141" s="1" t="s">
        <v>4323</v>
      </c>
      <c r="K141" s="1">
        <v>1</v>
      </c>
      <c r="L141" s="1" t="s">
        <v>4259</v>
      </c>
      <c r="M141" s="1">
        <v>1</v>
      </c>
      <c r="N141" s="1" t="s">
        <v>4318</v>
      </c>
    </row>
    <row r="142" spans="1:14" x14ac:dyDescent="0.15">
      <c r="A142" s="1">
        <v>20</v>
      </c>
      <c r="B142" s="1" t="s">
        <v>4315</v>
      </c>
      <c r="C142" s="1" t="s">
        <v>4316</v>
      </c>
      <c r="D142" s="1" t="s">
        <v>4315</v>
      </c>
      <c r="E142" s="1" t="s">
        <v>4316</v>
      </c>
      <c r="F142" s="1" t="s">
        <v>4315</v>
      </c>
      <c r="G142" s="1" t="s">
        <v>4326</v>
      </c>
      <c r="H142" s="1" t="s">
        <v>4327</v>
      </c>
      <c r="I142" s="1" t="s">
        <v>11230</v>
      </c>
      <c r="J142" s="1" t="s">
        <v>6606</v>
      </c>
      <c r="K142" s="1">
        <v>1</v>
      </c>
      <c r="L142" s="1" t="s">
        <v>4259</v>
      </c>
      <c r="M142" s="1">
        <v>1</v>
      </c>
      <c r="N142" s="1" t="s">
        <v>4318</v>
      </c>
    </row>
    <row r="143" spans="1:14" x14ac:dyDescent="0.15">
      <c r="A143" s="1">
        <v>20</v>
      </c>
      <c r="B143" s="1" t="s">
        <v>4315</v>
      </c>
      <c r="C143" s="1" t="s">
        <v>4316</v>
      </c>
      <c r="D143" s="1" t="s">
        <v>4315</v>
      </c>
      <c r="E143" s="1" t="s">
        <v>4316</v>
      </c>
      <c r="F143" s="1" t="s">
        <v>4315</v>
      </c>
      <c r="G143" s="1" t="s">
        <v>4326</v>
      </c>
      <c r="H143" s="1" t="s">
        <v>4327</v>
      </c>
      <c r="I143" s="1" t="s">
        <v>11244</v>
      </c>
      <c r="J143" s="1" t="s">
        <v>6610</v>
      </c>
      <c r="K143" s="1">
        <v>1</v>
      </c>
      <c r="L143" s="1" t="s">
        <v>4259</v>
      </c>
      <c r="M143" s="1">
        <v>1</v>
      </c>
      <c r="N143" s="1" t="s">
        <v>4318</v>
      </c>
    </row>
    <row r="144" spans="1:14" x14ac:dyDescent="0.15">
      <c r="A144" s="1">
        <v>20</v>
      </c>
      <c r="B144" s="1" t="s">
        <v>4315</v>
      </c>
      <c r="C144" s="1" t="s">
        <v>4316</v>
      </c>
      <c r="D144" s="1" t="s">
        <v>4315</v>
      </c>
      <c r="E144" s="1" t="s">
        <v>4316</v>
      </c>
      <c r="F144" s="1" t="s">
        <v>4315</v>
      </c>
      <c r="G144" s="1" t="s">
        <v>4328</v>
      </c>
      <c r="H144" s="1" t="s">
        <v>4329</v>
      </c>
      <c r="I144" s="1" t="s">
        <v>17856</v>
      </c>
      <c r="J144" s="1" t="s">
        <v>17857</v>
      </c>
      <c r="K144" s="1">
        <v>1</v>
      </c>
      <c r="L144" s="1" t="s">
        <v>4259</v>
      </c>
      <c r="M144" s="1">
        <v>1</v>
      </c>
      <c r="N144" s="1" t="s">
        <v>4318</v>
      </c>
    </row>
    <row r="145" spans="1:14" x14ac:dyDescent="0.15">
      <c r="A145" s="1">
        <v>20</v>
      </c>
      <c r="B145" s="1" t="s">
        <v>4315</v>
      </c>
      <c r="C145" s="1" t="s">
        <v>4316</v>
      </c>
      <c r="D145" s="1" t="s">
        <v>4315</v>
      </c>
      <c r="E145" s="1" t="s">
        <v>4316</v>
      </c>
      <c r="F145" s="1" t="s">
        <v>4315</v>
      </c>
      <c r="G145" s="1" t="s">
        <v>4328</v>
      </c>
      <c r="H145" s="1" t="s">
        <v>4329</v>
      </c>
      <c r="I145" s="1" t="s">
        <v>17860</v>
      </c>
      <c r="J145" s="1" t="s">
        <v>6523</v>
      </c>
      <c r="K145" s="1">
        <v>1</v>
      </c>
      <c r="L145" s="1" t="s">
        <v>4259</v>
      </c>
      <c r="M145" s="1">
        <v>1</v>
      </c>
      <c r="N145" s="1" t="s">
        <v>4318</v>
      </c>
    </row>
    <row r="146" spans="1:14" x14ac:dyDescent="0.15">
      <c r="A146" s="1">
        <v>20</v>
      </c>
      <c r="B146" s="1" t="s">
        <v>4315</v>
      </c>
      <c r="C146" s="1" t="s">
        <v>4316</v>
      </c>
      <c r="D146" s="1" t="s">
        <v>4315</v>
      </c>
      <c r="E146" s="1" t="s">
        <v>4316</v>
      </c>
      <c r="F146" s="1" t="s">
        <v>4315</v>
      </c>
      <c r="G146" s="1" t="s">
        <v>4328</v>
      </c>
      <c r="H146" s="1" t="s">
        <v>4329</v>
      </c>
      <c r="I146" s="1" t="s">
        <v>17868</v>
      </c>
      <c r="J146" s="1" t="s">
        <v>4319</v>
      </c>
      <c r="K146" s="1">
        <v>1</v>
      </c>
      <c r="L146" s="1" t="s">
        <v>4259</v>
      </c>
      <c r="M146" s="1">
        <v>1</v>
      </c>
      <c r="N146" s="1" t="s">
        <v>4318</v>
      </c>
    </row>
    <row r="147" spans="1:14" x14ac:dyDescent="0.15">
      <c r="A147" s="1">
        <v>20</v>
      </c>
      <c r="B147" s="1" t="s">
        <v>4315</v>
      </c>
      <c r="C147" s="1" t="s">
        <v>4316</v>
      </c>
      <c r="D147" s="1" t="s">
        <v>4315</v>
      </c>
      <c r="E147" s="1" t="s">
        <v>4316</v>
      </c>
      <c r="F147" s="1" t="s">
        <v>4315</v>
      </c>
      <c r="G147" s="1" t="s">
        <v>4328</v>
      </c>
      <c r="H147" s="1" t="s">
        <v>4329</v>
      </c>
      <c r="I147" s="1" t="s">
        <v>17872</v>
      </c>
      <c r="J147" s="1" t="s">
        <v>17873</v>
      </c>
      <c r="K147" s="1">
        <v>1</v>
      </c>
      <c r="L147" s="1" t="s">
        <v>4259</v>
      </c>
      <c r="M147" s="1">
        <v>1</v>
      </c>
      <c r="N147" s="1" t="s">
        <v>4318</v>
      </c>
    </row>
    <row r="148" spans="1:14" x14ac:dyDescent="0.15">
      <c r="A148" s="1">
        <v>20</v>
      </c>
      <c r="B148" s="1" t="s">
        <v>4315</v>
      </c>
      <c r="C148" s="1" t="s">
        <v>4316</v>
      </c>
      <c r="D148" s="1" t="s">
        <v>4315</v>
      </c>
      <c r="E148" s="1" t="s">
        <v>4316</v>
      </c>
      <c r="F148" s="1" t="s">
        <v>4315</v>
      </c>
      <c r="G148" s="1" t="s">
        <v>4328</v>
      </c>
      <c r="H148" s="1" t="s">
        <v>4329</v>
      </c>
      <c r="I148" s="1" t="s">
        <v>17896</v>
      </c>
      <c r="J148" s="1" t="s">
        <v>6533</v>
      </c>
      <c r="K148" s="1">
        <v>1</v>
      </c>
      <c r="L148" s="1" t="s">
        <v>4259</v>
      </c>
      <c r="M148" s="1">
        <v>1</v>
      </c>
      <c r="N148" s="1" t="s">
        <v>4318</v>
      </c>
    </row>
    <row r="149" spans="1:14" x14ac:dyDescent="0.15">
      <c r="A149" s="1">
        <v>20</v>
      </c>
      <c r="B149" s="1" t="s">
        <v>4315</v>
      </c>
      <c r="C149" s="1" t="s">
        <v>4316</v>
      </c>
      <c r="D149" s="1" t="s">
        <v>4315</v>
      </c>
      <c r="E149" s="1" t="s">
        <v>4316</v>
      </c>
      <c r="F149" s="1" t="s">
        <v>4315</v>
      </c>
      <c r="G149" s="1" t="s">
        <v>4328</v>
      </c>
      <c r="H149" s="1" t="s">
        <v>4329</v>
      </c>
      <c r="I149" s="1" t="s">
        <v>17900</v>
      </c>
      <c r="J149" s="1" t="s">
        <v>4320</v>
      </c>
      <c r="K149" s="1">
        <v>1</v>
      </c>
      <c r="L149" s="1" t="s">
        <v>4259</v>
      </c>
      <c r="M149" s="1">
        <v>1</v>
      </c>
      <c r="N149" s="1" t="s">
        <v>4318</v>
      </c>
    </row>
    <row r="150" spans="1:14" x14ac:dyDescent="0.15">
      <c r="A150" s="1">
        <v>20</v>
      </c>
      <c r="B150" s="1" t="s">
        <v>4315</v>
      </c>
      <c r="C150" s="1" t="s">
        <v>4316</v>
      </c>
      <c r="D150" s="1" t="s">
        <v>4315</v>
      </c>
      <c r="E150" s="1" t="s">
        <v>4316</v>
      </c>
      <c r="F150" s="1" t="s">
        <v>4315</v>
      </c>
      <c r="G150" s="1" t="s">
        <v>4328</v>
      </c>
      <c r="H150" s="1" t="s">
        <v>4329</v>
      </c>
      <c r="I150" s="1" t="s">
        <v>17908</v>
      </c>
      <c r="J150" s="1" t="s">
        <v>6539</v>
      </c>
      <c r="K150" s="1">
        <v>1</v>
      </c>
      <c r="L150" s="1" t="s">
        <v>4259</v>
      </c>
      <c r="M150" s="1">
        <v>1</v>
      </c>
      <c r="N150" s="1" t="s">
        <v>4318</v>
      </c>
    </row>
    <row r="151" spans="1:14" x14ac:dyDescent="0.15">
      <c r="A151" s="1">
        <v>20</v>
      </c>
      <c r="B151" s="1" t="s">
        <v>4315</v>
      </c>
      <c r="C151" s="1" t="s">
        <v>4316</v>
      </c>
      <c r="D151" s="1" t="s">
        <v>4315</v>
      </c>
      <c r="E151" s="1" t="s">
        <v>4316</v>
      </c>
      <c r="F151" s="1" t="s">
        <v>4315</v>
      </c>
      <c r="G151" s="1" t="s">
        <v>4328</v>
      </c>
      <c r="H151" s="1" t="s">
        <v>4329</v>
      </c>
      <c r="I151" s="1" t="s">
        <v>11636</v>
      </c>
      <c r="J151" s="1" t="s">
        <v>4321</v>
      </c>
      <c r="K151" s="1">
        <v>1</v>
      </c>
      <c r="L151" s="1" t="s">
        <v>4259</v>
      </c>
      <c r="M151" s="1">
        <v>1</v>
      </c>
      <c r="N151" s="1" t="s">
        <v>4318</v>
      </c>
    </row>
    <row r="152" spans="1:14" x14ac:dyDescent="0.15">
      <c r="A152" s="1">
        <v>20</v>
      </c>
      <c r="B152" s="1" t="s">
        <v>4315</v>
      </c>
      <c r="C152" s="1" t="s">
        <v>4316</v>
      </c>
      <c r="D152" s="1" t="s">
        <v>4315</v>
      </c>
      <c r="E152" s="1" t="s">
        <v>4316</v>
      </c>
      <c r="F152" s="1" t="s">
        <v>4315</v>
      </c>
      <c r="G152" s="1" t="s">
        <v>4328</v>
      </c>
      <c r="H152" s="1" t="s">
        <v>4329</v>
      </c>
      <c r="I152" s="1" t="s">
        <v>11639</v>
      </c>
      <c r="J152" s="1" t="s">
        <v>4322</v>
      </c>
      <c r="K152" s="1">
        <v>1</v>
      </c>
      <c r="L152" s="1" t="s">
        <v>4259</v>
      </c>
      <c r="M152" s="1">
        <v>1</v>
      </c>
      <c r="N152" s="1" t="s">
        <v>4318</v>
      </c>
    </row>
    <row r="153" spans="1:14" x14ac:dyDescent="0.15">
      <c r="A153" s="1">
        <v>20</v>
      </c>
      <c r="B153" s="1" t="s">
        <v>4315</v>
      </c>
      <c r="C153" s="1" t="s">
        <v>4316</v>
      </c>
      <c r="D153" s="1" t="s">
        <v>4315</v>
      </c>
      <c r="E153" s="1" t="s">
        <v>4316</v>
      </c>
      <c r="F153" s="1" t="s">
        <v>4315</v>
      </c>
      <c r="G153" s="1" t="s">
        <v>4328</v>
      </c>
      <c r="H153" s="1" t="s">
        <v>4329</v>
      </c>
      <c r="I153" s="1" t="s">
        <v>17912</v>
      </c>
      <c r="J153" s="1" t="s">
        <v>6546</v>
      </c>
      <c r="K153" s="1">
        <v>1</v>
      </c>
      <c r="L153" s="1" t="s">
        <v>4259</v>
      </c>
      <c r="M153" s="1">
        <v>1</v>
      </c>
      <c r="N153" s="1" t="s">
        <v>4318</v>
      </c>
    </row>
    <row r="154" spans="1:14" x14ac:dyDescent="0.15">
      <c r="A154" s="1">
        <v>20</v>
      </c>
      <c r="B154" s="1" t="s">
        <v>4315</v>
      </c>
      <c r="C154" s="1" t="s">
        <v>4316</v>
      </c>
      <c r="D154" s="1" t="s">
        <v>4315</v>
      </c>
      <c r="E154" s="1" t="s">
        <v>4316</v>
      </c>
      <c r="F154" s="1" t="s">
        <v>4315</v>
      </c>
      <c r="G154" s="1" t="s">
        <v>4328</v>
      </c>
      <c r="H154" s="1" t="s">
        <v>4329</v>
      </c>
      <c r="I154" s="1" t="s">
        <v>11710</v>
      </c>
      <c r="J154" s="1" t="s">
        <v>18011</v>
      </c>
      <c r="K154" s="1">
        <v>1</v>
      </c>
      <c r="L154" s="1" t="s">
        <v>4259</v>
      </c>
      <c r="M154" s="1">
        <v>1</v>
      </c>
      <c r="N154" s="1" t="s">
        <v>4318</v>
      </c>
    </row>
    <row r="155" spans="1:14" x14ac:dyDescent="0.15">
      <c r="A155" s="1">
        <v>20</v>
      </c>
      <c r="B155" s="1" t="s">
        <v>4315</v>
      </c>
      <c r="C155" s="1" t="s">
        <v>4316</v>
      </c>
      <c r="D155" s="1" t="s">
        <v>4315</v>
      </c>
      <c r="E155" s="1" t="s">
        <v>4316</v>
      </c>
      <c r="F155" s="1" t="s">
        <v>4315</v>
      </c>
      <c r="G155" s="1" t="s">
        <v>4328</v>
      </c>
      <c r="H155" s="1" t="s">
        <v>4329</v>
      </c>
      <c r="I155" s="1" t="s">
        <v>11722</v>
      </c>
      <c r="J155" s="1" t="s">
        <v>6593</v>
      </c>
      <c r="K155" s="1">
        <v>1</v>
      </c>
      <c r="L155" s="1" t="s">
        <v>4259</v>
      </c>
      <c r="M155" s="1">
        <v>1</v>
      </c>
      <c r="N155" s="1" t="s">
        <v>4318</v>
      </c>
    </row>
    <row r="156" spans="1:14" x14ac:dyDescent="0.15">
      <c r="A156" s="1">
        <v>20</v>
      </c>
      <c r="B156" s="1" t="s">
        <v>4315</v>
      </c>
      <c r="C156" s="1" t="s">
        <v>4316</v>
      </c>
      <c r="D156" s="1" t="s">
        <v>4315</v>
      </c>
      <c r="E156" s="1" t="s">
        <v>4316</v>
      </c>
      <c r="F156" s="1" t="s">
        <v>4315</v>
      </c>
      <c r="G156" s="1" t="s">
        <v>4328</v>
      </c>
      <c r="H156" s="1" t="s">
        <v>4329</v>
      </c>
      <c r="I156" s="1" t="s">
        <v>11739</v>
      </c>
      <c r="J156" s="1" t="s">
        <v>6595</v>
      </c>
      <c r="K156" s="1">
        <v>1</v>
      </c>
      <c r="L156" s="1" t="s">
        <v>4259</v>
      </c>
      <c r="M156" s="1">
        <v>1</v>
      </c>
      <c r="N156" s="1" t="s">
        <v>4318</v>
      </c>
    </row>
    <row r="157" spans="1:14" x14ac:dyDescent="0.15">
      <c r="A157" s="1">
        <v>20</v>
      </c>
      <c r="B157" s="1" t="s">
        <v>4315</v>
      </c>
      <c r="C157" s="1" t="s">
        <v>4316</v>
      </c>
      <c r="D157" s="1" t="s">
        <v>4315</v>
      </c>
      <c r="E157" s="1" t="s">
        <v>4316</v>
      </c>
      <c r="F157" s="1" t="s">
        <v>4315</v>
      </c>
      <c r="G157" s="1" t="s">
        <v>4328</v>
      </c>
      <c r="H157" s="1" t="s">
        <v>4329</v>
      </c>
      <c r="I157" s="1" t="s">
        <v>11748</v>
      </c>
      <c r="J157" s="1" t="s">
        <v>18031</v>
      </c>
      <c r="K157" s="1">
        <v>1</v>
      </c>
      <c r="L157" s="1" t="s">
        <v>4259</v>
      </c>
      <c r="M157" s="1">
        <v>1</v>
      </c>
      <c r="N157" s="1" t="s">
        <v>4318</v>
      </c>
    </row>
    <row r="158" spans="1:14" x14ac:dyDescent="0.15">
      <c r="A158" s="1">
        <v>20</v>
      </c>
      <c r="B158" s="1" t="s">
        <v>4315</v>
      </c>
      <c r="C158" s="1" t="s">
        <v>4316</v>
      </c>
      <c r="D158" s="1" t="s">
        <v>4315</v>
      </c>
      <c r="E158" s="1" t="s">
        <v>4316</v>
      </c>
      <c r="F158" s="1" t="s">
        <v>4315</v>
      </c>
      <c r="G158" s="1" t="s">
        <v>4328</v>
      </c>
      <c r="H158" s="1" t="s">
        <v>4329</v>
      </c>
      <c r="I158" s="1" t="s">
        <v>11751</v>
      </c>
      <c r="J158" s="1" t="s">
        <v>4324</v>
      </c>
      <c r="K158" s="1">
        <v>1</v>
      </c>
      <c r="L158" s="1" t="s">
        <v>4259</v>
      </c>
      <c r="M158" s="1">
        <v>1</v>
      </c>
      <c r="N158" s="1" t="s">
        <v>4318</v>
      </c>
    </row>
    <row r="159" spans="1:14" x14ac:dyDescent="0.15">
      <c r="A159" s="1">
        <v>20</v>
      </c>
      <c r="B159" s="1" t="s">
        <v>4315</v>
      </c>
      <c r="C159" s="1" t="s">
        <v>4316</v>
      </c>
      <c r="D159" s="1" t="s">
        <v>4315</v>
      </c>
      <c r="E159" s="1" t="s">
        <v>4316</v>
      </c>
      <c r="F159" s="1" t="s">
        <v>4315</v>
      </c>
      <c r="G159" s="1" t="s">
        <v>4328</v>
      </c>
      <c r="H159" s="1" t="s">
        <v>4329</v>
      </c>
      <c r="I159" s="1" t="s">
        <v>11754</v>
      </c>
      <c r="J159" s="1" t="s">
        <v>4325</v>
      </c>
      <c r="K159" s="1">
        <v>1</v>
      </c>
      <c r="L159" s="1" t="s">
        <v>4259</v>
      </c>
      <c r="M159" s="1">
        <v>1</v>
      </c>
      <c r="N159" s="1" t="s">
        <v>4318</v>
      </c>
    </row>
    <row r="160" spans="1:14" x14ac:dyDescent="0.15">
      <c r="A160" s="1">
        <v>20</v>
      </c>
      <c r="B160" s="1" t="s">
        <v>4315</v>
      </c>
      <c r="C160" s="1" t="s">
        <v>4316</v>
      </c>
      <c r="D160" s="1" t="s">
        <v>4315</v>
      </c>
      <c r="E160" s="1" t="s">
        <v>4316</v>
      </c>
      <c r="F160" s="1" t="s">
        <v>4315</v>
      </c>
      <c r="G160" s="1" t="s">
        <v>4328</v>
      </c>
      <c r="H160" s="1" t="s">
        <v>4329</v>
      </c>
      <c r="I160" s="1" t="s">
        <v>11773</v>
      </c>
      <c r="J160" s="1" t="s">
        <v>18054</v>
      </c>
      <c r="K160" s="1">
        <v>1</v>
      </c>
      <c r="L160" s="1" t="s">
        <v>4259</v>
      </c>
      <c r="M160" s="1">
        <v>1</v>
      </c>
      <c r="N160" s="1" t="s">
        <v>4318</v>
      </c>
    </row>
    <row r="161" spans="1:14" x14ac:dyDescent="0.15">
      <c r="A161" s="1">
        <v>20</v>
      </c>
      <c r="B161" s="1" t="s">
        <v>4315</v>
      </c>
      <c r="C161" s="1" t="s">
        <v>4316</v>
      </c>
      <c r="D161" s="1" t="s">
        <v>4315</v>
      </c>
      <c r="E161" s="1" t="s">
        <v>4316</v>
      </c>
      <c r="F161" s="1" t="s">
        <v>4315</v>
      </c>
      <c r="G161" s="1" t="s">
        <v>4328</v>
      </c>
      <c r="H161" s="1" t="s">
        <v>4329</v>
      </c>
      <c r="I161" s="1" t="s">
        <v>11227</v>
      </c>
      <c r="J161" s="1" t="s">
        <v>18058</v>
      </c>
      <c r="K161" s="1">
        <v>1</v>
      </c>
      <c r="L161" s="1" t="s">
        <v>4259</v>
      </c>
      <c r="M161" s="1">
        <v>1</v>
      </c>
      <c r="N161" s="1" t="s">
        <v>4318</v>
      </c>
    </row>
    <row r="162" spans="1:14" x14ac:dyDescent="0.15">
      <c r="A162" s="1">
        <v>20</v>
      </c>
      <c r="B162" s="1" t="s">
        <v>4315</v>
      </c>
      <c r="C162" s="1" t="s">
        <v>4316</v>
      </c>
      <c r="D162" s="1" t="s">
        <v>4315</v>
      </c>
      <c r="E162" s="1" t="s">
        <v>4316</v>
      </c>
      <c r="F162" s="1" t="s">
        <v>4315</v>
      </c>
      <c r="G162" s="1" t="s">
        <v>4328</v>
      </c>
      <c r="H162" s="1" t="s">
        <v>4329</v>
      </c>
      <c r="I162" s="1" t="s">
        <v>11230</v>
      </c>
      <c r="J162" s="1" t="s">
        <v>6606</v>
      </c>
      <c r="K162" s="1">
        <v>1</v>
      </c>
      <c r="L162" s="1" t="s">
        <v>4259</v>
      </c>
      <c r="M162" s="1">
        <v>1</v>
      </c>
      <c r="N162" s="1" t="s">
        <v>4318</v>
      </c>
    </row>
    <row r="163" spans="1:14" x14ac:dyDescent="0.15">
      <c r="A163" s="1">
        <v>20</v>
      </c>
      <c r="B163" s="1" t="s">
        <v>4315</v>
      </c>
      <c r="C163" s="1" t="s">
        <v>4316</v>
      </c>
      <c r="D163" s="1" t="s">
        <v>4315</v>
      </c>
      <c r="E163" s="1" t="s">
        <v>4316</v>
      </c>
      <c r="F163" s="1" t="s">
        <v>4315</v>
      </c>
      <c r="G163" s="1" t="s">
        <v>4328</v>
      </c>
      <c r="H163" s="1" t="s">
        <v>4329</v>
      </c>
      <c r="I163" s="1" t="s">
        <v>11244</v>
      </c>
      <c r="J163" s="1" t="s">
        <v>6610</v>
      </c>
      <c r="K163" s="1">
        <v>1</v>
      </c>
      <c r="L163" s="1" t="s">
        <v>4259</v>
      </c>
      <c r="M163" s="1">
        <v>1</v>
      </c>
      <c r="N163" s="1" t="s">
        <v>4318</v>
      </c>
    </row>
    <row r="164" spans="1:14" x14ac:dyDescent="0.15">
      <c r="A164" s="1">
        <v>20</v>
      </c>
      <c r="B164" s="1" t="s">
        <v>4315</v>
      </c>
      <c r="C164" s="1" t="s">
        <v>4316</v>
      </c>
      <c r="D164" s="1" t="s">
        <v>4315</v>
      </c>
      <c r="E164" s="1" t="s">
        <v>4316</v>
      </c>
      <c r="F164" s="1" t="s">
        <v>4315</v>
      </c>
      <c r="G164" s="1" t="s">
        <v>4328</v>
      </c>
      <c r="H164" s="1" t="s">
        <v>4329</v>
      </c>
      <c r="I164" s="1" t="s">
        <v>12607</v>
      </c>
      <c r="J164" s="1" t="s">
        <v>18082</v>
      </c>
      <c r="K164" s="1">
        <v>1</v>
      </c>
      <c r="L164" s="1" t="s">
        <v>4259</v>
      </c>
      <c r="M164" s="1">
        <v>1</v>
      </c>
      <c r="N164" s="1" t="s">
        <v>4318</v>
      </c>
    </row>
    <row r="165" spans="1:14" x14ac:dyDescent="0.15">
      <c r="A165" s="1">
        <v>20</v>
      </c>
      <c r="B165" s="1" t="s">
        <v>4315</v>
      </c>
      <c r="C165" s="1" t="s">
        <v>4316</v>
      </c>
      <c r="D165" s="1" t="s">
        <v>4315</v>
      </c>
      <c r="E165" s="1" t="s">
        <v>4316</v>
      </c>
      <c r="F165" s="1" t="s">
        <v>4315</v>
      </c>
      <c r="G165" s="1" t="s">
        <v>4330</v>
      </c>
      <c r="H165" s="1" t="s">
        <v>4331</v>
      </c>
      <c r="I165" s="1" t="s">
        <v>17856</v>
      </c>
      <c r="J165" s="1" t="s">
        <v>17857</v>
      </c>
      <c r="K165" s="1">
        <v>1</v>
      </c>
      <c r="L165" s="1" t="s">
        <v>4259</v>
      </c>
      <c r="M165" s="1">
        <v>1</v>
      </c>
      <c r="N165" s="1" t="s">
        <v>4318</v>
      </c>
    </row>
    <row r="166" spans="1:14" x14ac:dyDescent="0.15">
      <c r="A166" s="1">
        <v>20</v>
      </c>
      <c r="B166" s="1" t="s">
        <v>4315</v>
      </c>
      <c r="C166" s="1" t="s">
        <v>4316</v>
      </c>
      <c r="D166" s="1" t="s">
        <v>4315</v>
      </c>
      <c r="E166" s="1" t="s">
        <v>4316</v>
      </c>
      <c r="F166" s="1" t="s">
        <v>4315</v>
      </c>
      <c r="G166" s="1" t="s">
        <v>4330</v>
      </c>
      <c r="H166" s="1" t="s">
        <v>4331</v>
      </c>
      <c r="I166" s="1" t="s">
        <v>17860</v>
      </c>
      <c r="J166" s="1" t="s">
        <v>6523</v>
      </c>
      <c r="K166" s="1">
        <v>1</v>
      </c>
      <c r="L166" s="1" t="s">
        <v>4259</v>
      </c>
      <c r="M166" s="1">
        <v>1</v>
      </c>
      <c r="N166" s="1" t="s">
        <v>4318</v>
      </c>
    </row>
    <row r="167" spans="1:14" x14ac:dyDescent="0.15">
      <c r="A167" s="1">
        <v>20</v>
      </c>
      <c r="B167" s="1" t="s">
        <v>4315</v>
      </c>
      <c r="C167" s="1" t="s">
        <v>4316</v>
      </c>
      <c r="D167" s="1" t="s">
        <v>4315</v>
      </c>
      <c r="E167" s="1" t="s">
        <v>4316</v>
      </c>
      <c r="F167" s="1" t="s">
        <v>4315</v>
      </c>
      <c r="G167" s="1" t="s">
        <v>4330</v>
      </c>
      <c r="H167" s="1" t="s">
        <v>4331</v>
      </c>
      <c r="I167" s="1" t="s">
        <v>17868</v>
      </c>
      <c r="J167" s="1" t="s">
        <v>4319</v>
      </c>
      <c r="K167" s="1">
        <v>1</v>
      </c>
      <c r="L167" s="1" t="s">
        <v>4259</v>
      </c>
      <c r="M167" s="1">
        <v>1</v>
      </c>
      <c r="N167" s="1" t="s">
        <v>4318</v>
      </c>
    </row>
    <row r="168" spans="1:14" x14ac:dyDescent="0.15">
      <c r="A168" s="1">
        <v>20</v>
      </c>
      <c r="B168" s="1" t="s">
        <v>4315</v>
      </c>
      <c r="C168" s="1" t="s">
        <v>4316</v>
      </c>
      <c r="D168" s="1" t="s">
        <v>4315</v>
      </c>
      <c r="E168" s="1" t="s">
        <v>4316</v>
      </c>
      <c r="F168" s="1" t="s">
        <v>4315</v>
      </c>
      <c r="G168" s="1" t="s">
        <v>4330</v>
      </c>
      <c r="H168" s="1" t="s">
        <v>4331</v>
      </c>
      <c r="I168" s="1" t="s">
        <v>17872</v>
      </c>
      <c r="J168" s="1" t="s">
        <v>17873</v>
      </c>
      <c r="K168" s="1">
        <v>1</v>
      </c>
      <c r="L168" s="1" t="s">
        <v>4259</v>
      </c>
      <c r="M168" s="1">
        <v>1</v>
      </c>
      <c r="N168" s="1" t="s">
        <v>4318</v>
      </c>
    </row>
    <row r="169" spans="1:14" x14ac:dyDescent="0.15">
      <c r="A169" s="1">
        <v>20</v>
      </c>
      <c r="B169" s="1" t="s">
        <v>4315</v>
      </c>
      <c r="C169" s="1" t="s">
        <v>4316</v>
      </c>
      <c r="D169" s="1" t="s">
        <v>4315</v>
      </c>
      <c r="E169" s="1" t="s">
        <v>4316</v>
      </c>
      <c r="F169" s="1" t="s">
        <v>4315</v>
      </c>
      <c r="G169" s="1" t="s">
        <v>4330</v>
      </c>
      <c r="H169" s="1" t="s">
        <v>4331</v>
      </c>
      <c r="I169" s="1" t="s">
        <v>17896</v>
      </c>
      <c r="J169" s="1" t="s">
        <v>6533</v>
      </c>
      <c r="K169" s="1">
        <v>1</v>
      </c>
      <c r="L169" s="1" t="s">
        <v>4259</v>
      </c>
      <c r="M169" s="1">
        <v>1</v>
      </c>
      <c r="N169" s="1" t="s">
        <v>4318</v>
      </c>
    </row>
    <row r="170" spans="1:14" x14ac:dyDescent="0.15">
      <c r="A170" s="1">
        <v>20</v>
      </c>
      <c r="B170" s="1" t="s">
        <v>4315</v>
      </c>
      <c r="C170" s="1" t="s">
        <v>4316</v>
      </c>
      <c r="D170" s="1" t="s">
        <v>4315</v>
      </c>
      <c r="E170" s="1" t="s">
        <v>4316</v>
      </c>
      <c r="F170" s="1" t="s">
        <v>4315</v>
      </c>
      <c r="G170" s="1" t="s">
        <v>4330</v>
      </c>
      <c r="H170" s="1" t="s">
        <v>4331</v>
      </c>
      <c r="I170" s="1" t="s">
        <v>17900</v>
      </c>
      <c r="J170" s="1" t="s">
        <v>4320</v>
      </c>
      <c r="K170" s="1">
        <v>1</v>
      </c>
      <c r="L170" s="1" t="s">
        <v>4259</v>
      </c>
      <c r="M170" s="1">
        <v>1</v>
      </c>
      <c r="N170" s="1" t="s">
        <v>4318</v>
      </c>
    </row>
    <row r="171" spans="1:14" x14ac:dyDescent="0.15">
      <c r="A171" s="1">
        <v>20</v>
      </c>
      <c r="B171" s="1" t="s">
        <v>4315</v>
      </c>
      <c r="C171" s="1" t="s">
        <v>4316</v>
      </c>
      <c r="D171" s="1" t="s">
        <v>4315</v>
      </c>
      <c r="E171" s="1" t="s">
        <v>4316</v>
      </c>
      <c r="F171" s="1" t="s">
        <v>4315</v>
      </c>
      <c r="G171" s="1" t="s">
        <v>4330</v>
      </c>
      <c r="H171" s="1" t="s">
        <v>4331</v>
      </c>
      <c r="I171" s="1" t="s">
        <v>17908</v>
      </c>
      <c r="J171" s="1" t="s">
        <v>6539</v>
      </c>
      <c r="K171" s="1">
        <v>1</v>
      </c>
      <c r="L171" s="1" t="s">
        <v>4259</v>
      </c>
      <c r="M171" s="1">
        <v>1</v>
      </c>
      <c r="N171" s="1" t="s">
        <v>4318</v>
      </c>
    </row>
    <row r="172" spans="1:14" x14ac:dyDescent="0.15">
      <c r="A172" s="1">
        <v>20</v>
      </c>
      <c r="B172" s="1" t="s">
        <v>4315</v>
      </c>
      <c r="C172" s="1" t="s">
        <v>4316</v>
      </c>
      <c r="D172" s="1" t="s">
        <v>4315</v>
      </c>
      <c r="E172" s="1" t="s">
        <v>4316</v>
      </c>
      <c r="F172" s="1" t="s">
        <v>4315</v>
      </c>
      <c r="G172" s="1" t="s">
        <v>4330</v>
      </c>
      <c r="H172" s="1" t="s">
        <v>4331</v>
      </c>
      <c r="I172" s="1" t="s">
        <v>17912</v>
      </c>
      <c r="J172" s="1" t="s">
        <v>6546</v>
      </c>
      <c r="K172" s="1">
        <v>1</v>
      </c>
      <c r="L172" s="1" t="s">
        <v>4259</v>
      </c>
      <c r="M172" s="1">
        <v>1</v>
      </c>
      <c r="N172" s="1" t="s">
        <v>4318</v>
      </c>
    </row>
    <row r="173" spans="1:14" x14ac:dyDescent="0.15">
      <c r="A173" s="1">
        <v>21</v>
      </c>
      <c r="B173" s="1" t="s">
        <v>4332</v>
      </c>
      <c r="C173" s="1" t="s">
        <v>4333</v>
      </c>
      <c r="D173" s="1" t="s">
        <v>4315</v>
      </c>
      <c r="E173" s="1" t="s">
        <v>4333</v>
      </c>
      <c r="F173" s="1" t="s">
        <v>4332</v>
      </c>
      <c r="G173" s="1" t="s">
        <v>4334</v>
      </c>
      <c r="H173" s="1" t="s">
        <v>4332</v>
      </c>
      <c r="I173" s="1" t="s">
        <v>17856</v>
      </c>
      <c r="J173" s="1" t="s">
        <v>17857</v>
      </c>
      <c r="K173" s="1">
        <v>1</v>
      </c>
      <c r="L173" s="1" t="s">
        <v>4259</v>
      </c>
      <c r="M173" s="1">
        <v>1</v>
      </c>
      <c r="N173" s="1" t="s">
        <v>4318</v>
      </c>
    </row>
    <row r="174" spans="1:14" x14ac:dyDescent="0.15">
      <c r="A174" s="1">
        <v>21</v>
      </c>
      <c r="B174" s="1" t="s">
        <v>4332</v>
      </c>
      <c r="C174" s="1" t="s">
        <v>4333</v>
      </c>
      <c r="D174" s="1" t="s">
        <v>4315</v>
      </c>
      <c r="E174" s="1" t="s">
        <v>4333</v>
      </c>
      <c r="F174" s="1" t="s">
        <v>4332</v>
      </c>
      <c r="G174" s="1" t="s">
        <v>4334</v>
      </c>
      <c r="H174" s="1" t="s">
        <v>4332</v>
      </c>
      <c r="I174" s="1" t="s">
        <v>17860</v>
      </c>
      <c r="J174" s="1" t="s">
        <v>6523</v>
      </c>
      <c r="K174" s="1">
        <v>1</v>
      </c>
      <c r="L174" s="1" t="s">
        <v>4259</v>
      </c>
      <c r="M174" s="1">
        <v>1</v>
      </c>
      <c r="N174" s="1" t="s">
        <v>4318</v>
      </c>
    </row>
    <row r="175" spans="1:14" x14ac:dyDescent="0.15">
      <c r="A175" s="1">
        <v>21</v>
      </c>
      <c r="B175" s="1" t="s">
        <v>4332</v>
      </c>
      <c r="C175" s="1" t="s">
        <v>4333</v>
      </c>
      <c r="D175" s="1" t="s">
        <v>4315</v>
      </c>
      <c r="E175" s="1" t="s">
        <v>4333</v>
      </c>
      <c r="F175" s="1" t="s">
        <v>4332</v>
      </c>
      <c r="G175" s="1" t="s">
        <v>4334</v>
      </c>
      <c r="H175" s="1" t="s">
        <v>4332</v>
      </c>
      <c r="I175" s="1" t="s">
        <v>17868</v>
      </c>
      <c r="J175" s="1" t="s">
        <v>4319</v>
      </c>
      <c r="K175" s="1">
        <v>1</v>
      </c>
      <c r="L175" s="1" t="s">
        <v>4259</v>
      </c>
      <c r="M175" s="1">
        <v>1</v>
      </c>
      <c r="N175" s="1" t="s">
        <v>4318</v>
      </c>
    </row>
    <row r="176" spans="1:14" x14ac:dyDescent="0.15">
      <c r="A176" s="1">
        <v>21</v>
      </c>
      <c r="B176" s="1" t="s">
        <v>4332</v>
      </c>
      <c r="C176" s="1" t="s">
        <v>4333</v>
      </c>
      <c r="D176" s="1" t="s">
        <v>4315</v>
      </c>
      <c r="E176" s="1" t="s">
        <v>4333</v>
      </c>
      <c r="F176" s="1" t="s">
        <v>4332</v>
      </c>
      <c r="G176" s="1" t="s">
        <v>4334</v>
      </c>
      <c r="H176" s="1" t="s">
        <v>4332</v>
      </c>
      <c r="I176" s="1" t="s">
        <v>17896</v>
      </c>
      <c r="J176" s="1" t="s">
        <v>6533</v>
      </c>
      <c r="K176" s="1">
        <v>1</v>
      </c>
      <c r="L176" s="1" t="s">
        <v>4259</v>
      </c>
      <c r="M176" s="1">
        <v>1</v>
      </c>
      <c r="N176" s="1" t="s">
        <v>4318</v>
      </c>
    </row>
    <row r="177" spans="1:14" x14ac:dyDescent="0.15">
      <c r="A177" s="1">
        <v>21</v>
      </c>
      <c r="B177" s="1" t="s">
        <v>4332</v>
      </c>
      <c r="C177" s="1" t="s">
        <v>4333</v>
      </c>
      <c r="D177" s="1" t="s">
        <v>4315</v>
      </c>
      <c r="E177" s="1" t="s">
        <v>4333</v>
      </c>
      <c r="F177" s="1" t="s">
        <v>4332</v>
      </c>
      <c r="G177" s="1" t="s">
        <v>4334</v>
      </c>
      <c r="H177" s="1" t="s">
        <v>4332</v>
      </c>
      <c r="I177" s="1" t="s">
        <v>17900</v>
      </c>
      <c r="J177" s="1" t="s">
        <v>4320</v>
      </c>
      <c r="K177" s="1">
        <v>1</v>
      </c>
      <c r="L177" s="1" t="s">
        <v>4259</v>
      </c>
      <c r="M177" s="1">
        <v>1</v>
      </c>
      <c r="N177" s="1" t="s">
        <v>4318</v>
      </c>
    </row>
    <row r="178" spans="1:14" x14ac:dyDescent="0.15">
      <c r="A178" s="1">
        <v>21</v>
      </c>
      <c r="B178" s="1" t="s">
        <v>4332</v>
      </c>
      <c r="C178" s="1" t="s">
        <v>4333</v>
      </c>
      <c r="D178" s="1" t="s">
        <v>4315</v>
      </c>
      <c r="E178" s="1" t="s">
        <v>4333</v>
      </c>
      <c r="F178" s="1" t="s">
        <v>4332</v>
      </c>
      <c r="G178" s="1" t="s">
        <v>4334</v>
      </c>
      <c r="H178" s="1" t="s">
        <v>4332</v>
      </c>
      <c r="I178" s="1" t="s">
        <v>17904</v>
      </c>
      <c r="J178" s="1" t="s">
        <v>6537</v>
      </c>
      <c r="K178" s="1">
        <v>1</v>
      </c>
      <c r="L178" s="1" t="s">
        <v>4259</v>
      </c>
      <c r="M178" s="1">
        <v>1</v>
      </c>
      <c r="N178" s="1" t="s">
        <v>4318</v>
      </c>
    </row>
    <row r="179" spans="1:14" x14ac:dyDescent="0.15">
      <c r="A179" s="1">
        <v>21</v>
      </c>
      <c r="B179" s="1" t="s">
        <v>4332</v>
      </c>
      <c r="C179" s="1" t="s">
        <v>4333</v>
      </c>
      <c r="D179" s="1" t="s">
        <v>4315</v>
      </c>
      <c r="E179" s="1" t="s">
        <v>4333</v>
      </c>
      <c r="F179" s="1" t="s">
        <v>4332</v>
      </c>
      <c r="G179" s="1" t="s">
        <v>4334</v>
      </c>
      <c r="H179" s="1" t="s">
        <v>4332</v>
      </c>
      <c r="I179" s="1" t="s">
        <v>17908</v>
      </c>
      <c r="J179" s="1" t="s">
        <v>6539</v>
      </c>
      <c r="K179" s="1">
        <v>1</v>
      </c>
      <c r="L179" s="1" t="s">
        <v>4259</v>
      </c>
      <c r="M179" s="1">
        <v>1</v>
      </c>
      <c r="N179" s="1" t="s">
        <v>4318</v>
      </c>
    </row>
    <row r="180" spans="1:14" x14ac:dyDescent="0.15">
      <c r="A180" s="1">
        <v>21</v>
      </c>
      <c r="B180" s="1" t="s">
        <v>4332</v>
      </c>
      <c r="C180" s="1" t="s">
        <v>4333</v>
      </c>
      <c r="D180" s="1" t="s">
        <v>4315</v>
      </c>
      <c r="E180" s="1" t="s">
        <v>4333</v>
      </c>
      <c r="F180" s="1" t="s">
        <v>4332</v>
      </c>
      <c r="G180" s="1" t="s">
        <v>4334</v>
      </c>
      <c r="H180" s="1" t="s">
        <v>4332</v>
      </c>
      <c r="I180" s="1" t="s">
        <v>11636</v>
      </c>
      <c r="J180" s="1" t="s">
        <v>4321</v>
      </c>
      <c r="K180" s="1">
        <v>1</v>
      </c>
      <c r="L180" s="1" t="s">
        <v>4259</v>
      </c>
      <c r="M180" s="1">
        <v>1</v>
      </c>
      <c r="N180" s="1" t="s">
        <v>4318</v>
      </c>
    </row>
    <row r="181" spans="1:14" x14ac:dyDescent="0.15">
      <c r="A181" s="1">
        <v>21</v>
      </c>
      <c r="B181" s="1" t="s">
        <v>4332</v>
      </c>
      <c r="C181" s="1" t="s">
        <v>4333</v>
      </c>
      <c r="D181" s="1" t="s">
        <v>4315</v>
      </c>
      <c r="E181" s="1" t="s">
        <v>4333</v>
      </c>
      <c r="F181" s="1" t="s">
        <v>4332</v>
      </c>
      <c r="G181" s="1" t="s">
        <v>4334</v>
      </c>
      <c r="H181" s="1" t="s">
        <v>4332</v>
      </c>
      <c r="I181" s="1" t="s">
        <v>17912</v>
      </c>
      <c r="J181" s="1" t="s">
        <v>6546</v>
      </c>
      <c r="K181" s="1">
        <v>1</v>
      </c>
      <c r="L181" s="1" t="s">
        <v>4259</v>
      </c>
      <c r="M181" s="1">
        <v>1</v>
      </c>
      <c r="N181" s="1" t="s">
        <v>4318</v>
      </c>
    </row>
    <row r="182" spans="1:14" x14ac:dyDescent="0.15">
      <c r="A182" s="1">
        <v>21</v>
      </c>
      <c r="B182" s="1" t="s">
        <v>4332</v>
      </c>
      <c r="C182" s="1" t="s">
        <v>4333</v>
      </c>
      <c r="D182" s="1" t="s">
        <v>4315</v>
      </c>
      <c r="E182" s="1" t="s">
        <v>4333</v>
      </c>
      <c r="F182" s="1" t="s">
        <v>4332</v>
      </c>
      <c r="G182" s="1" t="s">
        <v>4334</v>
      </c>
      <c r="H182" s="1" t="s">
        <v>4332</v>
      </c>
      <c r="I182" s="1" t="s">
        <v>17952</v>
      </c>
      <c r="J182" s="1" t="s">
        <v>6566</v>
      </c>
      <c r="K182" s="1">
        <v>1</v>
      </c>
      <c r="L182" s="1" t="s">
        <v>4259</v>
      </c>
      <c r="M182" s="1">
        <v>1</v>
      </c>
      <c r="N182" s="1" t="s">
        <v>4318</v>
      </c>
    </row>
    <row r="183" spans="1:14" x14ac:dyDescent="0.15">
      <c r="A183" s="1">
        <v>21</v>
      </c>
      <c r="B183" s="1" t="s">
        <v>4332</v>
      </c>
      <c r="C183" s="1" t="s">
        <v>4333</v>
      </c>
      <c r="D183" s="1" t="s">
        <v>4315</v>
      </c>
      <c r="E183" s="1" t="s">
        <v>4333</v>
      </c>
      <c r="F183" s="1" t="s">
        <v>4332</v>
      </c>
      <c r="G183" s="1" t="s">
        <v>4334</v>
      </c>
      <c r="H183" s="1" t="s">
        <v>4332</v>
      </c>
      <c r="I183" s="1" t="s">
        <v>17956</v>
      </c>
      <c r="J183" s="1" t="s">
        <v>17957</v>
      </c>
      <c r="K183" s="1">
        <v>1</v>
      </c>
      <c r="L183" s="1" t="s">
        <v>4259</v>
      </c>
      <c r="M183" s="1">
        <v>1</v>
      </c>
      <c r="N183" s="1" t="s">
        <v>4318</v>
      </c>
    </row>
    <row r="184" spans="1:14" x14ac:dyDescent="0.15">
      <c r="A184" s="1">
        <v>21</v>
      </c>
      <c r="B184" s="1" t="s">
        <v>4332</v>
      </c>
      <c r="C184" s="1" t="s">
        <v>4333</v>
      </c>
      <c r="D184" s="1" t="s">
        <v>4315</v>
      </c>
      <c r="E184" s="1" t="s">
        <v>4333</v>
      </c>
      <c r="F184" s="1" t="s">
        <v>4332</v>
      </c>
      <c r="G184" s="1" t="s">
        <v>4334</v>
      </c>
      <c r="H184" s="1" t="s">
        <v>4332</v>
      </c>
      <c r="I184" s="1" t="s">
        <v>17964</v>
      </c>
      <c r="J184" s="1" t="s">
        <v>4323</v>
      </c>
      <c r="K184" s="1">
        <v>1</v>
      </c>
      <c r="L184" s="1" t="s">
        <v>4259</v>
      </c>
      <c r="M184" s="1">
        <v>1</v>
      </c>
      <c r="N184" s="1" t="s">
        <v>4318</v>
      </c>
    </row>
    <row r="185" spans="1:14" x14ac:dyDescent="0.15">
      <c r="A185" s="1">
        <v>21</v>
      </c>
      <c r="B185" s="1" t="s">
        <v>4332</v>
      </c>
      <c r="C185" s="1" t="s">
        <v>4333</v>
      </c>
      <c r="D185" s="1" t="s">
        <v>4315</v>
      </c>
      <c r="E185" s="1" t="s">
        <v>4333</v>
      </c>
      <c r="F185" s="1" t="s">
        <v>4332</v>
      </c>
      <c r="G185" s="1" t="s">
        <v>4334</v>
      </c>
      <c r="H185" s="1" t="s">
        <v>4332</v>
      </c>
      <c r="I185" s="1" t="s">
        <v>11710</v>
      </c>
      <c r="J185" s="1" t="s">
        <v>18011</v>
      </c>
      <c r="K185" s="1">
        <v>1</v>
      </c>
      <c r="L185" s="1" t="s">
        <v>4259</v>
      </c>
      <c r="M185" s="1">
        <v>1</v>
      </c>
      <c r="N185" s="1" t="s">
        <v>4318</v>
      </c>
    </row>
    <row r="186" spans="1:14" x14ac:dyDescent="0.15">
      <c r="A186" s="1">
        <v>21</v>
      </c>
      <c r="B186" s="1" t="s">
        <v>4332</v>
      </c>
      <c r="C186" s="1" t="s">
        <v>4333</v>
      </c>
      <c r="D186" s="1" t="s">
        <v>4315</v>
      </c>
      <c r="E186" s="1" t="s">
        <v>4333</v>
      </c>
      <c r="F186" s="1" t="s">
        <v>4332</v>
      </c>
      <c r="G186" s="1" t="s">
        <v>4334</v>
      </c>
      <c r="H186" s="1" t="s">
        <v>4332</v>
      </c>
      <c r="I186" s="1" t="s">
        <v>11722</v>
      </c>
      <c r="J186" s="1" t="s">
        <v>6593</v>
      </c>
      <c r="K186" s="1">
        <v>1</v>
      </c>
      <c r="L186" s="1" t="s">
        <v>4259</v>
      </c>
      <c r="M186" s="1">
        <v>1</v>
      </c>
      <c r="N186" s="1" t="s">
        <v>4318</v>
      </c>
    </row>
    <row r="187" spans="1:14" x14ac:dyDescent="0.15">
      <c r="A187" s="1">
        <v>21</v>
      </c>
      <c r="B187" s="1" t="s">
        <v>4332</v>
      </c>
      <c r="C187" s="1" t="s">
        <v>4333</v>
      </c>
      <c r="D187" s="1" t="s">
        <v>4315</v>
      </c>
      <c r="E187" s="1" t="s">
        <v>4333</v>
      </c>
      <c r="F187" s="1" t="s">
        <v>4332</v>
      </c>
      <c r="G187" s="1" t="s">
        <v>4334</v>
      </c>
      <c r="H187" s="1" t="s">
        <v>4332</v>
      </c>
      <c r="I187" s="1" t="s">
        <v>11739</v>
      </c>
      <c r="J187" s="1" t="s">
        <v>6595</v>
      </c>
      <c r="K187" s="1">
        <v>1</v>
      </c>
      <c r="L187" s="1" t="s">
        <v>4259</v>
      </c>
      <c r="M187" s="1">
        <v>1</v>
      </c>
      <c r="N187" s="1" t="s">
        <v>4318</v>
      </c>
    </row>
    <row r="188" spans="1:14" x14ac:dyDescent="0.15">
      <c r="A188" s="1">
        <v>21</v>
      </c>
      <c r="B188" s="1" t="s">
        <v>4332</v>
      </c>
      <c r="C188" s="1" t="s">
        <v>4333</v>
      </c>
      <c r="D188" s="1" t="s">
        <v>4315</v>
      </c>
      <c r="E188" s="1" t="s">
        <v>4333</v>
      </c>
      <c r="F188" s="1" t="s">
        <v>4332</v>
      </c>
      <c r="G188" s="1" t="s">
        <v>4334</v>
      </c>
      <c r="H188" s="1" t="s">
        <v>4332</v>
      </c>
      <c r="I188" s="1" t="s">
        <v>11748</v>
      </c>
      <c r="J188" s="1" t="s">
        <v>18031</v>
      </c>
      <c r="K188" s="1">
        <v>1</v>
      </c>
      <c r="L188" s="1" t="s">
        <v>4259</v>
      </c>
      <c r="M188" s="1">
        <v>1</v>
      </c>
      <c r="N188" s="1" t="s">
        <v>4318</v>
      </c>
    </row>
    <row r="189" spans="1:14" x14ac:dyDescent="0.15">
      <c r="A189" s="1">
        <v>21</v>
      </c>
      <c r="B189" s="1" t="s">
        <v>4332</v>
      </c>
      <c r="C189" s="1" t="s">
        <v>4333</v>
      </c>
      <c r="D189" s="1" t="s">
        <v>4315</v>
      </c>
      <c r="E189" s="1" t="s">
        <v>4333</v>
      </c>
      <c r="F189" s="1" t="s">
        <v>4332</v>
      </c>
      <c r="G189" s="1" t="s">
        <v>4334</v>
      </c>
      <c r="H189" s="1" t="s">
        <v>4332</v>
      </c>
      <c r="I189" s="1" t="s">
        <v>11751</v>
      </c>
      <c r="J189" s="1" t="s">
        <v>4324</v>
      </c>
      <c r="K189" s="1">
        <v>1</v>
      </c>
      <c r="L189" s="1" t="s">
        <v>4259</v>
      </c>
      <c r="M189" s="1">
        <v>1</v>
      </c>
      <c r="N189" s="1" t="s">
        <v>4318</v>
      </c>
    </row>
    <row r="190" spans="1:14" x14ac:dyDescent="0.15">
      <c r="A190" s="1">
        <v>21</v>
      </c>
      <c r="B190" s="1" t="s">
        <v>4332</v>
      </c>
      <c r="C190" s="1" t="s">
        <v>4333</v>
      </c>
      <c r="D190" s="1" t="s">
        <v>4315</v>
      </c>
      <c r="E190" s="1" t="s">
        <v>4333</v>
      </c>
      <c r="F190" s="1" t="s">
        <v>4332</v>
      </c>
      <c r="G190" s="1" t="s">
        <v>4334</v>
      </c>
      <c r="H190" s="1" t="s">
        <v>4332</v>
      </c>
      <c r="I190" s="1" t="s">
        <v>11754</v>
      </c>
      <c r="J190" s="1" t="s">
        <v>4325</v>
      </c>
      <c r="K190" s="1">
        <v>1</v>
      </c>
      <c r="L190" s="1" t="s">
        <v>4259</v>
      </c>
      <c r="M190" s="1">
        <v>1</v>
      </c>
      <c r="N190" s="1" t="s">
        <v>4318</v>
      </c>
    </row>
    <row r="191" spans="1:14" x14ac:dyDescent="0.15">
      <c r="A191" s="1">
        <v>21</v>
      </c>
      <c r="B191" s="1" t="s">
        <v>4332</v>
      </c>
      <c r="C191" s="1" t="s">
        <v>4333</v>
      </c>
      <c r="D191" s="1" t="s">
        <v>4315</v>
      </c>
      <c r="E191" s="1" t="s">
        <v>4333</v>
      </c>
      <c r="F191" s="1" t="s">
        <v>4332</v>
      </c>
      <c r="G191" s="1" t="s">
        <v>4334</v>
      </c>
      <c r="H191" s="1" t="s">
        <v>4332</v>
      </c>
      <c r="I191" s="1" t="s">
        <v>11773</v>
      </c>
      <c r="J191" s="1" t="s">
        <v>18054</v>
      </c>
      <c r="K191" s="1">
        <v>1</v>
      </c>
      <c r="L191" s="1" t="s">
        <v>4259</v>
      </c>
      <c r="M191" s="1">
        <v>1</v>
      </c>
      <c r="N191" s="1" t="s">
        <v>4318</v>
      </c>
    </row>
    <row r="192" spans="1:14" x14ac:dyDescent="0.15">
      <c r="A192" s="1">
        <v>21</v>
      </c>
      <c r="B192" s="1" t="s">
        <v>4332</v>
      </c>
      <c r="C192" s="1" t="s">
        <v>4333</v>
      </c>
      <c r="D192" s="1" t="s">
        <v>4315</v>
      </c>
      <c r="E192" s="1" t="s">
        <v>4333</v>
      </c>
      <c r="F192" s="1" t="s">
        <v>4332</v>
      </c>
      <c r="G192" s="1" t="s">
        <v>4334</v>
      </c>
      <c r="H192" s="1" t="s">
        <v>4332</v>
      </c>
      <c r="I192" s="1" t="s">
        <v>11227</v>
      </c>
      <c r="J192" s="1" t="s">
        <v>18058</v>
      </c>
      <c r="K192" s="1">
        <v>1</v>
      </c>
      <c r="L192" s="1" t="s">
        <v>4259</v>
      </c>
      <c r="M192" s="1">
        <v>1</v>
      </c>
      <c r="N192" s="1" t="s">
        <v>4318</v>
      </c>
    </row>
    <row r="193" spans="1:14" x14ac:dyDescent="0.15">
      <c r="A193" s="1">
        <v>21</v>
      </c>
      <c r="B193" s="1" t="s">
        <v>4332</v>
      </c>
      <c r="C193" s="1" t="s">
        <v>4333</v>
      </c>
      <c r="D193" s="1" t="s">
        <v>4315</v>
      </c>
      <c r="E193" s="1" t="s">
        <v>4333</v>
      </c>
      <c r="F193" s="1" t="s">
        <v>4332</v>
      </c>
      <c r="G193" s="1" t="s">
        <v>4334</v>
      </c>
      <c r="H193" s="1" t="s">
        <v>4332</v>
      </c>
      <c r="I193" s="1" t="s">
        <v>11230</v>
      </c>
      <c r="J193" s="1" t="s">
        <v>6606</v>
      </c>
      <c r="K193" s="1">
        <v>1</v>
      </c>
      <c r="L193" s="1" t="s">
        <v>4259</v>
      </c>
      <c r="M193" s="1">
        <v>1</v>
      </c>
      <c r="N193" s="1" t="s">
        <v>4318</v>
      </c>
    </row>
    <row r="194" spans="1:14" x14ac:dyDescent="0.15">
      <c r="A194" s="1">
        <v>21</v>
      </c>
      <c r="B194" s="1" t="s">
        <v>4332</v>
      </c>
      <c r="C194" s="1" t="s">
        <v>4333</v>
      </c>
      <c r="D194" s="1" t="s">
        <v>4315</v>
      </c>
      <c r="E194" s="1" t="s">
        <v>4333</v>
      </c>
      <c r="F194" s="1" t="s">
        <v>4332</v>
      </c>
      <c r="G194" s="1" t="s">
        <v>4334</v>
      </c>
      <c r="H194" s="1" t="s">
        <v>4332</v>
      </c>
      <c r="I194" s="1" t="s">
        <v>11244</v>
      </c>
      <c r="J194" s="1" t="s">
        <v>6610</v>
      </c>
      <c r="K194" s="1">
        <v>1</v>
      </c>
      <c r="L194" s="1" t="s">
        <v>4259</v>
      </c>
      <c r="M194" s="1">
        <v>1</v>
      </c>
      <c r="N194" s="1" t="s">
        <v>4318</v>
      </c>
    </row>
    <row r="195" spans="1:14" x14ac:dyDescent="0.15">
      <c r="A195" s="1">
        <v>21</v>
      </c>
      <c r="B195" s="1" t="s">
        <v>4332</v>
      </c>
      <c r="C195" s="1" t="s">
        <v>4333</v>
      </c>
      <c r="D195" s="1" t="s">
        <v>4315</v>
      </c>
      <c r="E195" s="1" t="s">
        <v>4333</v>
      </c>
      <c r="F195" s="1" t="s">
        <v>4332</v>
      </c>
      <c r="G195" s="1" t="s">
        <v>4334</v>
      </c>
      <c r="H195" s="1" t="s">
        <v>4332</v>
      </c>
      <c r="I195" s="1" t="s">
        <v>12607</v>
      </c>
      <c r="J195" s="1" t="s">
        <v>18082</v>
      </c>
      <c r="K195" s="1">
        <v>1</v>
      </c>
      <c r="L195" s="1" t="s">
        <v>4259</v>
      </c>
      <c r="M195" s="1">
        <v>1</v>
      </c>
      <c r="N195" s="1" t="s">
        <v>4318</v>
      </c>
    </row>
    <row r="196" spans="1:14" x14ac:dyDescent="0.15">
      <c r="A196" s="1">
        <v>22</v>
      </c>
      <c r="B196" s="1" t="s">
        <v>4335</v>
      </c>
      <c r="C196" s="1" t="s">
        <v>4336</v>
      </c>
      <c r="D196" s="1" t="s">
        <v>4335</v>
      </c>
      <c r="E196" s="1" t="s">
        <v>4336</v>
      </c>
      <c r="F196" s="1" t="s">
        <v>4335</v>
      </c>
      <c r="G196" s="1" t="s">
        <v>4337</v>
      </c>
      <c r="H196" s="1" t="s">
        <v>4335</v>
      </c>
      <c r="I196" s="1" t="s">
        <v>15934</v>
      </c>
      <c r="J196" s="1" t="s">
        <v>5759</v>
      </c>
      <c r="K196" s="1">
        <v>3</v>
      </c>
      <c r="L196" s="1" t="s">
        <v>4282</v>
      </c>
      <c r="M196" s="1">
        <v>2</v>
      </c>
      <c r="N196" s="1" t="s">
        <v>4283</v>
      </c>
    </row>
    <row r="197" spans="1:14" x14ac:dyDescent="0.15">
      <c r="A197" s="1">
        <v>22</v>
      </c>
      <c r="B197" s="1" t="s">
        <v>4335</v>
      </c>
      <c r="C197" s="1" t="s">
        <v>4336</v>
      </c>
      <c r="D197" s="1" t="s">
        <v>4335</v>
      </c>
      <c r="E197" s="1" t="s">
        <v>4336</v>
      </c>
      <c r="F197" s="1" t="s">
        <v>4335</v>
      </c>
      <c r="G197" s="1" t="s">
        <v>4337</v>
      </c>
      <c r="H197" s="1" t="s">
        <v>4335</v>
      </c>
      <c r="I197" s="1" t="s">
        <v>12722</v>
      </c>
      <c r="J197" s="1" t="s">
        <v>5225</v>
      </c>
      <c r="K197" s="1">
        <v>3</v>
      </c>
      <c r="L197" s="1" t="s">
        <v>4282</v>
      </c>
      <c r="M197" s="1">
        <v>2</v>
      </c>
      <c r="N197" s="1" t="s">
        <v>4283</v>
      </c>
    </row>
    <row r="198" spans="1:14" x14ac:dyDescent="0.15">
      <c r="A198" s="1">
        <v>22</v>
      </c>
      <c r="B198" s="1" t="s">
        <v>4335</v>
      </c>
      <c r="C198" s="1" t="s">
        <v>4336</v>
      </c>
      <c r="D198" s="1" t="s">
        <v>4335</v>
      </c>
      <c r="E198" s="1" t="s">
        <v>4336</v>
      </c>
      <c r="F198" s="1" t="s">
        <v>4335</v>
      </c>
      <c r="G198" s="1" t="s">
        <v>4337</v>
      </c>
      <c r="H198" s="1" t="s">
        <v>4335</v>
      </c>
      <c r="I198" s="1" t="s">
        <v>12730</v>
      </c>
      <c r="J198" s="1" t="s">
        <v>4195</v>
      </c>
      <c r="K198" s="1">
        <v>3</v>
      </c>
      <c r="L198" s="1" t="s">
        <v>4282</v>
      </c>
      <c r="M198" s="1">
        <v>2</v>
      </c>
      <c r="N198" s="1" t="s">
        <v>4283</v>
      </c>
    </row>
    <row r="199" spans="1:14" x14ac:dyDescent="0.15">
      <c r="A199" s="1">
        <v>22</v>
      </c>
      <c r="B199" s="1" t="s">
        <v>4335</v>
      </c>
      <c r="C199" s="1" t="s">
        <v>4336</v>
      </c>
      <c r="D199" s="1" t="s">
        <v>4335</v>
      </c>
      <c r="E199" s="1" t="s">
        <v>4336</v>
      </c>
      <c r="F199" s="1" t="s">
        <v>4335</v>
      </c>
      <c r="G199" s="1" t="s">
        <v>4337</v>
      </c>
      <c r="H199" s="1" t="s">
        <v>4335</v>
      </c>
      <c r="I199" s="1" t="s">
        <v>12746</v>
      </c>
      <c r="J199" s="1" t="s">
        <v>12747</v>
      </c>
      <c r="K199" s="1">
        <v>3</v>
      </c>
      <c r="L199" s="1" t="s">
        <v>4282</v>
      </c>
      <c r="M199" s="1">
        <v>2</v>
      </c>
      <c r="N199" s="1" t="s">
        <v>4283</v>
      </c>
    </row>
    <row r="200" spans="1:14" x14ac:dyDescent="0.15">
      <c r="A200" s="1">
        <v>23</v>
      </c>
      <c r="B200" s="1" t="s">
        <v>4338</v>
      </c>
      <c r="C200" s="1" t="s">
        <v>4339</v>
      </c>
      <c r="D200" s="1" t="s">
        <v>4338</v>
      </c>
      <c r="E200" s="1" t="s">
        <v>4339</v>
      </c>
      <c r="F200" s="1" t="s">
        <v>4338</v>
      </c>
      <c r="G200" s="1" t="s">
        <v>4340</v>
      </c>
      <c r="H200" s="1" t="s">
        <v>4338</v>
      </c>
      <c r="I200" s="1" t="s">
        <v>11879</v>
      </c>
      <c r="J200" s="1" t="s">
        <v>4341</v>
      </c>
      <c r="K200" s="1">
        <v>4</v>
      </c>
      <c r="L200" s="1" t="s">
        <v>4342</v>
      </c>
      <c r="M200" s="1">
        <v>5</v>
      </c>
      <c r="N200" s="1" t="s">
        <v>4342</v>
      </c>
    </row>
    <row r="201" spans="1:14" x14ac:dyDescent="0.15">
      <c r="A201" s="1">
        <v>23</v>
      </c>
      <c r="B201" s="1" t="s">
        <v>4338</v>
      </c>
      <c r="C201" s="1" t="s">
        <v>4343</v>
      </c>
      <c r="D201" s="1" t="s">
        <v>4344</v>
      </c>
      <c r="E201" s="1" t="s">
        <v>4343</v>
      </c>
      <c r="F201" s="1" t="s">
        <v>4344</v>
      </c>
      <c r="G201" s="1" t="s">
        <v>4345</v>
      </c>
      <c r="H201" s="1" t="s">
        <v>4344</v>
      </c>
      <c r="I201" s="1" t="s">
        <v>16942</v>
      </c>
      <c r="J201" s="1" t="s">
        <v>4346</v>
      </c>
      <c r="K201" s="1">
        <v>4</v>
      </c>
      <c r="L201" s="1" t="s">
        <v>4342</v>
      </c>
      <c r="M201" s="1">
        <v>5</v>
      </c>
      <c r="N201" s="1" t="s">
        <v>4342</v>
      </c>
    </row>
    <row r="202" spans="1:14" x14ac:dyDescent="0.15">
      <c r="A202" s="1">
        <v>23</v>
      </c>
      <c r="B202" s="1" t="s">
        <v>4338</v>
      </c>
      <c r="C202" s="1" t="s">
        <v>4343</v>
      </c>
      <c r="D202" s="1" t="s">
        <v>4344</v>
      </c>
      <c r="E202" s="1" t="s">
        <v>4343</v>
      </c>
      <c r="F202" s="1" t="s">
        <v>4344</v>
      </c>
      <c r="G202" s="1" t="s">
        <v>4345</v>
      </c>
      <c r="H202" s="1" t="s">
        <v>4344</v>
      </c>
      <c r="I202" s="1" t="s">
        <v>16954</v>
      </c>
      <c r="J202" s="1" t="s">
        <v>4347</v>
      </c>
      <c r="K202" s="1">
        <v>4</v>
      </c>
      <c r="L202" s="1" t="s">
        <v>4342</v>
      </c>
      <c r="M202" s="1">
        <v>5</v>
      </c>
      <c r="N202" s="1" t="s">
        <v>4342</v>
      </c>
    </row>
    <row r="203" spans="1:14" x14ac:dyDescent="0.15">
      <c r="A203" s="1">
        <v>23</v>
      </c>
      <c r="B203" s="1" t="s">
        <v>4338</v>
      </c>
      <c r="C203" s="1" t="s">
        <v>4343</v>
      </c>
      <c r="D203" s="1" t="s">
        <v>4344</v>
      </c>
      <c r="E203" s="1" t="s">
        <v>4343</v>
      </c>
      <c r="F203" s="1" t="s">
        <v>4344</v>
      </c>
      <c r="G203" s="1" t="s">
        <v>4345</v>
      </c>
      <c r="H203" s="1" t="s">
        <v>4344</v>
      </c>
      <c r="I203" s="1" t="s">
        <v>10964</v>
      </c>
      <c r="J203" s="1" t="s">
        <v>4348</v>
      </c>
      <c r="K203" s="1">
        <v>4</v>
      </c>
      <c r="L203" s="1" t="s">
        <v>4342</v>
      </c>
      <c r="M203" s="1">
        <v>5</v>
      </c>
      <c r="N203" s="1" t="s">
        <v>4342</v>
      </c>
    </row>
    <row r="204" spans="1:14" x14ac:dyDescent="0.15">
      <c r="A204" s="1">
        <v>23</v>
      </c>
      <c r="B204" s="1" t="s">
        <v>4338</v>
      </c>
      <c r="C204" s="1" t="s">
        <v>4343</v>
      </c>
      <c r="D204" s="1" t="s">
        <v>4344</v>
      </c>
      <c r="E204" s="1" t="s">
        <v>4343</v>
      </c>
      <c r="F204" s="1" t="s">
        <v>4344</v>
      </c>
      <c r="G204" s="1" t="s">
        <v>4345</v>
      </c>
      <c r="H204" s="1" t="s">
        <v>4344</v>
      </c>
      <c r="I204" s="1" t="s">
        <v>16970</v>
      </c>
      <c r="J204" s="1" t="s">
        <v>4349</v>
      </c>
      <c r="K204" s="1">
        <v>4</v>
      </c>
      <c r="L204" s="1" t="s">
        <v>4342</v>
      </c>
      <c r="M204" s="1">
        <v>5</v>
      </c>
      <c r="N204" s="1" t="s">
        <v>4342</v>
      </c>
    </row>
    <row r="205" spans="1:14" x14ac:dyDescent="0.15">
      <c r="A205" s="1">
        <v>23</v>
      </c>
      <c r="B205" s="1" t="s">
        <v>4338</v>
      </c>
      <c r="C205" s="1" t="s">
        <v>4350</v>
      </c>
      <c r="D205" s="1" t="s">
        <v>4351</v>
      </c>
      <c r="E205" s="1" t="s">
        <v>4350</v>
      </c>
      <c r="F205" s="1" t="s">
        <v>4351</v>
      </c>
      <c r="G205" s="1" t="s">
        <v>4352</v>
      </c>
      <c r="H205" s="1" t="s">
        <v>4351</v>
      </c>
      <c r="I205" s="1" t="s">
        <v>16942</v>
      </c>
      <c r="J205" s="1" t="s">
        <v>4346</v>
      </c>
      <c r="K205" s="1">
        <v>4</v>
      </c>
      <c r="L205" s="1" t="s">
        <v>4342</v>
      </c>
      <c r="M205" s="1">
        <v>5</v>
      </c>
      <c r="N205" s="1" t="s">
        <v>4342</v>
      </c>
    </row>
    <row r="206" spans="1:14" x14ac:dyDescent="0.15">
      <c r="A206" s="1">
        <v>23</v>
      </c>
      <c r="B206" s="1" t="s">
        <v>4338</v>
      </c>
      <c r="C206" s="1" t="s">
        <v>4350</v>
      </c>
      <c r="D206" s="1" t="s">
        <v>4351</v>
      </c>
      <c r="E206" s="1" t="s">
        <v>4350</v>
      </c>
      <c r="F206" s="1" t="s">
        <v>4351</v>
      </c>
      <c r="G206" s="1" t="s">
        <v>4352</v>
      </c>
      <c r="H206" s="1" t="s">
        <v>4351</v>
      </c>
      <c r="I206" s="1" t="s">
        <v>16954</v>
      </c>
      <c r="J206" s="1" t="s">
        <v>4347</v>
      </c>
      <c r="K206" s="1">
        <v>4</v>
      </c>
      <c r="L206" s="1" t="s">
        <v>4342</v>
      </c>
      <c r="M206" s="1">
        <v>5</v>
      </c>
      <c r="N206" s="1" t="s">
        <v>4342</v>
      </c>
    </row>
    <row r="207" spans="1:14" x14ac:dyDescent="0.15">
      <c r="A207" s="1">
        <v>23</v>
      </c>
      <c r="B207" s="1" t="s">
        <v>4338</v>
      </c>
      <c r="C207" s="1" t="s">
        <v>4350</v>
      </c>
      <c r="D207" s="1" t="s">
        <v>4351</v>
      </c>
      <c r="E207" s="1" t="s">
        <v>4350</v>
      </c>
      <c r="F207" s="1" t="s">
        <v>4351</v>
      </c>
      <c r="G207" s="1" t="s">
        <v>4352</v>
      </c>
      <c r="H207" s="1" t="s">
        <v>4351</v>
      </c>
      <c r="I207" s="1" t="s">
        <v>10964</v>
      </c>
      <c r="J207" s="1" t="s">
        <v>4348</v>
      </c>
      <c r="K207" s="1">
        <v>4</v>
      </c>
      <c r="L207" s="1" t="s">
        <v>4342</v>
      </c>
      <c r="M207" s="1">
        <v>5</v>
      </c>
      <c r="N207" s="1" t="s">
        <v>4342</v>
      </c>
    </row>
    <row r="208" spans="1:14" x14ac:dyDescent="0.15">
      <c r="A208" s="1">
        <v>23</v>
      </c>
      <c r="B208" s="1" t="s">
        <v>4338</v>
      </c>
      <c r="C208" s="1" t="s">
        <v>4350</v>
      </c>
      <c r="D208" s="1" t="s">
        <v>4351</v>
      </c>
      <c r="E208" s="1" t="s">
        <v>4350</v>
      </c>
      <c r="F208" s="1" t="s">
        <v>4351</v>
      </c>
      <c r="G208" s="1" t="s">
        <v>4352</v>
      </c>
      <c r="H208" s="1" t="s">
        <v>4351</v>
      </c>
      <c r="I208" s="1" t="s">
        <v>10967</v>
      </c>
      <c r="J208" s="1" t="s">
        <v>4353</v>
      </c>
      <c r="K208" s="1">
        <v>4</v>
      </c>
      <c r="L208" s="1" t="s">
        <v>4342</v>
      </c>
      <c r="M208" s="1">
        <v>5</v>
      </c>
      <c r="N208" s="1" t="s">
        <v>4342</v>
      </c>
    </row>
    <row r="209" spans="1:14" x14ac:dyDescent="0.15">
      <c r="A209" s="1">
        <v>23</v>
      </c>
      <c r="B209" s="1" t="s">
        <v>4338</v>
      </c>
      <c r="C209" s="1" t="s">
        <v>4350</v>
      </c>
      <c r="D209" s="1" t="s">
        <v>4351</v>
      </c>
      <c r="E209" s="1" t="s">
        <v>4350</v>
      </c>
      <c r="F209" s="1" t="s">
        <v>4351</v>
      </c>
      <c r="G209" s="1" t="s">
        <v>4352</v>
      </c>
      <c r="H209" s="1" t="s">
        <v>4351</v>
      </c>
      <c r="I209" s="1" t="s">
        <v>16970</v>
      </c>
      <c r="J209" s="1" t="s">
        <v>4349</v>
      </c>
      <c r="K209" s="1">
        <v>4</v>
      </c>
      <c r="L209" s="1" t="s">
        <v>4342</v>
      </c>
      <c r="M209" s="1">
        <v>5</v>
      </c>
      <c r="N209" s="1" t="s">
        <v>4342</v>
      </c>
    </row>
    <row r="210" spans="1:14" x14ac:dyDescent="0.15">
      <c r="A210" s="1">
        <v>23</v>
      </c>
      <c r="B210" s="1" t="s">
        <v>4338</v>
      </c>
      <c r="C210" s="1" t="s">
        <v>4354</v>
      </c>
      <c r="D210" s="1" t="s">
        <v>4355</v>
      </c>
      <c r="E210" s="1" t="s">
        <v>4354</v>
      </c>
      <c r="F210" s="1" t="s">
        <v>4355</v>
      </c>
      <c r="G210" s="1" t="s">
        <v>4356</v>
      </c>
      <c r="H210" s="1" t="s">
        <v>4355</v>
      </c>
      <c r="I210" s="1" t="s">
        <v>16942</v>
      </c>
      <c r="J210" s="1" t="s">
        <v>4346</v>
      </c>
      <c r="K210" s="1">
        <v>4</v>
      </c>
      <c r="L210" s="1" t="s">
        <v>4342</v>
      </c>
      <c r="M210" s="1">
        <v>5</v>
      </c>
      <c r="N210" s="1" t="s">
        <v>4342</v>
      </c>
    </row>
    <row r="211" spans="1:14" x14ac:dyDescent="0.15">
      <c r="A211" s="1">
        <v>23</v>
      </c>
      <c r="B211" s="1" t="s">
        <v>4338</v>
      </c>
      <c r="C211" s="1" t="s">
        <v>4354</v>
      </c>
      <c r="D211" s="1" t="s">
        <v>4355</v>
      </c>
      <c r="E211" s="1" t="s">
        <v>4354</v>
      </c>
      <c r="F211" s="1" t="s">
        <v>4355</v>
      </c>
      <c r="G211" s="1" t="s">
        <v>4356</v>
      </c>
      <c r="H211" s="1" t="s">
        <v>4355</v>
      </c>
      <c r="I211" s="1" t="s">
        <v>16954</v>
      </c>
      <c r="J211" s="1" t="s">
        <v>4347</v>
      </c>
      <c r="K211" s="1">
        <v>4</v>
      </c>
      <c r="L211" s="1" t="s">
        <v>4342</v>
      </c>
      <c r="M211" s="1">
        <v>5</v>
      </c>
      <c r="N211" s="1" t="s">
        <v>4342</v>
      </c>
    </row>
    <row r="212" spans="1:14" x14ac:dyDescent="0.15">
      <c r="A212" s="1">
        <v>23</v>
      </c>
      <c r="B212" s="1" t="s">
        <v>4338</v>
      </c>
      <c r="C212" s="1" t="s">
        <v>4354</v>
      </c>
      <c r="D212" s="1" t="s">
        <v>4355</v>
      </c>
      <c r="E212" s="1" t="s">
        <v>4354</v>
      </c>
      <c r="F212" s="1" t="s">
        <v>4355</v>
      </c>
      <c r="G212" s="1" t="s">
        <v>4356</v>
      </c>
      <c r="H212" s="1" t="s">
        <v>4355</v>
      </c>
      <c r="I212" s="1" t="s">
        <v>16962</v>
      </c>
      <c r="J212" s="1" t="s">
        <v>6885</v>
      </c>
      <c r="K212" s="1">
        <v>4</v>
      </c>
      <c r="L212" s="1" t="s">
        <v>4342</v>
      </c>
      <c r="M212" s="1">
        <v>5</v>
      </c>
      <c r="N212" s="1" t="s">
        <v>4342</v>
      </c>
    </row>
    <row r="213" spans="1:14" x14ac:dyDescent="0.15">
      <c r="A213" s="1">
        <v>23</v>
      </c>
      <c r="B213" s="1" t="s">
        <v>4338</v>
      </c>
      <c r="C213" s="1" t="s">
        <v>4354</v>
      </c>
      <c r="D213" s="1" t="s">
        <v>4355</v>
      </c>
      <c r="E213" s="1" t="s">
        <v>4354</v>
      </c>
      <c r="F213" s="1" t="s">
        <v>4355</v>
      </c>
      <c r="G213" s="1" t="s">
        <v>4356</v>
      </c>
      <c r="H213" s="1" t="s">
        <v>4355</v>
      </c>
      <c r="I213" s="1" t="s">
        <v>16966</v>
      </c>
      <c r="J213" s="1" t="s">
        <v>6877</v>
      </c>
      <c r="K213" s="1">
        <v>4</v>
      </c>
      <c r="L213" s="1" t="s">
        <v>4342</v>
      </c>
      <c r="M213" s="1">
        <v>5</v>
      </c>
      <c r="N213" s="1" t="s">
        <v>4342</v>
      </c>
    </row>
    <row r="214" spans="1:14" x14ac:dyDescent="0.15">
      <c r="A214" s="1">
        <v>23</v>
      </c>
      <c r="B214" s="1" t="s">
        <v>4338</v>
      </c>
      <c r="C214" s="1" t="s">
        <v>4354</v>
      </c>
      <c r="D214" s="1" t="s">
        <v>4355</v>
      </c>
      <c r="E214" s="1" t="s">
        <v>4354</v>
      </c>
      <c r="F214" s="1" t="s">
        <v>4355</v>
      </c>
      <c r="G214" s="1" t="s">
        <v>4356</v>
      </c>
      <c r="H214" s="1" t="s">
        <v>4355</v>
      </c>
      <c r="I214" s="1" t="s">
        <v>16970</v>
      </c>
      <c r="J214" s="1" t="s">
        <v>4349</v>
      </c>
      <c r="K214" s="1">
        <v>4</v>
      </c>
      <c r="L214" s="1" t="s">
        <v>4342</v>
      </c>
      <c r="M214" s="1">
        <v>5</v>
      </c>
      <c r="N214" s="1" t="s">
        <v>4342</v>
      </c>
    </row>
    <row r="215" spans="1:14" x14ac:dyDescent="0.15">
      <c r="A215" s="1">
        <v>23</v>
      </c>
      <c r="B215" s="1" t="s">
        <v>4338</v>
      </c>
      <c r="C215" s="1" t="s">
        <v>4357</v>
      </c>
      <c r="D215" s="1" t="s">
        <v>4358</v>
      </c>
      <c r="E215" s="1" t="s">
        <v>4357</v>
      </c>
      <c r="F215" s="1" t="s">
        <v>4358</v>
      </c>
      <c r="G215" s="1" t="s">
        <v>4359</v>
      </c>
      <c r="H215" s="1" t="s">
        <v>4358</v>
      </c>
      <c r="I215" s="1" t="s">
        <v>16942</v>
      </c>
      <c r="J215" s="1" t="s">
        <v>4346</v>
      </c>
      <c r="K215" s="1">
        <v>4</v>
      </c>
      <c r="L215" s="1" t="s">
        <v>4342</v>
      </c>
      <c r="M215" s="1">
        <v>5</v>
      </c>
      <c r="N215" s="1" t="s">
        <v>4342</v>
      </c>
    </row>
    <row r="216" spans="1:14" x14ac:dyDescent="0.15">
      <c r="A216" s="1">
        <v>23</v>
      </c>
      <c r="B216" s="1" t="s">
        <v>4338</v>
      </c>
      <c r="C216" s="1" t="s">
        <v>4357</v>
      </c>
      <c r="D216" s="1" t="s">
        <v>4358</v>
      </c>
      <c r="E216" s="1" t="s">
        <v>4357</v>
      </c>
      <c r="F216" s="1" t="s">
        <v>4358</v>
      </c>
      <c r="G216" s="1" t="s">
        <v>4359</v>
      </c>
      <c r="H216" s="1" t="s">
        <v>4358</v>
      </c>
      <c r="I216" s="1" t="s">
        <v>16946</v>
      </c>
      <c r="J216" s="1" t="s">
        <v>16947</v>
      </c>
      <c r="K216" s="1">
        <v>4</v>
      </c>
      <c r="L216" s="1" t="s">
        <v>4342</v>
      </c>
      <c r="M216" s="1">
        <v>5</v>
      </c>
      <c r="N216" s="1" t="s">
        <v>4342</v>
      </c>
    </row>
    <row r="217" spans="1:14" x14ac:dyDescent="0.15">
      <c r="A217" s="1">
        <v>23</v>
      </c>
      <c r="B217" s="1" t="s">
        <v>4338</v>
      </c>
      <c r="C217" s="1" t="s">
        <v>4357</v>
      </c>
      <c r="D217" s="1" t="s">
        <v>4358</v>
      </c>
      <c r="E217" s="1" t="s">
        <v>4357</v>
      </c>
      <c r="F217" s="1" t="s">
        <v>4358</v>
      </c>
      <c r="G217" s="1" t="s">
        <v>4359</v>
      </c>
      <c r="H217" s="1" t="s">
        <v>4358</v>
      </c>
      <c r="I217" s="1" t="s">
        <v>16950</v>
      </c>
      <c r="J217" s="1" t="s">
        <v>16951</v>
      </c>
      <c r="K217" s="1">
        <v>4</v>
      </c>
      <c r="L217" s="1" t="s">
        <v>4342</v>
      </c>
      <c r="M217" s="1">
        <v>5</v>
      </c>
      <c r="N217" s="1" t="s">
        <v>4342</v>
      </c>
    </row>
    <row r="218" spans="1:14" x14ac:dyDescent="0.15">
      <c r="A218" s="1">
        <v>23</v>
      </c>
      <c r="B218" s="1" t="s">
        <v>4338</v>
      </c>
      <c r="C218" s="1" t="s">
        <v>4357</v>
      </c>
      <c r="D218" s="1" t="s">
        <v>4358</v>
      </c>
      <c r="E218" s="1" t="s">
        <v>4357</v>
      </c>
      <c r="F218" s="1" t="s">
        <v>4358</v>
      </c>
      <c r="G218" s="1" t="s">
        <v>4359</v>
      </c>
      <c r="H218" s="1" t="s">
        <v>4358</v>
      </c>
      <c r="I218" s="1" t="s">
        <v>16954</v>
      </c>
      <c r="J218" s="1" t="s">
        <v>4347</v>
      </c>
      <c r="K218" s="1">
        <v>4</v>
      </c>
      <c r="L218" s="1" t="s">
        <v>4342</v>
      </c>
      <c r="M218" s="1">
        <v>5</v>
      </c>
      <c r="N218" s="1" t="s">
        <v>4342</v>
      </c>
    </row>
    <row r="219" spans="1:14" x14ac:dyDescent="0.15">
      <c r="A219" s="1">
        <v>23</v>
      </c>
      <c r="B219" s="1" t="s">
        <v>4338</v>
      </c>
      <c r="C219" s="1" t="s">
        <v>4357</v>
      </c>
      <c r="D219" s="1" t="s">
        <v>4358</v>
      </c>
      <c r="E219" s="1" t="s">
        <v>4357</v>
      </c>
      <c r="F219" s="1" t="s">
        <v>4358</v>
      </c>
      <c r="G219" s="1" t="s">
        <v>4359</v>
      </c>
      <c r="H219" s="1" t="s">
        <v>4358</v>
      </c>
      <c r="I219" s="1" t="s">
        <v>16962</v>
      </c>
      <c r="J219" s="1" t="s">
        <v>6885</v>
      </c>
      <c r="K219" s="1">
        <v>4</v>
      </c>
      <c r="L219" s="1" t="s">
        <v>4342</v>
      </c>
      <c r="M219" s="1">
        <v>5</v>
      </c>
      <c r="N219" s="1" t="s">
        <v>4342</v>
      </c>
    </row>
    <row r="220" spans="1:14" x14ac:dyDescent="0.15">
      <c r="A220" s="1">
        <v>23</v>
      </c>
      <c r="B220" s="1" t="s">
        <v>4338</v>
      </c>
      <c r="C220" s="1" t="s">
        <v>4357</v>
      </c>
      <c r="D220" s="1" t="s">
        <v>4358</v>
      </c>
      <c r="E220" s="1" t="s">
        <v>4357</v>
      </c>
      <c r="F220" s="1" t="s">
        <v>4358</v>
      </c>
      <c r="G220" s="1" t="s">
        <v>4359</v>
      </c>
      <c r="H220" s="1" t="s">
        <v>4358</v>
      </c>
      <c r="I220" s="1" t="s">
        <v>10964</v>
      </c>
      <c r="J220" s="1" t="s">
        <v>4348</v>
      </c>
      <c r="K220" s="1">
        <v>4</v>
      </c>
      <c r="L220" s="1" t="s">
        <v>4342</v>
      </c>
      <c r="M220" s="1">
        <v>5</v>
      </c>
      <c r="N220" s="1" t="s">
        <v>4342</v>
      </c>
    </row>
    <row r="221" spans="1:14" x14ac:dyDescent="0.15">
      <c r="A221" s="1">
        <v>23</v>
      </c>
      <c r="B221" s="1" t="s">
        <v>4338</v>
      </c>
      <c r="C221" s="1" t="s">
        <v>4357</v>
      </c>
      <c r="D221" s="1" t="s">
        <v>4358</v>
      </c>
      <c r="E221" s="1" t="s">
        <v>4357</v>
      </c>
      <c r="F221" s="1" t="s">
        <v>4358</v>
      </c>
      <c r="G221" s="1" t="s">
        <v>4359</v>
      </c>
      <c r="H221" s="1" t="s">
        <v>4358</v>
      </c>
      <c r="I221" s="1" t="s">
        <v>10970</v>
      </c>
      <c r="J221" s="1" t="s">
        <v>4360</v>
      </c>
      <c r="K221" s="1">
        <v>4</v>
      </c>
      <c r="L221" s="1" t="s">
        <v>4342</v>
      </c>
      <c r="M221" s="1">
        <v>5</v>
      </c>
      <c r="N221" s="1" t="s">
        <v>4342</v>
      </c>
    </row>
    <row r="222" spans="1:14" x14ac:dyDescent="0.15">
      <c r="A222" s="1">
        <v>23</v>
      </c>
      <c r="B222" s="1" t="s">
        <v>4338</v>
      </c>
      <c r="C222" s="1" t="s">
        <v>4357</v>
      </c>
      <c r="D222" s="1" t="s">
        <v>4358</v>
      </c>
      <c r="E222" s="1" t="s">
        <v>4357</v>
      </c>
      <c r="F222" s="1" t="s">
        <v>4358</v>
      </c>
      <c r="G222" s="1" t="s">
        <v>4359</v>
      </c>
      <c r="H222" s="1" t="s">
        <v>4358</v>
      </c>
      <c r="I222" s="1" t="s">
        <v>11090</v>
      </c>
      <c r="J222" s="1" t="s">
        <v>4361</v>
      </c>
      <c r="K222" s="1">
        <v>4</v>
      </c>
      <c r="L222" s="1" t="s">
        <v>4342</v>
      </c>
      <c r="M222" s="1">
        <v>5</v>
      </c>
      <c r="N222" s="1" t="s">
        <v>4342</v>
      </c>
    </row>
    <row r="223" spans="1:14" x14ac:dyDescent="0.15">
      <c r="A223" s="1">
        <v>30</v>
      </c>
      <c r="B223" s="1" t="s">
        <v>4362</v>
      </c>
      <c r="C223" s="1" t="s">
        <v>4363</v>
      </c>
      <c r="D223" s="1" t="s">
        <v>4362</v>
      </c>
      <c r="E223" s="1" t="s">
        <v>4363</v>
      </c>
      <c r="F223" s="1" t="s">
        <v>4362</v>
      </c>
      <c r="G223" s="1" t="s">
        <v>4364</v>
      </c>
      <c r="H223" s="1" t="s">
        <v>4362</v>
      </c>
      <c r="I223" s="1" t="s">
        <v>18209</v>
      </c>
      <c r="J223" s="1" t="s">
        <v>6662</v>
      </c>
      <c r="K223" s="1">
        <v>12</v>
      </c>
      <c r="L223" s="1" t="s">
        <v>4264</v>
      </c>
      <c r="M223" s="1">
        <v>15</v>
      </c>
      <c r="N223" s="1" t="s">
        <v>4365</v>
      </c>
    </row>
    <row r="224" spans="1:14" x14ac:dyDescent="0.15">
      <c r="A224" s="1">
        <v>30</v>
      </c>
      <c r="B224" s="1" t="s">
        <v>4362</v>
      </c>
      <c r="C224" s="1" t="s">
        <v>4363</v>
      </c>
      <c r="D224" s="1" t="s">
        <v>4362</v>
      </c>
      <c r="E224" s="1" t="s">
        <v>4363</v>
      </c>
      <c r="F224" s="1" t="s">
        <v>4362</v>
      </c>
      <c r="G224" s="1" t="s">
        <v>4364</v>
      </c>
      <c r="H224" s="1" t="s">
        <v>4362</v>
      </c>
      <c r="I224" s="1" t="s">
        <v>18216</v>
      </c>
      <c r="J224" s="1" t="s">
        <v>18213</v>
      </c>
      <c r="K224" s="1">
        <v>12</v>
      </c>
      <c r="L224" s="1" t="s">
        <v>4264</v>
      </c>
      <c r="M224" s="1">
        <v>15</v>
      </c>
      <c r="N224" s="1" t="s">
        <v>4365</v>
      </c>
    </row>
    <row r="225" spans="1:14" x14ac:dyDescent="0.15">
      <c r="A225" s="1">
        <v>30</v>
      </c>
      <c r="B225" s="1" t="s">
        <v>4362</v>
      </c>
      <c r="C225" s="1" t="s">
        <v>4363</v>
      </c>
      <c r="D225" s="1" t="s">
        <v>4362</v>
      </c>
      <c r="E225" s="1" t="s">
        <v>4363</v>
      </c>
      <c r="F225" s="1" t="s">
        <v>4362</v>
      </c>
      <c r="G225" s="1" t="s">
        <v>4364</v>
      </c>
      <c r="H225" s="1" t="s">
        <v>4362</v>
      </c>
      <c r="I225" s="1" t="s">
        <v>18223</v>
      </c>
      <c r="J225" s="1" t="s">
        <v>6664</v>
      </c>
      <c r="K225" s="1">
        <v>12</v>
      </c>
      <c r="L225" s="1" t="s">
        <v>4264</v>
      </c>
      <c r="M225" s="1">
        <v>15</v>
      </c>
      <c r="N225" s="1" t="s">
        <v>4365</v>
      </c>
    </row>
    <row r="226" spans="1:14" x14ac:dyDescent="0.15">
      <c r="A226" s="1">
        <v>30</v>
      </c>
      <c r="B226" s="1" t="s">
        <v>4362</v>
      </c>
      <c r="C226" s="1" t="s">
        <v>4363</v>
      </c>
      <c r="D226" s="1" t="s">
        <v>4362</v>
      </c>
      <c r="E226" s="1" t="s">
        <v>4363</v>
      </c>
      <c r="F226" s="1" t="s">
        <v>4362</v>
      </c>
      <c r="G226" s="1" t="s">
        <v>4364</v>
      </c>
      <c r="H226" s="1" t="s">
        <v>4362</v>
      </c>
      <c r="I226" s="1" t="s">
        <v>18230</v>
      </c>
      <c r="J226" s="1" t="s">
        <v>18227</v>
      </c>
      <c r="K226" s="1">
        <v>12</v>
      </c>
      <c r="L226" s="1" t="s">
        <v>4264</v>
      </c>
      <c r="M226" s="1">
        <v>15</v>
      </c>
      <c r="N226" s="1" t="s">
        <v>4365</v>
      </c>
    </row>
    <row r="227" spans="1:14" x14ac:dyDescent="0.15">
      <c r="A227" s="1">
        <v>30</v>
      </c>
      <c r="B227" s="1" t="s">
        <v>4362</v>
      </c>
      <c r="C227" s="1" t="s">
        <v>4363</v>
      </c>
      <c r="D227" s="1" t="s">
        <v>4362</v>
      </c>
      <c r="E227" s="1" t="s">
        <v>4363</v>
      </c>
      <c r="F227" s="1" t="s">
        <v>4362</v>
      </c>
      <c r="G227" s="1" t="s">
        <v>4364</v>
      </c>
      <c r="H227" s="1" t="s">
        <v>4362</v>
      </c>
      <c r="I227" s="1" t="s">
        <v>17387</v>
      </c>
      <c r="J227" s="1" t="s">
        <v>6665</v>
      </c>
      <c r="K227" s="1">
        <v>12</v>
      </c>
      <c r="L227" s="1" t="s">
        <v>4264</v>
      </c>
      <c r="M227" s="1">
        <v>15</v>
      </c>
      <c r="N227" s="1" t="s">
        <v>4365</v>
      </c>
    </row>
    <row r="228" spans="1:14" x14ac:dyDescent="0.15">
      <c r="A228" s="1">
        <v>30</v>
      </c>
      <c r="B228" s="1" t="s">
        <v>4362</v>
      </c>
      <c r="C228" s="1" t="s">
        <v>4363</v>
      </c>
      <c r="D228" s="1" t="s">
        <v>4362</v>
      </c>
      <c r="E228" s="1" t="s">
        <v>4363</v>
      </c>
      <c r="F228" s="1" t="s">
        <v>4362</v>
      </c>
      <c r="G228" s="1" t="s">
        <v>4364</v>
      </c>
      <c r="H228" s="1" t="s">
        <v>4362</v>
      </c>
      <c r="I228" s="1" t="s">
        <v>16681</v>
      </c>
      <c r="J228" s="1" t="s">
        <v>16678</v>
      </c>
      <c r="K228" s="1">
        <v>12</v>
      </c>
      <c r="L228" s="1" t="s">
        <v>4264</v>
      </c>
      <c r="M228" s="1">
        <v>15</v>
      </c>
      <c r="N228" s="1" t="s">
        <v>4365</v>
      </c>
    </row>
    <row r="229" spans="1:14" x14ac:dyDescent="0.15">
      <c r="A229" s="1">
        <v>30</v>
      </c>
      <c r="B229" s="1" t="s">
        <v>4362</v>
      </c>
      <c r="C229" s="1" t="s">
        <v>4363</v>
      </c>
      <c r="D229" s="1" t="s">
        <v>4362</v>
      </c>
      <c r="E229" s="1" t="s">
        <v>4363</v>
      </c>
      <c r="F229" s="1" t="s">
        <v>4362</v>
      </c>
      <c r="G229" s="1" t="s">
        <v>4364</v>
      </c>
      <c r="H229" s="1" t="s">
        <v>4362</v>
      </c>
      <c r="I229" s="1" t="s">
        <v>16688</v>
      </c>
      <c r="J229" s="1" t="s">
        <v>16685</v>
      </c>
      <c r="K229" s="1">
        <v>12</v>
      </c>
      <c r="L229" s="1" t="s">
        <v>4264</v>
      </c>
      <c r="M229" s="1">
        <v>15</v>
      </c>
      <c r="N229" s="1" t="s">
        <v>4365</v>
      </c>
    </row>
    <row r="230" spans="1:14" x14ac:dyDescent="0.15">
      <c r="A230" s="1">
        <v>30</v>
      </c>
      <c r="B230" s="1" t="s">
        <v>4362</v>
      </c>
      <c r="C230" s="1" t="s">
        <v>4363</v>
      </c>
      <c r="D230" s="1" t="s">
        <v>4362</v>
      </c>
      <c r="E230" s="1" t="s">
        <v>4363</v>
      </c>
      <c r="F230" s="1" t="s">
        <v>4362</v>
      </c>
      <c r="G230" s="1" t="s">
        <v>4364</v>
      </c>
      <c r="H230" s="1" t="s">
        <v>4362</v>
      </c>
      <c r="I230" s="1" t="s">
        <v>16695</v>
      </c>
      <c r="J230" s="1" t="s">
        <v>4366</v>
      </c>
      <c r="K230" s="1">
        <v>12</v>
      </c>
      <c r="L230" s="1" t="s">
        <v>4264</v>
      </c>
      <c r="M230" s="1">
        <v>15</v>
      </c>
      <c r="N230" s="1" t="s">
        <v>4365</v>
      </c>
    </row>
    <row r="231" spans="1:14" x14ac:dyDescent="0.15">
      <c r="A231" s="1">
        <v>30</v>
      </c>
      <c r="B231" s="1" t="s">
        <v>4362</v>
      </c>
      <c r="C231" s="1" t="s">
        <v>4363</v>
      </c>
      <c r="D231" s="1" t="s">
        <v>4362</v>
      </c>
      <c r="E231" s="1" t="s">
        <v>4363</v>
      </c>
      <c r="F231" s="1" t="s">
        <v>4362</v>
      </c>
      <c r="G231" s="1" t="s">
        <v>4364</v>
      </c>
      <c r="H231" s="1" t="s">
        <v>4362</v>
      </c>
      <c r="I231" s="1" t="s">
        <v>16702</v>
      </c>
      <c r="J231" s="1" t="s">
        <v>16699</v>
      </c>
      <c r="K231" s="1">
        <v>12</v>
      </c>
      <c r="L231" s="1" t="s">
        <v>4264</v>
      </c>
      <c r="M231" s="1">
        <v>15</v>
      </c>
      <c r="N231" s="1" t="s">
        <v>4365</v>
      </c>
    </row>
    <row r="232" spans="1:14" x14ac:dyDescent="0.15">
      <c r="A232" s="1">
        <v>30</v>
      </c>
      <c r="B232" s="1" t="s">
        <v>4362</v>
      </c>
      <c r="C232" s="1" t="s">
        <v>4363</v>
      </c>
      <c r="D232" s="1" t="s">
        <v>4362</v>
      </c>
      <c r="E232" s="1" t="s">
        <v>4363</v>
      </c>
      <c r="F232" s="1" t="s">
        <v>4362</v>
      </c>
      <c r="G232" s="1" t="s">
        <v>4364</v>
      </c>
      <c r="H232" s="1" t="s">
        <v>4362</v>
      </c>
      <c r="I232" s="1" t="s">
        <v>16709</v>
      </c>
      <c r="J232" s="1" t="s">
        <v>6971</v>
      </c>
      <c r="K232" s="1">
        <v>12</v>
      </c>
      <c r="L232" s="1" t="s">
        <v>4264</v>
      </c>
      <c r="M232" s="1">
        <v>15</v>
      </c>
      <c r="N232" s="1" t="s">
        <v>4365</v>
      </c>
    </row>
    <row r="233" spans="1:14" x14ac:dyDescent="0.15">
      <c r="A233" s="1">
        <v>30</v>
      </c>
      <c r="B233" s="1" t="s">
        <v>4362</v>
      </c>
      <c r="C233" s="1" t="s">
        <v>4363</v>
      </c>
      <c r="D233" s="1" t="s">
        <v>4362</v>
      </c>
      <c r="E233" s="1" t="s">
        <v>4363</v>
      </c>
      <c r="F233" s="1" t="s">
        <v>4362</v>
      </c>
      <c r="G233" s="1" t="s">
        <v>4364</v>
      </c>
      <c r="H233" s="1" t="s">
        <v>4362</v>
      </c>
      <c r="I233" s="1" t="s">
        <v>16716</v>
      </c>
      <c r="J233" s="1" t="s">
        <v>16713</v>
      </c>
      <c r="K233" s="1">
        <v>12</v>
      </c>
      <c r="L233" s="1" t="s">
        <v>4264</v>
      </c>
      <c r="M233" s="1">
        <v>15</v>
      </c>
      <c r="N233" s="1" t="s">
        <v>4365</v>
      </c>
    </row>
    <row r="234" spans="1:14" x14ac:dyDescent="0.15">
      <c r="A234" s="1">
        <v>30</v>
      </c>
      <c r="B234" s="1" t="s">
        <v>4362</v>
      </c>
      <c r="C234" s="1" t="s">
        <v>4363</v>
      </c>
      <c r="D234" s="1" t="s">
        <v>4362</v>
      </c>
      <c r="E234" s="1" t="s">
        <v>4363</v>
      </c>
      <c r="F234" s="1" t="s">
        <v>4362</v>
      </c>
      <c r="G234" s="1" t="s">
        <v>4364</v>
      </c>
      <c r="H234" s="1" t="s">
        <v>4362</v>
      </c>
      <c r="I234" s="1" t="s">
        <v>16723</v>
      </c>
      <c r="J234" s="1" t="s">
        <v>16720</v>
      </c>
      <c r="K234" s="1">
        <v>12</v>
      </c>
      <c r="L234" s="1" t="s">
        <v>4264</v>
      </c>
      <c r="M234" s="1">
        <v>15</v>
      </c>
      <c r="N234" s="1" t="s">
        <v>4365</v>
      </c>
    </row>
    <row r="235" spans="1:14" x14ac:dyDescent="0.15">
      <c r="A235" s="1">
        <v>30</v>
      </c>
      <c r="B235" s="1" t="s">
        <v>4362</v>
      </c>
      <c r="C235" s="1" t="s">
        <v>4363</v>
      </c>
      <c r="D235" s="1" t="s">
        <v>4362</v>
      </c>
      <c r="E235" s="1" t="s">
        <v>4363</v>
      </c>
      <c r="F235" s="1" t="s">
        <v>4362</v>
      </c>
      <c r="G235" s="1" t="s">
        <v>4364</v>
      </c>
      <c r="H235" s="1" t="s">
        <v>4362</v>
      </c>
      <c r="I235" s="1" t="s">
        <v>16730</v>
      </c>
      <c r="J235" s="1" t="s">
        <v>16731</v>
      </c>
      <c r="K235" s="1">
        <v>12</v>
      </c>
      <c r="L235" s="1" t="s">
        <v>4264</v>
      </c>
      <c r="M235" s="1">
        <v>15</v>
      </c>
      <c r="N235" s="1" t="s">
        <v>4365</v>
      </c>
    </row>
    <row r="236" spans="1:14" x14ac:dyDescent="0.15">
      <c r="A236" s="1">
        <v>30</v>
      </c>
      <c r="B236" s="1" t="s">
        <v>4362</v>
      </c>
      <c r="C236" s="1" t="s">
        <v>4363</v>
      </c>
      <c r="D236" s="1" t="s">
        <v>4362</v>
      </c>
      <c r="E236" s="1" t="s">
        <v>4363</v>
      </c>
      <c r="F236" s="1" t="s">
        <v>4362</v>
      </c>
      <c r="G236" s="1" t="s">
        <v>4364</v>
      </c>
      <c r="H236" s="1" t="s">
        <v>4362</v>
      </c>
      <c r="I236" s="1" t="s">
        <v>16734</v>
      </c>
      <c r="J236" s="1" t="s">
        <v>16735</v>
      </c>
      <c r="K236" s="1">
        <v>12</v>
      </c>
      <c r="L236" s="1" t="s">
        <v>4264</v>
      </c>
      <c r="M236" s="1">
        <v>15</v>
      </c>
      <c r="N236" s="1" t="s">
        <v>4365</v>
      </c>
    </row>
    <row r="237" spans="1:14" x14ac:dyDescent="0.15">
      <c r="A237" s="1">
        <v>30</v>
      </c>
      <c r="B237" s="1" t="s">
        <v>4362</v>
      </c>
      <c r="C237" s="1" t="s">
        <v>4363</v>
      </c>
      <c r="D237" s="1" t="s">
        <v>4362</v>
      </c>
      <c r="E237" s="1" t="s">
        <v>4363</v>
      </c>
      <c r="F237" s="1" t="s">
        <v>4362</v>
      </c>
      <c r="G237" s="1" t="s">
        <v>4364</v>
      </c>
      <c r="H237" s="1" t="s">
        <v>4362</v>
      </c>
      <c r="I237" s="1" t="s">
        <v>16738</v>
      </c>
      <c r="J237" s="1" t="s">
        <v>16739</v>
      </c>
      <c r="K237" s="1">
        <v>12</v>
      </c>
      <c r="L237" s="1" t="s">
        <v>4264</v>
      </c>
      <c r="M237" s="1">
        <v>15</v>
      </c>
      <c r="N237" s="1" t="s">
        <v>4365</v>
      </c>
    </row>
    <row r="238" spans="1:14" x14ac:dyDescent="0.15">
      <c r="A238" s="1">
        <v>30</v>
      </c>
      <c r="B238" s="1" t="s">
        <v>4362</v>
      </c>
      <c r="C238" s="1" t="s">
        <v>4363</v>
      </c>
      <c r="D238" s="1" t="s">
        <v>4362</v>
      </c>
      <c r="E238" s="1" t="s">
        <v>4363</v>
      </c>
      <c r="F238" s="1" t="s">
        <v>4362</v>
      </c>
      <c r="G238" s="1" t="s">
        <v>4364</v>
      </c>
      <c r="H238" s="1" t="s">
        <v>4362</v>
      </c>
      <c r="I238" s="1" t="s">
        <v>16742</v>
      </c>
      <c r="J238" s="1" t="s">
        <v>16743</v>
      </c>
      <c r="K238" s="1">
        <v>12</v>
      </c>
      <c r="L238" s="1" t="s">
        <v>4264</v>
      </c>
      <c r="M238" s="1">
        <v>15</v>
      </c>
      <c r="N238" s="1" t="s">
        <v>4365</v>
      </c>
    </row>
    <row r="239" spans="1:14" x14ac:dyDescent="0.15">
      <c r="A239" s="1">
        <v>30</v>
      </c>
      <c r="B239" s="1" t="s">
        <v>4362</v>
      </c>
      <c r="C239" s="1" t="s">
        <v>4363</v>
      </c>
      <c r="D239" s="1" t="s">
        <v>4362</v>
      </c>
      <c r="E239" s="1" t="s">
        <v>4363</v>
      </c>
      <c r="F239" s="1" t="s">
        <v>4362</v>
      </c>
      <c r="G239" s="1" t="s">
        <v>4364</v>
      </c>
      <c r="H239" s="1" t="s">
        <v>4362</v>
      </c>
      <c r="I239" s="1" t="s">
        <v>16746</v>
      </c>
      <c r="J239" s="1" t="s">
        <v>16747</v>
      </c>
      <c r="K239" s="1">
        <v>12</v>
      </c>
      <c r="L239" s="1" t="s">
        <v>4264</v>
      </c>
      <c r="M239" s="1">
        <v>15</v>
      </c>
      <c r="N239" s="1" t="s">
        <v>4365</v>
      </c>
    </row>
    <row r="240" spans="1:14" x14ac:dyDescent="0.15">
      <c r="A240" s="1">
        <v>30</v>
      </c>
      <c r="B240" s="1" t="s">
        <v>4362</v>
      </c>
      <c r="C240" s="1" t="s">
        <v>4363</v>
      </c>
      <c r="D240" s="1" t="s">
        <v>4362</v>
      </c>
      <c r="E240" s="1" t="s">
        <v>4363</v>
      </c>
      <c r="F240" s="1" t="s">
        <v>4362</v>
      </c>
      <c r="G240" s="1" t="s">
        <v>4364</v>
      </c>
      <c r="H240" s="1" t="s">
        <v>4362</v>
      </c>
      <c r="I240" s="1" t="s">
        <v>16750</v>
      </c>
      <c r="J240" s="1" t="s">
        <v>16751</v>
      </c>
      <c r="K240" s="1">
        <v>12</v>
      </c>
      <c r="L240" s="1" t="s">
        <v>4264</v>
      </c>
      <c r="M240" s="1">
        <v>15</v>
      </c>
      <c r="N240" s="1" t="s">
        <v>4365</v>
      </c>
    </row>
    <row r="241" spans="1:14" x14ac:dyDescent="0.15">
      <c r="A241" s="1">
        <v>30</v>
      </c>
      <c r="B241" s="1" t="s">
        <v>4362</v>
      </c>
      <c r="C241" s="1" t="s">
        <v>4363</v>
      </c>
      <c r="D241" s="1" t="s">
        <v>4362</v>
      </c>
      <c r="E241" s="1" t="s">
        <v>4363</v>
      </c>
      <c r="F241" s="1" t="s">
        <v>4362</v>
      </c>
      <c r="G241" s="1" t="s">
        <v>4364</v>
      </c>
      <c r="H241" s="1" t="s">
        <v>4362</v>
      </c>
      <c r="I241" s="1" t="s">
        <v>16758</v>
      </c>
      <c r="J241" s="1" t="s">
        <v>6974</v>
      </c>
      <c r="K241" s="1">
        <v>12</v>
      </c>
      <c r="L241" s="1" t="s">
        <v>4264</v>
      </c>
      <c r="M241" s="1">
        <v>15</v>
      </c>
      <c r="N241" s="1" t="s">
        <v>4365</v>
      </c>
    </row>
    <row r="242" spans="1:14" x14ac:dyDescent="0.15">
      <c r="A242" s="1">
        <v>30</v>
      </c>
      <c r="B242" s="1" t="s">
        <v>4362</v>
      </c>
      <c r="C242" s="1" t="s">
        <v>4363</v>
      </c>
      <c r="D242" s="1" t="s">
        <v>4362</v>
      </c>
      <c r="E242" s="1" t="s">
        <v>4363</v>
      </c>
      <c r="F242" s="1" t="s">
        <v>4362</v>
      </c>
      <c r="G242" s="1" t="s">
        <v>4364</v>
      </c>
      <c r="H242" s="1" t="s">
        <v>4362</v>
      </c>
      <c r="I242" s="1" t="s">
        <v>11153</v>
      </c>
      <c r="J242" s="1" t="s">
        <v>4367</v>
      </c>
      <c r="K242" s="1">
        <v>12</v>
      </c>
      <c r="L242" s="1" t="s">
        <v>4264</v>
      </c>
      <c r="M242" s="1">
        <v>15</v>
      </c>
      <c r="N242" s="1" t="s">
        <v>4365</v>
      </c>
    </row>
    <row r="243" spans="1:14" x14ac:dyDescent="0.15">
      <c r="A243" s="1">
        <v>30</v>
      </c>
      <c r="B243" s="1" t="s">
        <v>4362</v>
      </c>
      <c r="C243" s="1" t="s">
        <v>4363</v>
      </c>
      <c r="D243" s="1" t="s">
        <v>4362</v>
      </c>
      <c r="E243" s="1" t="s">
        <v>4363</v>
      </c>
      <c r="F243" s="1" t="s">
        <v>4362</v>
      </c>
      <c r="G243" s="1" t="s">
        <v>4364</v>
      </c>
      <c r="H243" s="1" t="s">
        <v>4362</v>
      </c>
      <c r="I243" s="1" t="s">
        <v>10786</v>
      </c>
      <c r="J243" s="1" t="s">
        <v>4368</v>
      </c>
      <c r="K243" s="1">
        <v>12</v>
      </c>
      <c r="L243" s="1" t="s">
        <v>4264</v>
      </c>
      <c r="M243" s="1">
        <v>15</v>
      </c>
      <c r="N243" s="1" t="s">
        <v>4365</v>
      </c>
    </row>
    <row r="244" spans="1:14" x14ac:dyDescent="0.15">
      <c r="A244" s="1">
        <v>30</v>
      </c>
      <c r="B244" s="1" t="s">
        <v>4362</v>
      </c>
      <c r="C244" s="1" t="s">
        <v>4363</v>
      </c>
      <c r="D244" s="1" t="s">
        <v>4362</v>
      </c>
      <c r="E244" s="1" t="s">
        <v>4363</v>
      </c>
      <c r="F244" s="1" t="s">
        <v>4362</v>
      </c>
      <c r="G244" s="1" t="s">
        <v>4364</v>
      </c>
      <c r="H244" s="1" t="s">
        <v>4362</v>
      </c>
      <c r="I244" s="1" t="s">
        <v>10342</v>
      </c>
      <c r="J244" s="1" t="s">
        <v>4369</v>
      </c>
      <c r="K244" s="1">
        <v>12</v>
      </c>
      <c r="L244" s="1" t="s">
        <v>4264</v>
      </c>
      <c r="M244" s="1">
        <v>15</v>
      </c>
      <c r="N244" s="1" t="s">
        <v>4365</v>
      </c>
    </row>
    <row r="245" spans="1:14" x14ac:dyDescent="0.15">
      <c r="A245" s="1">
        <v>30</v>
      </c>
      <c r="B245" s="1" t="s">
        <v>4362</v>
      </c>
      <c r="C245" s="1" t="s">
        <v>4363</v>
      </c>
      <c r="D245" s="1" t="s">
        <v>4362</v>
      </c>
      <c r="E245" s="1" t="s">
        <v>4363</v>
      </c>
      <c r="F245" s="1" t="s">
        <v>4362</v>
      </c>
      <c r="G245" s="1" t="s">
        <v>4364</v>
      </c>
      <c r="H245" s="1" t="s">
        <v>4362</v>
      </c>
      <c r="I245" s="1" t="s">
        <v>16765</v>
      </c>
      <c r="J245" s="1" t="s">
        <v>16762</v>
      </c>
      <c r="K245" s="1">
        <v>12</v>
      </c>
      <c r="L245" s="1" t="s">
        <v>4264</v>
      </c>
      <c r="M245" s="1">
        <v>15</v>
      </c>
      <c r="N245" s="1" t="s">
        <v>4365</v>
      </c>
    </row>
    <row r="246" spans="1:14" x14ac:dyDescent="0.15">
      <c r="A246" s="1">
        <v>30</v>
      </c>
      <c r="B246" s="1" t="s">
        <v>4362</v>
      </c>
      <c r="C246" s="1" t="s">
        <v>4363</v>
      </c>
      <c r="D246" s="1" t="s">
        <v>4362</v>
      </c>
      <c r="E246" s="1" t="s">
        <v>4363</v>
      </c>
      <c r="F246" s="1" t="s">
        <v>4362</v>
      </c>
      <c r="G246" s="1" t="s">
        <v>4364</v>
      </c>
      <c r="H246" s="1" t="s">
        <v>4362</v>
      </c>
      <c r="I246" s="1" t="s">
        <v>16772</v>
      </c>
      <c r="J246" s="1" t="s">
        <v>16769</v>
      </c>
      <c r="K246" s="1">
        <v>12</v>
      </c>
      <c r="L246" s="1" t="s">
        <v>4264</v>
      </c>
      <c r="M246" s="1">
        <v>15</v>
      </c>
      <c r="N246" s="1" t="s">
        <v>4365</v>
      </c>
    </row>
    <row r="247" spans="1:14" x14ac:dyDescent="0.15">
      <c r="A247" s="1">
        <v>30</v>
      </c>
      <c r="B247" s="1" t="s">
        <v>4362</v>
      </c>
      <c r="C247" s="1" t="s">
        <v>4363</v>
      </c>
      <c r="D247" s="1" t="s">
        <v>4362</v>
      </c>
      <c r="E247" s="1" t="s">
        <v>4363</v>
      </c>
      <c r="F247" s="1" t="s">
        <v>4362</v>
      </c>
      <c r="G247" s="1" t="s">
        <v>4364</v>
      </c>
      <c r="H247" s="1" t="s">
        <v>4362</v>
      </c>
      <c r="I247" s="1" t="s">
        <v>16779</v>
      </c>
      <c r="J247" s="1" t="s">
        <v>16776</v>
      </c>
      <c r="K247" s="1">
        <v>12</v>
      </c>
      <c r="L247" s="1" t="s">
        <v>4264</v>
      </c>
      <c r="M247" s="1">
        <v>15</v>
      </c>
      <c r="N247" s="1" t="s">
        <v>4365</v>
      </c>
    </row>
    <row r="248" spans="1:14" x14ac:dyDescent="0.15">
      <c r="A248" s="1">
        <v>30</v>
      </c>
      <c r="B248" s="1" t="s">
        <v>4362</v>
      </c>
      <c r="C248" s="1" t="s">
        <v>4363</v>
      </c>
      <c r="D248" s="1" t="s">
        <v>4362</v>
      </c>
      <c r="E248" s="1" t="s">
        <v>4363</v>
      </c>
      <c r="F248" s="1" t="s">
        <v>4362</v>
      </c>
      <c r="G248" s="1" t="s">
        <v>4364</v>
      </c>
      <c r="H248" s="1" t="s">
        <v>4362</v>
      </c>
      <c r="I248" s="1" t="s">
        <v>16786</v>
      </c>
      <c r="J248" s="1" t="s">
        <v>16783</v>
      </c>
      <c r="K248" s="1">
        <v>12</v>
      </c>
      <c r="L248" s="1" t="s">
        <v>4264</v>
      </c>
      <c r="M248" s="1">
        <v>15</v>
      </c>
      <c r="N248" s="1" t="s">
        <v>4365</v>
      </c>
    </row>
    <row r="249" spans="1:14" x14ac:dyDescent="0.15">
      <c r="A249" s="1">
        <v>30</v>
      </c>
      <c r="B249" s="1" t="s">
        <v>4362</v>
      </c>
      <c r="C249" s="1" t="s">
        <v>4363</v>
      </c>
      <c r="D249" s="1" t="s">
        <v>4362</v>
      </c>
      <c r="E249" s="1" t="s">
        <v>4363</v>
      </c>
      <c r="F249" s="1" t="s">
        <v>4362</v>
      </c>
      <c r="G249" s="1" t="s">
        <v>4364</v>
      </c>
      <c r="H249" s="1" t="s">
        <v>4362</v>
      </c>
      <c r="I249" s="1" t="s">
        <v>16793</v>
      </c>
      <c r="J249" s="1" t="s">
        <v>16790</v>
      </c>
      <c r="K249" s="1">
        <v>12</v>
      </c>
      <c r="L249" s="1" t="s">
        <v>4264</v>
      </c>
      <c r="M249" s="1">
        <v>15</v>
      </c>
      <c r="N249" s="1" t="s">
        <v>4365</v>
      </c>
    </row>
    <row r="250" spans="1:14" x14ac:dyDescent="0.15">
      <c r="A250" s="1">
        <v>30</v>
      </c>
      <c r="B250" s="1" t="s">
        <v>4362</v>
      </c>
      <c r="C250" s="1" t="s">
        <v>4363</v>
      </c>
      <c r="D250" s="1" t="s">
        <v>4362</v>
      </c>
      <c r="E250" s="1" t="s">
        <v>4363</v>
      </c>
      <c r="F250" s="1" t="s">
        <v>4362</v>
      </c>
      <c r="G250" s="1" t="s">
        <v>4364</v>
      </c>
      <c r="H250" s="1" t="s">
        <v>4362</v>
      </c>
      <c r="I250" s="1" t="s">
        <v>16821</v>
      </c>
      <c r="J250" s="1" t="s">
        <v>16818</v>
      </c>
      <c r="K250" s="1">
        <v>12</v>
      </c>
      <c r="L250" s="1" t="s">
        <v>4264</v>
      </c>
      <c r="M250" s="1">
        <v>15</v>
      </c>
      <c r="N250" s="1" t="s">
        <v>4365</v>
      </c>
    </row>
    <row r="251" spans="1:14" x14ac:dyDescent="0.15">
      <c r="A251" s="1">
        <v>30</v>
      </c>
      <c r="B251" s="1" t="s">
        <v>4362</v>
      </c>
      <c r="C251" s="1" t="s">
        <v>4363</v>
      </c>
      <c r="D251" s="1" t="s">
        <v>4362</v>
      </c>
      <c r="E251" s="1" t="s">
        <v>4363</v>
      </c>
      <c r="F251" s="1" t="s">
        <v>4362</v>
      </c>
      <c r="G251" s="1" t="s">
        <v>4364</v>
      </c>
      <c r="H251" s="1" t="s">
        <v>4362</v>
      </c>
      <c r="I251" s="1" t="s">
        <v>16828</v>
      </c>
      <c r="J251" s="1" t="s">
        <v>16825</v>
      </c>
      <c r="K251" s="1">
        <v>12</v>
      </c>
      <c r="L251" s="1" t="s">
        <v>4264</v>
      </c>
      <c r="M251" s="1">
        <v>15</v>
      </c>
      <c r="N251" s="1" t="s">
        <v>4365</v>
      </c>
    </row>
    <row r="252" spans="1:14" x14ac:dyDescent="0.15">
      <c r="A252" s="1">
        <v>30</v>
      </c>
      <c r="B252" s="1" t="s">
        <v>4362</v>
      </c>
      <c r="C252" s="1" t="s">
        <v>4363</v>
      </c>
      <c r="D252" s="1" t="s">
        <v>4362</v>
      </c>
      <c r="E252" s="1" t="s">
        <v>4363</v>
      </c>
      <c r="F252" s="1" t="s">
        <v>4362</v>
      </c>
      <c r="G252" s="1" t="s">
        <v>4364</v>
      </c>
      <c r="H252" s="1" t="s">
        <v>4362</v>
      </c>
      <c r="I252" s="1" t="s">
        <v>16835</v>
      </c>
      <c r="J252" s="1" t="s">
        <v>16832</v>
      </c>
      <c r="K252" s="1">
        <v>12</v>
      </c>
      <c r="L252" s="1" t="s">
        <v>4264</v>
      </c>
      <c r="M252" s="1">
        <v>15</v>
      </c>
      <c r="N252" s="1" t="s">
        <v>4365</v>
      </c>
    </row>
    <row r="253" spans="1:14" x14ac:dyDescent="0.15">
      <c r="A253" s="1">
        <v>30</v>
      </c>
      <c r="B253" s="1" t="s">
        <v>4362</v>
      </c>
      <c r="C253" s="1" t="s">
        <v>4363</v>
      </c>
      <c r="D253" s="1" t="s">
        <v>4362</v>
      </c>
      <c r="E253" s="1" t="s">
        <v>4363</v>
      </c>
      <c r="F253" s="1" t="s">
        <v>4362</v>
      </c>
      <c r="G253" s="1" t="s">
        <v>4364</v>
      </c>
      <c r="H253" s="1" t="s">
        <v>4362</v>
      </c>
      <c r="I253" s="1" t="s">
        <v>16258</v>
      </c>
      <c r="J253" s="1" t="s">
        <v>16839</v>
      </c>
      <c r="K253" s="1">
        <v>12</v>
      </c>
      <c r="L253" s="1" t="s">
        <v>4264</v>
      </c>
      <c r="M253" s="1">
        <v>15</v>
      </c>
      <c r="N253" s="1" t="s">
        <v>4365</v>
      </c>
    </row>
    <row r="254" spans="1:14" x14ac:dyDescent="0.15">
      <c r="A254" s="1">
        <v>30</v>
      </c>
      <c r="B254" s="1" t="s">
        <v>4362</v>
      </c>
      <c r="C254" s="1" t="s">
        <v>4363</v>
      </c>
      <c r="D254" s="1" t="s">
        <v>4362</v>
      </c>
      <c r="E254" s="1" t="s">
        <v>4363</v>
      </c>
      <c r="F254" s="1" t="s">
        <v>4362</v>
      </c>
      <c r="G254" s="1" t="s">
        <v>4364</v>
      </c>
      <c r="H254" s="1" t="s">
        <v>4362</v>
      </c>
      <c r="I254" s="1" t="s">
        <v>16265</v>
      </c>
      <c r="J254" s="1" t="s">
        <v>16262</v>
      </c>
      <c r="K254" s="1">
        <v>12</v>
      </c>
      <c r="L254" s="1" t="s">
        <v>4264</v>
      </c>
      <c r="M254" s="1">
        <v>15</v>
      </c>
      <c r="N254" s="1" t="s">
        <v>4365</v>
      </c>
    </row>
    <row r="255" spans="1:14" x14ac:dyDescent="0.15">
      <c r="A255" s="1">
        <v>30</v>
      </c>
      <c r="B255" s="1" t="s">
        <v>4362</v>
      </c>
      <c r="C255" s="1" t="s">
        <v>4363</v>
      </c>
      <c r="D255" s="1" t="s">
        <v>4362</v>
      </c>
      <c r="E255" s="1" t="s">
        <v>4363</v>
      </c>
      <c r="F255" s="1" t="s">
        <v>4362</v>
      </c>
      <c r="G255" s="1" t="s">
        <v>4364</v>
      </c>
      <c r="H255" s="1" t="s">
        <v>4362</v>
      </c>
      <c r="I255" s="1" t="s">
        <v>16272</v>
      </c>
      <c r="J255" s="1" t="s">
        <v>16269</v>
      </c>
      <c r="K255" s="1">
        <v>12</v>
      </c>
      <c r="L255" s="1" t="s">
        <v>4264</v>
      </c>
      <c r="M255" s="1">
        <v>15</v>
      </c>
      <c r="N255" s="1" t="s">
        <v>4365</v>
      </c>
    </row>
    <row r="256" spans="1:14" x14ac:dyDescent="0.15">
      <c r="A256" s="1">
        <v>30</v>
      </c>
      <c r="B256" s="1" t="s">
        <v>4362</v>
      </c>
      <c r="C256" s="1" t="s">
        <v>4363</v>
      </c>
      <c r="D256" s="1" t="s">
        <v>4362</v>
      </c>
      <c r="E256" s="1" t="s">
        <v>4363</v>
      </c>
      <c r="F256" s="1" t="s">
        <v>4362</v>
      </c>
      <c r="G256" s="1" t="s">
        <v>4364</v>
      </c>
      <c r="H256" s="1" t="s">
        <v>4362</v>
      </c>
      <c r="I256" s="1" t="s">
        <v>16279</v>
      </c>
      <c r="J256" s="1" t="s">
        <v>16276</v>
      </c>
      <c r="K256" s="1">
        <v>12</v>
      </c>
      <c r="L256" s="1" t="s">
        <v>4264</v>
      </c>
      <c r="M256" s="1">
        <v>15</v>
      </c>
      <c r="N256" s="1" t="s">
        <v>4365</v>
      </c>
    </row>
    <row r="257" spans="1:14" x14ac:dyDescent="0.15">
      <c r="A257" s="1">
        <v>30</v>
      </c>
      <c r="B257" s="1" t="s">
        <v>4362</v>
      </c>
      <c r="C257" s="1" t="s">
        <v>4363</v>
      </c>
      <c r="D257" s="1" t="s">
        <v>4362</v>
      </c>
      <c r="E257" s="1" t="s">
        <v>4363</v>
      </c>
      <c r="F257" s="1" t="s">
        <v>4362</v>
      </c>
      <c r="G257" s="1" t="s">
        <v>4364</v>
      </c>
      <c r="H257" s="1" t="s">
        <v>4362</v>
      </c>
      <c r="I257" s="1" t="s">
        <v>16286</v>
      </c>
      <c r="J257" s="1" t="s">
        <v>16283</v>
      </c>
      <c r="K257" s="1">
        <v>12</v>
      </c>
      <c r="L257" s="1" t="s">
        <v>4264</v>
      </c>
      <c r="M257" s="1">
        <v>15</v>
      </c>
      <c r="N257" s="1" t="s">
        <v>4365</v>
      </c>
    </row>
    <row r="258" spans="1:14" x14ac:dyDescent="0.15">
      <c r="A258" s="1">
        <v>30</v>
      </c>
      <c r="B258" s="1" t="s">
        <v>4362</v>
      </c>
      <c r="C258" s="1" t="s">
        <v>4363</v>
      </c>
      <c r="D258" s="1" t="s">
        <v>4362</v>
      </c>
      <c r="E258" s="1" t="s">
        <v>4363</v>
      </c>
      <c r="F258" s="1" t="s">
        <v>4362</v>
      </c>
      <c r="G258" s="1" t="s">
        <v>4364</v>
      </c>
      <c r="H258" s="1" t="s">
        <v>4362</v>
      </c>
      <c r="I258" s="1" t="s">
        <v>16293</v>
      </c>
      <c r="J258" s="1" t="s">
        <v>16290</v>
      </c>
      <c r="K258" s="1">
        <v>12</v>
      </c>
      <c r="L258" s="1" t="s">
        <v>4264</v>
      </c>
      <c r="M258" s="1">
        <v>15</v>
      </c>
      <c r="N258" s="1" t="s">
        <v>4365</v>
      </c>
    </row>
    <row r="259" spans="1:14" x14ac:dyDescent="0.15">
      <c r="A259" s="1">
        <v>30</v>
      </c>
      <c r="B259" s="1" t="s">
        <v>4362</v>
      </c>
      <c r="C259" s="1" t="s">
        <v>4363</v>
      </c>
      <c r="D259" s="1" t="s">
        <v>4362</v>
      </c>
      <c r="E259" s="1" t="s">
        <v>4363</v>
      </c>
      <c r="F259" s="1" t="s">
        <v>4362</v>
      </c>
      <c r="G259" s="1" t="s">
        <v>4364</v>
      </c>
      <c r="H259" s="1" t="s">
        <v>4362</v>
      </c>
      <c r="I259" s="1" t="s">
        <v>16300</v>
      </c>
      <c r="J259" s="1" t="s">
        <v>16297</v>
      </c>
      <c r="K259" s="1">
        <v>12</v>
      </c>
      <c r="L259" s="1" t="s">
        <v>4264</v>
      </c>
      <c r="M259" s="1">
        <v>15</v>
      </c>
      <c r="N259" s="1" t="s">
        <v>4365</v>
      </c>
    </row>
    <row r="260" spans="1:14" x14ac:dyDescent="0.15">
      <c r="A260" s="1">
        <v>30</v>
      </c>
      <c r="B260" s="1" t="s">
        <v>4362</v>
      </c>
      <c r="C260" s="1" t="s">
        <v>4363</v>
      </c>
      <c r="D260" s="1" t="s">
        <v>4362</v>
      </c>
      <c r="E260" s="1" t="s">
        <v>4363</v>
      </c>
      <c r="F260" s="1" t="s">
        <v>4362</v>
      </c>
      <c r="G260" s="1" t="s">
        <v>4364</v>
      </c>
      <c r="H260" s="1" t="s">
        <v>4362</v>
      </c>
      <c r="I260" s="1" t="s">
        <v>16321</v>
      </c>
      <c r="J260" s="1" t="s">
        <v>16318</v>
      </c>
      <c r="K260" s="1">
        <v>12</v>
      </c>
      <c r="L260" s="1" t="s">
        <v>4264</v>
      </c>
      <c r="M260" s="1">
        <v>15</v>
      </c>
      <c r="N260" s="1" t="s">
        <v>4365</v>
      </c>
    </row>
    <row r="261" spans="1:14" x14ac:dyDescent="0.15">
      <c r="A261" s="1">
        <v>30</v>
      </c>
      <c r="B261" s="1" t="s">
        <v>4362</v>
      </c>
      <c r="C261" s="1" t="s">
        <v>4363</v>
      </c>
      <c r="D261" s="1" t="s">
        <v>4362</v>
      </c>
      <c r="E261" s="1" t="s">
        <v>4363</v>
      </c>
      <c r="F261" s="1" t="s">
        <v>4362</v>
      </c>
      <c r="G261" s="1" t="s">
        <v>4364</v>
      </c>
      <c r="H261" s="1" t="s">
        <v>4362</v>
      </c>
      <c r="I261" s="1" t="s">
        <v>16328</v>
      </c>
      <c r="J261" s="1" t="s">
        <v>16325</v>
      </c>
      <c r="K261" s="1">
        <v>12</v>
      </c>
      <c r="L261" s="1" t="s">
        <v>4264</v>
      </c>
      <c r="M261" s="1">
        <v>15</v>
      </c>
      <c r="N261" s="1" t="s">
        <v>4365</v>
      </c>
    </row>
    <row r="262" spans="1:14" x14ac:dyDescent="0.15">
      <c r="A262" s="1">
        <v>30</v>
      </c>
      <c r="B262" s="1" t="s">
        <v>4362</v>
      </c>
      <c r="C262" s="1" t="s">
        <v>4363</v>
      </c>
      <c r="D262" s="1" t="s">
        <v>4362</v>
      </c>
      <c r="E262" s="1" t="s">
        <v>4363</v>
      </c>
      <c r="F262" s="1" t="s">
        <v>4362</v>
      </c>
      <c r="G262" s="1" t="s">
        <v>4364</v>
      </c>
      <c r="H262" s="1" t="s">
        <v>4362</v>
      </c>
      <c r="I262" s="1" t="s">
        <v>12661</v>
      </c>
      <c r="J262" s="1" t="s">
        <v>4370</v>
      </c>
      <c r="K262" s="1">
        <v>12</v>
      </c>
      <c r="L262" s="1" t="s">
        <v>4264</v>
      </c>
      <c r="M262" s="1">
        <v>15</v>
      </c>
      <c r="N262" s="1" t="s">
        <v>4365</v>
      </c>
    </row>
    <row r="263" spans="1:14" x14ac:dyDescent="0.15">
      <c r="A263" s="1">
        <v>30</v>
      </c>
      <c r="B263" s="1" t="s">
        <v>4362</v>
      </c>
      <c r="C263" s="1" t="s">
        <v>4363</v>
      </c>
      <c r="D263" s="1" t="s">
        <v>4362</v>
      </c>
      <c r="E263" s="1" t="s">
        <v>4363</v>
      </c>
      <c r="F263" s="1" t="s">
        <v>4362</v>
      </c>
      <c r="G263" s="1" t="s">
        <v>4364</v>
      </c>
      <c r="H263" s="1" t="s">
        <v>4362</v>
      </c>
      <c r="I263" s="1" t="s">
        <v>12630</v>
      </c>
      <c r="J263" s="1" t="s">
        <v>4371</v>
      </c>
      <c r="K263" s="1">
        <v>12</v>
      </c>
      <c r="L263" s="1" t="s">
        <v>4264</v>
      </c>
      <c r="M263" s="1">
        <v>15</v>
      </c>
      <c r="N263" s="1" t="s">
        <v>4365</v>
      </c>
    </row>
    <row r="264" spans="1:14" x14ac:dyDescent="0.15">
      <c r="A264" s="1">
        <v>30</v>
      </c>
      <c r="B264" s="1" t="s">
        <v>4362</v>
      </c>
      <c r="C264" s="1" t="s">
        <v>4363</v>
      </c>
      <c r="D264" s="1" t="s">
        <v>4362</v>
      </c>
      <c r="E264" s="1" t="s">
        <v>4363</v>
      </c>
      <c r="F264" s="1" t="s">
        <v>4362</v>
      </c>
      <c r="G264" s="1" t="s">
        <v>4364</v>
      </c>
      <c r="H264" s="1" t="s">
        <v>4362</v>
      </c>
      <c r="I264" s="1" t="s">
        <v>10445</v>
      </c>
      <c r="J264" s="1" t="s">
        <v>4372</v>
      </c>
      <c r="K264" s="1">
        <v>12</v>
      </c>
      <c r="L264" s="1" t="s">
        <v>4264</v>
      </c>
      <c r="M264" s="1">
        <v>15</v>
      </c>
      <c r="N264" s="1" t="s">
        <v>4365</v>
      </c>
    </row>
    <row r="265" spans="1:14" x14ac:dyDescent="0.15">
      <c r="A265" s="1">
        <v>30</v>
      </c>
      <c r="B265" s="1" t="s">
        <v>4362</v>
      </c>
      <c r="C265" s="1" t="s">
        <v>4363</v>
      </c>
      <c r="D265" s="1" t="s">
        <v>4362</v>
      </c>
      <c r="E265" s="1" t="s">
        <v>4363</v>
      </c>
      <c r="F265" s="1" t="s">
        <v>4362</v>
      </c>
      <c r="G265" s="1" t="s">
        <v>4364</v>
      </c>
      <c r="H265" s="1" t="s">
        <v>4362</v>
      </c>
      <c r="I265" s="1" t="s">
        <v>10452</v>
      </c>
      <c r="J265" s="1" t="s">
        <v>4373</v>
      </c>
      <c r="K265" s="1">
        <v>12</v>
      </c>
      <c r="L265" s="1" t="s">
        <v>4264</v>
      </c>
      <c r="M265" s="1">
        <v>15</v>
      </c>
      <c r="N265" s="1" t="s">
        <v>4365</v>
      </c>
    </row>
    <row r="266" spans="1:14" x14ac:dyDescent="0.15">
      <c r="A266" s="1">
        <v>30</v>
      </c>
      <c r="B266" s="1" t="s">
        <v>4362</v>
      </c>
      <c r="C266" s="1" t="s">
        <v>4363</v>
      </c>
      <c r="D266" s="1" t="s">
        <v>4362</v>
      </c>
      <c r="E266" s="1" t="s">
        <v>4363</v>
      </c>
      <c r="F266" s="1" t="s">
        <v>4362</v>
      </c>
      <c r="G266" s="1" t="s">
        <v>4364</v>
      </c>
      <c r="H266" s="1" t="s">
        <v>4362</v>
      </c>
      <c r="I266" s="1" t="s">
        <v>10462</v>
      </c>
      <c r="J266" s="1" t="s">
        <v>4374</v>
      </c>
      <c r="K266" s="1">
        <v>12</v>
      </c>
      <c r="L266" s="1" t="s">
        <v>4264</v>
      </c>
      <c r="M266" s="1">
        <v>15</v>
      </c>
      <c r="N266" s="1" t="s">
        <v>4365</v>
      </c>
    </row>
    <row r="267" spans="1:14" x14ac:dyDescent="0.15">
      <c r="A267" s="1">
        <v>30</v>
      </c>
      <c r="B267" s="1" t="s">
        <v>4362</v>
      </c>
      <c r="C267" s="1" t="s">
        <v>4363</v>
      </c>
      <c r="D267" s="1" t="s">
        <v>4362</v>
      </c>
      <c r="E267" s="1" t="s">
        <v>4363</v>
      </c>
      <c r="F267" s="1" t="s">
        <v>4362</v>
      </c>
      <c r="G267" s="1" t="s">
        <v>4364</v>
      </c>
      <c r="H267" s="1" t="s">
        <v>4362</v>
      </c>
      <c r="I267" s="1" t="s">
        <v>10553</v>
      </c>
      <c r="J267" s="1" t="s">
        <v>4375</v>
      </c>
      <c r="K267" s="1">
        <v>12</v>
      </c>
      <c r="L267" s="1" t="s">
        <v>4264</v>
      </c>
      <c r="M267" s="1">
        <v>15</v>
      </c>
      <c r="N267" s="1" t="s">
        <v>4365</v>
      </c>
    </row>
    <row r="268" spans="1:14" x14ac:dyDescent="0.15">
      <c r="A268" s="1">
        <v>30</v>
      </c>
      <c r="B268" s="1" t="s">
        <v>4362</v>
      </c>
      <c r="C268" s="1" t="s">
        <v>4363</v>
      </c>
      <c r="D268" s="1" t="s">
        <v>4362</v>
      </c>
      <c r="E268" s="1" t="s">
        <v>4363</v>
      </c>
      <c r="F268" s="1" t="s">
        <v>4362</v>
      </c>
      <c r="G268" s="1" t="s">
        <v>4364</v>
      </c>
      <c r="H268" s="1" t="s">
        <v>4362</v>
      </c>
      <c r="I268" s="1" t="s">
        <v>16335</v>
      </c>
      <c r="J268" s="1" t="s">
        <v>16332</v>
      </c>
      <c r="K268" s="1">
        <v>12</v>
      </c>
      <c r="L268" s="1" t="s">
        <v>4264</v>
      </c>
      <c r="M268" s="1">
        <v>15</v>
      </c>
      <c r="N268" s="1" t="s">
        <v>4365</v>
      </c>
    </row>
    <row r="269" spans="1:14" x14ac:dyDescent="0.15">
      <c r="A269" s="1">
        <v>31</v>
      </c>
      <c r="B269" s="1" t="s">
        <v>4376</v>
      </c>
      <c r="C269" s="1" t="s">
        <v>4377</v>
      </c>
      <c r="D269" s="1" t="s">
        <v>4376</v>
      </c>
      <c r="E269" s="1" t="s">
        <v>4377</v>
      </c>
      <c r="F269" s="1" t="s">
        <v>4376</v>
      </c>
      <c r="G269" s="1" t="s">
        <v>4378</v>
      </c>
      <c r="H269" s="1" t="s">
        <v>4376</v>
      </c>
      <c r="I269" s="1" t="s">
        <v>16886</v>
      </c>
      <c r="J269" s="1" t="s">
        <v>4379</v>
      </c>
      <c r="K269" s="1">
        <v>10</v>
      </c>
      <c r="L269" s="1" t="s">
        <v>4380</v>
      </c>
      <c r="M269" s="1">
        <v>9</v>
      </c>
      <c r="N269" s="1" t="s">
        <v>4381</v>
      </c>
    </row>
    <row r="270" spans="1:14" x14ac:dyDescent="0.15">
      <c r="A270" s="1">
        <v>31</v>
      </c>
      <c r="B270" s="1" t="s">
        <v>4376</v>
      </c>
      <c r="C270" s="1" t="s">
        <v>4377</v>
      </c>
      <c r="D270" s="1" t="s">
        <v>4376</v>
      </c>
      <c r="E270" s="1" t="s">
        <v>4377</v>
      </c>
      <c r="F270" s="1" t="s">
        <v>4376</v>
      </c>
      <c r="G270" s="1" t="s">
        <v>4378</v>
      </c>
      <c r="H270" s="1" t="s">
        <v>4376</v>
      </c>
      <c r="I270" s="1" t="s">
        <v>12887</v>
      </c>
      <c r="J270" s="1" t="s">
        <v>5284</v>
      </c>
      <c r="K270" s="1">
        <v>10</v>
      </c>
      <c r="L270" s="1" t="s">
        <v>4380</v>
      </c>
      <c r="M270" s="1">
        <v>9</v>
      </c>
      <c r="N270" s="1" t="s">
        <v>4381</v>
      </c>
    </row>
    <row r="271" spans="1:14" x14ac:dyDescent="0.15">
      <c r="A271" s="1">
        <v>31</v>
      </c>
      <c r="B271" s="1" t="s">
        <v>4376</v>
      </c>
      <c r="C271" s="1" t="s">
        <v>4377</v>
      </c>
      <c r="D271" s="1" t="s">
        <v>4376</v>
      </c>
      <c r="E271" s="1" t="s">
        <v>4377</v>
      </c>
      <c r="F271" s="1" t="s">
        <v>4376</v>
      </c>
      <c r="G271" s="1" t="s">
        <v>4378</v>
      </c>
      <c r="H271" s="1" t="s">
        <v>4376</v>
      </c>
      <c r="I271" s="1" t="s">
        <v>7592</v>
      </c>
      <c r="J271" s="1" t="s">
        <v>4382</v>
      </c>
      <c r="K271" s="1">
        <v>10</v>
      </c>
      <c r="L271" s="1" t="s">
        <v>4380</v>
      </c>
      <c r="M271" s="1">
        <v>9</v>
      </c>
      <c r="N271" s="1" t="s">
        <v>4381</v>
      </c>
    </row>
    <row r="272" spans="1:14" x14ac:dyDescent="0.15">
      <c r="A272" s="1">
        <v>31</v>
      </c>
      <c r="B272" s="1" t="s">
        <v>4376</v>
      </c>
      <c r="C272" s="1" t="s">
        <v>4377</v>
      </c>
      <c r="D272" s="1" t="s">
        <v>4376</v>
      </c>
      <c r="E272" s="1" t="s">
        <v>4377</v>
      </c>
      <c r="F272" s="1" t="s">
        <v>4376</v>
      </c>
      <c r="G272" s="1" t="s">
        <v>4378</v>
      </c>
      <c r="H272" s="1" t="s">
        <v>4376</v>
      </c>
      <c r="I272" s="1" t="s">
        <v>7595</v>
      </c>
      <c r="J272" s="1" t="s">
        <v>4383</v>
      </c>
      <c r="K272" s="1">
        <v>10</v>
      </c>
      <c r="L272" s="1" t="s">
        <v>4380</v>
      </c>
      <c r="M272" s="1">
        <v>9</v>
      </c>
      <c r="N272" s="1" t="s">
        <v>4381</v>
      </c>
    </row>
    <row r="273" spans="1:14" x14ac:dyDescent="0.15">
      <c r="A273" s="1">
        <v>32</v>
      </c>
      <c r="B273" s="1" t="s">
        <v>4384</v>
      </c>
      <c r="C273" s="1" t="s">
        <v>4385</v>
      </c>
      <c r="D273" s="1" t="s">
        <v>4384</v>
      </c>
      <c r="E273" s="1" t="s">
        <v>4385</v>
      </c>
      <c r="F273" s="1" t="s">
        <v>4384</v>
      </c>
      <c r="G273" s="1" t="s">
        <v>4386</v>
      </c>
      <c r="H273" s="1" t="s">
        <v>4384</v>
      </c>
      <c r="I273" s="1" t="s">
        <v>17125</v>
      </c>
      <c r="J273" s="1" t="s">
        <v>4387</v>
      </c>
      <c r="K273" s="1">
        <v>11</v>
      </c>
      <c r="L273" s="1" t="s">
        <v>4227</v>
      </c>
      <c r="M273" s="1">
        <v>14</v>
      </c>
      <c r="N273" s="1" t="s">
        <v>4220</v>
      </c>
    </row>
    <row r="274" spans="1:14" x14ac:dyDescent="0.15">
      <c r="A274" s="1">
        <v>32</v>
      </c>
      <c r="B274" s="1" t="s">
        <v>4384</v>
      </c>
      <c r="C274" s="1" t="s">
        <v>4385</v>
      </c>
      <c r="D274" s="1" t="s">
        <v>4384</v>
      </c>
      <c r="E274" s="1" t="s">
        <v>4385</v>
      </c>
      <c r="F274" s="1" t="s">
        <v>4384</v>
      </c>
      <c r="G274" s="1" t="s">
        <v>4386</v>
      </c>
      <c r="H274" s="1" t="s">
        <v>4384</v>
      </c>
      <c r="I274" s="1" t="s">
        <v>10843</v>
      </c>
      <c r="J274" s="1" t="s">
        <v>4388</v>
      </c>
      <c r="K274" s="1">
        <v>11</v>
      </c>
      <c r="L274" s="1" t="s">
        <v>4227</v>
      </c>
      <c r="M274" s="1">
        <v>14</v>
      </c>
      <c r="N274" s="1" t="s">
        <v>4220</v>
      </c>
    </row>
    <row r="275" spans="1:14" x14ac:dyDescent="0.15">
      <c r="A275" s="1">
        <v>33</v>
      </c>
      <c r="B275" s="1" t="s">
        <v>4389</v>
      </c>
      <c r="C275" s="1" t="s">
        <v>4390</v>
      </c>
      <c r="D275" s="1" t="s">
        <v>4389</v>
      </c>
      <c r="E275" s="1" t="s">
        <v>4390</v>
      </c>
      <c r="F275" s="1" t="s">
        <v>4389</v>
      </c>
      <c r="G275" s="1" t="s">
        <v>4391</v>
      </c>
      <c r="H275" s="1" t="s">
        <v>4389</v>
      </c>
      <c r="I275" s="1" t="s">
        <v>16910</v>
      </c>
      <c r="J275" s="1" t="s">
        <v>4392</v>
      </c>
      <c r="K275" s="1">
        <v>10</v>
      </c>
      <c r="L275" s="1" t="s">
        <v>4380</v>
      </c>
      <c r="M275" s="1">
        <v>9</v>
      </c>
      <c r="N275" s="1" t="s">
        <v>4381</v>
      </c>
    </row>
    <row r="276" spans="1:14" x14ac:dyDescent="0.15">
      <c r="A276" s="1">
        <v>34</v>
      </c>
      <c r="B276" s="1" t="s">
        <v>4393</v>
      </c>
      <c r="C276" s="1" t="s">
        <v>4394</v>
      </c>
      <c r="D276" s="1" t="s">
        <v>4393</v>
      </c>
      <c r="E276" s="1" t="s">
        <v>4394</v>
      </c>
      <c r="F276" s="1" t="s">
        <v>4393</v>
      </c>
      <c r="G276" s="1" t="s">
        <v>4395</v>
      </c>
      <c r="H276" s="1" t="s">
        <v>4393</v>
      </c>
      <c r="I276" s="1" t="s">
        <v>7680</v>
      </c>
      <c r="J276" s="1" t="s">
        <v>4396</v>
      </c>
      <c r="K276" s="1">
        <v>10</v>
      </c>
      <c r="L276" s="1" t="s">
        <v>4380</v>
      </c>
      <c r="M276" s="1">
        <v>9</v>
      </c>
      <c r="N276" s="1" t="s">
        <v>4381</v>
      </c>
    </row>
    <row r="277" spans="1:14" x14ac:dyDescent="0.15">
      <c r="A277" s="1">
        <v>34</v>
      </c>
      <c r="B277" s="1" t="s">
        <v>4393</v>
      </c>
      <c r="C277" s="1" t="s">
        <v>4394</v>
      </c>
      <c r="D277" s="1" t="s">
        <v>4393</v>
      </c>
      <c r="E277" s="1" t="s">
        <v>4394</v>
      </c>
      <c r="F277" s="1" t="s">
        <v>4393</v>
      </c>
      <c r="G277" s="1" t="s">
        <v>4395</v>
      </c>
      <c r="H277" s="1" t="s">
        <v>4393</v>
      </c>
      <c r="I277" s="1" t="s">
        <v>12887</v>
      </c>
      <c r="J277" s="1" t="s">
        <v>5284</v>
      </c>
      <c r="K277" s="1">
        <v>10</v>
      </c>
      <c r="L277" s="1" t="s">
        <v>4380</v>
      </c>
      <c r="M277" s="1">
        <v>9</v>
      </c>
      <c r="N277" s="1" t="s">
        <v>4381</v>
      </c>
    </row>
    <row r="278" spans="1:14" x14ac:dyDescent="0.15">
      <c r="A278" s="1">
        <v>34</v>
      </c>
      <c r="B278" s="1" t="s">
        <v>4393</v>
      </c>
      <c r="C278" s="1" t="s">
        <v>4394</v>
      </c>
      <c r="D278" s="1" t="s">
        <v>4393</v>
      </c>
      <c r="E278" s="1" t="s">
        <v>4394</v>
      </c>
      <c r="F278" s="1" t="s">
        <v>4393</v>
      </c>
      <c r="G278" s="1" t="s">
        <v>4395</v>
      </c>
      <c r="H278" s="1" t="s">
        <v>4393</v>
      </c>
      <c r="I278" s="1" t="s">
        <v>7592</v>
      </c>
      <c r="J278" s="1" t="s">
        <v>4382</v>
      </c>
      <c r="K278" s="1">
        <v>10</v>
      </c>
      <c r="L278" s="1" t="s">
        <v>4380</v>
      </c>
      <c r="M278" s="1">
        <v>9</v>
      </c>
      <c r="N278" s="1" t="s">
        <v>4381</v>
      </c>
    </row>
    <row r="279" spans="1:14" x14ac:dyDescent="0.15">
      <c r="A279" s="1">
        <v>34</v>
      </c>
      <c r="B279" s="1" t="s">
        <v>4393</v>
      </c>
      <c r="C279" s="1" t="s">
        <v>4394</v>
      </c>
      <c r="D279" s="1" t="s">
        <v>4393</v>
      </c>
      <c r="E279" s="1" t="s">
        <v>4394</v>
      </c>
      <c r="F279" s="1" t="s">
        <v>4393</v>
      </c>
      <c r="G279" s="1" t="s">
        <v>4395</v>
      </c>
      <c r="H279" s="1" t="s">
        <v>4393</v>
      </c>
      <c r="I279" s="1" t="s">
        <v>7597</v>
      </c>
      <c r="J279" s="1" t="s">
        <v>4397</v>
      </c>
      <c r="K279" s="1">
        <v>10</v>
      </c>
      <c r="L279" s="1" t="s">
        <v>4380</v>
      </c>
      <c r="M279" s="1">
        <v>9</v>
      </c>
      <c r="N279" s="1" t="s">
        <v>4381</v>
      </c>
    </row>
    <row r="280" spans="1:14" x14ac:dyDescent="0.15">
      <c r="A280" s="1">
        <v>34</v>
      </c>
      <c r="B280" s="1" t="s">
        <v>4393</v>
      </c>
      <c r="C280" s="1" t="s">
        <v>4394</v>
      </c>
      <c r="D280" s="1" t="s">
        <v>4393</v>
      </c>
      <c r="E280" s="1" t="s">
        <v>4394</v>
      </c>
      <c r="F280" s="1" t="s">
        <v>4393</v>
      </c>
      <c r="G280" s="1" t="s">
        <v>4395</v>
      </c>
      <c r="H280" s="1" t="s">
        <v>4393</v>
      </c>
      <c r="I280" s="1" t="s">
        <v>7296</v>
      </c>
      <c r="J280" s="1" t="s">
        <v>6733</v>
      </c>
      <c r="K280" s="1">
        <v>10</v>
      </c>
      <c r="L280" s="1" t="s">
        <v>4380</v>
      </c>
      <c r="M280" s="1">
        <v>9</v>
      </c>
      <c r="N280" s="1" t="s">
        <v>4381</v>
      </c>
    </row>
    <row r="281" spans="1:14" x14ac:dyDescent="0.15">
      <c r="A281" s="1">
        <v>35</v>
      </c>
      <c r="B281" s="1" t="s">
        <v>4398</v>
      </c>
      <c r="C281" s="1" t="s">
        <v>4399</v>
      </c>
      <c r="D281" s="1" t="s">
        <v>4398</v>
      </c>
      <c r="E281" s="1" t="s">
        <v>4399</v>
      </c>
      <c r="F281" s="1" t="s">
        <v>4398</v>
      </c>
      <c r="G281" s="1" t="s">
        <v>4400</v>
      </c>
      <c r="H281" s="1" t="s">
        <v>4398</v>
      </c>
      <c r="I281" s="1" t="s">
        <v>13662</v>
      </c>
      <c r="J281" s="1" t="s">
        <v>5011</v>
      </c>
      <c r="K281" s="1">
        <v>6</v>
      </c>
      <c r="L281" s="1" t="s">
        <v>4254</v>
      </c>
      <c r="M281" s="1">
        <v>8</v>
      </c>
      <c r="N281" s="1" t="s">
        <v>4255</v>
      </c>
    </row>
    <row r="282" spans="1:14" x14ac:dyDescent="0.15">
      <c r="A282" s="1">
        <v>35</v>
      </c>
      <c r="B282" s="1" t="s">
        <v>4398</v>
      </c>
      <c r="C282" s="1" t="s">
        <v>4399</v>
      </c>
      <c r="D282" s="1" t="s">
        <v>4398</v>
      </c>
      <c r="E282" s="1" t="s">
        <v>4399</v>
      </c>
      <c r="F282" s="1" t="s">
        <v>4398</v>
      </c>
      <c r="G282" s="1" t="s">
        <v>4400</v>
      </c>
      <c r="H282" s="1" t="s">
        <v>4398</v>
      </c>
      <c r="I282" s="1" t="s">
        <v>13666</v>
      </c>
      <c r="J282" s="1" t="s">
        <v>4401</v>
      </c>
      <c r="K282" s="1">
        <v>6</v>
      </c>
      <c r="L282" s="1" t="s">
        <v>4254</v>
      </c>
      <c r="M282" s="1">
        <v>8</v>
      </c>
      <c r="N282" s="1" t="s">
        <v>4255</v>
      </c>
    </row>
    <row r="283" spans="1:14" x14ac:dyDescent="0.15">
      <c r="A283" s="1">
        <v>35</v>
      </c>
      <c r="B283" s="1" t="s">
        <v>4398</v>
      </c>
      <c r="C283" s="1" t="s">
        <v>4399</v>
      </c>
      <c r="D283" s="1" t="s">
        <v>4398</v>
      </c>
      <c r="E283" s="1" t="s">
        <v>4399</v>
      </c>
      <c r="F283" s="1" t="s">
        <v>4398</v>
      </c>
      <c r="G283" s="1" t="s">
        <v>4400</v>
      </c>
      <c r="H283" s="1" t="s">
        <v>4398</v>
      </c>
      <c r="I283" s="1" t="s">
        <v>13674</v>
      </c>
      <c r="J283" s="1" t="s">
        <v>13675</v>
      </c>
      <c r="K283" s="1">
        <v>6</v>
      </c>
      <c r="L283" s="1" t="s">
        <v>4254</v>
      </c>
      <c r="M283" s="1">
        <v>8</v>
      </c>
      <c r="N283" s="1" t="s">
        <v>4255</v>
      </c>
    </row>
    <row r="284" spans="1:14" x14ac:dyDescent="0.15">
      <c r="A284" s="1">
        <v>35</v>
      </c>
      <c r="B284" s="1" t="s">
        <v>4398</v>
      </c>
      <c r="C284" s="1" t="s">
        <v>4399</v>
      </c>
      <c r="D284" s="1" t="s">
        <v>4398</v>
      </c>
      <c r="E284" s="1" t="s">
        <v>4399</v>
      </c>
      <c r="F284" s="1" t="s">
        <v>4398</v>
      </c>
      <c r="G284" s="1" t="s">
        <v>4400</v>
      </c>
      <c r="H284" s="1" t="s">
        <v>4398</v>
      </c>
      <c r="I284" s="1" t="s">
        <v>13682</v>
      </c>
      <c r="J284" s="1" t="s">
        <v>5014</v>
      </c>
      <c r="K284" s="1">
        <v>6</v>
      </c>
      <c r="L284" s="1" t="s">
        <v>4254</v>
      </c>
      <c r="M284" s="1">
        <v>8</v>
      </c>
      <c r="N284" s="1" t="s">
        <v>4255</v>
      </c>
    </row>
    <row r="285" spans="1:14" x14ac:dyDescent="0.15">
      <c r="A285" s="1">
        <v>35</v>
      </c>
      <c r="B285" s="1" t="s">
        <v>4398</v>
      </c>
      <c r="C285" s="1" t="s">
        <v>4399</v>
      </c>
      <c r="D285" s="1" t="s">
        <v>4398</v>
      </c>
      <c r="E285" s="1" t="s">
        <v>4399</v>
      </c>
      <c r="F285" s="1" t="s">
        <v>4398</v>
      </c>
      <c r="G285" s="1" t="s">
        <v>4400</v>
      </c>
      <c r="H285" s="1" t="s">
        <v>4398</v>
      </c>
      <c r="I285" s="1" t="s">
        <v>13694</v>
      </c>
      <c r="J285" s="1" t="s">
        <v>13695</v>
      </c>
      <c r="K285" s="1">
        <v>6</v>
      </c>
      <c r="L285" s="1" t="s">
        <v>4254</v>
      </c>
      <c r="M285" s="1">
        <v>8</v>
      </c>
      <c r="N285" s="1" t="s">
        <v>4255</v>
      </c>
    </row>
    <row r="286" spans="1:14" x14ac:dyDescent="0.15">
      <c r="A286" s="1">
        <v>35</v>
      </c>
      <c r="B286" s="1" t="s">
        <v>4398</v>
      </c>
      <c r="C286" s="1" t="s">
        <v>4399</v>
      </c>
      <c r="D286" s="1" t="s">
        <v>4398</v>
      </c>
      <c r="E286" s="1" t="s">
        <v>4399</v>
      </c>
      <c r="F286" s="1" t="s">
        <v>4398</v>
      </c>
      <c r="G286" s="1" t="s">
        <v>4400</v>
      </c>
      <c r="H286" s="1" t="s">
        <v>4398</v>
      </c>
      <c r="I286" s="1" t="s">
        <v>13324</v>
      </c>
      <c r="J286" s="1" t="s">
        <v>5079</v>
      </c>
      <c r="K286" s="1">
        <v>6</v>
      </c>
      <c r="L286" s="1" t="s">
        <v>4254</v>
      </c>
      <c r="M286" s="1">
        <v>8</v>
      </c>
      <c r="N286" s="1" t="s">
        <v>4255</v>
      </c>
    </row>
    <row r="287" spans="1:14" x14ac:dyDescent="0.15">
      <c r="A287" s="1">
        <v>35</v>
      </c>
      <c r="B287" s="1" t="s">
        <v>4398</v>
      </c>
      <c r="C287" s="1" t="s">
        <v>4399</v>
      </c>
      <c r="D287" s="1" t="s">
        <v>4398</v>
      </c>
      <c r="E287" s="1" t="s">
        <v>4399</v>
      </c>
      <c r="F287" s="1" t="s">
        <v>4398</v>
      </c>
      <c r="G287" s="1" t="s">
        <v>4400</v>
      </c>
      <c r="H287" s="1" t="s">
        <v>4398</v>
      </c>
      <c r="I287" s="1" t="s">
        <v>13454</v>
      </c>
      <c r="J287" s="1" t="s">
        <v>5148</v>
      </c>
      <c r="K287" s="1">
        <v>6</v>
      </c>
      <c r="L287" s="1" t="s">
        <v>4254</v>
      </c>
      <c r="M287" s="1">
        <v>8</v>
      </c>
      <c r="N287" s="1" t="s">
        <v>4255</v>
      </c>
    </row>
    <row r="288" spans="1:14" x14ac:dyDescent="0.15">
      <c r="A288" s="1">
        <v>35</v>
      </c>
      <c r="B288" s="1" t="s">
        <v>4398</v>
      </c>
      <c r="C288" s="1" t="s">
        <v>4399</v>
      </c>
      <c r="D288" s="1" t="s">
        <v>4398</v>
      </c>
      <c r="E288" s="1" t="s">
        <v>4399</v>
      </c>
      <c r="F288" s="1" t="s">
        <v>4398</v>
      </c>
      <c r="G288" s="1" t="s">
        <v>4400</v>
      </c>
      <c r="H288" s="1" t="s">
        <v>4398</v>
      </c>
      <c r="I288" s="1" t="s">
        <v>7930</v>
      </c>
      <c r="J288" s="1" t="s">
        <v>4402</v>
      </c>
      <c r="K288" s="1">
        <v>6</v>
      </c>
      <c r="L288" s="1" t="s">
        <v>4254</v>
      </c>
      <c r="M288" s="1">
        <v>8</v>
      </c>
      <c r="N288" s="1" t="s">
        <v>4255</v>
      </c>
    </row>
    <row r="289" spans="1:14" x14ac:dyDescent="0.15">
      <c r="A289" s="1">
        <v>35</v>
      </c>
      <c r="B289" s="1" t="s">
        <v>4398</v>
      </c>
      <c r="C289" s="1" t="s">
        <v>4399</v>
      </c>
      <c r="D289" s="1" t="s">
        <v>4398</v>
      </c>
      <c r="E289" s="1" t="s">
        <v>4399</v>
      </c>
      <c r="F289" s="1" t="s">
        <v>4398</v>
      </c>
      <c r="G289" s="1" t="s">
        <v>4400</v>
      </c>
      <c r="H289" s="1" t="s">
        <v>4398</v>
      </c>
      <c r="I289" s="1" t="s">
        <v>7939</v>
      </c>
      <c r="J289" s="1" t="s">
        <v>4403</v>
      </c>
      <c r="K289" s="1">
        <v>6</v>
      </c>
      <c r="L289" s="1" t="s">
        <v>4254</v>
      </c>
      <c r="M289" s="1">
        <v>8</v>
      </c>
      <c r="N289" s="1" t="s">
        <v>4255</v>
      </c>
    </row>
    <row r="290" spans="1:14" x14ac:dyDescent="0.15">
      <c r="A290" s="1">
        <v>36</v>
      </c>
      <c r="B290" s="1" t="s">
        <v>4404</v>
      </c>
      <c r="C290" s="1" t="s">
        <v>4405</v>
      </c>
      <c r="D290" s="1" t="s">
        <v>4404</v>
      </c>
      <c r="E290" s="1" t="s">
        <v>4405</v>
      </c>
      <c r="F290" s="1" t="s">
        <v>4404</v>
      </c>
      <c r="G290" s="1" t="s">
        <v>4406</v>
      </c>
      <c r="H290" s="1" t="s">
        <v>4404</v>
      </c>
      <c r="I290" s="1" t="s">
        <v>10457</v>
      </c>
      <c r="J290" s="1" t="s">
        <v>15219</v>
      </c>
      <c r="K290" s="1">
        <v>12</v>
      </c>
      <c r="L290" s="1" t="s">
        <v>4264</v>
      </c>
      <c r="M290" s="1">
        <v>15</v>
      </c>
      <c r="N290" s="1" t="s">
        <v>4365</v>
      </c>
    </row>
    <row r="291" spans="1:14" x14ac:dyDescent="0.15">
      <c r="A291" s="1">
        <v>36</v>
      </c>
      <c r="B291" s="1" t="s">
        <v>4404</v>
      </c>
      <c r="C291" s="1" t="s">
        <v>4405</v>
      </c>
      <c r="D291" s="1" t="s">
        <v>4404</v>
      </c>
      <c r="E291" s="1" t="s">
        <v>4405</v>
      </c>
      <c r="F291" s="1" t="s">
        <v>4404</v>
      </c>
      <c r="G291" s="1" t="s">
        <v>4406</v>
      </c>
      <c r="H291" s="1" t="s">
        <v>4404</v>
      </c>
      <c r="I291" s="1" t="s">
        <v>15812</v>
      </c>
      <c r="J291" s="1" t="s">
        <v>6011</v>
      </c>
      <c r="L291" s="1" t="s">
        <v>4264</v>
      </c>
      <c r="M291" s="1">
        <v>15</v>
      </c>
      <c r="N291" s="1" t="s">
        <v>4365</v>
      </c>
    </row>
    <row r="292" spans="1:14" x14ac:dyDescent="0.15">
      <c r="A292" s="1">
        <v>36</v>
      </c>
      <c r="B292" s="1" t="s">
        <v>4404</v>
      </c>
      <c r="C292" s="1" t="s">
        <v>4405</v>
      </c>
      <c r="D292" s="1" t="s">
        <v>4404</v>
      </c>
      <c r="E292" s="1" t="s">
        <v>4405</v>
      </c>
      <c r="F292" s="1" t="s">
        <v>4404</v>
      </c>
      <c r="G292" s="1" t="s">
        <v>4406</v>
      </c>
      <c r="H292" s="1" t="s">
        <v>4404</v>
      </c>
      <c r="I292" s="1" t="s">
        <v>15819</v>
      </c>
      <c r="J292" s="1" t="s">
        <v>15820</v>
      </c>
      <c r="K292" s="1">
        <v>12</v>
      </c>
      <c r="L292" s="1" t="s">
        <v>4264</v>
      </c>
      <c r="M292" s="1">
        <v>15</v>
      </c>
      <c r="N292" s="1" t="s">
        <v>4365</v>
      </c>
    </row>
    <row r="293" spans="1:14" x14ac:dyDescent="0.15">
      <c r="A293" s="1">
        <v>36</v>
      </c>
      <c r="B293" s="1" t="s">
        <v>4404</v>
      </c>
      <c r="C293" s="1" t="s">
        <v>4405</v>
      </c>
      <c r="D293" s="1" t="s">
        <v>4404</v>
      </c>
      <c r="E293" s="1" t="s">
        <v>4405</v>
      </c>
      <c r="F293" s="1" t="s">
        <v>4404</v>
      </c>
      <c r="G293" s="1" t="s">
        <v>4406</v>
      </c>
      <c r="H293" s="1" t="s">
        <v>4404</v>
      </c>
      <c r="I293" s="1" t="s">
        <v>15823</v>
      </c>
      <c r="J293" s="1" t="s">
        <v>15824</v>
      </c>
      <c r="K293" s="1">
        <v>12</v>
      </c>
      <c r="L293" s="1" t="s">
        <v>4264</v>
      </c>
      <c r="M293" s="1">
        <v>15</v>
      </c>
      <c r="N293" s="1" t="s">
        <v>4365</v>
      </c>
    </row>
    <row r="294" spans="1:14" x14ac:dyDescent="0.15">
      <c r="A294" s="1">
        <v>36</v>
      </c>
      <c r="B294" s="1" t="s">
        <v>4404</v>
      </c>
      <c r="C294" s="1" t="s">
        <v>4405</v>
      </c>
      <c r="D294" s="1" t="s">
        <v>4404</v>
      </c>
      <c r="E294" s="1" t="s">
        <v>4405</v>
      </c>
      <c r="F294" s="1" t="s">
        <v>4404</v>
      </c>
      <c r="G294" s="1" t="s">
        <v>4406</v>
      </c>
      <c r="H294" s="1" t="s">
        <v>4404</v>
      </c>
      <c r="I294" s="1" t="s">
        <v>9769</v>
      </c>
      <c r="J294" s="1" t="s">
        <v>15856</v>
      </c>
      <c r="K294" s="1">
        <v>12</v>
      </c>
      <c r="L294" s="1" t="s">
        <v>4264</v>
      </c>
      <c r="M294" s="1">
        <v>15</v>
      </c>
      <c r="N294" s="1" t="s">
        <v>4365</v>
      </c>
    </row>
    <row r="295" spans="1:14" x14ac:dyDescent="0.15">
      <c r="A295" s="1">
        <v>36</v>
      </c>
      <c r="B295" s="1" t="s">
        <v>4404</v>
      </c>
      <c r="C295" s="1" t="s">
        <v>4405</v>
      </c>
      <c r="D295" s="1" t="s">
        <v>4404</v>
      </c>
      <c r="E295" s="1" t="s">
        <v>4405</v>
      </c>
      <c r="F295" s="1" t="s">
        <v>4404</v>
      </c>
      <c r="G295" s="1" t="s">
        <v>4406</v>
      </c>
      <c r="H295" s="1" t="s">
        <v>4404</v>
      </c>
      <c r="I295" s="1" t="s">
        <v>9784</v>
      </c>
      <c r="J295" s="1" t="s">
        <v>15899</v>
      </c>
      <c r="K295" s="1">
        <v>12</v>
      </c>
      <c r="L295" s="1" t="s">
        <v>4264</v>
      </c>
      <c r="M295" s="1">
        <v>15</v>
      </c>
      <c r="N295" s="1" t="s">
        <v>4365</v>
      </c>
    </row>
    <row r="296" spans="1:14" x14ac:dyDescent="0.15">
      <c r="A296" s="1">
        <v>36</v>
      </c>
      <c r="B296" s="1" t="s">
        <v>4404</v>
      </c>
      <c r="C296" s="1" t="s">
        <v>4405</v>
      </c>
      <c r="D296" s="1" t="s">
        <v>4404</v>
      </c>
      <c r="E296" s="1" t="s">
        <v>4405</v>
      </c>
      <c r="F296" s="1" t="s">
        <v>4404</v>
      </c>
      <c r="G296" s="1" t="s">
        <v>4406</v>
      </c>
      <c r="H296" s="1" t="s">
        <v>4404</v>
      </c>
      <c r="I296" s="1" t="s">
        <v>15831</v>
      </c>
      <c r="J296" s="1" t="s">
        <v>6021</v>
      </c>
      <c r="K296" s="1">
        <v>12</v>
      </c>
      <c r="L296" s="1" t="s">
        <v>4264</v>
      </c>
      <c r="M296" s="1">
        <v>15</v>
      </c>
      <c r="N296" s="1" t="s">
        <v>4365</v>
      </c>
    </row>
    <row r="297" spans="1:14" x14ac:dyDescent="0.15">
      <c r="A297" s="1">
        <v>36</v>
      </c>
      <c r="B297" s="1" t="s">
        <v>4404</v>
      </c>
      <c r="C297" s="1" t="s">
        <v>4405</v>
      </c>
      <c r="D297" s="1" t="s">
        <v>4404</v>
      </c>
      <c r="E297" s="1" t="s">
        <v>4405</v>
      </c>
      <c r="F297" s="1" t="s">
        <v>4404</v>
      </c>
      <c r="G297" s="1" t="s">
        <v>4406</v>
      </c>
      <c r="H297" s="1" t="s">
        <v>4404</v>
      </c>
      <c r="I297" s="1" t="s">
        <v>15835</v>
      </c>
      <c r="J297" s="1" t="s">
        <v>6609</v>
      </c>
      <c r="K297" s="1">
        <v>12</v>
      </c>
      <c r="L297" s="1" t="s">
        <v>4264</v>
      </c>
      <c r="M297" s="1">
        <v>15</v>
      </c>
      <c r="N297" s="1" t="s">
        <v>4365</v>
      </c>
    </row>
    <row r="298" spans="1:14" x14ac:dyDescent="0.15">
      <c r="A298" s="1">
        <v>36</v>
      </c>
      <c r="B298" s="1" t="s">
        <v>4404</v>
      </c>
      <c r="C298" s="1" t="s">
        <v>4405</v>
      </c>
      <c r="D298" s="1" t="s">
        <v>4404</v>
      </c>
      <c r="E298" s="1" t="s">
        <v>4405</v>
      </c>
      <c r="F298" s="1" t="s">
        <v>4404</v>
      </c>
      <c r="G298" s="1" t="s">
        <v>4406</v>
      </c>
      <c r="H298" s="1" t="s">
        <v>4404</v>
      </c>
      <c r="I298" s="1" t="s">
        <v>15839</v>
      </c>
      <c r="J298" s="1" t="s">
        <v>15840</v>
      </c>
      <c r="K298" s="1">
        <v>12</v>
      </c>
      <c r="L298" s="1" t="s">
        <v>4264</v>
      </c>
      <c r="M298" s="1">
        <v>15</v>
      </c>
      <c r="N298" s="1" t="s">
        <v>4365</v>
      </c>
    </row>
    <row r="299" spans="1:14" x14ac:dyDescent="0.15">
      <c r="A299" s="1">
        <v>36</v>
      </c>
      <c r="B299" s="1" t="s">
        <v>4404</v>
      </c>
      <c r="C299" s="1" t="s">
        <v>4405</v>
      </c>
      <c r="D299" s="1" t="s">
        <v>4404</v>
      </c>
      <c r="E299" s="1" t="s">
        <v>4405</v>
      </c>
      <c r="F299" s="1" t="s">
        <v>4404</v>
      </c>
      <c r="G299" s="1" t="s">
        <v>4406</v>
      </c>
      <c r="H299" s="1" t="s">
        <v>4404</v>
      </c>
      <c r="I299" s="1" t="s">
        <v>15843</v>
      </c>
      <c r="J299" s="1" t="s">
        <v>6023</v>
      </c>
      <c r="K299" s="1">
        <v>12</v>
      </c>
      <c r="L299" s="1" t="s">
        <v>4264</v>
      </c>
      <c r="M299" s="1">
        <v>15</v>
      </c>
      <c r="N299" s="1" t="s">
        <v>4365</v>
      </c>
    </row>
    <row r="300" spans="1:14" x14ac:dyDescent="0.15">
      <c r="A300" s="1">
        <v>36</v>
      </c>
      <c r="B300" s="1" t="s">
        <v>4404</v>
      </c>
      <c r="C300" s="1" t="s">
        <v>4405</v>
      </c>
      <c r="D300" s="1" t="s">
        <v>4404</v>
      </c>
      <c r="E300" s="1" t="s">
        <v>4405</v>
      </c>
      <c r="F300" s="1" t="s">
        <v>4404</v>
      </c>
      <c r="G300" s="1" t="s">
        <v>4406</v>
      </c>
      <c r="H300" s="1" t="s">
        <v>4404</v>
      </c>
      <c r="I300" s="1" t="s">
        <v>15851</v>
      </c>
      <c r="J300" s="1" t="s">
        <v>4407</v>
      </c>
      <c r="K300" s="1">
        <v>12</v>
      </c>
      <c r="L300" s="1" t="s">
        <v>4264</v>
      </c>
      <c r="M300" s="1">
        <v>15</v>
      </c>
      <c r="N300" s="1" t="s">
        <v>4365</v>
      </c>
    </row>
    <row r="301" spans="1:14" x14ac:dyDescent="0.15">
      <c r="A301" s="1">
        <v>36</v>
      </c>
      <c r="B301" s="1" t="s">
        <v>4404</v>
      </c>
      <c r="C301" s="1" t="s">
        <v>4405</v>
      </c>
      <c r="D301" s="1" t="s">
        <v>4404</v>
      </c>
      <c r="E301" s="1" t="s">
        <v>4405</v>
      </c>
      <c r="F301" s="1" t="s">
        <v>4404</v>
      </c>
      <c r="G301" s="1" t="s">
        <v>4406</v>
      </c>
      <c r="H301" s="1" t="s">
        <v>4404</v>
      </c>
      <c r="I301" s="1" t="s">
        <v>9809</v>
      </c>
      <c r="J301" s="1" t="s">
        <v>15875</v>
      </c>
      <c r="K301" s="1">
        <v>12</v>
      </c>
      <c r="L301" s="1" t="s">
        <v>4264</v>
      </c>
      <c r="M301" s="1">
        <v>15</v>
      </c>
      <c r="N301" s="1" t="s">
        <v>4365</v>
      </c>
    </row>
    <row r="302" spans="1:14" x14ac:dyDescent="0.15">
      <c r="A302" s="1">
        <v>36</v>
      </c>
      <c r="B302" s="1" t="s">
        <v>4404</v>
      </c>
      <c r="C302" s="1" t="s">
        <v>4405</v>
      </c>
      <c r="D302" s="1" t="s">
        <v>4404</v>
      </c>
      <c r="E302" s="1" t="s">
        <v>4405</v>
      </c>
      <c r="F302" s="1" t="s">
        <v>4404</v>
      </c>
      <c r="G302" s="1" t="s">
        <v>4406</v>
      </c>
      <c r="H302" s="1" t="s">
        <v>4404</v>
      </c>
      <c r="I302" s="1" t="s">
        <v>15859</v>
      </c>
      <c r="J302" s="1" t="s">
        <v>4408</v>
      </c>
      <c r="K302" s="1">
        <v>12</v>
      </c>
      <c r="L302" s="1" t="s">
        <v>4264</v>
      </c>
      <c r="M302" s="1">
        <v>15</v>
      </c>
      <c r="N302" s="1" t="s">
        <v>4365</v>
      </c>
    </row>
    <row r="303" spans="1:14" x14ac:dyDescent="0.15">
      <c r="A303" s="1">
        <v>36</v>
      </c>
      <c r="B303" s="1" t="s">
        <v>4404</v>
      </c>
      <c r="C303" s="1" t="s">
        <v>4405</v>
      </c>
      <c r="D303" s="1" t="s">
        <v>4404</v>
      </c>
      <c r="E303" s="1" t="s">
        <v>4405</v>
      </c>
      <c r="F303" s="1" t="s">
        <v>4404</v>
      </c>
      <c r="G303" s="1" t="s">
        <v>4406</v>
      </c>
      <c r="H303" s="1" t="s">
        <v>4404</v>
      </c>
      <c r="I303" s="1" t="s">
        <v>9829</v>
      </c>
      <c r="J303" s="1" t="s">
        <v>4409</v>
      </c>
      <c r="K303" s="1">
        <v>12</v>
      </c>
      <c r="L303" s="1" t="s">
        <v>4264</v>
      </c>
      <c r="M303" s="1">
        <v>15</v>
      </c>
      <c r="N303" s="1" t="s">
        <v>4365</v>
      </c>
    </row>
    <row r="304" spans="1:14" x14ac:dyDescent="0.15">
      <c r="A304" s="1">
        <v>36</v>
      </c>
      <c r="B304" s="1" t="s">
        <v>4404</v>
      </c>
      <c r="C304" s="1" t="s">
        <v>4405</v>
      </c>
      <c r="D304" s="1" t="s">
        <v>4404</v>
      </c>
      <c r="E304" s="1" t="s">
        <v>4405</v>
      </c>
      <c r="F304" s="1" t="s">
        <v>4404</v>
      </c>
      <c r="G304" s="1" t="s">
        <v>4406</v>
      </c>
      <c r="H304" s="1" t="s">
        <v>4404</v>
      </c>
      <c r="I304" s="1" t="s">
        <v>9832</v>
      </c>
      <c r="J304" s="1" t="s">
        <v>4410</v>
      </c>
      <c r="K304" s="1">
        <v>12</v>
      </c>
      <c r="L304" s="1" t="s">
        <v>4264</v>
      </c>
      <c r="M304" s="1">
        <v>15</v>
      </c>
      <c r="N304" s="1" t="s">
        <v>4365</v>
      </c>
    </row>
    <row r="305" spans="1:14" x14ac:dyDescent="0.15">
      <c r="A305" s="1">
        <v>36</v>
      </c>
      <c r="B305" s="1" t="s">
        <v>4404</v>
      </c>
      <c r="C305" s="1" t="s">
        <v>4405</v>
      </c>
      <c r="D305" s="1" t="s">
        <v>4404</v>
      </c>
      <c r="E305" s="1" t="s">
        <v>4405</v>
      </c>
      <c r="F305" s="1" t="s">
        <v>4404</v>
      </c>
      <c r="G305" s="1" t="s">
        <v>4406</v>
      </c>
      <c r="H305" s="1" t="s">
        <v>4404</v>
      </c>
      <c r="I305" s="1" t="s">
        <v>9835</v>
      </c>
      <c r="J305" s="1" t="s">
        <v>15158</v>
      </c>
      <c r="K305" s="1">
        <v>12</v>
      </c>
      <c r="L305" s="1" t="s">
        <v>4264</v>
      </c>
      <c r="M305" s="1">
        <v>15</v>
      </c>
      <c r="N305" s="1" t="s">
        <v>4365</v>
      </c>
    </row>
    <row r="306" spans="1:14" x14ac:dyDescent="0.15">
      <c r="A306" s="1">
        <v>36</v>
      </c>
      <c r="B306" s="1" t="s">
        <v>4404</v>
      </c>
      <c r="C306" s="1" t="s">
        <v>4405</v>
      </c>
      <c r="D306" s="1" t="s">
        <v>4404</v>
      </c>
      <c r="E306" s="1" t="s">
        <v>4405</v>
      </c>
      <c r="F306" s="1" t="s">
        <v>4404</v>
      </c>
      <c r="G306" s="1" t="s">
        <v>4406</v>
      </c>
      <c r="H306" s="1" t="s">
        <v>4404</v>
      </c>
      <c r="I306" s="1" t="s">
        <v>9838</v>
      </c>
      <c r="J306" s="1" t="s">
        <v>15895</v>
      </c>
      <c r="K306" s="1">
        <v>12</v>
      </c>
      <c r="L306" s="1" t="s">
        <v>4264</v>
      </c>
      <c r="M306" s="1">
        <v>15</v>
      </c>
      <c r="N306" s="1" t="s">
        <v>4365</v>
      </c>
    </row>
    <row r="307" spans="1:14" x14ac:dyDescent="0.15">
      <c r="A307" s="1">
        <v>36</v>
      </c>
      <c r="B307" s="1" t="s">
        <v>4404</v>
      </c>
      <c r="C307" s="1" t="s">
        <v>4405</v>
      </c>
      <c r="D307" s="1" t="s">
        <v>4404</v>
      </c>
      <c r="E307" s="1" t="s">
        <v>4405</v>
      </c>
      <c r="F307" s="1" t="s">
        <v>4404</v>
      </c>
      <c r="G307" s="1" t="s">
        <v>4406</v>
      </c>
      <c r="H307" s="1" t="s">
        <v>4404</v>
      </c>
      <c r="I307" s="1" t="s">
        <v>9415</v>
      </c>
      <c r="J307" s="1" t="s">
        <v>6046</v>
      </c>
      <c r="K307" s="1">
        <v>12</v>
      </c>
      <c r="L307" s="1" t="s">
        <v>4264</v>
      </c>
      <c r="M307" s="1">
        <v>15</v>
      </c>
      <c r="N307" s="1" t="s">
        <v>4365</v>
      </c>
    </row>
    <row r="308" spans="1:14" x14ac:dyDescent="0.15">
      <c r="A308" s="1">
        <v>36</v>
      </c>
      <c r="B308" s="1" t="s">
        <v>4404</v>
      </c>
      <c r="C308" s="1" t="s">
        <v>4405</v>
      </c>
      <c r="D308" s="1" t="s">
        <v>4404</v>
      </c>
      <c r="E308" s="1" t="s">
        <v>4405</v>
      </c>
      <c r="F308" s="1" t="s">
        <v>4404</v>
      </c>
      <c r="G308" s="1" t="s">
        <v>4406</v>
      </c>
      <c r="H308" s="1" t="s">
        <v>4404</v>
      </c>
      <c r="I308" s="1" t="s">
        <v>12616</v>
      </c>
      <c r="J308" s="1" t="s">
        <v>15879</v>
      </c>
      <c r="K308" s="1">
        <v>12</v>
      </c>
      <c r="L308" s="1" t="s">
        <v>4264</v>
      </c>
      <c r="M308" s="1">
        <v>15</v>
      </c>
      <c r="N308" s="1" t="s">
        <v>4365</v>
      </c>
    </row>
    <row r="309" spans="1:14" x14ac:dyDescent="0.15">
      <c r="A309" s="1">
        <v>36</v>
      </c>
      <c r="B309" s="1" t="s">
        <v>4404</v>
      </c>
      <c r="C309" s="1" t="s">
        <v>4405</v>
      </c>
      <c r="D309" s="1" t="s">
        <v>4404</v>
      </c>
      <c r="E309" s="1" t="s">
        <v>4405</v>
      </c>
      <c r="F309" s="1" t="s">
        <v>4404</v>
      </c>
      <c r="G309" s="1" t="s">
        <v>4406</v>
      </c>
      <c r="H309" s="1" t="s">
        <v>4404</v>
      </c>
      <c r="I309" s="1" t="s">
        <v>12587</v>
      </c>
      <c r="J309" s="1" t="s">
        <v>4411</v>
      </c>
      <c r="K309" s="1">
        <v>12</v>
      </c>
      <c r="L309" s="1" t="s">
        <v>4264</v>
      </c>
      <c r="M309" s="1">
        <v>15</v>
      </c>
      <c r="N309" s="1" t="s">
        <v>4365</v>
      </c>
    </row>
    <row r="310" spans="1:14" x14ac:dyDescent="0.15">
      <c r="A310" s="1">
        <v>36</v>
      </c>
      <c r="B310" s="1" t="s">
        <v>4404</v>
      </c>
      <c r="C310" s="1" t="s">
        <v>4405</v>
      </c>
      <c r="D310" s="1" t="s">
        <v>4404</v>
      </c>
      <c r="E310" s="1" t="s">
        <v>4405</v>
      </c>
      <c r="F310" s="1" t="s">
        <v>4404</v>
      </c>
      <c r="G310" s="1" t="s">
        <v>4406</v>
      </c>
      <c r="H310" s="1" t="s">
        <v>4404</v>
      </c>
      <c r="I310" s="1" t="s">
        <v>9562</v>
      </c>
      <c r="J310" s="1" t="s">
        <v>15150</v>
      </c>
      <c r="K310" s="1">
        <v>12</v>
      </c>
      <c r="L310" s="1" t="s">
        <v>4264</v>
      </c>
      <c r="M310" s="1">
        <v>15</v>
      </c>
      <c r="N310" s="1" t="s">
        <v>4365</v>
      </c>
    </row>
    <row r="311" spans="1:14" x14ac:dyDescent="0.15">
      <c r="A311" s="1">
        <v>36</v>
      </c>
      <c r="B311" s="1" t="s">
        <v>4404</v>
      </c>
      <c r="C311" s="1" t="s">
        <v>4405</v>
      </c>
      <c r="D311" s="1" t="s">
        <v>4404</v>
      </c>
      <c r="E311" s="1" t="s">
        <v>4405</v>
      </c>
      <c r="F311" s="1" t="s">
        <v>4404</v>
      </c>
      <c r="G311" s="1" t="s">
        <v>4406</v>
      </c>
      <c r="H311" s="1" t="s">
        <v>4404</v>
      </c>
      <c r="I311" s="1" t="s">
        <v>9576</v>
      </c>
      <c r="J311" s="1" t="s">
        <v>4412</v>
      </c>
      <c r="K311" s="1">
        <v>12</v>
      </c>
      <c r="L311" s="1" t="s">
        <v>4264</v>
      </c>
      <c r="M311" s="1">
        <v>15</v>
      </c>
      <c r="N311" s="1" t="s">
        <v>4365</v>
      </c>
    </row>
    <row r="312" spans="1:14" x14ac:dyDescent="0.15">
      <c r="A312" s="1">
        <v>36</v>
      </c>
      <c r="B312" s="1" t="s">
        <v>4404</v>
      </c>
      <c r="C312" s="1" t="s">
        <v>4405</v>
      </c>
      <c r="D312" s="1" t="s">
        <v>4404</v>
      </c>
      <c r="E312" s="1" t="s">
        <v>4405</v>
      </c>
      <c r="F312" s="1" t="s">
        <v>4404</v>
      </c>
      <c r="G312" s="1" t="s">
        <v>4406</v>
      </c>
      <c r="H312" s="1" t="s">
        <v>4404</v>
      </c>
      <c r="I312" s="1" t="s">
        <v>15169</v>
      </c>
      <c r="J312" s="1" t="s">
        <v>6047</v>
      </c>
      <c r="K312" s="1">
        <v>12</v>
      </c>
      <c r="L312" s="1" t="s">
        <v>4264</v>
      </c>
      <c r="M312" s="1">
        <v>15</v>
      </c>
      <c r="N312" s="1" t="s">
        <v>4365</v>
      </c>
    </row>
    <row r="313" spans="1:14" x14ac:dyDescent="0.15">
      <c r="A313" s="1">
        <v>36</v>
      </c>
      <c r="B313" s="1" t="s">
        <v>4404</v>
      </c>
      <c r="C313" s="1" t="s">
        <v>4405</v>
      </c>
      <c r="D313" s="1" t="s">
        <v>4404</v>
      </c>
      <c r="E313" s="1" t="s">
        <v>4405</v>
      </c>
      <c r="F313" s="1" t="s">
        <v>4404</v>
      </c>
      <c r="G313" s="1" t="s">
        <v>4406</v>
      </c>
      <c r="H313" s="1" t="s">
        <v>4404</v>
      </c>
      <c r="I313" s="1" t="s">
        <v>15173</v>
      </c>
      <c r="J313" s="1" t="s">
        <v>15174</v>
      </c>
      <c r="K313" s="1">
        <v>12</v>
      </c>
      <c r="L313" s="1" t="s">
        <v>4264</v>
      </c>
      <c r="M313" s="1">
        <v>15</v>
      </c>
      <c r="N313" s="1" t="s">
        <v>4365</v>
      </c>
    </row>
    <row r="314" spans="1:14" x14ac:dyDescent="0.15">
      <c r="A314" s="1">
        <v>36</v>
      </c>
      <c r="B314" s="1" t="s">
        <v>4404</v>
      </c>
      <c r="C314" s="1" t="s">
        <v>4405</v>
      </c>
      <c r="D314" s="1" t="s">
        <v>4404</v>
      </c>
      <c r="E314" s="1" t="s">
        <v>4405</v>
      </c>
      <c r="F314" s="1" t="s">
        <v>4404</v>
      </c>
      <c r="G314" s="1" t="s">
        <v>4406</v>
      </c>
      <c r="H314" s="1" t="s">
        <v>4404</v>
      </c>
      <c r="I314" s="1" t="s">
        <v>11746</v>
      </c>
      <c r="J314" s="1" t="s">
        <v>6596</v>
      </c>
      <c r="K314" s="1">
        <v>12</v>
      </c>
      <c r="L314" s="1" t="s">
        <v>4264</v>
      </c>
      <c r="M314" s="1">
        <v>15</v>
      </c>
      <c r="N314" s="1" t="s">
        <v>4365</v>
      </c>
    </row>
    <row r="315" spans="1:14" x14ac:dyDescent="0.15">
      <c r="A315" s="1">
        <v>36</v>
      </c>
      <c r="B315" s="1" t="s">
        <v>4404</v>
      </c>
      <c r="C315" s="1" t="s">
        <v>4405</v>
      </c>
      <c r="D315" s="1" t="s">
        <v>4404</v>
      </c>
      <c r="E315" s="1" t="s">
        <v>4405</v>
      </c>
      <c r="F315" s="1" t="s">
        <v>4404</v>
      </c>
      <c r="G315" s="1" t="s">
        <v>4406</v>
      </c>
      <c r="H315" s="1" t="s">
        <v>4404</v>
      </c>
      <c r="I315" s="1" t="s">
        <v>15189</v>
      </c>
      <c r="J315" s="1" t="s">
        <v>6056</v>
      </c>
      <c r="K315" s="1">
        <v>12</v>
      </c>
      <c r="L315" s="1" t="s">
        <v>4264</v>
      </c>
      <c r="M315" s="1">
        <v>15</v>
      </c>
      <c r="N315" s="1" t="s">
        <v>4365</v>
      </c>
    </row>
    <row r="316" spans="1:14" x14ac:dyDescent="0.15">
      <c r="A316" s="1">
        <v>36</v>
      </c>
      <c r="B316" s="1" t="s">
        <v>4404</v>
      </c>
      <c r="C316" s="1" t="s">
        <v>4405</v>
      </c>
      <c r="D316" s="1" t="s">
        <v>4404</v>
      </c>
      <c r="E316" s="1" t="s">
        <v>4405</v>
      </c>
      <c r="F316" s="1" t="s">
        <v>4404</v>
      </c>
      <c r="G316" s="1" t="s">
        <v>4406</v>
      </c>
      <c r="H316" s="1" t="s">
        <v>4404</v>
      </c>
      <c r="I316" s="1" t="s">
        <v>11725</v>
      </c>
      <c r="J316" s="1" t="s">
        <v>4413</v>
      </c>
      <c r="K316" s="1">
        <v>12</v>
      </c>
      <c r="L316" s="1" t="s">
        <v>4264</v>
      </c>
      <c r="M316" s="1">
        <v>15</v>
      </c>
      <c r="N316" s="1" t="s">
        <v>4365</v>
      </c>
    </row>
    <row r="317" spans="1:14" x14ac:dyDescent="0.15">
      <c r="A317" s="1">
        <v>36</v>
      </c>
      <c r="B317" s="1" t="s">
        <v>4404</v>
      </c>
      <c r="C317" s="1" t="s">
        <v>4405</v>
      </c>
      <c r="D317" s="1" t="s">
        <v>4404</v>
      </c>
      <c r="E317" s="1" t="s">
        <v>4405</v>
      </c>
      <c r="F317" s="1" t="s">
        <v>4404</v>
      </c>
      <c r="G317" s="1" t="s">
        <v>4406</v>
      </c>
      <c r="H317" s="1" t="s">
        <v>4404</v>
      </c>
      <c r="I317" s="1" t="s">
        <v>11236</v>
      </c>
      <c r="J317" s="1" t="s">
        <v>4414</v>
      </c>
      <c r="K317" s="1">
        <v>12</v>
      </c>
      <c r="L317" s="1" t="s">
        <v>4264</v>
      </c>
      <c r="M317" s="1">
        <v>15</v>
      </c>
      <c r="N317" s="1" t="s">
        <v>4365</v>
      </c>
    </row>
    <row r="318" spans="1:14" x14ac:dyDescent="0.15">
      <c r="A318" s="1">
        <v>36</v>
      </c>
      <c r="B318" s="1" t="s">
        <v>4404</v>
      </c>
      <c r="C318" s="1" t="s">
        <v>4405</v>
      </c>
      <c r="D318" s="1" t="s">
        <v>4404</v>
      </c>
      <c r="E318" s="1" t="s">
        <v>4405</v>
      </c>
      <c r="F318" s="1" t="s">
        <v>4404</v>
      </c>
      <c r="G318" s="1" t="s">
        <v>4406</v>
      </c>
      <c r="H318" s="1" t="s">
        <v>4404</v>
      </c>
      <c r="I318" s="1" t="s">
        <v>9514</v>
      </c>
      <c r="J318" s="1" t="s">
        <v>4415</v>
      </c>
      <c r="K318" s="1">
        <v>12</v>
      </c>
      <c r="L318" s="1" t="s">
        <v>4264</v>
      </c>
      <c r="M318" s="1">
        <v>15</v>
      </c>
      <c r="N318" s="1" t="s">
        <v>4365</v>
      </c>
    </row>
    <row r="319" spans="1:14" x14ac:dyDescent="0.15">
      <c r="A319" s="1">
        <v>36</v>
      </c>
      <c r="B319" s="1" t="s">
        <v>4404</v>
      </c>
      <c r="C319" s="1" t="s">
        <v>4405</v>
      </c>
      <c r="D319" s="1" t="s">
        <v>4404</v>
      </c>
      <c r="E319" s="1" t="s">
        <v>4405</v>
      </c>
      <c r="F319" s="1" t="s">
        <v>4404</v>
      </c>
      <c r="G319" s="1" t="s">
        <v>4406</v>
      </c>
      <c r="H319" s="1" t="s">
        <v>4404</v>
      </c>
      <c r="I319" s="1" t="s">
        <v>9523</v>
      </c>
      <c r="J319" s="1" t="s">
        <v>6051</v>
      </c>
      <c r="K319" s="1">
        <v>12</v>
      </c>
      <c r="L319" s="1" t="s">
        <v>4264</v>
      </c>
      <c r="M319" s="1">
        <v>15</v>
      </c>
      <c r="N319" s="1" t="s">
        <v>4365</v>
      </c>
    </row>
    <row r="320" spans="1:14" x14ac:dyDescent="0.15">
      <c r="A320" s="1">
        <v>36</v>
      </c>
      <c r="B320" s="1" t="s">
        <v>4404</v>
      </c>
      <c r="C320" s="1" t="s">
        <v>4405</v>
      </c>
      <c r="D320" s="1" t="s">
        <v>4404</v>
      </c>
      <c r="E320" s="1" t="s">
        <v>4405</v>
      </c>
      <c r="F320" s="1" t="s">
        <v>4404</v>
      </c>
      <c r="G320" s="1" t="s">
        <v>4406</v>
      </c>
      <c r="H320" s="1" t="s">
        <v>4404</v>
      </c>
      <c r="I320" s="1" t="s">
        <v>9532</v>
      </c>
      <c r="J320" s="1" t="s">
        <v>15903</v>
      </c>
      <c r="K320" s="1">
        <v>12</v>
      </c>
      <c r="L320" s="1" t="s">
        <v>4264</v>
      </c>
      <c r="M320" s="1">
        <v>15</v>
      </c>
      <c r="N320" s="1" t="s">
        <v>4365</v>
      </c>
    </row>
    <row r="321" spans="1:14" x14ac:dyDescent="0.15">
      <c r="A321" s="1">
        <v>36</v>
      </c>
      <c r="B321" s="1" t="s">
        <v>4404</v>
      </c>
      <c r="C321" s="1" t="s">
        <v>4405</v>
      </c>
      <c r="D321" s="1" t="s">
        <v>4404</v>
      </c>
      <c r="E321" s="1" t="s">
        <v>4405</v>
      </c>
      <c r="F321" s="1" t="s">
        <v>4404</v>
      </c>
      <c r="G321" s="1" t="s">
        <v>4406</v>
      </c>
      <c r="H321" s="1" t="s">
        <v>4404</v>
      </c>
      <c r="I321" s="1" t="s">
        <v>11717</v>
      </c>
      <c r="J321" s="1" t="s">
        <v>5085</v>
      </c>
      <c r="K321" s="1">
        <v>12</v>
      </c>
      <c r="L321" s="1" t="s">
        <v>4264</v>
      </c>
      <c r="M321" s="1">
        <v>15</v>
      </c>
      <c r="N321" s="1" t="s">
        <v>4365</v>
      </c>
    </row>
    <row r="322" spans="1:14" x14ac:dyDescent="0.15">
      <c r="A322" s="1">
        <v>36</v>
      </c>
      <c r="B322" s="1" t="s">
        <v>4404</v>
      </c>
      <c r="C322" s="1" t="s">
        <v>4405</v>
      </c>
      <c r="D322" s="1" t="s">
        <v>4404</v>
      </c>
      <c r="E322" s="1" t="s">
        <v>4405</v>
      </c>
      <c r="F322" s="1" t="s">
        <v>4404</v>
      </c>
      <c r="G322" s="1" t="s">
        <v>4406</v>
      </c>
      <c r="H322" s="1" t="s">
        <v>4404</v>
      </c>
      <c r="I322" s="1" t="s">
        <v>9549</v>
      </c>
      <c r="J322" s="1" t="s">
        <v>15915</v>
      </c>
      <c r="K322" s="1">
        <v>12</v>
      </c>
      <c r="L322" s="1" t="s">
        <v>4264</v>
      </c>
      <c r="M322" s="1">
        <v>15</v>
      </c>
      <c r="N322" s="1" t="s">
        <v>4365</v>
      </c>
    </row>
    <row r="323" spans="1:14" x14ac:dyDescent="0.15">
      <c r="A323" s="1">
        <v>36</v>
      </c>
      <c r="B323" s="1" t="s">
        <v>4404</v>
      </c>
      <c r="C323" s="1" t="s">
        <v>4405</v>
      </c>
      <c r="D323" s="1" t="s">
        <v>4404</v>
      </c>
      <c r="E323" s="1" t="s">
        <v>4405</v>
      </c>
      <c r="F323" s="1" t="s">
        <v>4404</v>
      </c>
      <c r="G323" s="1" t="s">
        <v>4406</v>
      </c>
      <c r="H323" s="1" t="s">
        <v>4404</v>
      </c>
      <c r="I323" s="1" t="s">
        <v>11727</v>
      </c>
      <c r="J323" s="1" t="s">
        <v>6045</v>
      </c>
      <c r="K323" s="1">
        <v>12</v>
      </c>
      <c r="L323" s="1" t="s">
        <v>4264</v>
      </c>
      <c r="M323" s="1">
        <v>15</v>
      </c>
      <c r="N323" s="1" t="s">
        <v>4365</v>
      </c>
    </row>
    <row r="324" spans="1:14" x14ac:dyDescent="0.15">
      <c r="A324" s="1">
        <v>36</v>
      </c>
      <c r="B324" s="1" t="s">
        <v>4404</v>
      </c>
      <c r="C324" s="1" t="s">
        <v>4405</v>
      </c>
      <c r="D324" s="1" t="s">
        <v>4404</v>
      </c>
      <c r="E324" s="1" t="s">
        <v>4405</v>
      </c>
      <c r="F324" s="1" t="s">
        <v>4404</v>
      </c>
      <c r="G324" s="1" t="s">
        <v>4406</v>
      </c>
      <c r="H324" s="1" t="s">
        <v>4404</v>
      </c>
      <c r="I324" s="1" t="s">
        <v>15197</v>
      </c>
      <c r="J324" s="1" t="s">
        <v>4416</v>
      </c>
      <c r="K324" s="1">
        <v>12</v>
      </c>
      <c r="L324" s="1" t="s">
        <v>4264</v>
      </c>
      <c r="M324" s="1">
        <v>15</v>
      </c>
      <c r="N324" s="1" t="s">
        <v>4365</v>
      </c>
    </row>
    <row r="325" spans="1:14" x14ac:dyDescent="0.15">
      <c r="A325" s="1">
        <v>36</v>
      </c>
      <c r="B325" s="1" t="s">
        <v>4404</v>
      </c>
      <c r="C325" s="1" t="s">
        <v>4405</v>
      </c>
      <c r="D325" s="1" t="s">
        <v>4404</v>
      </c>
      <c r="E325" s="1" t="s">
        <v>4405</v>
      </c>
      <c r="F325" s="1" t="s">
        <v>4404</v>
      </c>
      <c r="G325" s="1" t="s">
        <v>4406</v>
      </c>
      <c r="H325" s="1" t="s">
        <v>4404</v>
      </c>
      <c r="I325" s="1" t="s">
        <v>15207</v>
      </c>
      <c r="J325" s="1" t="s">
        <v>12443</v>
      </c>
      <c r="K325" s="1">
        <v>12</v>
      </c>
      <c r="L325" s="1" t="s">
        <v>4264</v>
      </c>
      <c r="M325" s="1">
        <v>15</v>
      </c>
      <c r="N325" s="1" t="s">
        <v>4365</v>
      </c>
    </row>
    <row r="326" spans="1:14" x14ac:dyDescent="0.15">
      <c r="A326" s="1">
        <v>36</v>
      </c>
      <c r="B326" s="1" t="s">
        <v>4404</v>
      </c>
      <c r="C326" s="1" t="s">
        <v>4405</v>
      </c>
      <c r="D326" s="1" t="s">
        <v>4404</v>
      </c>
      <c r="E326" s="1" t="s">
        <v>4405</v>
      </c>
      <c r="F326" s="1" t="s">
        <v>4404</v>
      </c>
      <c r="G326" s="1" t="s">
        <v>4406</v>
      </c>
      <c r="H326" s="1" t="s">
        <v>4404</v>
      </c>
      <c r="I326" s="1" t="s">
        <v>9150</v>
      </c>
      <c r="J326" s="1" t="s">
        <v>4417</v>
      </c>
      <c r="K326" s="1">
        <v>12</v>
      </c>
      <c r="L326" s="1" t="s">
        <v>4264</v>
      </c>
      <c r="M326" s="1">
        <v>15</v>
      </c>
      <c r="N326" s="1" t="s">
        <v>4365</v>
      </c>
    </row>
    <row r="327" spans="1:14" x14ac:dyDescent="0.15">
      <c r="A327" s="1">
        <v>36</v>
      </c>
      <c r="B327" s="1" t="s">
        <v>4404</v>
      </c>
      <c r="C327" s="1" t="s">
        <v>4405</v>
      </c>
      <c r="D327" s="1" t="s">
        <v>4404</v>
      </c>
      <c r="E327" s="1" t="s">
        <v>4405</v>
      </c>
      <c r="F327" s="1" t="s">
        <v>4404</v>
      </c>
      <c r="G327" s="1" t="s">
        <v>4406</v>
      </c>
      <c r="H327" s="1" t="s">
        <v>4404</v>
      </c>
      <c r="I327" s="1" t="s">
        <v>9153</v>
      </c>
      <c r="J327" s="1" t="s">
        <v>4418</v>
      </c>
      <c r="K327" s="1">
        <v>12</v>
      </c>
      <c r="L327" s="1" t="s">
        <v>4264</v>
      </c>
      <c r="M327" s="1">
        <v>15</v>
      </c>
      <c r="N327" s="1" t="s">
        <v>4365</v>
      </c>
    </row>
    <row r="328" spans="1:14" x14ac:dyDescent="0.15">
      <c r="A328" s="1">
        <v>36</v>
      </c>
      <c r="B328" s="1" t="s">
        <v>4404</v>
      </c>
      <c r="C328" s="1" t="s">
        <v>4405</v>
      </c>
      <c r="D328" s="1" t="s">
        <v>4404</v>
      </c>
      <c r="E328" s="1" t="s">
        <v>4405</v>
      </c>
      <c r="F328" s="1" t="s">
        <v>4404</v>
      </c>
      <c r="G328" s="1" t="s">
        <v>4406</v>
      </c>
      <c r="H328" s="1" t="s">
        <v>4404</v>
      </c>
      <c r="I328" s="1" t="s">
        <v>9156</v>
      </c>
      <c r="J328" s="1" t="s">
        <v>4419</v>
      </c>
      <c r="K328" s="1">
        <v>12</v>
      </c>
      <c r="L328" s="1" t="s">
        <v>4264</v>
      </c>
      <c r="M328" s="1">
        <v>15</v>
      </c>
      <c r="N328" s="1" t="s">
        <v>4365</v>
      </c>
    </row>
    <row r="329" spans="1:14" x14ac:dyDescent="0.15">
      <c r="A329" s="1">
        <v>36</v>
      </c>
      <c r="B329" s="1" t="s">
        <v>4404</v>
      </c>
      <c r="C329" s="1" t="s">
        <v>4405</v>
      </c>
      <c r="D329" s="1" t="s">
        <v>4404</v>
      </c>
      <c r="E329" s="1" t="s">
        <v>4405</v>
      </c>
      <c r="F329" s="1" t="s">
        <v>4404</v>
      </c>
      <c r="G329" s="1" t="s">
        <v>4406</v>
      </c>
      <c r="H329" s="1" t="s">
        <v>4404</v>
      </c>
      <c r="I329" s="1" t="s">
        <v>9159</v>
      </c>
      <c r="J329" s="1" t="s">
        <v>4420</v>
      </c>
      <c r="K329" s="1">
        <v>12</v>
      </c>
      <c r="L329" s="1" t="s">
        <v>4264</v>
      </c>
      <c r="M329" s="1">
        <v>15</v>
      </c>
      <c r="N329" s="1" t="s">
        <v>4365</v>
      </c>
    </row>
    <row r="330" spans="1:14" x14ac:dyDescent="0.15">
      <c r="A330" s="1">
        <v>36</v>
      </c>
      <c r="B330" s="1" t="s">
        <v>4404</v>
      </c>
      <c r="C330" s="1" t="s">
        <v>4405</v>
      </c>
      <c r="D330" s="1" t="s">
        <v>4404</v>
      </c>
      <c r="E330" s="1" t="s">
        <v>4405</v>
      </c>
      <c r="F330" s="1" t="s">
        <v>4404</v>
      </c>
      <c r="G330" s="1" t="s">
        <v>4406</v>
      </c>
      <c r="H330" s="1" t="s">
        <v>4404</v>
      </c>
      <c r="I330" s="1" t="s">
        <v>15214</v>
      </c>
      <c r="J330" s="1" t="s">
        <v>15211</v>
      </c>
      <c r="K330" s="1">
        <v>12</v>
      </c>
      <c r="L330" s="1" t="s">
        <v>4264</v>
      </c>
      <c r="M330" s="1">
        <v>15</v>
      </c>
      <c r="N330" s="1" t="s">
        <v>4365</v>
      </c>
    </row>
    <row r="331" spans="1:14" x14ac:dyDescent="0.15">
      <c r="A331" s="1">
        <v>36</v>
      </c>
      <c r="B331" s="1" t="s">
        <v>4404</v>
      </c>
      <c r="C331" s="1" t="s">
        <v>4405</v>
      </c>
      <c r="D331" s="1" t="s">
        <v>4404</v>
      </c>
      <c r="E331" s="1" t="s">
        <v>4405</v>
      </c>
      <c r="F331" s="1" t="s">
        <v>4404</v>
      </c>
      <c r="G331" s="1" t="s">
        <v>4406</v>
      </c>
      <c r="H331" s="1" t="s">
        <v>4404</v>
      </c>
      <c r="I331" s="1" t="s">
        <v>11219</v>
      </c>
      <c r="J331" s="1" t="s">
        <v>4421</v>
      </c>
      <c r="K331" s="1">
        <v>12</v>
      </c>
      <c r="L331" s="1" t="s">
        <v>4264</v>
      </c>
      <c r="M331" s="1">
        <v>15</v>
      </c>
      <c r="N331" s="1" t="s">
        <v>4365</v>
      </c>
    </row>
    <row r="332" spans="1:14" x14ac:dyDescent="0.15">
      <c r="A332" s="1">
        <v>36</v>
      </c>
      <c r="B332" s="1" t="s">
        <v>4404</v>
      </c>
      <c r="C332" s="1" t="s">
        <v>4405</v>
      </c>
      <c r="D332" s="1" t="s">
        <v>4404</v>
      </c>
      <c r="E332" s="1" t="s">
        <v>4405</v>
      </c>
      <c r="F332" s="1" t="s">
        <v>4404</v>
      </c>
      <c r="G332" s="1" t="s">
        <v>4406</v>
      </c>
      <c r="H332" s="1" t="s">
        <v>4404</v>
      </c>
      <c r="I332" s="1" t="s">
        <v>15222</v>
      </c>
      <c r="J332" s="1" t="s">
        <v>15223</v>
      </c>
      <c r="K332" s="1">
        <v>12</v>
      </c>
      <c r="L332" s="1" t="s">
        <v>4264</v>
      </c>
      <c r="M332" s="1">
        <v>15</v>
      </c>
      <c r="N332" s="1" t="s">
        <v>4365</v>
      </c>
    </row>
    <row r="333" spans="1:14" x14ac:dyDescent="0.15">
      <c r="A333" s="1">
        <v>36</v>
      </c>
      <c r="B333" s="1" t="s">
        <v>4404</v>
      </c>
      <c r="C333" s="1" t="s">
        <v>4405</v>
      </c>
      <c r="D333" s="1" t="s">
        <v>4404</v>
      </c>
      <c r="E333" s="1" t="s">
        <v>4405</v>
      </c>
      <c r="F333" s="1" t="s">
        <v>4404</v>
      </c>
      <c r="G333" s="1" t="s">
        <v>4406</v>
      </c>
      <c r="H333" s="1" t="s">
        <v>4404</v>
      </c>
      <c r="I333" s="1" t="s">
        <v>15230</v>
      </c>
      <c r="J333" s="1" t="s">
        <v>6102</v>
      </c>
      <c r="K333" s="1">
        <v>12</v>
      </c>
      <c r="L333" s="1" t="s">
        <v>4264</v>
      </c>
      <c r="M333" s="1">
        <v>15</v>
      </c>
      <c r="N333" s="1" t="s">
        <v>4365</v>
      </c>
    </row>
    <row r="334" spans="1:14" x14ac:dyDescent="0.15">
      <c r="A334" s="1">
        <v>36</v>
      </c>
      <c r="B334" s="1" t="s">
        <v>4404</v>
      </c>
      <c r="C334" s="1" t="s">
        <v>4405</v>
      </c>
      <c r="D334" s="1" t="s">
        <v>4404</v>
      </c>
      <c r="E334" s="1" t="s">
        <v>4405</v>
      </c>
      <c r="F334" s="1" t="s">
        <v>4404</v>
      </c>
      <c r="G334" s="1" t="s">
        <v>4406</v>
      </c>
      <c r="H334" s="1" t="s">
        <v>4404</v>
      </c>
      <c r="I334" s="1" t="s">
        <v>15237</v>
      </c>
      <c r="J334" s="1" t="s">
        <v>4422</v>
      </c>
      <c r="K334" s="1">
        <v>12</v>
      </c>
      <c r="L334" s="1" t="s">
        <v>4264</v>
      </c>
      <c r="M334" s="1">
        <v>15</v>
      </c>
      <c r="N334" s="1" t="s">
        <v>4365</v>
      </c>
    </row>
    <row r="335" spans="1:14" x14ac:dyDescent="0.15">
      <c r="A335" s="1">
        <v>36</v>
      </c>
      <c r="B335" s="1" t="s">
        <v>4404</v>
      </c>
      <c r="C335" s="1" t="s">
        <v>4405</v>
      </c>
      <c r="D335" s="1" t="s">
        <v>4404</v>
      </c>
      <c r="E335" s="1" t="s">
        <v>4405</v>
      </c>
      <c r="F335" s="1" t="s">
        <v>4404</v>
      </c>
      <c r="G335" s="1" t="s">
        <v>4406</v>
      </c>
      <c r="H335" s="1" t="s">
        <v>4404</v>
      </c>
      <c r="I335" s="1" t="s">
        <v>17244</v>
      </c>
      <c r="J335" s="1" t="s">
        <v>17241</v>
      </c>
      <c r="K335" s="1">
        <v>12</v>
      </c>
      <c r="L335" s="1" t="s">
        <v>4264</v>
      </c>
      <c r="M335" s="1">
        <v>15</v>
      </c>
      <c r="N335" s="1" t="s">
        <v>4365</v>
      </c>
    </row>
    <row r="336" spans="1:14" x14ac:dyDescent="0.15">
      <c r="A336" s="1">
        <v>36</v>
      </c>
      <c r="B336" s="1" t="s">
        <v>4404</v>
      </c>
      <c r="C336" s="1" t="s">
        <v>4405</v>
      </c>
      <c r="D336" s="1" t="s">
        <v>4404</v>
      </c>
      <c r="E336" s="1" t="s">
        <v>4405</v>
      </c>
      <c r="F336" s="1" t="s">
        <v>4404</v>
      </c>
      <c r="G336" s="1" t="s">
        <v>4406</v>
      </c>
      <c r="H336" s="1" t="s">
        <v>4404</v>
      </c>
      <c r="I336" s="1" t="s">
        <v>17265</v>
      </c>
      <c r="J336" s="1" t="s">
        <v>17262</v>
      </c>
      <c r="K336" s="1">
        <v>12</v>
      </c>
      <c r="L336" s="1" t="s">
        <v>4264</v>
      </c>
      <c r="M336" s="1">
        <v>15</v>
      </c>
      <c r="N336" s="1" t="s">
        <v>4365</v>
      </c>
    </row>
    <row r="337" spans="1:14" x14ac:dyDescent="0.15">
      <c r="A337" s="1">
        <v>36</v>
      </c>
      <c r="B337" s="1" t="s">
        <v>4404</v>
      </c>
      <c r="C337" s="1" t="s">
        <v>4405</v>
      </c>
      <c r="D337" s="1" t="s">
        <v>4404</v>
      </c>
      <c r="E337" s="1" t="s">
        <v>4405</v>
      </c>
      <c r="F337" s="1" t="s">
        <v>4404</v>
      </c>
      <c r="G337" s="1" t="s">
        <v>4406</v>
      </c>
      <c r="H337" s="1" t="s">
        <v>4404</v>
      </c>
      <c r="I337" s="1" t="s">
        <v>17272</v>
      </c>
      <c r="J337" s="1" t="s">
        <v>17269</v>
      </c>
      <c r="K337" s="1">
        <v>12</v>
      </c>
      <c r="L337" s="1" t="s">
        <v>4264</v>
      </c>
      <c r="M337" s="1">
        <v>15</v>
      </c>
      <c r="N337" s="1" t="s">
        <v>4365</v>
      </c>
    </row>
    <row r="338" spans="1:14" x14ac:dyDescent="0.15">
      <c r="A338" s="1">
        <v>36</v>
      </c>
      <c r="B338" s="1" t="s">
        <v>4404</v>
      </c>
      <c r="C338" s="1" t="s">
        <v>4405</v>
      </c>
      <c r="D338" s="1" t="s">
        <v>4404</v>
      </c>
      <c r="E338" s="1" t="s">
        <v>4405</v>
      </c>
      <c r="F338" s="1" t="s">
        <v>4404</v>
      </c>
      <c r="G338" s="1" t="s">
        <v>4406</v>
      </c>
      <c r="H338" s="1" t="s">
        <v>4404</v>
      </c>
      <c r="I338" s="1" t="s">
        <v>15273</v>
      </c>
      <c r="J338" s="1" t="s">
        <v>15270</v>
      </c>
      <c r="K338" s="1">
        <v>12</v>
      </c>
      <c r="L338" s="1" t="s">
        <v>4264</v>
      </c>
      <c r="M338" s="1">
        <v>15</v>
      </c>
      <c r="N338" s="1" t="s">
        <v>4365</v>
      </c>
    </row>
    <row r="339" spans="1:14" x14ac:dyDescent="0.15">
      <c r="A339" s="1">
        <v>36</v>
      </c>
      <c r="B339" s="1" t="s">
        <v>4404</v>
      </c>
      <c r="C339" s="1" t="s">
        <v>4405</v>
      </c>
      <c r="D339" s="1" t="s">
        <v>4404</v>
      </c>
      <c r="E339" s="1" t="s">
        <v>4405</v>
      </c>
      <c r="F339" s="1" t="s">
        <v>4404</v>
      </c>
      <c r="G339" s="1" t="s">
        <v>4406</v>
      </c>
      <c r="H339" s="1" t="s">
        <v>4404</v>
      </c>
      <c r="I339" s="1" t="s">
        <v>9257</v>
      </c>
      <c r="J339" s="1" t="s">
        <v>4423</v>
      </c>
      <c r="K339" s="1">
        <v>12</v>
      </c>
      <c r="L339" s="1" t="s">
        <v>4264</v>
      </c>
      <c r="M339" s="1">
        <v>15</v>
      </c>
      <c r="N339" s="1" t="s">
        <v>4365</v>
      </c>
    </row>
    <row r="340" spans="1:14" x14ac:dyDescent="0.15">
      <c r="A340" s="1">
        <v>36</v>
      </c>
      <c r="B340" s="1" t="s">
        <v>4404</v>
      </c>
      <c r="C340" s="1" t="s">
        <v>4405</v>
      </c>
      <c r="D340" s="1" t="s">
        <v>4404</v>
      </c>
      <c r="E340" s="1" t="s">
        <v>4405</v>
      </c>
      <c r="F340" s="1" t="s">
        <v>4404</v>
      </c>
      <c r="G340" s="1" t="s">
        <v>4406</v>
      </c>
      <c r="H340" s="1" t="s">
        <v>4404</v>
      </c>
      <c r="I340" s="1" t="s">
        <v>11743</v>
      </c>
      <c r="J340" s="1" t="s">
        <v>6039</v>
      </c>
      <c r="K340" s="1">
        <v>12</v>
      </c>
      <c r="L340" s="1" t="s">
        <v>4264</v>
      </c>
      <c r="M340" s="1">
        <v>15</v>
      </c>
      <c r="N340" s="1" t="s">
        <v>4365</v>
      </c>
    </row>
    <row r="341" spans="1:14" x14ac:dyDescent="0.15">
      <c r="A341" s="1">
        <v>36</v>
      </c>
      <c r="B341" s="1" t="s">
        <v>4404</v>
      </c>
      <c r="C341" s="1" t="s">
        <v>4405</v>
      </c>
      <c r="D341" s="1" t="s">
        <v>4404</v>
      </c>
      <c r="E341" s="1" t="s">
        <v>4405</v>
      </c>
      <c r="F341" s="1" t="s">
        <v>4404</v>
      </c>
      <c r="G341" s="1" t="s">
        <v>4406</v>
      </c>
      <c r="H341" s="1" t="s">
        <v>4404</v>
      </c>
      <c r="I341" s="1" t="s">
        <v>9502</v>
      </c>
      <c r="J341" s="1" t="s">
        <v>15887</v>
      </c>
      <c r="K341" s="1">
        <v>12</v>
      </c>
      <c r="L341" s="1" t="s">
        <v>4264</v>
      </c>
      <c r="M341" s="1">
        <v>15</v>
      </c>
      <c r="N341" s="1" t="s">
        <v>4365</v>
      </c>
    </row>
    <row r="342" spans="1:14" x14ac:dyDescent="0.15">
      <c r="A342" s="1">
        <v>36</v>
      </c>
      <c r="B342" s="1" t="s">
        <v>4404</v>
      </c>
      <c r="C342" s="1" t="s">
        <v>4405</v>
      </c>
      <c r="D342" s="1" t="s">
        <v>4404</v>
      </c>
      <c r="E342" s="1" t="s">
        <v>4405</v>
      </c>
      <c r="F342" s="1" t="s">
        <v>4404</v>
      </c>
      <c r="G342" s="1" t="s">
        <v>4406</v>
      </c>
      <c r="H342" s="1" t="s">
        <v>4404</v>
      </c>
      <c r="I342" s="1" t="s">
        <v>9330</v>
      </c>
      <c r="J342" s="1" t="s">
        <v>4424</v>
      </c>
      <c r="K342" s="1">
        <v>12</v>
      </c>
      <c r="L342" s="1" t="s">
        <v>4264</v>
      </c>
      <c r="M342" s="1">
        <v>15</v>
      </c>
      <c r="N342" s="1" t="s">
        <v>4365</v>
      </c>
    </row>
    <row r="343" spans="1:14" x14ac:dyDescent="0.15">
      <c r="A343" s="1">
        <v>36</v>
      </c>
      <c r="B343" s="1" t="s">
        <v>4404</v>
      </c>
      <c r="C343" s="1" t="s">
        <v>4405</v>
      </c>
      <c r="D343" s="1" t="s">
        <v>4404</v>
      </c>
      <c r="E343" s="1" t="s">
        <v>4405</v>
      </c>
      <c r="F343" s="1" t="s">
        <v>4404</v>
      </c>
      <c r="G343" s="1" t="s">
        <v>4406</v>
      </c>
      <c r="H343" s="1" t="s">
        <v>4404</v>
      </c>
      <c r="I343" s="1" t="s">
        <v>14942</v>
      </c>
      <c r="J343" s="1" t="s">
        <v>14935</v>
      </c>
      <c r="K343" s="1">
        <v>12</v>
      </c>
      <c r="L343" s="1" t="s">
        <v>4264</v>
      </c>
      <c r="M343" s="1">
        <v>15</v>
      </c>
      <c r="N343" s="1" t="s">
        <v>4365</v>
      </c>
    </row>
    <row r="344" spans="1:14" x14ac:dyDescent="0.15">
      <c r="A344" s="1">
        <v>36</v>
      </c>
      <c r="B344" s="1" t="s">
        <v>4404</v>
      </c>
      <c r="C344" s="1" t="s">
        <v>4405</v>
      </c>
      <c r="D344" s="1" t="s">
        <v>4404</v>
      </c>
      <c r="E344" s="1" t="s">
        <v>4405</v>
      </c>
      <c r="F344" s="1" t="s">
        <v>4404</v>
      </c>
      <c r="G344" s="1" t="s">
        <v>4406</v>
      </c>
      <c r="H344" s="1" t="s">
        <v>4404</v>
      </c>
      <c r="I344" s="1" t="s">
        <v>14949</v>
      </c>
      <c r="J344" s="1" t="s">
        <v>14946</v>
      </c>
      <c r="K344" s="1">
        <v>12</v>
      </c>
      <c r="L344" s="1" t="s">
        <v>4264</v>
      </c>
      <c r="M344" s="1">
        <v>15</v>
      </c>
      <c r="N344" s="1" t="s">
        <v>4365</v>
      </c>
    </row>
    <row r="345" spans="1:14" x14ac:dyDescent="0.15">
      <c r="A345" s="1">
        <v>36</v>
      </c>
      <c r="B345" s="1" t="s">
        <v>4404</v>
      </c>
      <c r="C345" s="1" t="s">
        <v>4405</v>
      </c>
      <c r="D345" s="1" t="s">
        <v>4404</v>
      </c>
      <c r="E345" s="1" t="s">
        <v>4405</v>
      </c>
      <c r="F345" s="1" t="s">
        <v>4404</v>
      </c>
      <c r="G345" s="1" t="s">
        <v>4406</v>
      </c>
      <c r="H345" s="1" t="s">
        <v>4404</v>
      </c>
      <c r="I345" s="1" t="s">
        <v>8952</v>
      </c>
      <c r="J345" s="1" t="s">
        <v>4425</v>
      </c>
      <c r="K345" s="1">
        <v>12</v>
      </c>
      <c r="L345" s="1" t="s">
        <v>4264</v>
      </c>
      <c r="M345" s="1">
        <v>15</v>
      </c>
      <c r="N345" s="1" t="s">
        <v>4365</v>
      </c>
    </row>
    <row r="346" spans="1:14" x14ac:dyDescent="0.15">
      <c r="A346" s="1">
        <v>36</v>
      </c>
      <c r="B346" s="1" t="s">
        <v>4404</v>
      </c>
      <c r="C346" s="1" t="s">
        <v>4405</v>
      </c>
      <c r="D346" s="1" t="s">
        <v>4404</v>
      </c>
      <c r="E346" s="1" t="s">
        <v>4405</v>
      </c>
      <c r="F346" s="1" t="s">
        <v>4404</v>
      </c>
      <c r="G346" s="1" t="s">
        <v>4406</v>
      </c>
      <c r="H346" s="1" t="s">
        <v>4404</v>
      </c>
      <c r="I346" s="1" t="s">
        <v>8955</v>
      </c>
      <c r="J346" s="1" t="s">
        <v>4426</v>
      </c>
      <c r="K346" s="1">
        <v>12</v>
      </c>
      <c r="L346" s="1" t="s">
        <v>4264</v>
      </c>
      <c r="M346" s="1">
        <v>15</v>
      </c>
      <c r="N346" s="1" t="s">
        <v>4365</v>
      </c>
    </row>
    <row r="347" spans="1:14" x14ac:dyDescent="0.15">
      <c r="A347" s="1">
        <v>36</v>
      </c>
      <c r="B347" s="1" t="s">
        <v>4404</v>
      </c>
      <c r="C347" s="1" t="s">
        <v>4405</v>
      </c>
      <c r="D347" s="1" t="s">
        <v>4404</v>
      </c>
      <c r="E347" s="1" t="s">
        <v>4405</v>
      </c>
      <c r="F347" s="1" t="s">
        <v>4404</v>
      </c>
      <c r="G347" s="1" t="s">
        <v>4406</v>
      </c>
      <c r="H347" s="1" t="s">
        <v>4404</v>
      </c>
      <c r="I347" s="1" t="s">
        <v>14963</v>
      </c>
      <c r="J347" s="1" t="s">
        <v>4427</v>
      </c>
      <c r="K347" s="1">
        <v>12</v>
      </c>
      <c r="L347" s="1" t="s">
        <v>4264</v>
      </c>
      <c r="M347" s="1">
        <v>15</v>
      </c>
      <c r="N347" s="1" t="s">
        <v>4365</v>
      </c>
    </row>
    <row r="348" spans="1:14" x14ac:dyDescent="0.15">
      <c r="A348" s="1">
        <v>36</v>
      </c>
      <c r="B348" s="1" t="s">
        <v>4404</v>
      </c>
      <c r="C348" s="1" t="s">
        <v>4405</v>
      </c>
      <c r="D348" s="1" t="s">
        <v>4404</v>
      </c>
      <c r="E348" s="1" t="s">
        <v>4405</v>
      </c>
      <c r="F348" s="1" t="s">
        <v>4404</v>
      </c>
      <c r="G348" s="1" t="s">
        <v>4406</v>
      </c>
      <c r="H348" s="1" t="s">
        <v>4404</v>
      </c>
      <c r="I348" s="1" t="s">
        <v>8968</v>
      </c>
      <c r="J348" s="1" t="s">
        <v>4428</v>
      </c>
      <c r="K348" s="1">
        <v>12</v>
      </c>
      <c r="L348" s="1" t="s">
        <v>4264</v>
      </c>
      <c r="M348" s="1">
        <v>15</v>
      </c>
      <c r="N348" s="1" t="s">
        <v>4365</v>
      </c>
    </row>
    <row r="349" spans="1:14" x14ac:dyDescent="0.15">
      <c r="A349" s="1">
        <v>36</v>
      </c>
      <c r="B349" s="1" t="s">
        <v>4404</v>
      </c>
      <c r="C349" s="1" t="s">
        <v>4405</v>
      </c>
      <c r="D349" s="1" t="s">
        <v>4404</v>
      </c>
      <c r="E349" s="1" t="s">
        <v>4405</v>
      </c>
      <c r="F349" s="1" t="s">
        <v>4404</v>
      </c>
      <c r="G349" s="1" t="s">
        <v>4406</v>
      </c>
      <c r="H349" s="1" t="s">
        <v>4404</v>
      </c>
      <c r="I349" s="1" t="s">
        <v>8971</v>
      </c>
      <c r="J349" s="1" t="s">
        <v>4429</v>
      </c>
      <c r="K349" s="1">
        <v>12</v>
      </c>
      <c r="L349" s="1" t="s">
        <v>4264</v>
      </c>
      <c r="M349" s="1">
        <v>15</v>
      </c>
      <c r="N349" s="1" t="s">
        <v>4365</v>
      </c>
    </row>
    <row r="350" spans="1:14" x14ac:dyDescent="0.15">
      <c r="A350" s="1">
        <v>36</v>
      </c>
      <c r="B350" s="1" t="s">
        <v>4404</v>
      </c>
      <c r="C350" s="1" t="s">
        <v>4405</v>
      </c>
      <c r="D350" s="1" t="s">
        <v>4404</v>
      </c>
      <c r="E350" s="1" t="s">
        <v>4405</v>
      </c>
      <c r="F350" s="1" t="s">
        <v>4404</v>
      </c>
      <c r="G350" s="1" t="s">
        <v>4406</v>
      </c>
      <c r="H350" s="1" t="s">
        <v>4404</v>
      </c>
      <c r="I350" s="1" t="s">
        <v>8974</v>
      </c>
      <c r="J350" s="1" t="s">
        <v>4430</v>
      </c>
      <c r="K350" s="1">
        <v>12</v>
      </c>
      <c r="L350" s="1" t="s">
        <v>4264</v>
      </c>
      <c r="M350" s="1">
        <v>15</v>
      </c>
      <c r="N350" s="1" t="s">
        <v>4365</v>
      </c>
    </row>
    <row r="351" spans="1:14" x14ac:dyDescent="0.15">
      <c r="A351" s="1">
        <v>36</v>
      </c>
      <c r="B351" s="1" t="s">
        <v>4404</v>
      </c>
      <c r="C351" s="1" t="s">
        <v>4405</v>
      </c>
      <c r="D351" s="1" t="s">
        <v>4404</v>
      </c>
      <c r="E351" s="1" t="s">
        <v>4405</v>
      </c>
      <c r="F351" s="1" t="s">
        <v>4404</v>
      </c>
      <c r="G351" s="1" t="s">
        <v>4406</v>
      </c>
      <c r="H351" s="1" t="s">
        <v>4404</v>
      </c>
      <c r="I351" s="1" t="s">
        <v>8977</v>
      </c>
      <c r="J351" s="1" t="s">
        <v>4431</v>
      </c>
      <c r="K351" s="1">
        <v>12</v>
      </c>
      <c r="L351" s="1" t="s">
        <v>4264</v>
      </c>
      <c r="M351" s="1">
        <v>15</v>
      </c>
      <c r="N351" s="1" t="s">
        <v>4365</v>
      </c>
    </row>
    <row r="352" spans="1:14" x14ac:dyDescent="0.15">
      <c r="A352" s="1">
        <v>36</v>
      </c>
      <c r="B352" s="1" t="s">
        <v>4404</v>
      </c>
      <c r="C352" s="1" t="s">
        <v>4405</v>
      </c>
      <c r="D352" s="1" t="s">
        <v>4404</v>
      </c>
      <c r="E352" s="1" t="s">
        <v>4405</v>
      </c>
      <c r="F352" s="1" t="s">
        <v>4404</v>
      </c>
      <c r="G352" s="1" t="s">
        <v>4406</v>
      </c>
      <c r="H352" s="1" t="s">
        <v>4404</v>
      </c>
      <c r="I352" s="1" t="s">
        <v>14970</v>
      </c>
      <c r="J352" s="1" t="s">
        <v>14971</v>
      </c>
      <c r="K352" s="1">
        <v>12</v>
      </c>
      <c r="L352" s="1" t="s">
        <v>4264</v>
      </c>
      <c r="M352" s="1">
        <v>15</v>
      </c>
      <c r="N352" s="1" t="s">
        <v>4365</v>
      </c>
    </row>
    <row r="353" spans="1:14" x14ac:dyDescent="0.15">
      <c r="A353" s="1">
        <v>36</v>
      </c>
      <c r="B353" s="1" t="s">
        <v>4404</v>
      </c>
      <c r="C353" s="1" t="s">
        <v>4405</v>
      </c>
      <c r="D353" s="1" t="s">
        <v>4404</v>
      </c>
      <c r="E353" s="1" t="s">
        <v>4405</v>
      </c>
      <c r="F353" s="1" t="s">
        <v>4404</v>
      </c>
      <c r="G353" s="1" t="s">
        <v>4406</v>
      </c>
      <c r="H353" s="1" t="s">
        <v>4404</v>
      </c>
      <c r="I353" s="1" t="s">
        <v>14974</v>
      </c>
      <c r="J353" s="1" t="s">
        <v>14975</v>
      </c>
      <c r="K353" s="1">
        <v>12</v>
      </c>
      <c r="L353" s="1" t="s">
        <v>4264</v>
      </c>
      <c r="M353" s="1">
        <v>15</v>
      </c>
      <c r="N353" s="1" t="s">
        <v>4365</v>
      </c>
    </row>
    <row r="354" spans="1:14" x14ac:dyDescent="0.15">
      <c r="A354" s="1">
        <v>36</v>
      </c>
      <c r="B354" s="1" t="s">
        <v>4404</v>
      </c>
      <c r="C354" s="1" t="s">
        <v>4405</v>
      </c>
      <c r="D354" s="1" t="s">
        <v>4404</v>
      </c>
      <c r="E354" s="1" t="s">
        <v>4405</v>
      </c>
      <c r="F354" s="1" t="s">
        <v>4404</v>
      </c>
      <c r="G354" s="1" t="s">
        <v>4406</v>
      </c>
      <c r="H354" s="1" t="s">
        <v>4404</v>
      </c>
      <c r="I354" s="1" t="s">
        <v>14978</v>
      </c>
      <c r="J354" s="1" t="s">
        <v>14979</v>
      </c>
      <c r="K354" s="1">
        <v>12</v>
      </c>
      <c r="L354" s="1" t="s">
        <v>4264</v>
      </c>
      <c r="M354" s="1">
        <v>15</v>
      </c>
      <c r="N354" s="1" t="s">
        <v>4365</v>
      </c>
    </row>
    <row r="355" spans="1:14" x14ac:dyDescent="0.15">
      <c r="A355" s="1">
        <v>36</v>
      </c>
      <c r="B355" s="1" t="s">
        <v>4404</v>
      </c>
      <c r="C355" s="1" t="s">
        <v>4405</v>
      </c>
      <c r="D355" s="1" t="s">
        <v>4404</v>
      </c>
      <c r="E355" s="1" t="s">
        <v>4405</v>
      </c>
      <c r="F355" s="1" t="s">
        <v>4404</v>
      </c>
      <c r="G355" s="1" t="s">
        <v>4406</v>
      </c>
      <c r="H355" s="1" t="s">
        <v>4404</v>
      </c>
      <c r="I355" s="1" t="s">
        <v>14982</v>
      </c>
      <c r="J355" s="1" t="s">
        <v>14983</v>
      </c>
      <c r="K355" s="1">
        <v>12</v>
      </c>
      <c r="L355" s="1" t="s">
        <v>4264</v>
      </c>
      <c r="M355" s="1">
        <v>15</v>
      </c>
      <c r="N355" s="1" t="s">
        <v>4365</v>
      </c>
    </row>
    <row r="356" spans="1:14" x14ac:dyDescent="0.15">
      <c r="A356" s="1">
        <v>36</v>
      </c>
      <c r="B356" s="1" t="s">
        <v>4404</v>
      </c>
      <c r="C356" s="1" t="s">
        <v>4405</v>
      </c>
      <c r="D356" s="1" t="s">
        <v>4404</v>
      </c>
      <c r="E356" s="1" t="s">
        <v>4405</v>
      </c>
      <c r="F356" s="1" t="s">
        <v>4404</v>
      </c>
      <c r="G356" s="1" t="s">
        <v>4406</v>
      </c>
      <c r="H356" s="1" t="s">
        <v>4404</v>
      </c>
      <c r="I356" s="1" t="s">
        <v>14990</v>
      </c>
      <c r="J356" s="1" t="s">
        <v>14991</v>
      </c>
      <c r="K356" s="1">
        <v>12</v>
      </c>
      <c r="L356" s="1" t="s">
        <v>4264</v>
      </c>
      <c r="M356" s="1">
        <v>15</v>
      </c>
      <c r="N356" s="1" t="s">
        <v>4365</v>
      </c>
    </row>
    <row r="357" spans="1:14" x14ac:dyDescent="0.15">
      <c r="A357" s="1">
        <v>36</v>
      </c>
      <c r="B357" s="1" t="s">
        <v>4404</v>
      </c>
      <c r="C357" s="1" t="s">
        <v>4405</v>
      </c>
      <c r="D357" s="1" t="s">
        <v>4404</v>
      </c>
      <c r="E357" s="1" t="s">
        <v>4405</v>
      </c>
      <c r="F357" s="1" t="s">
        <v>4404</v>
      </c>
      <c r="G357" s="1" t="s">
        <v>4406</v>
      </c>
      <c r="H357" s="1" t="s">
        <v>4404</v>
      </c>
      <c r="I357" s="1" t="s">
        <v>14994</v>
      </c>
      <c r="J357" s="1" t="s">
        <v>14995</v>
      </c>
      <c r="K357" s="1">
        <v>12</v>
      </c>
      <c r="L357" s="1" t="s">
        <v>4264</v>
      </c>
      <c r="M357" s="1">
        <v>15</v>
      </c>
      <c r="N357" s="1" t="s">
        <v>4365</v>
      </c>
    </row>
    <row r="358" spans="1:14" x14ac:dyDescent="0.15">
      <c r="A358" s="1">
        <v>36</v>
      </c>
      <c r="B358" s="1" t="s">
        <v>4404</v>
      </c>
      <c r="C358" s="1" t="s">
        <v>4405</v>
      </c>
      <c r="D358" s="1" t="s">
        <v>4404</v>
      </c>
      <c r="E358" s="1" t="s">
        <v>4405</v>
      </c>
      <c r="F358" s="1" t="s">
        <v>4404</v>
      </c>
      <c r="G358" s="1" t="s">
        <v>4406</v>
      </c>
      <c r="H358" s="1" t="s">
        <v>4404</v>
      </c>
      <c r="I358" s="1" t="s">
        <v>8993</v>
      </c>
      <c r="J358" s="1" t="s">
        <v>4432</v>
      </c>
      <c r="K358" s="1">
        <v>12</v>
      </c>
      <c r="L358" s="1" t="s">
        <v>4264</v>
      </c>
      <c r="M358" s="1">
        <v>15</v>
      </c>
      <c r="N358" s="1" t="s">
        <v>4365</v>
      </c>
    </row>
    <row r="359" spans="1:14" x14ac:dyDescent="0.15">
      <c r="A359" s="1">
        <v>36</v>
      </c>
      <c r="B359" s="1" t="s">
        <v>4404</v>
      </c>
      <c r="C359" s="1" t="s">
        <v>4405</v>
      </c>
      <c r="D359" s="1" t="s">
        <v>4404</v>
      </c>
      <c r="E359" s="1" t="s">
        <v>4405</v>
      </c>
      <c r="F359" s="1" t="s">
        <v>4404</v>
      </c>
      <c r="G359" s="1" t="s">
        <v>4406</v>
      </c>
      <c r="H359" s="1" t="s">
        <v>4404</v>
      </c>
      <c r="I359" s="1" t="s">
        <v>14998</v>
      </c>
      <c r="J359" s="1" t="s">
        <v>14999</v>
      </c>
      <c r="K359" s="1">
        <v>12</v>
      </c>
      <c r="L359" s="1" t="s">
        <v>4264</v>
      </c>
      <c r="M359" s="1">
        <v>15</v>
      </c>
      <c r="N359" s="1" t="s">
        <v>4365</v>
      </c>
    </row>
    <row r="360" spans="1:14" x14ac:dyDescent="0.15">
      <c r="A360" s="1">
        <v>36</v>
      </c>
      <c r="B360" s="1" t="s">
        <v>4404</v>
      </c>
      <c r="C360" s="1" t="s">
        <v>4405</v>
      </c>
      <c r="D360" s="1" t="s">
        <v>4404</v>
      </c>
      <c r="E360" s="1" t="s">
        <v>4405</v>
      </c>
      <c r="F360" s="1" t="s">
        <v>4404</v>
      </c>
      <c r="G360" s="1" t="s">
        <v>4406</v>
      </c>
      <c r="H360" s="1" t="s">
        <v>4404</v>
      </c>
      <c r="I360" s="1" t="s">
        <v>15006</v>
      </c>
      <c r="J360" s="1" t="s">
        <v>6195</v>
      </c>
      <c r="K360" s="1">
        <v>12</v>
      </c>
      <c r="L360" s="1" t="s">
        <v>4264</v>
      </c>
      <c r="M360" s="1">
        <v>15</v>
      </c>
      <c r="N360" s="1" t="s">
        <v>4365</v>
      </c>
    </row>
    <row r="361" spans="1:14" x14ac:dyDescent="0.15">
      <c r="A361" s="1">
        <v>36</v>
      </c>
      <c r="B361" s="1" t="s">
        <v>4404</v>
      </c>
      <c r="C361" s="1" t="s">
        <v>4405</v>
      </c>
      <c r="D361" s="1" t="s">
        <v>4404</v>
      </c>
      <c r="E361" s="1" t="s">
        <v>4405</v>
      </c>
      <c r="F361" s="1" t="s">
        <v>4404</v>
      </c>
      <c r="G361" s="1" t="s">
        <v>4406</v>
      </c>
      <c r="H361" s="1" t="s">
        <v>4404</v>
      </c>
      <c r="I361" s="1" t="s">
        <v>15010</v>
      </c>
      <c r="J361" s="1" t="s">
        <v>15011</v>
      </c>
      <c r="K361" s="1">
        <v>12</v>
      </c>
      <c r="L361" s="1" t="s">
        <v>4264</v>
      </c>
      <c r="M361" s="1">
        <v>15</v>
      </c>
      <c r="N361" s="1" t="s">
        <v>4365</v>
      </c>
    </row>
    <row r="362" spans="1:14" x14ac:dyDescent="0.15">
      <c r="A362" s="1">
        <v>36</v>
      </c>
      <c r="B362" s="1" t="s">
        <v>4404</v>
      </c>
      <c r="C362" s="1" t="s">
        <v>4405</v>
      </c>
      <c r="D362" s="1" t="s">
        <v>4404</v>
      </c>
      <c r="E362" s="1" t="s">
        <v>4405</v>
      </c>
      <c r="F362" s="1" t="s">
        <v>4404</v>
      </c>
      <c r="G362" s="1" t="s">
        <v>4406</v>
      </c>
      <c r="H362" s="1" t="s">
        <v>4404</v>
      </c>
      <c r="I362" s="1" t="s">
        <v>15014</v>
      </c>
      <c r="J362" s="1" t="s">
        <v>15015</v>
      </c>
      <c r="K362" s="1">
        <v>12</v>
      </c>
      <c r="L362" s="1" t="s">
        <v>4264</v>
      </c>
      <c r="M362" s="1">
        <v>15</v>
      </c>
      <c r="N362" s="1" t="s">
        <v>4365</v>
      </c>
    </row>
    <row r="363" spans="1:14" x14ac:dyDescent="0.15">
      <c r="A363" s="1">
        <v>36</v>
      </c>
      <c r="B363" s="1" t="s">
        <v>4404</v>
      </c>
      <c r="C363" s="1" t="s">
        <v>4405</v>
      </c>
      <c r="D363" s="1" t="s">
        <v>4404</v>
      </c>
      <c r="E363" s="1" t="s">
        <v>4405</v>
      </c>
      <c r="F363" s="1" t="s">
        <v>4404</v>
      </c>
      <c r="G363" s="1" t="s">
        <v>4406</v>
      </c>
      <c r="H363" s="1" t="s">
        <v>4404</v>
      </c>
      <c r="I363" s="1" t="s">
        <v>15018</v>
      </c>
      <c r="J363" s="1" t="s">
        <v>15019</v>
      </c>
      <c r="K363" s="1">
        <v>12</v>
      </c>
      <c r="L363" s="1" t="s">
        <v>4264</v>
      </c>
      <c r="M363" s="1">
        <v>15</v>
      </c>
      <c r="N363" s="1" t="s">
        <v>4365</v>
      </c>
    </row>
    <row r="364" spans="1:14" x14ac:dyDescent="0.15">
      <c r="A364" s="1">
        <v>36</v>
      </c>
      <c r="B364" s="1" t="s">
        <v>4404</v>
      </c>
      <c r="C364" s="1" t="s">
        <v>4405</v>
      </c>
      <c r="D364" s="1" t="s">
        <v>4404</v>
      </c>
      <c r="E364" s="1" t="s">
        <v>4405</v>
      </c>
      <c r="F364" s="1" t="s">
        <v>4404</v>
      </c>
      <c r="G364" s="1" t="s">
        <v>4406</v>
      </c>
      <c r="H364" s="1" t="s">
        <v>4404</v>
      </c>
      <c r="I364" s="1" t="s">
        <v>11258</v>
      </c>
      <c r="J364" s="1" t="s">
        <v>4433</v>
      </c>
      <c r="K364" s="1">
        <v>12</v>
      </c>
      <c r="L364" s="1" t="s">
        <v>4264</v>
      </c>
      <c r="M364" s="1">
        <v>15</v>
      </c>
      <c r="N364" s="1" t="s">
        <v>4365</v>
      </c>
    </row>
    <row r="365" spans="1:14" x14ac:dyDescent="0.15">
      <c r="A365" s="1">
        <v>36</v>
      </c>
      <c r="B365" s="1" t="s">
        <v>4404</v>
      </c>
      <c r="C365" s="1" t="s">
        <v>4405</v>
      </c>
      <c r="D365" s="1" t="s">
        <v>4404</v>
      </c>
      <c r="E365" s="1" t="s">
        <v>4405</v>
      </c>
      <c r="F365" s="1" t="s">
        <v>4404</v>
      </c>
      <c r="G365" s="1" t="s">
        <v>4406</v>
      </c>
      <c r="H365" s="1" t="s">
        <v>4404</v>
      </c>
      <c r="I365" s="1" t="s">
        <v>9009</v>
      </c>
      <c r="J365" s="1" t="s">
        <v>4434</v>
      </c>
      <c r="K365" s="1">
        <v>12</v>
      </c>
      <c r="L365" s="1" t="s">
        <v>4264</v>
      </c>
      <c r="M365" s="1">
        <v>15</v>
      </c>
      <c r="N365" s="1" t="s">
        <v>4365</v>
      </c>
    </row>
    <row r="366" spans="1:14" x14ac:dyDescent="0.15">
      <c r="A366" s="1">
        <v>36</v>
      </c>
      <c r="B366" s="1" t="s">
        <v>4404</v>
      </c>
      <c r="C366" s="1" t="s">
        <v>4405</v>
      </c>
      <c r="D366" s="1" t="s">
        <v>4404</v>
      </c>
      <c r="E366" s="1" t="s">
        <v>4405</v>
      </c>
      <c r="F366" s="1" t="s">
        <v>4404</v>
      </c>
      <c r="G366" s="1" t="s">
        <v>4406</v>
      </c>
      <c r="H366" s="1" t="s">
        <v>4404</v>
      </c>
      <c r="I366" s="1" t="s">
        <v>10408</v>
      </c>
      <c r="J366" s="1" t="s">
        <v>4435</v>
      </c>
      <c r="K366" s="1">
        <v>12</v>
      </c>
      <c r="L366" s="1" t="s">
        <v>4264</v>
      </c>
      <c r="M366" s="1">
        <v>15</v>
      </c>
      <c r="N366" s="1" t="s">
        <v>4365</v>
      </c>
    </row>
    <row r="367" spans="1:14" x14ac:dyDescent="0.15">
      <c r="A367" s="1">
        <v>36</v>
      </c>
      <c r="B367" s="1" t="s">
        <v>4404</v>
      </c>
      <c r="C367" s="1" t="s">
        <v>4405</v>
      </c>
      <c r="D367" s="1" t="s">
        <v>4404</v>
      </c>
      <c r="E367" s="1" t="s">
        <v>4405</v>
      </c>
      <c r="F367" s="1" t="s">
        <v>4404</v>
      </c>
      <c r="G367" s="1" t="s">
        <v>4406</v>
      </c>
      <c r="H367" s="1" t="s">
        <v>4404</v>
      </c>
      <c r="I367" s="1" t="s">
        <v>15022</v>
      </c>
      <c r="J367" s="1" t="s">
        <v>4436</v>
      </c>
      <c r="K367" s="1">
        <v>12</v>
      </c>
      <c r="L367" s="1" t="s">
        <v>4264</v>
      </c>
      <c r="M367" s="1">
        <v>15</v>
      </c>
      <c r="N367" s="1" t="s">
        <v>4365</v>
      </c>
    </row>
    <row r="368" spans="1:14" x14ac:dyDescent="0.15">
      <c r="A368" s="1">
        <v>36</v>
      </c>
      <c r="B368" s="1" t="s">
        <v>4404</v>
      </c>
      <c r="C368" s="1" t="s">
        <v>4405</v>
      </c>
      <c r="D368" s="1" t="s">
        <v>4404</v>
      </c>
      <c r="E368" s="1" t="s">
        <v>4405</v>
      </c>
      <c r="F368" s="1" t="s">
        <v>4404</v>
      </c>
      <c r="G368" s="1" t="s">
        <v>4406</v>
      </c>
      <c r="H368" s="1" t="s">
        <v>4404</v>
      </c>
      <c r="I368" s="1" t="s">
        <v>15046</v>
      </c>
      <c r="J368" s="1" t="s">
        <v>15047</v>
      </c>
      <c r="K368" s="1">
        <v>12</v>
      </c>
      <c r="L368" s="1" t="s">
        <v>4264</v>
      </c>
      <c r="M368" s="1">
        <v>15</v>
      </c>
      <c r="N368" s="1" t="s">
        <v>4365</v>
      </c>
    </row>
    <row r="369" spans="1:14" x14ac:dyDescent="0.15">
      <c r="A369" s="1">
        <v>36</v>
      </c>
      <c r="B369" s="1" t="s">
        <v>4404</v>
      </c>
      <c r="C369" s="1" t="s">
        <v>4405</v>
      </c>
      <c r="D369" s="1" t="s">
        <v>4404</v>
      </c>
      <c r="E369" s="1" t="s">
        <v>4405</v>
      </c>
      <c r="F369" s="1" t="s">
        <v>4404</v>
      </c>
      <c r="G369" s="1" t="s">
        <v>4406</v>
      </c>
      <c r="H369" s="1" t="s">
        <v>4404</v>
      </c>
      <c r="I369" s="1" t="s">
        <v>15050</v>
      </c>
      <c r="J369" s="1" t="s">
        <v>6205</v>
      </c>
      <c r="K369" s="1">
        <v>12</v>
      </c>
      <c r="L369" s="1" t="s">
        <v>4264</v>
      </c>
      <c r="M369" s="1">
        <v>15</v>
      </c>
      <c r="N369" s="1" t="s">
        <v>4365</v>
      </c>
    </row>
    <row r="370" spans="1:14" x14ac:dyDescent="0.15">
      <c r="A370" s="1">
        <v>36</v>
      </c>
      <c r="B370" s="1" t="s">
        <v>4404</v>
      </c>
      <c r="C370" s="1" t="s">
        <v>4405</v>
      </c>
      <c r="D370" s="1" t="s">
        <v>4404</v>
      </c>
      <c r="E370" s="1" t="s">
        <v>4405</v>
      </c>
      <c r="F370" s="1" t="s">
        <v>4404</v>
      </c>
      <c r="G370" s="1" t="s">
        <v>4406</v>
      </c>
      <c r="H370" s="1" t="s">
        <v>4404</v>
      </c>
      <c r="I370" s="1" t="s">
        <v>15054</v>
      </c>
      <c r="J370" s="1" t="s">
        <v>15055</v>
      </c>
      <c r="K370" s="1">
        <v>12</v>
      </c>
      <c r="L370" s="1" t="s">
        <v>4264</v>
      </c>
      <c r="M370" s="1">
        <v>15</v>
      </c>
      <c r="N370" s="1" t="s">
        <v>4365</v>
      </c>
    </row>
    <row r="371" spans="1:14" x14ac:dyDescent="0.15">
      <c r="A371" s="1">
        <v>36</v>
      </c>
      <c r="B371" s="1" t="s">
        <v>4404</v>
      </c>
      <c r="C371" s="1" t="s">
        <v>4405</v>
      </c>
      <c r="D371" s="1" t="s">
        <v>4404</v>
      </c>
      <c r="E371" s="1" t="s">
        <v>4405</v>
      </c>
      <c r="F371" s="1" t="s">
        <v>4404</v>
      </c>
      <c r="G371" s="1" t="s">
        <v>4406</v>
      </c>
      <c r="H371" s="1" t="s">
        <v>4404</v>
      </c>
      <c r="I371" s="1" t="s">
        <v>15058</v>
      </c>
      <c r="J371" s="1" t="s">
        <v>15059</v>
      </c>
      <c r="K371" s="1">
        <v>12</v>
      </c>
      <c r="L371" s="1" t="s">
        <v>4264</v>
      </c>
      <c r="M371" s="1">
        <v>15</v>
      </c>
      <c r="N371" s="1" t="s">
        <v>4365</v>
      </c>
    </row>
    <row r="372" spans="1:14" x14ac:dyDescent="0.15">
      <c r="A372" s="1">
        <v>36</v>
      </c>
      <c r="B372" s="1" t="s">
        <v>4404</v>
      </c>
      <c r="C372" s="1" t="s">
        <v>4405</v>
      </c>
      <c r="D372" s="1" t="s">
        <v>4404</v>
      </c>
      <c r="E372" s="1" t="s">
        <v>4405</v>
      </c>
      <c r="F372" s="1" t="s">
        <v>4404</v>
      </c>
      <c r="G372" s="1" t="s">
        <v>4406</v>
      </c>
      <c r="H372" s="1" t="s">
        <v>4404</v>
      </c>
      <c r="I372" s="1" t="s">
        <v>15062</v>
      </c>
      <c r="J372" s="1" t="s">
        <v>15063</v>
      </c>
      <c r="K372" s="1">
        <v>12</v>
      </c>
      <c r="L372" s="1" t="s">
        <v>4264</v>
      </c>
      <c r="M372" s="1">
        <v>15</v>
      </c>
      <c r="N372" s="1" t="s">
        <v>4365</v>
      </c>
    </row>
    <row r="373" spans="1:14" x14ac:dyDescent="0.15">
      <c r="A373" s="1">
        <v>36</v>
      </c>
      <c r="B373" s="1" t="s">
        <v>4404</v>
      </c>
      <c r="C373" s="1" t="s">
        <v>4405</v>
      </c>
      <c r="D373" s="1" t="s">
        <v>4404</v>
      </c>
      <c r="E373" s="1" t="s">
        <v>4405</v>
      </c>
      <c r="F373" s="1" t="s">
        <v>4404</v>
      </c>
      <c r="G373" s="1" t="s">
        <v>4406</v>
      </c>
      <c r="H373" s="1" t="s">
        <v>4404</v>
      </c>
      <c r="I373" s="1" t="s">
        <v>15066</v>
      </c>
      <c r="J373" s="1" t="s">
        <v>6207</v>
      </c>
      <c r="K373" s="1">
        <v>12</v>
      </c>
      <c r="L373" s="1" t="s">
        <v>4264</v>
      </c>
      <c r="M373" s="1">
        <v>15</v>
      </c>
      <c r="N373" s="1" t="s">
        <v>4365</v>
      </c>
    </row>
    <row r="374" spans="1:14" x14ac:dyDescent="0.15">
      <c r="A374" s="1">
        <v>36</v>
      </c>
      <c r="B374" s="1" t="s">
        <v>4404</v>
      </c>
      <c r="C374" s="1" t="s">
        <v>4405</v>
      </c>
      <c r="D374" s="1" t="s">
        <v>4404</v>
      </c>
      <c r="E374" s="1" t="s">
        <v>4405</v>
      </c>
      <c r="F374" s="1" t="s">
        <v>4404</v>
      </c>
      <c r="G374" s="1" t="s">
        <v>4406</v>
      </c>
      <c r="H374" s="1" t="s">
        <v>4404</v>
      </c>
      <c r="I374" s="1" t="s">
        <v>15070</v>
      </c>
      <c r="J374" s="1" t="s">
        <v>15071</v>
      </c>
      <c r="K374" s="1">
        <v>12</v>
      </c>
      <c r="L374" s="1" t="s">
        <v>4264</v>
      </c>
      <c r="M374" s="1">
        <v>15</v>
      </c>
      <c r="N374" s="1" t="s">
        <v>4365</v>
      </c>
    </row>
    <row r="375" spans="1:14" x14ac:dyDescent="0.15">
      <c r="A375" s="1">
        <v>36</v>
      </c>
      <c r="B375" s="1" t="s">
        <v>4404</v>
      </c>
      <c r="C375" s="1" t="s">
        <v>4405</v>
      </c>
      <c r="D375" s="1" t="s">
        <v>4404</v>
      </c>
      <c r="E375" s="1" t="s">
        <v>4405</v>
      </c>
      <c r="F375" s="1" t="s">
        <v>4404</v>
      </c>
      <c r="G375" s="1" t="s">
        <v>4406</v>
      </c>
      <c r="H375" s="1" t="s">
        <v>4404</v>
      </c>
      <c r="I375" s="1" t="s">
        <v>15074</v>
      </c>
      <c r="J375" s="1" t="s">
        <v>15075</v>
      </c>
      <c r="K375" s="1">
        <v>12</v>
      </c>
      <c r="L375" s="1" t="s">
        <v>4264</v>
      </c>
      <c r="M375" s="1">
        <v>15</v>
      </c>
      <c r="N375" s="1" t="s">
        <v>4365</v>
      </c>
    </row>
    <row r="376" spans="1:14" x14ac:dyDescent="0.15">
      <c r="A376" s="1">
        <v>36</v>
      </c>
      <c r="B376" s="1" t="s">
        <v>4404</v>
      </c>
      <c r="C376" s="1" t="s">
        <v>4405</v>
      </c>
      <c r="D376" s="1" t="s">
        <v>4404</v>
      </c>
      <c r="E376" s="1" t="s">
        <v>4405</v>
      </c>
      <c r="F376" s="1" t="s">
        <v>4404</v>
      </c>
      <c r="G376" s="1" t="s">
        <v>4406</v>
      </c>
      <c r="H376" s="1" t="s">
        <v>4404</v>
      </c>
      <c r="I376" s="1" t="s">
        <v>15078</v>
      </c>
      <c r="J376" s="1" t="s">
        <v>15079</v>
      </c>
      <c r="K376" s="1">
        <v>12</v>
      </c>
      <c r="L376" s="1" t="s">
        <v>4264</v>
      </c>
      <c r="M376" s="1">
        <v>15</v>
      </c>
      <c r="N376" s="1" t="s">
        <v>4365</v>
      </c>
    </row>
    <row r="377" spans="1:14" x14ac:dyDescent="0.15">
      <c r="A377" s="1">
        <v>36</v>
      </c>
      <c r="B377" s="1" t="s">
        <v>4404</v>
      </c>
      <c r="C377" s="1" t="s">
        <v>4405</v>
      </c>
      <c r="D377" s="1" t="s">
        <v>4404</v>
      </c>
      <c r="E377" s="1" t="s">
        <v>4405</v>
      </c>
      <c r="F377" s="1" t="s">
        <v>4404</v>
      </c>
      <c r="G377" s="1" t="s">
        <v>4406</v>
      </c>
      <c r="H377" s="1" t="s">
        <v>4404</v>
      </c>
      <c r="I377" s="1" t="s">
        <v>15082</v>
      </c>
      <c r="J377" s="1" t="s">
        <v>15083</v>
      </c>
      <c r="K377" s="1">
        <v>12</v>
      </c>
      <c r="L377" s="1" t="s">
        <v>4264</v>
      </c>
      <c r="M377" s="1">
        <v>15</v>
      </c>
      <c r="N377" s="1" t="s">
        <v>4365</v>
      </c>
    </row>
    <row r="378" spans="1:14" x14ac:dyDescent="0.15">
      <c r="A378" s="1">
        <v>36</v>
      </c>
      <c r="B378" s="1" t="s">
        <v>4404</v>
      </c>
      <c r="C378" s="1" t="s">
        <v>4405</v>
      </c>
      <c r="D378" s="1" t="s">
        <v>4404</v>
      </c>
      <c r="E378" s="1" t="s">
        <v>4405</v>
      </c>
      <c r="F378" s="1" t="s">
        <v>4404</v>
      </c>
      <c r="G378" s="1" t="s">
        <v>4406</v>
      </c>
      <c r="H378" s="1" t="s">
        <v>4404</v>
      </c>
      <c r="I378" s="1" t="s">
        <v>15090</v>
      </c>
      <c r="J378" s="1" t="s">
        <v>15087</v>
      </c>
      <c r="K378" s="1">
        <v>12</v>
      </c>
      <c r="L378" s="1" t="s">
        <v>4264</v>
      </c>
      <c r="M378" s="1">
        <v>15</v>
      </c>
      <c r="N378" s="1" t="s">
        <v>4365</v>
      </c>
    </row>
    <row r="379" spans="1:14" x14ac:dyDescent="0.15">
      <c r="A379" s="1">
        <v>40</v>
      </c>
      <c r="B379" s="1" t="s">
        <v>4437</v>
      </c>
      <c r="C379" s="1" t="s">
        <v>4438</v>
      </c>
      <c r="D379" s="1" t="s">
        <v>4437</v>
      </c>
      <c r="E379" s="1" t="s">
        <v>4438</v>
      </c>
      <c r="F379" s="1" t="s">
        <v>4437</v>
      </c>
      <c r="G379" s="1" t="s">
        <v>4439</v>
      </c>
      <c r="H379" s="1" t="s">
        <v>4437</v>
      </c>
      <c r="I379" s="1" t="s">
        <v>14657</v>
      </c>
      <c r="J379" s="1" t="s">
        <v>14654</v>
      </c>
      <c r="K379" s="1">
        <v>14</v>
      </c>
      <c r="L379" s="1" t="s">
        <v>4307</v>
      </c>
      <c r="M379" s="1">
        <v>16</v>
      </c>
      <c r="N379" s="1" t="s">
        <v>4308</v>
      </c>
    </row>
    <row r="380" spans="1:14" x14ac:dyDescent="0.15">
      <c r="A380" s="1">
        <v>41</v>
      </c>
      <c r="B380" s="1" t="s">
        <v>4440</v>
      </c>
      <c r="C380" s="1" t="s">
        <v>4441</v>
      </c>
      <c r="D380" s="1" t="s">
        <v>4440</v>
      </c>
      <c r="E380" s="1" t="s">
        <v>4441</v>
      </c>
      <c r="F380" s="1" t="s">
        <v>4440</v>
      </c>
      <c r="G380" s="1" t="s">
        <v>4442</v>
      </c>
      <c r="H380" s="1" t="s">
        <v>4440</v>
      </c>
      <c r="I380" s="1" t="s">
        <v>11813</v>
      </c>
      <c r="J380" s="1" t="s">
        <v>11810</v>
      </c>
      <c r="K380" s="1">
        <v>11</v>
      </c>
      <c r="L380" s="1" t="s">
        <v>4227</v>
      </c>
      <c r="M380" s="1">
        <v>14</v>
      </c>
      <c r="N380" s="1" t="s">
        <v>4220</v>
      </c>
    </row>
    <row r="381" spans="1:14" x14ac:dyDescent="0.15">
      <c r="A381" s="1">
        <v>42</v>
      </c>
      <c r="B381" s="1" t="s">
        <v>4443</v>
      </c>
      <c r="C381" s="1" t="s">
        <v>4444</v>
      </c>
      <c r="D381" s="1" t="s">
        <v>4443</v>
      </c>
      <c r="E381" s="1" t="s">
        <v>4444</v>
      </c>
      <c r="F381" s="1" t="s">
        <v>4443</v>
      </c>
      <c r="G381" s="1" t="s">
        <v>4445</v>
      </c>
      <c r="H381" s="1" t="s">
        <v>4443</v>
      </c>
      <c r="I381" s="1" t="s">
        <v>14641</v>
      </c>
      <c r="J381" s="1" t="s">
        <v>4446</v>
      </c>
      <c r="K381" s="1">
        <v>9</v>
      </c>
      <c r="L381" s="1" t="s">
        <v>4199</v>
      </c>
      <c r="M381" s="1">
        <v>7</v>
      </c>
      <c r="N381" s="1" t="s">
        <v>4200</v>
      </c>
    </row>
    <row r="382" spans="1:14" x14ac:dyDescent="0.15">
      <c r="A382" s="1">
        <v>42</v>
      </c>
      <c r="B382" s="1" t="s">
        <v>4443</v>
      </c>
      <c r="C382" s="1" t="s">
        <v>4444</v>
      </c>
      <c r="D382" s="1" t="s">
        <v>4443</v>
      </c>
      <c r="E382" s="1" t="s">
        <v>4444</v>
      </c>
      <c r="F382" s="1" t="s">
        <v>4443</v>
      </c>
      <c r="G382" s="1" t="s">
        <v>4445</v>
      </c>
      <c r="H382" s="1" t="s">
        <v>4443</v>
      </c>
      <c r="I382" s="1" t="s">
        <v>14650</v>
      </c>
      <c r="J382" s="1" t="s">
        <v>4447</v>
      </c>
      <c r="K382" s="1">
        <v>9</v>
      </c>
      <c r="L382" s="1" t="s">
        <v>4199</v>
      </c>
      <c r="M382" s="1">
        <v>7</v>
      </c>
      <c r="N382" s="1" t="s">
        <v>4200</v>
      </c>
    </row>
    <row r="383" spans="1:14" x14ac:dyDescent="0.15">
      <c r="A383" s="1">
        <v>42</v>
      </c>
      <c r="B383" s="1" t="s">
        <v>4443</v>
      </c>
      <c r="C383" s="1" t="s">
        <v>4444</v>
      </c>
      <c r="D383" s="1" t="s">
        <v>4443</v>
      </c>
      <c r="E383" s="1" t="s">
        <v>4444</v>
      </c>
      <c r="F383" s="1" t="s">
        <v>4443</v>
      </c>
      <c r="G383" s="1" t="s">
        <v>4445</v>
      </c>
      <c r="H383" s="1" t="s">
        <v>4443</v>
      </c>
      <c r="I383" s="1" t="s">
        <v>14657</v>
      </c>
      <c r="J383" s="1" t="s">
        <v>14654</v>
      </c>
      <c r="K383" s="1">
        <v>9</v>
      </c>
      <c r="L383" s="1" t="s">
        <v>4199</v>
      </c>
      <c r="M383" s="1">
        <v>7</v>
      </c>
      <c r="N383" s="1" t="s">
        <v>4200</v>
      </c>
    </row>
    <row r="384" spans="1:14" x14ac:dyDescent="0.15">
      <c r="A384" s="1">
        <v>42</v>
      </c>
      <c r="B384" s="1" t="s">
        <v>4443</v>
      </c>
      <c r="C384" s="1" t="s">
        <v>4444</v>
      </c>
      <c r="D384" s="1" t="s">
        <v>4443</v>
      </c>
      <c r="E384" s="1" t="s">
        <v>4444</v>
      </c>
      <c r="F384" s="1" t="s">
        <v>4443</v>
      </c>
      <c r="G384" s="1" t="s">
        <v>4445</v>
      </c>
      <c r="H384" s="1" t="s">
        <v>4443</v>
      </c>
      <c r="I384" s="1" t="s">
        <v>12722</v>
      </c>
      <c r="J384" s="1" t="s">
        <v>4448</v>
      </c>
      <c r="K384" s="1">
        <v>9</v>
      </c>
      <c r="L384" s="1" t="s">
        <v>4199</v>
      </c>
      <c r="M384" s="1">
        <v>7</v>
      </c>
      <c r="N384" s="1" t="s">
        <v>4200</v>
      </c>
    </row>
    <row r="385" spans="1:14" x14ac:dyDescent="0.15">
      <c r="A385" s="1">
        <v>42</v>
      </c>
      <c r="B385" s="1" t="s">
        <v>4443</v>
      </c>
      <c r="C385" s="1" t="s">
        <v>4444</v>
      </c>
      <c r="D385" s="1" t="s">
        <v>4443</v>
      </c>
      <c r="E385" s="1" t="s">
        <v>4444</v>
      </c>
      <c r="F385" s="1" t="s">
        <v>4443</v>
      </c>
      <c r="G385" s="1" t="s">
        <v>4445</v>
      </c>
      <c r="H385" s="1" t="s">
        <v>4443</v>
      </c>
      <c r="I385" s="1" t="s">
        <v>12730</v>
      </c>
      <c r="J385" s="1" t="s">
        <v>4195</v>
      </c>
      <c r="K385" s="1">
        <v>9</v>
      </c>
      <c r="L385" s="1" t="s">
        <v>4199</v>
      </c>
      <c r="M385" s="1">
        <v>7</v>
      </c>
      <c r="N385" s="1" t="s">
        <v>4200</v>
      </c>
    </row>
    <row r="386" spans="1:14" x14ac:dyDescent="0.15">
      <c r="A386" s="1">
        <v>42</v>
      </c>
      <c r="B386" s="1" t="s">
        <v>4443</v>
      </c>
      <c r="C386" s="1" t="s">
        <v>4444</v>
      </c>
      <c r="D386" s="1" t="s">
        <v>4443</v>
      </c>
      <c r="E386" s="1" t="s">
        <v>4444</v>
      </c>
      <c r="F386" s="1" t="s">
        <v>4443</v>
      </c>
      <c r="G386" s="1" t="s">
        <v>4445</v>
      </c>
      <c r="H386" s="1" t="s">
        <v>4443</v>
      </c>
      <c r="I386" s="1" t="s">
        <v>12750</v>
      </c>
      <c r="J386" s="1" t="s">
        <v>5238</v>
      </c>
      <c r="K386" s="1">
        <v>9</v>
      </c>
      <c r="L386" s="1" t="s">
        <v>4199</v>
      </c>
      <c r="M386" s="1">
        <v>7</v>
      </c>
      <c r="N386" s="1" t="s">
        <v>4200</v>
      </c>
    </row>
    <row r="387" spans="1:14" x14ac:dyDescent="0.15">
      <c r="A387" s="1">
        <v>42</v>
      </c>
      <c r="B387" s="1" t="s">
        <v>4443</v>
      </c>
      <c r="C387" s="1" t="s">
        <v>4444</v>
      </c>
      <c r="D387" s="1" t="s">
        <v>4443</v>
      </c>
      <c r="E387" s="1" t="s">
        <v>4444</v>
      </c>
      <c r="F387" s="1" t="s">
        <v>4443</v>
      </c>
      <c r="G387" s="1" t="s">
        <v>4445</v>
      </c>
      <c r="H387" s="1" t="s">
        <v>4443</v>
      </c>
      <c r="I387" s="1" t="s">
        <v>12831</v>
      </c>
      <c r="J387" s="1" t="s">
        <v>5271</v>
      </c>
      <c r="K387" s="1">
        <v>9</v>
      </c>
      <c r="L387" s="1" t="s">
        <v>4199</v>
      </c>
      <c r="M387" s="1">
        <v>7</v>
      </c>
      <c r="N387" s="1" t="s">
        <v>4200</v>
      </c>
    </row>
    <row r="388" spans="1:14" x14ac:dyDescent="0.15">
      <c r="A388" s="1">
        <v>42</v>
      </c>
      <c r="B388" s="1" t="s">
        <v>4443</v>
      </c>
      <c r="C388" s="1" t="s">
        <v>4444</v>
      </c>
      <c r="D388" s="1" t="s">
        <v>4443</v>
      </c>
      <c r="E388" s="1" t="s">
        <v>4444</v>
      </c>
      <c r="F388" s="1" t="s">
        <v>4443</v>
      </c>
      <c r="G388" s="1" t="s">
        <v>4445</v>
      </c>
      <c r="H388" s="1" t="s">
        <v>4443</v>
      </c>
      <c r="I388" s="1" t="s">
        <v>11827</v>
      </c>
      <c r="J388" s="1" t="s">
        <v>4449</v>
      </c>
      <c r="K388" s="1">
        <v>9</v>
      </c>
      <c r="L388" s="1" t="s">
        <v>4199</v>
      </c>
      <c r="M388" s="1">
        <v>7</v>
      </c>
      <c r="N388" s="1" t="s">
        <v>4200</v>
      </c>
    </row>
    <row r="389" spans="1:14" x14ac:dyDescent="0.15">
      <c r="A389" s="1">
        <v>43</v>
      </c>
      <c r="B389" s="1" t="s">
        <v>4450</v>
      </c>
      <c r="C389" s="1" t="s">
        <v>4451</v>
      </c>
      <c r="D389" s="1" t="s">
        <v>4450</v>
      </c>
      <c r="E389" s="1" t="s">
        <v>4451</v>
      </c>
      <c r="F389" s="1" t="s">
        <v>4450</v>
      </c>
      <c r="G389" s="1" t="s">
        <v>4452</v>
      </c>
      <c r="H389" s="1" t="s">
        <v>4450</v>
      </c>
      <c r="I389" s="1" t="s">
        <v>14657</v>
      </c>
      <c r="J389" s="1" t="s">
        <v>14654</v>
      </c>
      <c r="K389" s="1">
        <v>99</v>
      </c>
      <c r="L389" s="1" t="s">
        <v>4453</v>
      </c>
      <c r="M389" s="1">
        <v>99</v>
      </c>
      <c r="N389" s="1" t="s">
        <v>4453</v>
      </c>
    </row>
    <row r="390" spans="1:14" x14ac:dyDescent="0.15">
      <c r="A390" s="1">
        <v>43</v>
      </c>
      <c r="B390" s="1" t="s">
        <v>4450</v>
      </c>
      <c r="C390" s="1" t="s">
        <v>4451</v>
      </c>
      <c r="D390" s="1" t="s">
        <v>4450</v>
      </c>
      <c r="E390" s="1" t="s">
        <v>4451</v>
      </c>
      <c r="F390" s="1" t="s">
        <v>4450</v>
      </c>
      <c r="G390" s="1" t="s">
        <v>4452</v>
      </c>
      <c r="H390" s="1" t="s">
        <v>4450</v>
      </c>
      <c r="I390" s="1" t="s">
        <v>14678</v>
      </c>
      <c r="J390" s="1" t="s">
        <v>14675</v>
      </c>
      <c r="K390" s="1">
        <v>99</v>
      </c>
      <c r="L390" s="1" t="s">
        <v>4454</v>
      </c>
      <c r="M390" s="1">
        <v>99</v>
      </c>
      <c r="N390" s="1" t="s">
        <v>4454</v>
      </c>
    </row>
    <row r="391" spans="1:14" x14ac:dyDescent="0.15">
      <c r="A391" s="1">
        <v>43</v>
      </c>
      <c r="B391" s="1" t="s">
        <v>4450</v>
      </c>
      <c r="C391" s="1" t="s">
        <v>4451</v>
      </c>
      <c r="D391" s="1" t="s">
        <v>4450</v>
      </c>
      <c r="E391" s="1" t="s">
        <v>4451</v>
      </c>
      <c r="F391" s="1" t="s">
        <v>4450</v>
      </c>
      <c r="G391" s="1" t="s">
        <v>4452</v>
      </c>
      <c r="H391" s="1" t="s">
        <v>4450</v>
      </c>
      <c r="I391" s="1" t="s">
        <v>8382</v>
      </c>
      <c r="J391" s="1" t="s">
        <v>4455</v>
      </c>
      <c r="K391" s="1">
        <v>99</v>
      </c>
      <c r="L391" s="1" t="s">
        <v>4454</v>
      </c>
      <c r="M391" s="1">
        <v>99</v>
      </c>
      <c r="N391" s="1" t="s">
        <v>4454</v>
      </c>
    </row>
    <row r="392" spans="1:14" x14ac:dyDescent="0.15">
      <c r="A392" s="1">
        <v>43</v>
      </c>
      <c r="B392" s="1" t="s">
        <v>4450</v>
      </c>
      <c r="C392" s="1" t="s">
        <v>4451</v>
      </c>
      <c r="D392" s="1" t="s">
        <v>4450</v>
      </c>
      <c r="E392" s="1" t="s">
        <v>4451</v>
      </c>
      <c r="F392" s="1" t="s">
        <v>4450</v>
      </c>
      <c r="G392" s="1" t="s">
        <v>4452</v>
      </c>
      <c r="H392" s="1" t="s">
        <v>4450</v>
      </c>
      <c r="I392" s="1" t="s">
        <v>14102</v>
      </c>
      <c r="J392" s="1" t="s">
        <v>14103</v>
      </c>
      <c r="K392" s="1">
        <v>99</v>
      </c>
      <c r="L392" s="1" t="s">
        <v>4454</v>
      </c>
      <c r="M392" s="1">
        <v>99</v>
      </c>
      <c r="N392" s="1" t="s">
        <v>4454</v>
      </c>
    </row>
    <row r="393" spans="1:14" x14ac:dyDescent="0.15">
      <c r="A393" s="1">
        <v>43</v>
      </c>
      <c r="B393" s="1" t="s">
        <v>4450</v>
      </c>
      <c r="C393" s="1" t="s">
        <v>4451</v>
      </c>
      <c r="D393" s="1" t="s">
        <v>4450</v>
      </c>
      <c r="E393" s="1" t="s">
        <v>4451</v>
      </c>
      <c r="F393" s="1" t="s">
        <v>4450</v>
      </c>
      <c r="G393" s="1" t="s">
        <v>4452</v>
      </c>
      <c r="H393" s="1" t="s">
        <v>4450</v>
      </c>
      <c r="I393" s="1" t="s">
        <v>12722</v>
      </c>
      <c r="J393" s="1" t="s">
        <v>4448</v>
      </c>
      <c r="K393" s="1">
        <v>99</v>
      </c>
      <c r="L393" s="1" t="s">
        <v>4454</v>
      </c>
      <c r="M393" s="1">
        <v>99</v>
      </c>
      <c r="N393" s="1" t="s">
        <v>4454</v>
      </c>
    </row>
    <row r="394" spans="1:14" x14ac:dyDescent="0.15">
      <c r="A394" s="1">
        <v>43</v>
      </c>
      <c r="B394" s="1" t="s">
        <v>4450</v>
      </c>
      <c r="C394" s="1" t="s">
        <v>4451</v>
      </c>
      <c r="D394" s="1" t="s">
        <v>4450</v>
      </c>
      <c r="E394" s="1" t="s">
        <v>4451</v>
      </c>
      <c r="F394" s="1" t="s">
        <v>4450</v>
      </c>
      <c r="G394" s="1" t="s">
        <v>4452</v>
      </c>
      <c r="H394" s="1" t="s">
        <v>4450</v>
      </c>
      <c r="I394" s="1" t="s">
        <v>12730</v>
      </c>
      <c r="J394" s="1" t="s">
        <v>4195</v>
      </c>
      <c r="K394" s="1">
        <v>99</v>
      </c>
      <c r="L394" s="1" t="s">
        <v>4454</v>
      </c>
      <c r="M394" s="1">
        <v>99</v>
      </c>
      <c r="N394" s="1" t="s">
        <v>4454</v>
      </c>
    </row>
    <row r="395" spans="1:14" x14ac:dyDescent="0.15">
      <c r="A395" s="1">
        <v>43</v>
      </c>
      <c r="B395" s="1" t="s">
        <v>4450</v>
      </c>
      <c r="C395" s="1" t="s">
        <v>4451</v>
      </c>
      <c r="D395" s="1" t="s">
        <v>4450</v>
      </c>
      <c r="E395" s="1" t="s">
        <v>4451</v>
      </c>
      <c r="F395" s="1" t="s">
        <v>4450</v>
      </c>
      <c r="G395" s="1" t="s">
        <v>4452</v>
      </c>
      <c r="H395" s="1" t="s">
        <v>4450</v>
      </c>
      <c r="I395" s="1" t="s">
        <v>12750</v>
      </c>
      <c r="J395" s="1" t="s">
        <v>5238</v>
      </c>
      <c r="K395" s="1">
        <v>99</v>
      </c>
      <c r="L395" s="1" t="s">
        <v>4454</v>
      </c>
      <c r="M395" s="1">
        <v>99</v>
      </c>
      <c r="N395" s="1" t="s">
        <v>4454</v>
      </c>
    </row>
    <row r="396" spans="1:14" x14ac:dyDescent="0.15">
      <c r="A396" s="1">
        <v>43</v>
      </c>
      <c r="B396" s="1" t="s">
        <v>4450</v>
      </c>
      <c r="C396" s="1" t="s">
        <v>4451</v>
      </c>
      <c r="D396" s="1" t="s">
        <v>4450</v>
      </c>
      <c r="E396" s="1" t="s">
        <v>4451</v>
      </c>
      <c r="F396" s="1" t="s">
        <v>4450</v>
      </c>
      <c r="G396" s="1" t="s">
        <v>4452</v>
      </c>
      <c r="H396" s="1" t="s">
        <v>4450</v>
      </c>
      <c r="I396" s="1" t="s">
        <v>7861</v>
      </c>
      <c r="J396" s="1" t="s">
        <v>4456</v>
      </c>
      <c r="K396" s="1">
        <v>99</v>
      </c>
      <c r="L396" s="1" t="s">
        <v>4454</v>
      </c>
      <c r="M396" s="1">
        <v>99</v>
      </c>
      <c r="N396" s="1" t="s">
        <v>4454</v>
      </c>
    </row>
    <row r="397" spans="1:14" x14ac:dyDescent="0.15">
      <c r="A397" s="1">
        <v>43</v>
      </c>
      <c r="B397" s="1" t="s">
        <v>4450</v>
      </c>
      <c r="C397" s="1" t="s">
        <v>4451</v>
      </c>
      <c r="D397" s="1" t="s">
        <v>4450</v>
      </c>
      <c r="E397" s="1" t="s">
        <v>4451</v>
      </c>
      <c r="F397" s="1" t="s">
        <v>4450</v>
      </c>
      <c r="G397" s="1" t="s">
        <v>4452</v>
      </c>
      <c r="H397" s="1" t="s">
        <v>4450</v>
      </c>
      <c r="I397" s="1" t="s">
        <v>12754</v>
      </c>
      <c r="J397" s="1" t="s">
        <v>5245</v>
      </c>
      <c r="K397" s="1">
        <v>99</v>
      </c>
      <c r="L397" s="1" t="s">
        <v>4454</v>
      </c>
      <c r="M397" s="1">
        <v>99</v>
      </c>
      <c r="N397" s="1" t="s">
        <v>4454</v>
      </c>
    </row>
    <row r="398" spans="1:14" x14ac:dyDescent="0.15">
      <c r="A398" s="1">
        <v>43</v>
      </c>
      <c r="B398" s="1" t="s">
        <v>4450</v>
      </c>
      <c r="C398" s="1" t="s">
        <v>4451</v>
      </c>
      <c r="D398" s="1" t="s">
        <v>4450</v>
      </c>
      <c r="E398" s="1" t="s">
        <v>4451</v>
      </c>
      <c r="F398" s="1" t="s">
        <v>4450</v>
      </c>
      <c r="G398" s="1" t="s">
        <v>4452</v>
      </c>
      <c r="H398" s="1" t="s">
        <v>4450</v>
      </c>
      <c r="I398" s="1" t="s">
        <v>12831</v>
      </c>
      <c r="J398" s="1" t="s">
        <v>5271</v>
      </c>
      <c r="K398" s="1">
        <v>99</v>
      </c>
      <c r="L398" s="1" t="s">
        <v>4454</v>
      </c>
      <c r="M398" s="1">
        <v>99</v>
      </c>
      <c r="N398" s="1" t="s">
        <v>4454</v>
      </c>
    </row>
    <row r="399" spans="1:14" x14ac:dyDescent="0.15">
      <c r="A399" s="1">
        <v>43</v>
      </c>
      <c r="B399" s="1" t="s">
        <v>4450</v>
      </c>
      <c r="C399" s="1" t="s">
        <v>4451</v>
      </c>
      <c r="D399" s="1" t="s">
        <v>4450</v>
      </c>
      <c r="E399" s="1" t="s">
        <v>4451</v>
      </c>
      <c r="F399" s="1" t="s">
        <v>4450</v>
      </c>
      <c r="G399" s="1" t="s">
        <v>4452</v>
      </c>
      <c r="H399" s="1" t="s">
        <v>4450</v>
      </c>
      <c r="I399" s="1" t="s">
        <v>12835</v>
      </c>
      <c r="J399" s="1" t="s">
        <v>4457</v>
      </c>
      <c r="K399" s="1">
        <v>99</v>
      </c>
      <c r="L399" s="1" t="s">
        <v>4454</v>
      </c>
      <c r="M399" s="1">
        <v>99</v>
      </c>
      <c r="N399" s="1" t="s">
        <v>4454</v>
      </c>
    </row>
    <row r="400" spans="1:14" x14ac:dyDescent="0.15">
      <c r="A400" s="1">
        <v>43</v>
      </c>
      <c r="B400" s="1" t="s">
        <v>4450</v>
      </c>
      <c r="C400" s="1" t="s">
        <v>4451</v>
      </c>
      <c r="D400" s="1" t="s">
        <v>4450</v>
      </c>
      <c r="E400" s="1" t="s">
        <v>4451</v>
      </c>
      <c r="F400" s="1" t="s">
        <v>4450</v>
      </c>
      <c r="G400" s="1" t="s">
        <v>4452</v>
      </c>
      <c r="H400" s="1" t="s">
        <v>4450</v>
      </c>
      <c r="I400" s="1" t="s">
        <v>11601</v>
      </c>
      <c r="J400" s="1" t="s">
        <v>4458</v>
      </c>
      <c r="K400" s="1">
        <v>99</v>
      </c>
      <c r="L400" s="1" t="s">
        <v>4454</v>
      </c>
      <c r="M400" s="1">
        <v>99</v>
      </c>
      <c r="N400" s="1" t="s">
        <v>4454</v>
      </c>
    </row>
    <row r="401" spans="1:14" x14ac:dyDescent="0.15">
      <c r="A401" s="1">
        <v>43</v>
      </c>
      <c r="B401" s="1" t="s">
        <v>4450</v>
      </c>
      <c r="C401" s="1" t="s">
        <v>4451</v>
      </c>
      <c r="D401" s="1" t="s">
        <v>4450</v>
      </c>
      <c r="E401" s="1" t="s">
        <v>4451</v>
      </c>
      <c r="F401" s="1" t="s">
        <v>4450</v>
      </c>
      <c r="G401" s="1" t="s">
        <v>4452</v>
      </c>
      <c r="H401" s="1" t="s">
        <v>4450</v>
      </c>
      <c r="I401" s="1" t="s">
        <v>12839</v>
      </c>
      <c r="J401" s="1" t="s">
        <v>4459</v>
      </c>
      <c r="K401" s="1">
        <v>99</v>
      </c>
      <c r="L401" s="1" t="s">
        <v>4454</v>
      </c>
      <c r="M401" s="1">
        <v>99</v>
      </c>
      <c r="N401" s="1" t="s">
        <v>4454</v>
      </c>
    </row>
    <row r="402" spans="1:14" x14ac:dyDescent="0.15">
      <c r="A402" s="1">
        <v>43</v>
      </c>
      <c r="B402" s="1" t="s">
        <v>4450</v>
      </c>
      <c r="C402" s="1" t="s">
        <v>4451</v>
      </c>
      <c r="D402" s="1" t="s">
        <v>4450</v>
      </c>
      <c r="E402" s="1" t="s">
        <v>4451</v>
      </c>
      <c r="F402" s="1" t="s">
        <v>4450</v>
      </c>
      <c r="G402" s="1" t="s">
        <v>4452</v>
      </c>
      <c r="H402" s="1" t="s">
        <v>4450</v>
      </c>
      <c r="I402" s="1" t="s">
        <v>12895</v>
      </c>
      <c r="J402" s="1" t="s">
        <v>4460</v>
      </c>
      <c r="K402" s="1">
        <v>99</v>
      </c>
      <c r="L402" s="1" t="s">
        <v>4454</v>
      </c>
      <c r="M402" s="1">
        <v>99</v>
      </c>
      <c r="N402" s="1" t="s">
        <v>4454</v>
      </c>
    </row>
    <row r="403" spans="1:14" x14ac:dyDescent="0.15">
      <c r="A403" s="1">
        <v>43</v>
      </c>
      <c r="B403" s="1" t="s">
        <v>4450</v>
      </c>
      <c r="C403" s="1" t="s">
        <v>4451</v>
      </c>
      <c r="D403" s="1" t="s">
        <v>4450</v>
      </c>
      <c r="E403" s="1" t="s">
        <v>4451</v>
      </c>
      <c r="F403" s="1" t="s">
        <v>4450</v>
      </c>
      <c r="G403" s="1" t="s">
        <v>4452</v>
      </c>
      <c r="H403" s="1" t="s">
        <v>4450</v>
      </c>
      <c r="I403" s="1" t="s">
        <v>12899</v>
      </c>
      <c r="J403" s="1" t="s">
        <v>5293</v>
      </c>
      <c r="K403" s="1">
        <v>99</v>
      </c>
      <c r="L403" s="1" t="s">
        <v>4454</v>
      </c>
      <c r="M403" s="1">
        <v>99</v>
      </c>
      <c r="N403" s="1" t="s">
        <v>4454</v>
      </c>
    </row>
    <row r="404" spans="1:14" x14ac:dyDescent="0.15">
      <c r="A404" s="1">
        <v>43</v>
      </c>
      <c r="B404" s="1" t="s">
        <v>4450</v>
      </c>
      <c r="C404" s="1" t="s">
        <v>4451</v>
      </c>
      <c r="D404" s="1" t="s">
        <v>4450</v>
      </c>
      <c r="E404" s="1" t="s">
        <v>4451</v>
      </c>
      <c r="F404" s="1" t="s">
        <v>4450</v>
      </c>
      <c r="G404" s="1" t="s">
        <v>4452</v>
      </c>
      <c r="H404" s="1" t="s">
        <v>4450</v>
      </c>
      <c r="I404" s="1" t="s">
        <v>11827</v>
      </c>
      <c r="J404" s="1" t="s">
        <v>4449</v>
      </c>
      <c r="K404" s="1">
        <v>99</v>
      </c>
      <c r="L404" s="1" t="s">
        <v>4454</v>
      </c>
      <c r="M404" s="1">
        <v>99</v>
      </c>
      <c r="N404" s="1" t="s">
        <v>4454</v>
      </c>
    </row>
    <row r="405" spans="1:14" x14ac:dyDescent="0.15">
      <c r="A405" s="1">
        <v>50</v>
      </c>
      <c r="B405" s="1" t="s">
        <v>4461</v>
      </c>
      <c r="C405" s="1" t="s">
        <v>4462</v>
      </c>
      <c r="D405" s="1" t="s">
        <v>4461</v>
      </c>
      <c r="E405" s="1" t="s">
        <v>4462</v>
      </c>
      <c r="F405" s="1" t="s">
        <v>4461</v>
      </c>
      <c r="G405" s="1" t="s">
        <v>4463</v>
      </c>
      <c r="H405" s="1" t="s">
        <v>4461</v>
      </c>
      <c r="I405" s="1" t="s">
        <v>14102</v>
      </c>
      <c r="J405" s="1" t="s">
        <v>14103</v>
      </c>
      <c r="K405" s="1">
        <v>13</v>
      </c>
      <c r="L405" s="1" t="s">
        <v>4219</v>
      </c>
      <c r="M405" s="1">
        <v>4</v>
      </c>
      <c r="N405" s="1" t="s">
        <v>4194</v>
      </c>
    </row>
    <row r="406" spans="1:14" x14ac:dyDescent="0.15">
      <c r="A406" s="1">
        <v>50</v>
      </c>
      <c r="B406" s="1" t="s">
        <v>4461</v>
      </c>
      <c r="C406" s="1" t="s">
        <v>4462</v>
      </c>
      <c r="D406" s="1" t="s">
        <v>4461</v>
      </c>
      <c r="E406" s="1" t="s">
        <v>4462</v>
      </c>
      <c r="F406" s="1" t="s">
        <v>4461</v>
      </c>
      <c r="G406" s="1" t="s">
        <v>4463</v>
      </c>
      <c r="H406" s="1" t="s">
        <v>4461</v>
      </c>
      <c r="I406" s="1" t="s">
        <v>12734</v>
      </c>
      <c r="J406" s="1" t="s">
        <v>4260</v>
      </c>
      <c r="K406" s="1">
        <v>13</v>
      </c>
      <c r="L406" s="1" t="s">
        <v>4219</v>
      </c>
      <c r="M406" s="1">
        <v>4</v>
      </c>
      <c r="N406" s="1" t="s">
        <v>4194</v>
      </c>
    </row>
    <row r="407" spans="1:14" x14ac:dyDescent="0.15">
      <c r="A407" s="1">
        <v>51</v>
      </c>
      <c r="B407" s="1" t="s">
        <v>4464</v>
      </c>
      <c r="C407" s="1" t="s">
        <v>4465</v>
      </c>
      <c r="D407" s="1" t="s">
        <v>4464</v>
      </c>
      <c r="E407" s="1" t="s">
        <v>4465</v>
      </c>
      <c r="F407" s="1" t="s">
        <v>4464</v>
      </c>
      <c r="G407" s="1" t="s">
        <v>4466</v>
      </c>
      <c r="H407" s="1" t="s">
        <v>4464</v>
      </c>
      <c r="I407" s="1" t="s">
        <v>11602</v>
      </c>
      <c r="J407" s="1" t="s">
        <v>4467</v>
      </c>
      <c r="K407" s="1">
        <v>1</v>
      </c>
      <c r="L407" s="1" t="s">
        <v>4259</v>
      </c>
      <c r="M407" s="1">
        <v>1</v>
      </c>
      <c r="N407" s="1" t="s">
        <v>4318</v>
      </c>
    </row>
    <row r="408" spans="1:14" x14ac:dyDescent="0.15">
      <c r="A408" s="1">
        <v>52</v>
      </c>
      <c r="B408" s="1" t="s">
        <v>4468</v>
      </c>
      <c r="C408" s="1" t="s">
        <v>4469</v>
      </c>
      <c r="D408" s="1" t="s">
        <v>4468</v>
      </c>
      <c r="E408" s="1" t="s">
        <v>4469</v>
      </c>
      <c r="F408" s="1" t="s">
        <v>4468</v>
      </c>
      <c r="G408" s="1" t="s">
        <v>4470</v>
      </c>
      <c r="H408" s="1" t="s">
        <v>4468</v>
      </c>
      <c r="I408" s="1" t="s">
        <v>9586</v>
      </c>
      <c r="J408" s="1" t="s">
        <v>4228</v>
      </c>
      <c r="K408" s="1">
        <v>11</v>
      </c>
      <c r="L408" s="1" t="s">
        <v>4227</v>
      </c>
      <c r="M408" s="1">
        <v>14</v>
      </c>
      <c r="N408" s="1" t="s">
        <v>4220</v>
      </c>
    </row>
    <row r="409" spans="1:14" x14ac:dyDescent="0.15">
      <c r="A409" s="1">
        <v>52</v>
      </c>
      <c r="B409" s="1" t="s">
        <v>4468</v>
      </c>
      <c r="C409" s="1" t="s">
        <v>4469</v>
      </c>
      <c r="D409" s="1" t="s">
        <v>4468</v>
      </c>
      <c r="E409" s="1" t="s">
        <v>4469</v>
      </c>
      <c r="F409" s="1" t="s">
        <v>4468</v>
      </c>
      <c r="G409" s="1" t="s">
        <v>4470</v>
      </c>
      <c r="H409" s="1" t="s">
        <v>4468</v>
      </c>
      <c r="I409" s="1" t="s">
        <v>7669</v>
      </c>
      <c r="J409" s="1" t="s">
        <v>4471</v>
      </c>
      <c r="K409" s="1">
        <v>11</v>
      </c>
      <c r="L409" s="1" t="s">
        <v>4227</v>
      </c>
      <c r="M409" s="1">
        <v>14</v>
      </c>
      <c r="N409" s="1" t="s">
        <v>4220</v>
      </c>
    </row>
    <row r="410" spans="1:14" x14ac:dyDescent="0.15">
      <c r="A410" s="1">
        <v>52</v>
      </c>
      <c r="B410" s="1" t="s">
        <v>4468</v>
      </c>
      <c r="C410" s="1" t="s">
        <v>4469</v>
      </c>
      <c r="D410" s="1" t="s">
        <v>4468</v>
      </c>
      <c r="E410" s="1" t="s">
        <v>4469</v>
      </c>
      <c r="F410" s="1" t="s">
        <v>4468</v>
      </c>
      <c r="G410" s="1" t="s">
        <v>4470</v>
      </c>
      <c r="H410" s="1" t="s">
        <v>4468</v>
      </c>
      <c r="I410" s="1" t="s">
        <v>9994</v>
      </c>
      <c r="J410" s="1" t="s">
        <v>4472</v>
      </c>
      <c r="K410" s="1">
        <v>11</v>
      </c>
      <c r="L410" s="1" t="s">
        <v>4227</v>
      </c>
      <c r="M410" s="1">
        <v>14</v>
      </c>
      <c r="N410" s="1" t="s">
        <v>4220</v>
      </c>
    </row>
    <row r="411" spans="1:14" x14ac:dyDescent="0.15">
      <c r="A411" s="1">
        <v>52</v>
      </c>
      <c r="B411" s="1" t="s">
        <v>4468</v>
      </c>
      <c r="C411" s="1" t="s">
        <v>4469</v>
      </c>
      <c r="D411" s="1" t="s">
        <v>4468</v>
      </c>
      <c r="E411" s="1" t="s">
        <v>4469</v>
      </c>
      <c r="F411" s="1" t="s">
        <v>4468</v>
      </c>
      <c r="G411" s="1" t="s">
        <v>4470</v>
      </c>
      <c r="H411" s="1" t="s">
        <v>4468</v>
      </c>
      <c r="I411" s="1" t="s">
        <v>7676</v>
      </c>
      <c r="J411" s="1" t="s">
        <v>4473</v>
      </c>
      <c r="K411" s="1">
        <v>11</v>
      </c>
      <c r="L411" s="1" t="s">
        <v>4227</v>
      </c>
      <c r="M411" s="1">
        <v>14</v>
      </c>
      <c r="N411" s="1" t="s">
        <v>4220</v>
      </c>
    </row>
    <row r="412" spans="1:14" x14ac:dyDescent="0.15">
      <c r="A412" s="1">
        <v>52</v>
      </c>
      <c r="B412" s="1" t="s">
        <v>4468</v>
      </c>
      <c r="C412" s="1" t="s">
        <v>4469</v>
      </c>
      <c r="D412" s="1" t="s">
        <v>4468</v>
      </c>
      <c r="E412" s="1" t="s">
        <v>4469</v>
      </c>
      <c r="F412" s="1" t="s">
        <v>4468</v>
      </c>
      <c r="G412" s="1" t="s">
        <v>4470</v>
      </c>
      <c r="H412" s="1" t="s">
        <v>4468</v>
      </c>
      <c r="I412" s="1" t="s">
        <v>9589</v>
      </c>
      <c r="J412" s="1" t="s">
        <v>17533</v>
      </c>
      <c r="K412" s="1">
        <v>11</v>
      </c>
      <c r="L412" s="1" t="s">
        <v>4227</v>
      </c>
      <c r="M412" s="1">
        <v>14</v>
      </c>
      <c r="N412" s="1" t="s">
        <v>4220</v>
      </c>
    </row>
    <row r="413" spans="1:14" x14ac:dyDescent="0.15">
      <c r="A413" s="1">
        <v>52</v>
      </c>
      <c r="B413" s="1" t="s">
        <v>4468</v>
      </c>
      <c r="C413" s="1" t="s">
        <v>4469</v>
      </c>
      <c r="D413" s="1" t="s">
        <v>4468</v>
      </c>
      <c r="E413" s="1" t="s">
        <v>4469</v>
      </c>
      <c r="F413" s="1" t="s">
        <v>4468</v>
      </c>
      <c r="G413" s="1" t="s">
        <v>4470</v>
      </c>
      <c r="H413" s="1" t="s">
        <v>4468</v>
      </c>
      <c r="I413" s="1" t="s">
        <v>7696</v>
      </c>
      <c r="J413" s="1" t="s">
        <v>6710</v>
      </c>
      <c r="K413" s="1">
        <v>11</v>
      </c>
      <c r="L413" s="1" t="s">
        <v>4227</v>
      </c>
      <c r="M413" s="1">
        <v>14</v>
      </c>
      <c r="N413" s="1" t="s">
        <v>4220</v>
      </c>
    </row>
    <row r="414" spans="1:14" x14ac:dyDescent="0.15">
      <c r="A414" s="1">
        <v>53</v>
      </c>
      <c r="B414" s="1" t="s">
        <v>4474</v>
      </c>
      <c r="C414" s="1" t="s">
        <v>4475</v>
      </c>
      <c r="D414" s="1" t="s">
        <v>4474</v>
      </c>
      <c r="E414" s="1" t="s">
        <v>4475</v>
      </c>
      <c r="F414" s="1" t="s">
        <v>4474</v>
      </c>
      <c r="G414" s="1" t="s">
        <v>4476</v>
      </c>
      <c r="H414" s="1" t="s">
        <v>4474</v>
      </c>
      <c r="I414" s="1" t="s">
        <v>7669</v>
      </c>
      <c r="J414" s="1" t="s">
        <v>4471</v>
      </c>
      <c r="K414" s="1">
        <v>7</v>
      </c>
      <c r="L414" s="1" t="s">
        <v>4299</v>
      </c>
      <c r="M414" s="1">
        <v>13</v>
      </c>
      <c r="N414" s="1" t="s">
        <v>4300</v>
      </c>
    </row>
    <row r="415" spans="1:14" x14ac:dyDescent="0.15">
      <c r="A415" s="1">
        <v>53</v>
      </c>
      <c r="B415" s="1" t="s">
        <v>4474</v>
      </c>
      <c r="C415" s="1" t="s">
        <v>4475</v>
      </c>
      <c r="D415" s="1" t="s">
        <v>4474</v>
      </c>
      <c r="E415" s="1" t="s">
        <v>4475</v>
      </c>
      <c r="F415" s="1" t="s">
        <v>4474</v>
      </c>
      <c r="G415" s="1" t="s">
        <v>4476</v>
      </c>
      <c r="H415" s="1" t="s">
        <v>4474</v>
      </c>
      <c r="I415" s="1" t="s">
        <v>9994</v>
      </c>
      <c r="J415" s="1" t="s">
        <v>4472</v>
      </c>
      <c r="K415" s="1">
        <v>7</v>
      </c>
      <c r="L415" s="1" t="s">
        <v>4299</v>
      </c>
      <c r="M415" s="1">
        <v>13</v>
      </c>
      <c r="N415" s="1" t="s">
        <v>4300</v>
      </c>
    </row>
    <row r="416" spans="1:14" x14ac:dyDescent="0.15">
      <c r="A416" s="1">
        <v>53</v>
      </c>
      <c r="B416" s="1" t="s">
        <v>4474</v>
      </c>
      <c r="C416" s="1" t="s">
        <v>4475</v>
      </c>
      <c r="D416" s="1" t="s">
        <v>4474</v>
      </c>
      <c r="E416" s="1" t="s">
        <v>4475</v>
      </c>
      <c r="F416" s="1" t="s">
        <v>4474</v>
      </c>
      <c r="G416" s="1" t="s">
        <v>4476</v>
      </c>
      <c r="H416" s="1" t="s">
        <v>4474</v>
      </c>
      <c r="J416" s="1" t="s">
        <v>6723</v>
      </c>
      <c r="K416" s="1">
        <v>7</v>
      </c>
      <c r="L416" s="1" t="s">
        <v>4299</v>
      </c>
      <c r="M416" s="1">
        <v>13</v>
      </c>
      <c r="N416" s="1" t="s">
        <v>4300</v>
      </c>
    </row>
    <row r="417" spans="1:14" x14ac:dyDescent="0.15">
      <c r="A417" s="1">
        <v>54</v>
      </c>
      <c r="B417" s="1" t="s">
        <v>4477</v>
      </c>
      <c r="C417" s="1" t="s">
        <v>4478</v>
      </c>
      <c r="D417" s="1" t="s">
        <v>4477</v>
      </c>
      <c r="E417" s="1" t="s">
        <v>4478</v>
      </c>
      <c r="F417" s="1" t="s">
        <v>4477</v>
      </c>
      <c r="G417" s="1" t="s">
        <v>4479</v>
      </c>
      <c r="H417" s="1" t="s">
        <v>4477</v>
      </c>
      <c r="I417" s="1" t="s">
        <v>11879</v>
      </c>
      <c r="J417" s="1" t="s">
        <v>4278</v>
      </c>
      <c r="K417" s="1">
        <v>5</v>
      </c>
      <c r="L417" s="1" t="s">
        <v>4206</v>
      </c>
      <c r="M417" s="1">
        <v>6</v>
      </c>
      <c r="N417" s="1" t="s">
        <v>4207</v>
      </c>
    </row>
    <row r="418" spans="1:14" x14ac:dyDescent="0.15">
      <c r="A418" s="1">
        <v>54</v>
      </c>
      <c r="B418" s="1" t="s">
        <v>4477</v>
      </c>
      <c r="C418" s="1" t="s">
        <v>4480</v>
      </c>
      <c r="D418" s="1" t="s">
        <v>4481</v>
      </c>
      <c r="E418" s="1" t="s">
        <v>4480</v>
      </c>
      <c r="F418" s="1" t="s">
        <v>4481</v>
      </c>
      <c r="G418" s="1" t="s">
        <v>4482</v>
      </c>
      <c r="H418" s="1" t="s">
        <v>4481</v>
      </c>
      <c r="I418" s="1" t="s">
        <v>8253</v>
      </c>
      <c r="J418" s="1" t="s">
        <v>4483</v>
      </c>
      <c r="K418" s="1">
        <v>5</v>
      </c>
      <c r="L418" s="1" t="s">
        <v>4206</v>
      </c>
      <c r="M418" s="1">
        <v>6</v>
      </c>
      <c r="N418" s="1" t="s">
        <v>4207</v>
      </c>
    </row>
    <row r="419" spans="1:14" x14ac:dyDescent="0.15">
      <c r="A419" s="1">
        <v>54</v>
      </c>
      <c r="B419" s="1" t="s">
        <v>4477</v>
      </c>
      <c r="C419" s="1" t="s">
        <v>4480</v>
      </c>
      <c r="D419" s="1" t="s">
        <v>4481</v>
      </c>
      <c r="E419" s="1" t="s">
        <v>4480</v>
      </c>
      <c r="F419" s="1" t="s">
        <v>4481</v>
      </c>
      <c r="G419" s="1" t="s">
        <v>4482</v>
      </c>
      <c r="H419" s="1" t="s">
        <v>4481</v>
      </c>
      <c r="I419" s="1" t="s">
        <v>7669</v>
      </c>
      <c r="J419" s="1" t="s">
        <v>5256</v>
      </c>
      <c r="K419" s="1">
        <v>5</v>
      </c>
      <c r="L419" s="1" t="s">
        <v>4206</v>
      </c>
      <c r="M419" s="1">
        <v>6</v>
      </c>
      <c r="N419" s="1" t="s">
        <v>4207</v>
      </c>
    </row>
    <row r="420" spans="1:14" x14ac:dyDescent="0.15">
      <c r="A420" s="1">
        <v>54</v>
      </c>
      <c r="B420" s="1" t="s">
        <v>4477</v>
      </c>
      <c r="C420" s="1" t="s">
        <v>4480</v>
      </c>
      <c r="D420" s="1" t="s">
        <v>4481</v>
      </c>
      <c r="E420" s="1" t="s">
        <v>4480</v>
      </c>
      <c r="F420" s="1" t="s">
        <v>4481</v>
      </c>
      <c r="G420" s="1" t="s">
        <v>4484</v>
      </c>
      <c r="H420" s="1" t="s">
        <v>4485</v>
      </c>
      <c r="I420" s="1" t="s">
        <v>8253</v>
      </c>
      <c r="J420" s="1" t="s">
        <v>4483</v>
      </c>
      <c r="K420" s="1">
        <v>5</v>
      </c>
      <c r="L420" s="1" t="s">
        <v>4206</v>
      </c>
      <c r="M420" s="1">
        <v>6</v>
      </c>
      <c r="N420" s="1" t="s">
        <v>4207</v>
      </c>
    </row>
    <row r="421" spans="1:14" x14ac:dyDescent="0.15">
      <c r="A421" s="1">
        <v>54</v>
      </c>
      <c r="B421" s="1" t="s">
        <v>4477</v>
      </c>
      <c r="C421" s="1" t="s">
        <v>4480</v>
      </c>
      <c r="D421" s="1" t="s">
        <v>4481</v>
      </c>
      <c r="E421" s="1" t="s">
        <v>4480</v>
      </c>
      <c r="F421" s="1" t="s">
        <v>4481</v>
      </c>
      <c r="G421" s="1" t="s">
        <v>4486</v>
      </c>
      <c r="H421" s="1" t="s">
        <v>4487</v>
      </c>
      <c r="I421" s="1" t="s">
        <v>7669</v>
      </c>
      <c r="J421" s="1" t="s">
        <v>5256</v>
      </c>
      <c r="K421" s="1">
        <v>5</v>
      </c>
      <c r="L421" s="1" t="s">
        <v>4206</v>
      </c>
      <c r="M421" s="1">
        <v>6</v>
      </c>
      <c r="N421" s="1" t="s">
        <v>4207</v>
      </c>
    </row>
    <row r="422" spans="1:14" x14ac:dyDescent="0.15">
      <c r="A422" s="1">
        <v>54</v>
      </c>
      <c r="B422" s="1" t="s">
        <v>4477</v>
      </c>
      <c r="C422" s="1" t="s">
        <v>4488</v>
      </c>
      <c r="D422" s="1" t="s">
        <v>4489</v>
      </c>
      <c r="E422" s="1" t="s">
        <v>4488</v>
      </c>
      <c r="F422" s="1" t="s">
        <v>4489</v>
      </c>
      <c r="G422" s="1" t="s">
        <v>4490</v>
      </c>
      <c r="H422" s="1" t="s">
        <v>4489</v>
      </c>
      <c r="I422" s="1" t="s">
        <v>7669</v>
      </c>
      <c r="J422" s="1" t="s">
        <v>5256</v>
      </c>
      <c r="K422" s="1">
        <v>5</v>
      </c>
      <c r="L422" s="1" t="s">
        <v>4206</v>
      </c>
      <c r="M422" s="1">
        <v>6</v>
      </c>
      <c r="N422" s="1" t="s">
        <v>4207</v>
      </c>
    </row>
    <row r="423" spans="1:14" x14ac:dyDescent="0.15">
      <c r="A423" s="1">
        <v>56</v>
      </c>
      <c r="B423" s="1" t="s">
        <v>4491</v>
      </c>
      <c r="C423" s="1" t="s">
        <v>4492</v>
      </c>
      <c r="D423" s="1" t="s">
        <v>4491</v>
      </c>
      <c r="E423" s="1" t="s">
        <v>4492</v>
      </c>
      <c r="F423" s="1" t="s">
        <v>4491</v>
      </c>
      <c r="G423" s="1" t="s">
        <v>4493</v>
      </c>
      <c r="H423" s="1" t="s">
        <v>4491</v>
      </c>
      <c r="I423" s="1" t="s">
        <v>4494</v>
      </c>
      <c r="J423" s="1" t="s">
        <v>4495</v>
      </c>
      <c r="K423" s="1">
        <v>9</v>
      </c>
      <c r="L423" s="1" t="s">
        <v>4199</v>
      </c>
      <c r="M423" s="1">
        <v>7</v>
      </c>
      <c r="N423" s="1" t="s">
        <v>4200</v>
      </c>
    </row>
    <row r="424" spans="1:14" x14ac:dyDescent="0.15">
      <c r="A424" s="1">
        <v>56</v>
      </c>
      <c r="B424" s="1" t="s">
        <v>4491</v>
      </c>
      <c r="C424" s="1" t="s">
        <v>4492</v>
      </c>
      <c r="D424" s="1" t="s">
        <v>4491</v>
      </c>
      <c r="E424" s="1" t="s">
        <v>4492</v>
      </c>
      <c r="F424" s="1" t="s">
        <v>4496</v>
      </c>
      <c r="G424" s="1" t="s">
        <v>4497</v>
      </c>
      <c r="H424" s="1" t="s">
        <v>4496</v>
      </c>
      <c r="I424" s="1" t="s">
        <v>4494</v>
      </c>
      <c r="J424" s="1" t="s">
        <v>4495</v>
      </c>
      <c r="K424" s="1">
        <v>9</v>
      </c>
      <c r="L424" s="1" t="s">
        <v>4199</v>
      </c>
      <c r="M424" s="1">
        <v>7</v>
      </c>
      <c r="N424" s="1" t="s">
        <v>4200</v>
      </c>
    </row>
    <row r="425" spans="1:14" x14ac:dyDescent="0.15">
      <c r="A425" s="1">
        <v>56</v>
      </c>
      <c r="B425" s="1" t="s">
        <v>4491</v>
      </c>
      <c r="C425" s="1" t="s">
        <v>4492</v>
      </c>
      <c r="D425" s="1" t="s">
        <v>4491</v>
      </c>
      <c r="E425" s="1" t="s">
        <v>4492</v>
      </c>
      <c r="F425" s="1" t="s">
        <v>4498</v>
      </c>
      <c r="G425" s="1" t="s">
        <v>4499</v>
      </c>
      <c r="H425" s="1" t="s">
        <v>4498</v>
      </c>
      <c r="I425" s="1" t="s">
        <v>4494</v>
      </c>
      <c r="J425" s="1" t="s">
        <v>4495</v>
      </c>
      <c r="K425" s="1">
        <v>9</v>
      </c>
      <c r="L425" s="1" t="s">
        <v>4199</v>
      </c>
      <c r="M425" s="1">
        <v>7</v>
      </c>
      <c r="N425" s="1" t="s">
        <v>4200</v>
      </c>
    </row>
    <row r="426" spans="1:14" x14ac:dyDescent="0.15">
      <c r="A426" s="1">
        <v>56</v>
      </c>
      <c r="B426" s="1" t="s">
        <v>4491</v>
      </c>
      <c r="C426" s="1" t="s">
        <v>4492</v>
      </c>
      <c r="D426" s="1" t="s">
        <v>4491</v>
      </c>
      <c r="E426" s="1" t="s">
        <v>4492</v>
      </c>
      <c r="F426" s="1" t="s">
        <v>4500</v>
      </c>
      <c r="G426" s="1" t="s">
        <v>4501</v>
      </c>
      <c r="H426" s="1" t="s">
        <v>4500</v>
      </c>
      <c r="I426" s="1" t="s">
        <v>4494</v>
      </c>
      <c r="J426" s="1" t="s">
        <v>4495</v>
      </c>
      <c r="K426" s="1">
        <v>9</v>
      </c>
      <c r="L426" s="1" t="s">
        <v>4199</v>
      </c>
      <c r="M426" s="1">
        <v>7</v>
      </c>
      <c r="N426" s="1" t="s">
        <v>4200</v>
      </c>
    </row>
    <row r="427" spans="1:14" x14ac:dyDescent="0.15">
      <c r="A427" s="1">
        <v>56</v>
      </c>
      <c r="B427" s="1" t="s">
        <v>4491</v>
      </c>
      <c r="C427" s="1" t="s">
        <v>4492</v>
      </c>
      <c r="D427" s="1" t="s">
        <v>4491</v>
      </c>
      <c r="E427" s="1" t="s">
        <v>4492</v>
      </c>
      <c r="F427" s="1" t="s">
        <v>4502</v>
      </c>
      <c r="G427" s="1" t="s">
        <v>4503</v>
      </c>
      <c r="H427" s="1" t="s">
        <v>4502</v>
      </c>
      <c r="I427" s="1" t="s">
        <v>4494</v>
      </c>
      <c r="J427" s="1" t="s">
        <v>4495</v>
      </c>
      <c r="K427" s="1">
        <v>9</v>
      </c>
      <c r="L427" s="1" t="s">
        <v>4199</v>
      </c>
      <c r="M427" s="1">
        <v>7</v>
      </c>
      <c r="N427" s="1" t="s">
        <v>4200</v>
      </c>
    </row>
    <row r="428" spans="1:14" x14ac:dyDescent="0.15">
      <c r="A428" s="1">
        <v>56</v>
      </c>
      <c r="B428" s="1" t="s">
        <v>4491</v>
      </c>
      <c r="C428" s="1" t="s">
        <v>4492</v>
      </c>
      <c r="D428" s="1" t="s">
        <v>4491</v>
      </c>
      <c r="E428" s="1" t="s">
        <v>4492</v>
      </c>
      <c r="F428" s="1" t="s">
        <v>4504</v>
      </c>
      <c r="G428" s="1" t="s">
        <v>4505</v>
      </c>
      <c r="H428" s="1" t="s">
        <v>4504</v>
      </c>
      <c r="I428" s="1" t="s">
        <v>4494</v>
      </c>
      <c r="J428" s="1" t="s">
        <v>4495</v>
      </c>
      <c r="K428" s="1">
        <v>9</v>
      </c>
      <c r="L428" s="1" t="s">
        <v>4199</v>
      </c>
      <c r="M428" s="1">
        <v>7</v>
      </c>
      <c r="N428" s="1" t="s">
        <v>4200</v>
      </c>
    </row>
    <row r="429" spans="1:14" x14ac:dyDescent="0.15">
      <c r="A429" s="1">
        <v>56</v>
      </c>
      <c r="B429" s="1" t="s">
        <v>4491</v>
      </c>
      <c r="C429" s="1" t="s">
        <v>4492</v>
      </c>
      <c r="D429" s="1" t="s">
        <v>4491</v>
      </c>
      <c r="E429" s="1" t="s">
        <v>4492</v>
      </c>
      <c r="F429" s="1" t="s">
        <v>4506</v>
      </c>
      <c r="G429" s="1" t="s">
        <v>4507</v>
      </c>
      <c r="H429" s="1" t="s">
        <v>4506</v>
      </c>
      <c r="I429" s="1" t="s">
        <v>4494</v>
      </c>
      <c r="J429" s="1" t="s">
        <v>4495</v>
      </c>
      <c r="K429" s="1">
        <v>9</v>
      </c>
      <c r="L429" s="1" t="s">
        <v>4199</v>
      </c>
      <c r="M429" s="1">
        <v>8</v>
      </c>
      <c r="N429" s="1" t="s">
        <v>4255</v>
      </c>
    </row>
    <row r="430" spans="1:14" x14ac:dyDescent="0.15">
      <c r="A430" s="1">
        <v>60</v>
      </c>
      <c r="B430" s="1" t="s">
        <v>4508</v>
      </c>
      <c r="C430" s="1" t="s">
        <v>4509</v>
      </c>
      <c r="D430" s="1" t="s">
        <v>4508</v>
      </c>
      <c r="E430" s="1" t="s">
        <v>4509</v>
      </c>
      <c r="F430" s="1" t="s">
        <v>4508</v>
      </c>
      <c r="G430" s="1" t="s">
        <v>4510</v>
      </c>
      <c r="H430" s="1" t="s">
        <v>4508</v>
      </c>
      <c r="I430" s="1" t="s">
        <v>16821</v>
      </c>
      <c r="J430" s="1" t="s">
        <v>16818</v>
      </c>
      <c r="K430" s="1">
        <v>3</v>
      </c>
      <c r="L430" s="1" t="s">
        <v>4282</v>
      </c>
      <c r="M430" s="1">
        <v>2</v>
      </c>
      <c r="N430" s="1" t="s">
        <v>4283</v>
      </c>
    </row>
    <row r="431" spans="1:14" x14ac:dyDescent="0.15">
      <c r="A431" s="1">
        <v>60</v>
      </c>
      <c r="B431" s="1" t="s">
        <v>4508</v>
      </c>
      <c r="C431" s="1" t="s">
        <v>4509</v>
      </c>
      <c r="D431" s="1" t="s">
        <v>4508</v>
      </c>
      <c r="E431" s="1" t="s">
        <v>4509</v>
      </c>
      <c r="F431" s="1" t="s">
        <v>4508</v>
      </c>
      <c r="G431" s="1" t="s">
        <v>4510</v>
      </c>
      <c r="H431" s="1" t="s">
        <v>4508</v>
      </c>
      <c r="I431" s="1" t="s">
        <v>16828</v>
      </c>
      <c r="J431" s="1" t="s">
        <v>16825</v>
      </c>
      <c r="K431" s="1">
        <v>3</v>
      </c>
      <c r="L431" s="1" t="s">
        <v>4282</v>
      </c>
      <c r="M431" s="1">
        <v>2</v>
      </c>
      <c r="N431" s="1" t="s">
        <v>4283</v>
      </c>
    </row>
    <row r="432" spans="1:14" x14ac:dyDescent="0.15">
      <c r="A432" s="1">
        <v>60</v>
      </c>
      <c r="B432" s="1" t="s">
        <v>4508</v>
      </c>
      <c r="C432" s="1" t="s">
        <v>4509</v>
      </c>
      <c r="D432" s="1" t="s">
        <v>4508</v>
      </c>
      <c r="E432" s="1" t="s">
        <v>4509</v>
      </c>
      <c r="F432" s="1" t="s">
        <v>4508</v>
      </c>
      <c r="G432" s="1" t="s">
        <v>4510</v>
      </c>
      <c r="H432" s="1" t="s">
        <v>4508</v>
      </c>
      <c r="I432" s="1" t="s">
        <v>12661</v>
      </c>
      <c r="J432" s="1" t="s">
        <v>4370</v>
      </c>
      <c r="K432" s="1">
        <v>3</v>
      </c>
      <c r="L432" s="1" t="s">
        <v>4282</v>
      </c>
      <c r="M432" s="1">
        <v>2</v>
      </c>
      <c r="N432" s="1" t="s">
        <v>4283</v>
      </c>
    </row>
    <row r="433" spans="1:14" x14ac:dyDescent="0.15">
      <c r="A433" s="1">
        <v>60</v>
      </c>
      <c r="B433" s="1" t="s">
        <v>4508</v>
      </c>
      <c r="C433" s="1" t="s">
        <v>4509</v>
      </c>
      <c r="D433" s="1" t="s">
        <v>4508</v>
      </c>
      <c r="E433" s="1" t="s">
        <v>4509</v>
      </c>
      <c r="F433" s="1" t="s">
        <v>4508</v>
      </c>
      <c r="G433" s="1" t="s">
        <v>4510</v>
      </c>
      <c r="H433" s="1" t="s">
        <v>4508</v>
      </c>
      <c r="I433" s="1" t="s">
        <v>10452</v>
      </c>
      <c r="J433" s="1" t="s">
        <v>4373</v>
      </c>
      <c r="K433" s="1">
        <v>3</v>
      </c>
      <c r="L433" s="1" t="s">
        <v>4282</v>
      </c>
      <c r="M433" s="1">
        <v>2</v>
      </c>
      <c r="N433" s="1" t="s">
        <v>4283</v>
      </c>
    </row>
    <row r="434" spans="1:14" x14ac:dyDescent="0.15">
      <c r="A434" s="1">
        <v>84</v>
      </c>
      <c r="B434" s="1" t="s">
        <v>4229</v>
      </c>
      <c r="C434" s="1" t="s">
        <v>4230</v>
      </c>
      <c r="D434" s="1" t="s">
        <v>4229</v>
      </c>
      <c r="E434" s="1" t="s">
        <v>4230</v>
      </c>
      <c r="F434" s="1" t="s">
        <v>4229</v>
      </c>
      <c r="G434" s="1" t="s">
        <v>4231</v>
      </c>
      <c r="H434" s="1" t="s">
        <v>4229</v>
      </c>
      <c r="I434" s="1" t="s">
        <v>12847</v>
      </c>
      <c r="J434" s="1" t="s">
        <v>12848</v>
      </c>
      <c r="K434" s="1">
        <v>5</v>
      </c>
      <c r="L434" s="1" t="s">
        <v>4206</v>
      </c>
      <c r="M434" s="1">
        <v>6</v>
      </c>
      <c r="N434" s="1" t="s">
        <v>4207</v>
      </c>
    </row>
    <row r="435" spans="1:14" x14ac:dyDescent="0.15">
      <c r="A435" s="1">
        <v>60</v>
      </c>
      <c r="B435" s="1" t="s">
        <v>4508</v>
      </c>
      <c r="C435" s="1" t="s">
        <v>4509</v>
      </c>
      <c r="D435" s="1" t="s">
        <v>4508</v>
      </c>
      <c r="E435" s="1" t="s">
        <v>4509</v>
      </c>
      <c r="F435" s="1" t="s">
        <v>4508</v>
      </c>
      <c r="G435" s="1" t="s">
        <v>4510</v>
      </c>
      <c r="H435" s="1" t="s">
        <v>4508</v>
      </c>
      <c r="I435" s="1" t="s">
        <v>15934</v>
      </c>
      <c r="J435" s="1" t="s">
        <v>5759</v>
      </c>
      <c r="K435" s="1">
        <v>3</v>
      </c>
      <c r="L435" s="1" t="s">
        <v>4282</v>
      </c>
      <c r="M435" s="1">
        <v>2</v>
      </c>
      <c r="N435" s="1" t="s">
        <v>4283</v>
      </c>
    </row>
    <row r="436" spans="1:14" x14ac:dyDescent="0.15">
      <c r="A436" s="1">
        <v>60</v>
      </c>
      <c r="B436" s="1" t="s">
        <v>4508</v>
      </c>
      <c r="C436" s="1" t="s">
        <v>4509</v>
      </c>
      <c r="D436" s="1" t="s">
        <v>4508</v>
      </c>
      <c r="E436" s="1" t="s">
        <v>4509</v>
      </c>
      <c r="F436" s="1" t="s">
        <v>4508</v>
      </c>
      <c r="G436" s="1" t="s">
        <v>4510</v>
      </c>
      <c r="H436" s="1" t="s">
        <v>4508</v>
      </c>
      <c r="I436" s="1" t="s">
        <v>12722</v>
      </c>
      <c r="J436" s="1" t="s">
        <v>4448</v>
      </c>
      <c r="K436" s="1">
        <v>3</v>
      </c>
      <c r="L436" s="1" t="s">
        <v>4282</v>
      </c>
      <c r="M436" s="1">
        <v>2</v>
      </c>
      <c r="N436" s="1" t="s">
        <v>4283</v>
      </c>
    </row>
    <row r="437" spans="1:14" x14ac:dyDescent="0.15">
      <c r="A437" s="1">
        <v>60</v>
      </c>
      <c r="B437" s="1" t="s">
        <v>4508</v>
      </c>
      <c r="C437" s="1" t="s">
        <v>4509</v>
      </c>
      <c r="D437" s="1" t="s">
        <v>4508</v>
      </c>
      <c r="E437" s="1" t="s">
        <v>4509</v>
      </c>
      <c r="F437" s="1" t="s">
        <v>4508</v>
      </c>
      <c r="G437" s="1" t="s">
        <v>4510</v>
      </c>
      <c r="H437" s="1" t="s">
        <v>4508</v>
      </c>
      <c r="I437" s="1" t="s">
        <v>12730</v>
      </c>
      <c r="J437" s="1" t="s">
        <v>4195</v>
      </c>
      <c r="K437" s="1">
        <v>3</v>
      </c>
      <c r="L437" s="1" t="s">
        <v>4282</v>
      </c>
      <c r="M437" s="1">
        <v>2</v>
      </c>
      <c r="N437" s="1" t="s">
        <v>4283</v>
      </c>
    </row>
    <row r="438" spans="1:14" x14ac:dyDescent="0.15">
      <c r="A438" s="1">
        <v>62</v>
      </c>
      <c r="B438" s="1" t="s">
        <v>4511</v>
      </c>
      <c r="C438" s="1" t="s">
        <v>4512</v>
      </c>
      <c r="D438" s="1" t="s">
        <v>4511</v>
      </c>
      <c r="E438" s="1" t="s">
        <v>4512</v>
      </c>
      <c r="F438" s="1" t="s">
        <v>4511</v>
      </c>
      <c r="G438" s="1" t="s">
        <v>4512</v>
      </c>
      <c r="H438" s="1" t="s">
        <v>4511</v>
      </c>
      <c r="I438" s="1" t="s">
        <v>11879</v>
      </c>
      <c r="J438" s="1" t="s">
        <v>4278</v>
      </c>
      <c r="K438" s="1">
        <v>2</v>
      </c>
      <c r="L438" s="1" t="s">
        <v>4193</v>
      </c>
      <c r="M438" s="1">
        <v>4</v>
      </c>
      <c r="N438" s="1" t="s">
        <v>4194</v>
      </c>
    </row>
    <row r="439" spans="1:14" x14ac:dyDescent="0.15">
      <c r="A439" s="1">
        <v>62</v>
      </c>
      <c r="B439" s="1" t="s">
        <v>4511</v>
      </c>
      <c r="C439" s="1" t="s">
        <v>4513</v>
      </c>
      <c r="D439" s="1" t="s">
        <v>4514</v>
      </c>
      <c r="E439" s="1" t="s">
        <v>4513</v>
      </c>
      <c r="F439" s="1" t="s">
        <v>4514</v>
      </c>
      <c r="G439" s="1" t="s">
        <v>4515</v>
      </c>
      <c r="H439" s="1" t="s">
        <v>4514</v>
      </c>
      <c r="I439" s="1" t="s">
        <v>12907</v>
      </c>
      <c r="J439" s="1" t="s">
        <v>5294</v>
      </c>
      <c r="K439" s="1">
        <v>2</v>
      </c>
      <c r="L439" s="1" t="s">
        <v>4193</v>
      </c>
      <c r="M439" s="1">
        <v>4</v>
      </c>
      <c r="N439" s="1" t="s">
        <v>4194</v>
      </c>
    </row>
    <row r="440" spans="1:14" x14ac:dyDescent="0.15">
      <c r="A440" s="1">
        <v>62</v>
      </c>
      <c r="B440" s="1" t="s">
        <v>4511</v>
      </c>
      <c r="C440" s="1" t="s">
        <v>4513</v>
      </c>
      <c r="D440" s="1" t="s">
        <v>4514</v>
      </c>
      <c r="E440" s="1" t="s">
        <v>4513</v>
      </c>
      <c r="F440" s="1" t="s">
        <v>4514</v>
      </c>
      <c r="G440" s="1" t="s">
        <v>4515</v>
      </c>
      <c r="H440" s="1" t="s">
        <v>4514</v>
      </c>
      <c r="I440" s="1" t="s">
        <v>12910</v>
      </c>
      <c r="J440" s="1" t="s">
        <v>4287</v>
      </c>
      <c r="K440" s="1">
        <v>2</v>
      </c>
      <c r="L440" s="1" t="s">
        <v>4193</v>
      </c>
      <c r="M440" s="1">
        <v>4</v>
      </c>
      <c r="N440" s="1" t="s">
        <v>4194</v>
      </c>
    </row>
    <row r="441" spans="1:14" x14ac:dyDescent="0.15">
      <c r="A441" s="1">
        <v>62</v>
      </c>
      <c r="B441" s="1" t="s">
        <v>4511</v>
      </c>
      <c r="C441" s="1" t="s">
        <v>4513</v>
      </c>
      <c r="D441" s="1" t="s">
        <v>4514</v>
      </c>
      <c r="E441" s="1" t="s">
        <v>4513</v>
      </c>
      <c r="F441" s="1" t="s">
        <v>4514</v>
      </c>
      <c r="G441" s="1" t="s">
        <v>4516</v>
      </c>
      <c r="H441" s="1" t="s">
        <v>4517</v>
      </c>
      <c r="I441" s="1" t="s">
        <v>12907</v>
      </c>
      <c r="J441" s="1" t="s">
        <v>5294</v>
      </c>
      <c r="K441" s="1">
        <v>2</v>
      </c>
      <c r="L441" s="1" t="s">
        <v>4193</v>
      </c>
      <c r="M441" s="1">
        <v>4</v>
      </c>
      <c r="N441" s="1" t="s">
        <v>4194</v>
      </c>
    </row>
    <row r="442" spans="1:14" x14ac:dyDescent="0.15">
      <c r="A442" s="1">
        <v>62</v>
      </c>
      <c r="B442" s="1" t="s">
        <v>4511</v>
      </c>
      <c r="C442" s="1" t="s">
        <v>4513</v>
      </c>
      <c r="D442" s="1" t="s">
        <v>4514</v>
      </c>
      <c r="E442" s="1" t="s">
        <v>4513</v>
      </c>
      <c r="F442" s="1" t="s">
        <v>4514</v>
      </c>
      <c r="G442" s="1" t="s">
        <v>4516</v>
      </c>
      <c r="H442" s="1" t="s">
        <v>4517</v>
      </c>
      <c r="I442" s="1" t="s">
        <v>12910</v>
      </c>
      <c r="J442" s="1" t="s">
        <v>4287</v>
      </c>
      <c r="K442" s="1">
        <v>2</v>
      </c>
      <c r="L442" s="1" t="s">
        <v>4193</v>
      </c>
      <c r="M442" s="1">
        <v>4</v>
      </c>
      <c r="N442" s="1" t="s">
        <v>4194</v>
      </c>
    </row>
    <row r="443" spans="1:14" x14ac:dyDescent="0.15">
      <c r="A443" s="1">
        <v>62</v>
      </c>
      <c r="B443" s="1" t="s">
        <v>4511</v>
      </c>
      <c r="C443" s="1" t="s">
        <v>4513</v>
      </c>
      <c r="D443" s="1" t="s">
        <v>4514</v>
      </c>
      <c r="E443" s="1" t="s">
        <v>4513</v>
      </c>
      <c r="F443" s="1" t="s">
        <v>4514</v>
      </c>
      <c r="G443" s="1" t="s">
        <v>4518</v>
      </c>
      <c r="H443" s="1" t="s">
        <v>4519</v>
      </c>
      <c r="I443" s="1" t="s">
        <v>12907</v>
      </c>
      <c r="J443" s="1" t="s">
        <v>5294</v>
      </c>
      <c r="K443" s="1">
        <v>2</v>
      </c>
      <c r="L443" s="1" t="s">
        <v>4193</v>
      </c>
      <c r="M443" s="1">
        <v>4</v>
      </c>
      <c r="N443" s="1" t="s">
        <v>4194</v>
      </c>
    </row>
    <row r="444" spans="1:14" x14ac:dyDescent="0.15">
      <c r="A444" s="1">
        <v>62</v>
      </c>
      <c r="B444" s="1" t="s">
        <v>4511</v>
      </c>
      <c r="C444" s="1" t="s">
        <v>4513</v>
      </c>
      <c r="D444" s="1" t="s">
        <v>4514</v>
      </c>
      <c r="E444" s="1" t="s">
        <v>4513</v>
      </c>
      <c r="F444" s="1" t="s">
        <v>4514</v>
      </c>
      <c r="G444" s="1" t="s">
        <v>4518</v>
      </c>
      <c r="H444" s="1" t="s">
        <v>4519</v>
      </c>
      <c r="I444" s="1" t="s">
        <v>12910</v>
      </c>
      <c r="J444" s="1" t="s">
        <v>4287</v>
      </c>
      <c r="K444" s="1">
        <v>2</v>
      </c>
      <c r="L444" s="1" t="s">
        <v>4193</v>
      </c>
      <c r="M444" s="1">
        <v>4</v>
      </c>
      <c r="N444" s="1" t="s">
        <v>4194</v>
      </c>
    </row>
    <row r="445" spans="1:14" x14ac:dyDescent="0.15">
      <c r="A445" s="1">
        <v>62</v>
      </c>
      <c r="B445" s="1" t="s">
        <v>4511</v>
      </c>
      <c r="C445" s="1" t="s">
        <v>4520</v>
      </c>
      <c r="D445" s="1" t="s">
        <v>4521</v>
      </c>
      <c r="E445" s="1" t="s">
        <v>4520</v>
      </c>
      <c r="F445" s="1" t="s">
        <v>4521</v>
      </c>
      <c r="G445" s="1" t="s">
        <v>4522</v>
      </c>
      <c r="H445" s="1" t="s">
        <v>4521</v>
      </c>
      <c r="I445" s="1" t="s">
        <v>12907</v>
      </c>
      <c r="J445" s="1" t="s">
        <v>5294</v>
      </c>
      <c r="K445" s="1">
        <v>2</v>
      </c>
      <c r="L445" s="1" t="s">
        <v>4193</v>
      </c>
      <c r="M445" s="1">
        <v>4</v>
      </c>
      <c r="N445" s="1" t="s">
        <v>4194</v>
      </c>
    </row>
    <row r="446" spans="1:14" x14ac:dyDescent="0.15">
      <c r="A446" s="1">
        <v>62</v>
      </c>
      <c r="B446" s="1" t="s">
        <v>4511</v>
      </c>
      <c r="C446" s="1" t="s">
        <v>4520</v>
      </c>
      <c r="D446" s="1" t="s">
        <v>4521</v>
      </c>
      <c r="E446" s="1" t="s">
        <v>4520</v>
      </c>
      <c r="F446" s="1" t="s">
        <v>4521</v>
      </c>
      <c r="G446" s="1" t="s">
        <v>4522</v>
      </c>
      <c r="H446" s="1" t="s">
        <v>4521</v>
      </c>
      <c r="I446" s="1" t="s">
        <v>12910</v>
      </c>
      <c r="J446" s="1" t="s">
        <v>4287</v>
      </c>
      <c r="K446" s="1">
        <v>2</v>
      </c>
      <c r="L446" s="1" t="s">
        <v>4193</v>
      </c>
      <c r="M446" s="1">
        <v>4</v>
      </c>
      <c r="N446" s="1" t="s">
        <v>4194</v>
      </c>
    </row>
    <row r="447" spans="1:14" x14ac:dyDescent="0.15">
      <c r="A447" s="1">
        <v>62</v>
      </c>
      <c r="B447" s="1" t="s">
        <v>4511</v>
      </c>
      <c r="C447" s="1" t="s">
        <v>4523</v>
      </c>
      <c r="D447" s="1" t="s">
        <v>4524</v>
      </c>
      <c r="E447" s="1" t="s">
        <v>4523</v>
      </c>
      <c r="F447" s="1" t="s">
        <v>4524</v>
      </c>
      <c r="G447" s="1" t="s">
        <v>4525</v>
      </c>
      <c r="H447" s="1" t="s">
        <v>4524</v>
      </c>
      <c r="I447" s="1" t="s">
        <v>12907</v>
      </c>
      <c r="J447" s="1" t="s">
        <v>5294</v>
      </c>
      <c r="K447" s="1">
        <v>2</v>
      </c>
      <c r="L447" s="1" t="s">
        <v>4193</v>
      </c>
      <c r="M447" s="1">
        <v>4</v>
      </c>
      <c r="N447" s="1" t="s">
        <v>4194</v>
      </c>
    </row>
    <row r="448" spans="1:14" x14ac:dyDescent="0.15">
      <c r="A448" s="1">
        <v>62</v>
      </c>
      <c r="B448" s="1" t="s">
        <v>4511</v>
      </c>
      <c r="C448" s="1" t="s">
        <v>4523</v>
      </c>
      <c r="D448" s="1" t="s">
        <v>4524</v>
      </c>
      <c r="E448" s="1" t="s">
        <v>4523</v>
      </c>
      <c r="F448" s="1" t="s">
        <v>4524</v>
      </c>
      <c r="G448" s="1" t="s">
        <v>4525</v>
      </c>
      <c r="H448" s="1" t="s">
        <v>4524</v>
      </c>
      <c r="I448" s="1" t="s">
        <v>12914</v>
      </c>
      <c r="J448" s="1" t="s">
        <v>12915</v>
      </c>
      <c r="K448" s="1">
        <v>2</v>
      </c>
      <c r="L448" s="1" t="s">
        <v>4193</v>
      </c>
      <c r="M448" s="1">
        <v>4</v>
      </c>
      <c r="N448" s="1" t="s">
        <v>4194</v>
      </c>
    </row>
    <row r="449" spans="1:14" x14ac:dyDescent="0.15">
      <c r="A449" s="1">
        <v>62</v>
      </c>
      <c r="B449" s="1" t="s">
        <v>4511</v>
      </c>
      <c r="C449" s="1" t="s">
        <v>4526</v>
      </c>
      <c r="D449" s="1" t="s">
        <v>4527</v>
      </c>
      <c r="E449" s="1" t="s">
        <v>4526</v>
      </c>
      <c r="F449" s="1" t="s">
        <v>4527</v>
      </c>
      <c r="G449" s="1" t="s">
        <v>4528</v>
      </c>
      <c r="H449" s="1" t="s">
        <v>4527</v>
      </c>
      <c r="I449" s="1" t="s">
        <v>12907</v>
      </c>
      <c r="J449" s="1" t="s">
        <v>5294</v>
      </c>
      <c r="K449" s="1">
        <v>2</v>
      </c>
      <c r="L449" s="1" t="s">
        <v>4193</v>
      </c>
      <c r="M449" s="1">
        <v>4</v>
      </c>
      <c r="N449" s="1" t="s">
        <v>4194</v>
      </c>
    </row>
    <row r="450" spans="1:14" x14ac:dyDescent="0.15">
      <c r="A450" s="1">
        <v>62</v>
      </c>
      <c r="B450" s="1" t="s">
        <v>4511</v>
      </c>
      <c r="C450" s="1" t="s">
        <v>4526</v>
      </c>
      <c r="D450" s="1" t="s">
        <v>4527</v>
      </c>
      <c r="E450" s="1" t="s">
        <v>4526</v>
      </c>
      <c r="F450" s="1" t="s">
        <v>4527</v>
      </c>
      <c r="G450" s="1" t="s">
        <v>4528</v>
      </c>
      <c r="H450" s="1" t="s">
        <v>4527</v>
      </c>
      <c r="I450" s="1" t="s">
        <v>12910</v>
      </c>
      <c r="J450" s="1" t="s">
        <v>4287</v>
      </c>
      <c r="K450" s="1">
        <v>2</v>
      </c>
      <c r="L450" s="1" t="s">
        <v>4193</v>
      </c>
      <c r="M450" s="1">
        <v>4</v>
      </c>
      <c r="N450" s="1" t="s">
        <v>4194</v>
      </c>
    </row>
    <row r="451" spans="1:14" x14ac:dyDescent="0.15">
      <c r="A451" s="1">
        <v>62</v>
      </c>
      <c r="B451" s="1" t="s">
        <v>4511</v>
      </c>
      <c r="C451" s="1" t="s">
        <v>4526</v>
      </c>
      <c r="D451" s="1" t="s">
        <v>4527</v>
      </c>
      <c r="E451" s="1" t="s">
        <v>4526</v>
      </c>
      <c r="F451" s="1" t="s">
        <v>4527</v>
      </c>
      <c r="G451" s="1" t="s">
        <v>4528</v>
      </c>
      <c r="H451" s="1" t="s">
        <v>4527</v>
      </c>
      <c r="I451" s="1" t="s">
        <v>12914</v>
      </c>
      <c r="J451" s="1" t="s">
        <v>12915</v>
      </c>
      <c r="K451" s="1">
        <v>2</v>
      </c>
      <c r="L451" s="1" t="s">
        <v>4193</v>
      </c>
      <c r="M451" s="1">
        <v>4</v>
      </c>
      <c r="N451" s="1" t="s">
        <v>4194</v>
      </c>
    </row>
    <row r="452" spans="1:14" x14ac:dyDescent="0.15">
      <c r="A452" s="1">
        <v>62</v>
      </c>
      <c r="B452" s="1" t="s">
        <v>4511</v>
      </c>
      <c r="C452" s="1" t="s">
        <v>4526</v>
      </c>
      <c r="D452" s="1" t="s">
        <v>4527</v>
      </c>
      <c r="E452" s="1" t="s">
        <v>4526</v>
      </c>
      <c r="F452" s="1" t="s">
        <v>4527</v>
      </c>
      <c r="G452" s="1" t="s">
        <v>4528</v>
      </c>
      <c r="H452" s="1" t="s">
        <v>4527</v>
      </c>
      <c r="I452" s="1" t="s">
        <v>12918</v>
      </c>
      <c r="J452" s="1" t="s">
        <v>4529</v>
      </c>
      <c r="K452" s="1">
        <v>2</v>
      </c>
      <c r="L452" s="1" t="s">
        <v>4193</v>
      </c>
      <c r="M452" s="1">
        <v>4</v>
      </c>
      <c r="N452" s="1" t="s">
        <v>4194</v>
      </c>
    </row>
    <row r="453" spans="1:14" x14ac:dyDescent="0.15">
      <c r="A453" s="1">
        <v>70</v>
      </c>
      <c r="B453" s="1" t="s">
        <v>4530</v>
      </c>
      <c r="C453" s="1" t="s">
        <v>4531</v>
      </c>
      <c r="D453" s="1" t="s">
        <v>4530</v>
      </c>
      <c r="E453" s="1" t="s">
        <v>4531</v>
      </c>
      <c r="F453" s="1" t="s">
        <v>4530</v>
      </c>
      <c r="G453" s="1" t="s">
        <v>4532</v>
      </c>
      <c r="H453" s="1" t="s">
        <v>4530</v>
      </c>
      <c r="I453" s="1" t="s">
        <v>12738</v>
      </c>
      <c r="J453" s="1" t="s">
        <v>12739</v>
      </c>
      <c r="K453" s="1">
        <v>2</v>
      </c>
      <c r="L453" s="1" t="s">
        <v>4193</v>
      </c>
      <c r="M453" s="1">
        <v>16</v>
      </c>
      <c r="N453" s="1" t="s">
        <v>4308</v>
      </c>
    </row>
    <row r="454" spans="1:14" x14ac:dyDescent="0.15">
      <c r="A454" s="1">
        <v>70</v>
      </c>
      <c r="B454" s="1" t="s">
        <v>4530</v>
      </c>
      <c r="C454" s="1" t="s">
        <v>4531</v>
      </c>
      <c r="D454" s="1" t="s">
        <v>4530</v>
      </c>
      <c r="E454" s="1" t="s">
        <v>4531</v>
      </c>
      <c r="F454" s="1" t="s">
        <v>4530</v>
      </c>
      <c r="G454" s="1" t="s">
        <v>4532</v>
      </c>
      <c r="H454" s="1" t="s">
        <v>4530</v>
      </c>
      <c r="I454" s="1" t="s">
        <v>12746</v>
      </c>
      <c r="J454" s="1" t="s">
        <v>12747</v>
      </c>
      <c r="K454" s="1">
        <v>2</v>
      </c>
      <c r="L454" s="1" t="s">
        <v>4193</v>
      </c>
      <c r="M454" s="1">
        <v>16</v>
      </c>
      <c r="N454" s="1" t="s">
        <v>4308</v>
      </c>
    </row>
    <row r="455" spans="1:14" x14ac:dyDescent="0.15">
      <c r="A455" s="1">
        <v>70</v>
      </c>
      <c r="B455" s="1" t="s">
        <v>4530</v>
      </c>
      <c r="C455" s="1" t="s">
        <v>4531</v>
      </c>
      <c r="D455" s="1" t="s">
        <v>4530</v>
      </c>
      <c r="E455" s="1" t="s">
        <v>4531</v>
      </c>
      <c r="F455" s="1" t="s">
        <v>4530</v>
      </c>
      <c r="G455" s="1" t="s">
        <v>4532</v>
      </c>
      <c r="H455" s="1" t="s">
        <v>4530</v>
      </c>
      <c r="I455" s="1" t="s">
        <v>7861</v>
      </c>
      <c r="J455" s="1" t="s">
        <v>4456</v>
      </c>
      <c r="K455" s="1">
        <v>2</v>
      </c>
      <c r="L455" s="1" t="s">
        <v>4193</v>
      </c>
      <c r="M455" s="1">
        <v>16</v>
      </c>
      <c r="N455" s="1" t="s">
        <v>4308</v>
      </c>
    </row>
    <row r="456" spans="1:14" x14ac:dyDescent="0.15">
      <c r="A456" s="1">
        <v>71</v>
      </c>
      <c r="B456" s="1" t="s">
        <v>4533</v>
      </c>
      <c r="C456" s="1" t="s">
        <v>4534</v>
      </c>
      <c r="D456" s="1" t="s">
        <v>4533</v>
      </c>
      <c r="E456" s="1" t="s">
        <v>4534</v>
      </c>
      <c r="F456" s="1" t="s">
        <v>4533</v>
      </c>
      <c r="G456" s="1" t="s">
        <v>4535</v>
      </c>
      <c r="H456" s="1" t="s">
        <v>4533</v>
      </c>
      <c r="I456" s="1" t="s">
        <v>12722</v>
      </c>
      <c r="J456" s="1" t="s">
        <v>4448</v>
      </c>
      <c r="K456" s="1">
        <v>2</v>
      </c>
      <c r="L456" s="1" t="s">
        <v>4193</v>
      </c>
      <c r="M456" s="1">
        <v>16</v>
      </c>
      <c r="N456" s="1" t="s">
        <v>4308</v>
      </c>
    </row>
    <row r="457" spans="1:14" x14ac:dyDescent="0.15">
      <c r="A457" s="1">
        <v>71</v>
      </c>
      <c r="B457" s="1" t="s">
        <v>4533</v>
      </c>
      <c r="C457" s="1" t="s">
        <v>4534</v>
      </c>
      <c r="D457" s="1" t="s">
        <v>4533</v>
      </c>
      <c r="E457" s="1" t="s">
        <v>4534</v>
      </c>
      <c r="F457" s="1" t="s">
        <v>4533</v>
      </c>
      <c r="G457" s="1" t="s">
        <v>4535</v>
      </c>
      <c r="H457" s="1" t="s">
        <v>4533</v>
      </c>
      <c r="I457" s="1" t="s">
        <v>12730</v>
      </c>
      <c r="J457" s="1" t="s">
        <v>4195</v>
      </c>
      <c r="K457" s="1">
        <v>2</v>
      </c>
      <c r="L457" s="1" t="s">
        <v>4193</v>
      </c>
      <c r="M457" s="1">
        <v>4</v>
      </c>
      <c r="N457" s="1" t="s">
        <v>4194</v>
      </c>
    </row>
    <row r="458" spans="1:14" x14ac:dyDescent="0.15">
      <c r="A458" s="1">
        <v>72</v>
      </c>
      <c r="B458" s="1" t="s">
        <v>4536</v>
      </c>
      <c r="C458" s="1" t="s">
        <v>4537</v>
      </c>
      <c r="D458" s="1" t="s">
        <v>4536</v>
      </c>
      <c r="E458" s="1" t="s">
        <v>4537</v>
      </c>
      <c r="F458" s="1" t="s">
        <v>4536</v>
      </c>
      <c r="G458" s="1" t="s">
        <v>4538</v>
      </c>
      <c r="H458" s="1" t="s">
        <v>4536</v>
      </c>
      <c r="I458" s="1" t="s">
        <v>7680</v>
      </c>
      <c r="J458" s="1" t="s">
        <v>4396</v>
      </c>
      <c r="K458" s="1">
        <v>10</v>
      </c>
      <c r="L458" s="1" t="s">
        <v>4380</v>
      </c>
      <c r="M458" s="1">
        <v>9</v>
      </c>
      <c r="N458" s="1" t="s">
        <v>4381</v>
      </c>
    </row>
    <row r="459" spans="1:14" x14ac:dyDescent="0.15">
      <c r="A459" s="1">
        <v>73</v>
      </c>
      <c r="B459" s="1" t="s">
        <v>4539</v>
      </c>
      <c r="C459" s="1" t="s">
        <v>4540</v>
      </c>
      <c r="D459" s="1" t="s">
        <v>4539</v>
      </c>
      <c r="E459" s="1" t="s">
        <v>4540</v>
      </c>
      <c r="F459" s="1" t="s">
        <v>4539</v>
      </c>
      <c r="G459" s="1" t="s">
        <v>4541</v>
      </c>
      <c r="H459" s="1" t="s">
        <v>4539</v>
      </c>
      <c r="I459" s="1" t="s">
        <v>4494</v>
      </c>
      <c r="J459" s="1" t="s">
        <v>4495</v>
      </c>
      <c r="K459" s="1">
        <v>2</v>
      </c>
      <c r="L459" s="1" t="s">
        <v>4193</v>
      </c>
      <c r="M459" s="1">
        <v>4</v>
      </c>
      <c r="N459" s="1" t="s">
        <v>4194</v>
      </c>
    </row>
    <row r="460" spans="1:14" x14ac:dyDescent="0.15">
      <c r="A460" s="1">
        <v>73</v>
      </c>
      <c r="B460" s="1" t="s">
        <v>4542</v>
      </c>
      <c r="C460" s="1" t="s">
        <v>4543</v>
      </c>
      <c r="D460" s="1" t="s">
        <v>4542</v>
      </c>
      <c r="E460" s="1" t="s">
        <v>4543</v>
      </c>
      <c r="F460" s="1" t="s">
        <v>4542</v>
      </c>
      <c r="G460" s="1" t="s">
        <v>4544</v>
      </c>
      <c r="H460" s="1" t="s">
        <v>4542</v>
      </c>
      <c r="I460" s="1" t="s">
        <v>14650</v>
      </c>
      <c r="J460" s="1" t="s">
        <v>4447</v>
      </c>
      <c r="K460" s="1">
        <v>9</v>
      </c>
      <c r="L460" s="1" t="s">
        <v>4199</v>
      </c>
      <c r="M460" s="1">
        <v>7</v>
      </c>
      <c r="N460" s="1" t="s">
        <v>4200</v>
      </c>
    </row>
    <row r="461" spans="1:14" x14ac:dyDescent="0.15">
      <c r="A461" s="1">
        <v>73</v>
      </c>
      <c r="B461" s="1" t="s">
        <v>4542</v>
      </c>
      <c r="C461" s="1" t="s">
        <v>4543</v>
      </c>
      <c r="D461" s="1" t="s">
        <v>4542</v>
      </c>
      <c r="E461" s="1" t="s">
        <v>4543</v>
      </c>
      <c r="F461" s="1" t="s">
        <v>4542</v>
      </c>
      <c r="G461" s="1" t="s">
        <v>4544</v>
      </c>
      <c r="H461" s="1" t="s">
        <v>4542</v>
      </c>
      <c r="I461" s="1" t="s">
        <v>14657</v>
      </c>
      <c r="J461" s="1" t="s">
        <v>14654</v>
      </c>
      <c r="K461" s="1">
        <v>9</v>
      </c>
      <c r="L461" s="1" t="s">
        <v>4199</v>
      </c>
      <c r="M461" s="1">
        <v>7</v>
      </c>
      <c r="N461" s="1" t="s">
        <v>4200</v>
      </c>
    </row>
    <row r="462" spans="1:14" x14ac:dyDescent="0.15">
      <c r="A462" s="1">
        <v>73</v>
      </c>
      <c r="B462" s="1" t="s">
        <v>4539</v>
      </c>
      <c r="C462" s="1" t="s">
        <v>4545</v>
      </c>
      <c r="D462" s="1" t="s">
        <v>4546</v>
      </c>
      <c r="E462" s="1" t="s">
        <v>4545</v>
      </c>
      <c r="F462" s="1" t="s">
        <v>4547</v>
      </c>
      <c r="G462" s="1" t="s">
        <v>4548</v>
      </c>
      <c r="H462" s="1" t="s">
        <v>4547</v>
      </c>
      <c r="I462" s="1" t="s">
        <v>11827</v>
      </c>
      <c r="J462" s="1" t="s">
        <v>4449</v>
      </c>
      <c r="K462" s="1">
        <v>2</v>
      </c>
      <c r="L462" s="1" t="s">
        <v>4193</v>
      </c>
      <c r="M462" s="1">
        <v>4</v>
      </c>
      <c r="N462" s="1" t="s">
        <v>4194</v>
      </c>
    </row>
    <row r="463" spans="1:14" x14ac:dyDescent="0.15">
      <c r="A463" s="1">
        <v>80</v>
      </c>
      <c r="B463" s="1" t="s">
        <v>4549</v>
      </c>
      <c r="C463" s="1" t="s">
        <v>4550</v>
      </c>
      <c r="D463" s="1" t="s">
        <v>4549</v>
      </c>
      <c r="E463" s="1" t="s">
        <v>4550</v>
      </c>
      <c r="F463" s="1" t="s">
        <v>4549</v>
      </c>
      <c r="G463" s="1" t="s">
        <v>4551</v>
      </c>
      <c r="H463" s="1" t="s">
        <v>4549</v>
      </c>
      <c r="I463" s="1" t="s">
        <v>9247</v>
      </c>
      <c r="J463" s="1" t="s">
        <v>4552</v>
      </c>
      <c r="K463" s="1">
        <v>2</v>
      </c>
      <c r="L463" s="1" t="s">
        <v>4193</v>
      </c>
      <c r="M463" s="1">
        <v>4</v>
      </c>
      <c r="N463" s="1" t="s">
        <v>4194</v>
      </c>
    </row>
    <row r="464" spans="1:14" x14ac:dyDescent="0.15">
      <c r="A464" s="1">
        <v>80</v>
      </c>
      <c r="B464" s="1" t="s">
        <v>4549</v>
      </c>
      <c r="C464" s="1" t="s">
        <v>4550</v>
      </c>
      <c r="D464" s="1" t="s">
        <v>4549</v>
      </c>
      <c r="E464" s="1" t="s">
        <v>4550</v>
      </c>
      <c r="F464" s="1" t="s">
        <v>4549</v>
      </c>
      <c r="G464" s="1" t="s">
        <v>4551</v>
      </c>
      <c r="H464" s="1" t="s">
        <v>4549</v>
      </c>
      <c r="I464" s="1" t="s">
        <v>12762</v>
      </c>
      <c r="J464" s="1" t="s">
        <v>12759</v>
      </c>
      <c r="K464" s="1">
        <v>2</v>
      </c>
      <c r="L464" s="1" t="s">
        <v>4193</v>
      </c>
      <c r="M464" s="1">
        <v>4</v>
      </c>
      <c r="N464" s="1" t="s">
        <v>4194</v>
      </c>
    </row>
    <row r="465" spans="1:14" x14ac:dyDescent="0.15">
      <c r="A465" s="1">
        <v>80</v>
      </c>
      <c r="B465" s="1" t="s">
        <v>4549</v>
      </c>
      <c r="C465" s="1" t="s">
        <v>4550</v>
      </c>
      <c r="D465" s="1" t="s">
        <v>4549</v>
      </c>
      <c r="E465" s="1" t="s">
        <v>4550</v>
      </c>
      <c r="F465" s="1" t="s">
        <v>4549</v>
      </c>
      <c r="G465" s="1" t="s">
        <v>4551</v>
      </c>
      <c r="H465" s="1" t="s">
        <v>4549</v>
      </c>
      <c r="I465" s="1" t="s">
        <v>7507</v>
      </c>
      <c r="J465" s="1" t="s">
        <v>4553</v>
      </c>
      <c r="K465" s="1">
        <v>2</v>
      </c>
      <c r="L465" s="1" t="s">
        <v>4193</v>
      </c>
      <c r="M465" s="1">
        <v>4</v>
      </c>
      <c r="N465" s="1" t="s">
        <v>4194</v>
      </c>
    </row>
    <row r="466" spans="1:14" x14ac:dyDescent="0.15">
      <c r="A466" s="1">
        <v>80</v>
      </c>
      <c r="B466" s="1" t="s">
        <v>4549</v>
      </c>
      <c r="C466" s="1" t="s">
        <v>4550</v>
      </c>
      <c r="D466" s="1" t="s">
        <v>4549</v>
      </c>
      <c r="E466" s="1" t="s">
        <v>4550</v>
      </c>
      <c r="F466" s="1" t="s">
        <v>4549</v>
      </c>
      <c r="G466" s="1" t="s">
        <v>4551</v>
      </c>
      <c r="H466" s="1" t="s">
        <v>4549</v>
      </c>
      <c r="I466" s="1" t="s">
        <v>7510</v>
      </c>
      <c r="J466" s="1" t="s">
        <v>4272</v>
      </c>
      <c r="K466" s="1">
        <v>2</v>
      </c>
      <c r="L466" s="1" t="s">
        <v>4193</v>
      </c>
      <c r="M466" s="1">
        <v>4</v>
      </c>
      <c r="N466" s="1" t="s">
        <v>4194</v>
      </c>
    </row>
    <row r="467" spans="1:14" x14ac:dyDescent="0.15">
      <c r="A467" s="1">
        <v>80</v>
      </c>
      <c r="B467" s="1" t="s">
        <v>4549</v>
      </c>
      <c r="C467" s="1" t="s">
        <v>4550</v>
      </c>
      <c r="D467" s="1" t="s">
        <v>4549</v>
      </c>
      <c r="E467" s="1" t="s">
        <v>4550</v>
      </c>
      <c r="F467" s="1" t="s">
        <v>4549</v>
      </c>
      <c r="G467" s="1" t="s">
        <v>4551</v>
      </c>
      <c r="H467" s="1" t="s">
        <v>4549</v>
      </c>
      <c r="I467" s="1" t="s">
        <v>7513</v>
      </c>
      <c r="J467" s="1" t="s">
        <v>4232</v>
      </c>
      <c r="K467" s="1">
        <v>2</v>
      </c>
      <c r="L467" s="1" t="s">
        <v>4193</v>
      </c>
      <c r="M467" s="1">
        <v>4</v>
      </c>
      <c r="N467" s="1" t="s">
        <v>4194</v>
      </c>
    </row>
    <row r="468" spans="1:14" x14ac:dyDescent="0.15">
      <c r="A468" s="1">
        <v>80</v>
      </c>
      <c r="B468" s="1" t="s">
        <v>4549</v>
      </c>
      <c r="C468" s="1" t="s">
        <v>4550</v>
      </c>
      <c r="D468" s="1" t="s">
        <v>4549</v>
      </c>
      <c r="E468" s="1" t="s">
        <v>4550</v>
      </c>
      <c r="F468" s="1" t="s">
        <v>4549</v>
      </c>
      <c r="G468" s="1" t="s">
        <v>4551</v>
      </c>
      <c r="H468" s="1" t="s">
        <v>4549</v>
      </c>
      <c r="I468" s="1" t="s">
        <v>11820</v>
      </c>
      <c r="J468" s="1" t="s">
        <v>11817</v>
      </c>
      <c r="K468" s="1">
        <v>2</v>
      </c>
      <c r="L468" s="1" t="s">
        <v>4193</v>
      </c>
      <c r="M468" s="1">
        <v>4</v>
      </c>
      <c r="N468" s="1" t="s">
        <v>4194</v>
      </c>
    </row>
    <row r="469" spans="1:14" x14ac:dyDescent="0.15">
      <c r="A469" s="1">
        <v>80</v>
      </c>
      <c r="B469" s="1" t="s">
        <v>4549</v>
      </c>
      <c r="C469" s="1" t="s">
        <v>4550</v>
      </c>
      <c r="D469" s="1" t="s">
        <v>4549</v>
      </c>
      <c r="E469" s="1" t="s">
        <v>4550</v>
      </c>
      <c r="F469" s="1" t="s">
        <v>4549</v>
      </c>
      <c r="G469" s="1" t="s">
        <v>4554</v>
      </c>
      <c r="H469" s="1" t="s">
        <v>4555</v>
      </c>
      <c r="I469" s="1" t="s">
        <v>9247</v>
      </c>
      <c r="J469" s="1" t="s">
        <v>4552</v>
      </c>
      <c r="K469" s="1">
        <v>2</v>
      </c>
      <c r="L469" s="1" t="s">
        <v>4193</v>
      </c>
      <c r="M469" s="1">
        <v>4</v>
      </c>
      <c r="N469" s="1" t="s">
        <v>4194</v>
      </c>
    </row>
    <row r="470" spans="1:14" x14ac:dyDescent="0.15">
      <c r="A470" s="1">
        <v>80</v>
      </c>
      <c r="B470" s="1" t="s">
        <v>4549</v>
      </c>
      <c r="C470" s="1" t="s">
        <v>4550</v>
      </c>
      <c r="D470" s="1" t="s">
        <v>4549</v>
      </c>
      <c r="E470" s="1" t="s">
        <v>4550</v>
      </c>
      <c r="F470" s="1" t="s">
        <v>4549</v>
      </c>
      <c r="G470" s="1" t="s">
        <v>4554</v>
      </c>
      <c r="H470" s="1" t="s">
        <v>4555</v>
      </c>
      <c r="I470" s="1" t="s">
        <v>12762</v>
      </c>
      <c r="J470" s="1" t="s">
        <v>12759</v>
      </c>
      <c r="K470" s="1">
        <v>2</v>
      </c>
      <c r="L470" s="1" t="s">
        <v>4193</v>
      </c>
      <c r="M470" s="1">
        <v>4</v>
      </c>
      <c r="N470" s="1" t="s">
        <v>4194</v>
      </c>
    </row>
    <row r="471" spans="1:14" x14ac:dyDescent="0.15">
      <c r="A471" s="1">
        <v>80</v>
      </c>
      <c r="B471" s="1" t="s">
        <v>4549</v>
      </c>
      <c r="C471" s="1" t="s">
        <v>4550</v>
      </c>
      <c r="D471" s="1" t="s">
        <v>4549</v>
      </c>
      <c r="E471" s="1" t="s">
        <v>4550</v>
      </c>
      <c r="F471" s="1" t="s">
        <v>4549</v>
      </c>
      <c r="G471" s="1" t="s">
        <v>4554</v>
      </c>
      <c r="H471" s="1" t="s">
        <v>4555</v>
      </c>
      <c r="I471" s="1" t="s">
        <v>7510</v>
      </c>
      <c r="J471" s="1" t="s">
        <v>5247</v>
      </c>
      <c r="K471" s="1">
        <v>2</v>
      </c>
      <c r="L471" s="1" t="s">
        <v>4193</v>
      </c>
      <c r="M471" s="1">
        <v>4</v>
      </c>
      <c r="N471" s="1" t="s">
        <v>4194</v>
      </c>
    </row>
    <row r="472" spans="1:14" x14ac:dyDescent="0.15">
      <c r="A472" s="1">
        <v>80</v>
      </c>
      <c r="B472" s="1" t="s">
        <v>4549</v>
      </c>
      <c r="C472" s="1" t="s">
        <v>4550</v>
      </c>
      <c r="D472" s="1" t="s">
        <v>4549</v>
      </c>
      <c r="E472" s="1" t="s">
        <v>4550</v>
      </c>
      <c r="F472" s="1" t="s">
        <v>4549</v>
      </c>
      <c r="G472" s="1" t="s">
        <v>4554</v>
      </c>
      <c r="H472" s="1" t="s">
        <v>4555</v>
      </c>
      <c r="I472" s="1" t="s">
        <v>7513</v>
      </c>
      <c r="J472" s="1" t="s">
        <v>4232</v>
      </c>
      <c r="K472" s="1">
        <v>2</v>
      </c>
      <c r="L472" s="1" t="s">
        <v>4193</v>
      </c>
      <c r="M472" s="1">
        <v>4</v>
      </c>
      <c r="N472" s="1" t="s">
        <v>4194</v>
      </c>
    </row>
    <row r="473" spans="1:14" x14ac:dyDescent="0.15">
      <c r="A473" s="1">
        <v>80</v>
      </c>
      <c r="B473" s="1" t="s">
        <v>4549</v>
      </c>
      <c r="C473" s="1" t="s">
        <v>4550</v>
      </c>
      <c r="D473" s="1" t="s">
        <v>4549</v>
      </c>
      <c r="E473" s="1" t="s">
        <v>4550</v>
      </c>
      <c r="F473" s="1" t="s">
        <v>4549</v>
      </c>
      <c r="G473" s="1" t="s">
        <v>4556</v>
      </c>
      <c r="H473" s="1" t="s">
        <v>4557</v>
      </c>
      <c r="I473" s="1" t="s">
        <v>9247</v>
      </c>
      <c r="J473" s="1" t="s">
        <v>4552</v>
      </c>
      <c r="K473" s="1">
        <v>2</v>
      </c>
      <c r="L473" s="1" t="s">
        <v>4193</v>
      </c>
      <c r="M473" s="1">
        <v>4</v>
      </c>
      <c r="N473" s="1" t="s">
        <v>4194</v>
      </c>
    </row>
    <row r="474" spans="1:14" x14ac:dyDescent="0.15">
      <c r="A474" s="1">
        <v>80</v>
      </c>
      <c r="B474" s="1" t="s">
        <v>4549</v>
      </c>
      <c r="C474" s="1" t="s">
        <v>4550</v>
      </c>
      <c r="D474" s="1" t="s">
        <v>4549</v>
      </c>
      <c r="E474" s="1" t="s">
        <v>4550</v>
      </c>
      <c r="F474" s="1" t="s">
        <v>4549</v>
      </c>
      <c r="G474" s="1" t="s">
        <v>4556</v>
      </c>
      <c r="H474" s="1" t="s">
        <v>4557</v>
      </c>
      <c r="I474" s="1" t="s">
        <v>12762</v>
      </c>
      <c r="J474" s="1" t="s">
        <v>12759</v>
      </c>
      <c r="K474" s="1">
        <v>2</v>
      </c>
      <c r="L474" s="1" t="s">
        <v>4193</v>
      </c>
      <c r="M474" s="1">
        <v>4</v>
      </c>
      <c r="N474" s="1" t="s">
        <v>4194</v>
      </c>
    </row>
    <row r="475" spans="1:14" x14ac:dyDescent="0.15">
      <c r="A475" s="1">
        <v>80</v>
      </c>
      <c r="B475" s="1" t="s">
        <v>4549</v>
      </c>
      <c r="C475" s="1" t="s">
        <v>4550</v>
      </c>
      <c r="D475" s="1" t="s">
        <v>4549</v>
      </c>
      <c r="E475" s="1" t="s">
        <v>4550</v>
      </c>
      <c r="F475" s="1" t="s">
        <v>4549</v>
      </c>
      <c r="G475" s="1" t="s">
        <v>4556</v>
      </c>
      <c r="H475" s="1" t="s">
        <v>4557</v>
      </c>
      <c r="I475" s="1" t="s">
        <v>7507</v>
      </c>
      <c r="J475" s="1" t="s">
        <v>4553</v>
      </c>
      <c r="K475" s="1">
        <v>2</v>
      </c>
      <c r="L475" s="1" t="s">
        <v>4193</v>
      </c>
      <c r="M475" s="1">
        <v>4</v>
      </c>
      <c r="N475" s="1" t="s">
        <v>4194</v>
      </c>
    </row>
    <row r="476" spans="1:14" x14ac:dyDescent="0.15">
      <c r="A476" s="1">
        <v>80</v>
      </c>
      <c r="B476" s="1" t="s">
        <v>4549</v>
      </c>
      <c r="C476" s="1" t="s">
        <v>4550</v>
      </c>
      <c r="D476" s="1" t="s">
        <v>4549</v>
      </c>
      <c r="E476" s="1" t="s">
        <v>4550</v>
      </c>
      <c r="F476" s="1" t="s">
        <v>4549</v>
      </c>
      <c r="G476" s="1" t="s">
        <v>4556</v>
      </c>
      <c r="H476" s="1" t="s">
        <v>4557</v>
      </c>
      <c r="I476" s="1" t="s">
        <v>7510</v>
      </c>
      <c r="J476" s="1" t="s">
        <v>4272</v>
      </c>
      <c r="K476" s="1">
        <v>2</v>
      </c>
      <c r="L476" s="1" t="s">
        <v>4193</v>
      </c>
      <c r="M476" s="1">
        <v>4</v>
      </c>
      <c r="N476" s="1" t="s">
        <v>4194</v>
      </c>
    </row>
    <row r="477" spans="1:14" x14ac:dyDescent="0.15">
      <c r="A477" s="1">
        <v>80</v>
      </c>
      <c r="B477" s="1" t="s">
        <v>4549</v>
      </c>
      <c r="C477" s="1" t="s">
        <v>4550</v>
      </c>
      <c r="D477" s="1" t="s">
        <v>4549</v>
      </c>
      <c r="E477" s="1" t="s">
        <v>4550</v>
      </c>
      <c r="F477" s="1" t="s">
        <v>4549</v>
      </c>
      <c r="G477" s="1" t="s">
        <v>4556</v>
      </c>
      <c r="H477" s="1" t="s">
        <v>4557</v>
      </c>
      <c r="I477" s="1" t="s">
        <v>7513</v>
      </c>
      <c r="J477" s="1" t="s">
        <v>4232</v>
      </c>
      <c r="K477" s="1">
        <v>2</v>
      </c>
      <c r="L477" s="1" t="s">
        <v>4193</v>
      </c>
      <c r="M477" s="1">
        <v>4</v>
      </c>
      <c r="N477" s="1" t="s">
        <v>4194</v>
      </c>
    </row>
    <row r="478" spans="1:14" x14ac:dyDescent="0.15">
      <c r="A478" s="1">
        <v>81</v>
      </c>
      <c r="B478" s="1" t="s">
        <v>4558</v>
      </c>
      <c r="C478" s="1" t="s">
        <v>4559</v>
      </c>
      <c r="D478" s="1" t="s">
        <v>4558</v>
      </c>
      <c r="E478" s="1" t="s">
        <v>4559</v>
      </c>
      <c r="F478" s="1" t="s">
        <v>4558</v>
      </c>
      <c r="G478" s="1" t="s">
        <v>4560</v>
      </c>
      <c r="H478" s="1" t="s">
        <v>4558</v>
      </c>
      <c r="I478" s="1" t="s">
        <v>11813</v>
      </c>
      <c r="J478" s="1" t="s">
        <v>11810</v>
      </c>
      <c r="K478" s="1">
        <v>11</v>
      </c>
      <c r="L478" s="1" t="s">
        <v>4227</v>
      </c>
      <c r="M478" s="1">
        <v>14</v>
      </c>
      <c r="N478" s="1" t="s">
        <v>4220</v>
      </c>
    </row>
    <row r="479" spans="1:14" x14ac:dyDescent="0.15">
      <c r="A479" s="1">
        <v>81</v>
      </c>
      <c r="B479" s="1" t="s">
        <v>4558</v>
      </c>
      <c r="C479" s="1" t="s">
        <v>4559</v>
      </c>
      <c r="D479" s="1" t="s">
        <v>4558</v>
      </c>
      <c r="E479" s="1" t="s">
        <v>4559</v>
      </c>
      <c r="F479" s="1" t="s">
        <v>4558</v>
      </c>
      <c r="G479" s="1" t="s">
        <v>4561</v>
      </c>
      <c r="H479" s="1" t="s">
        <v>4562</v>
      </c>
      <c r="I479" s="1" t="s">
        <v>11813</v>
      </c>
      <c r="J479" s="1" t="s">
        <v>11810</v>
      </c>
      <c r="K479" s="1">
        <v>9</v>
      </c>
      <c r="L479" s="1" t="s">
        <v>4199</v>
      </c>
      <c r="M479" s="1">
        <v>14</v>
      </c>
      <c r="N479" s="1" t="s">
        <v>4220</v>
      </c>
    </row>
    <row r="480" spans="1:14" x14ac:dyDescent="0.15">
      <c r="A480" s="1">
        <v>81</v>
      </c>
      <c r="B480" s="1" t="s">
        <v>4558</v>
      </c>
      <c r="C480" s="1" t="s">
        <v>4559</v>
      </c>
      <c r="D480" s="1" t="s">
        <v>4558</v>
      </c>
      <c r="E480" s="1" t="s">
        <v>4559</v>
      </c>
      <c r="F480" s="1" t="s">
        <v>4558</v>
      </c>
      <c r="G480" s="1" t="s">
        <v>4563</v>
      </c>
      <c r="H480" s="1" t="s">
        <v>4564</v>
      </c>
      <c r="I480" s="1" t="s">
        <v>11813</v>
      </c>
      <c r="J480" s="1" t="s">
        <v>11810</v>
      </c>
      <c r="K480" s="1">
        <v>11</v>
      </c>
      <c r="L480" s="1" t="s">
        <v>4227</v>
      </c>
      <c r="M480" s="1">
        <v>14</v>
      </c>
      <c r="N480" s="1" t="s">
        <v>4220</v>
      </c>
    </row>
    <row r="481" spans="1:14" x14ac:dyDescent="0.15">
      <c r="A481" s="1">
        <v>82</v>
      </c>
      <c r="B481" s="1" t="s">
        <v>4565</v>
      </c>
      <c r="C481" s="1" t="s">
        <v>4566</v>
      </c>
      <c r="D481" s="1" t="s">
        <v>4565</v>
      </c>
      <c r="E481" s="1" t="s">
        <v>4566</v>
      </c>
      <c r="F481" s="1" t="s">
        <v>4565</v>
      </c>
      <c r="G481" s="1" t="s">
        <v>4567</v>
      </c>
      <c r="H481" s="1" t="s">
        <v>4565</v>
      </c>
      <c r="I481" s="1" t="s">
        <v>12762</v>
      </c>
      <c r="J481" s="1" t="s">
        <v>12759</v>
      </c>
      <c r="K481" s="1">
        <v>2</v>
      </c>
      <c r="L481" s="1" t="s">
        <v>4193</v>
      </c>
      <c r="M481" s="1">
        <v>4</v>
      </c>
      <c r="N481" s="1" t="s">
        <v>4194</v>
      </c>
    </row>
    <row r="482" spans="1:14" x14ac:dyDescent="0.15">
      <c r="A482" s="1">
        <v>82</v>
      </c>
      <c r="B482" s="1" t="s">
        <v>4565</v>
      </c>
      <c r="C482" s="1" t="s">
        <v>4566</v>
      </c>
      <c r="D482" s="1" t="s">
        <v>4565</v>
      </c>
      <c r="E482" s="1" t="s">
        <v>4566</v>
      </c>
      <c r="F482" s="1" t="s">
        <v>4565</v>
      </c>
      <c r="G482" s="1" t="s">
        <v>4567</v>
      </c>
      <c r="H482" s="1" t="s">
        <v>4565</v>
      </c>
      <c r="I482" s="1" t="s">
        <v>12847</v>
      </c>
      <c r="J482" s="1" t="s">
        <v>12848</v>
      </c>
      <c r="K482" s="1">
        <v>2</v>
      </c>
      <c r="L482" s="1" t="s">
        <v>4193</v>
      </c>
      <c r="M482" s="1">
        <v>4</v>
      </c>
      <c r="N482" s="1" t="s">
        <v>4194</v>
      </c>
    </row>
    <row r="483" spans="1:14" x14ac:dyDescent="0.15">
      <c r="A483" s="1">
        <v>83</v>
      </c>
      <c r="B483" s="1" t="s">
        <v>4568</v>
      </c>
      <c r="C483" s="1" t="s">
        <v>4569</v>
      </c>
      <c r="D483" s="1" t="s">
        <v>4568</v>
      </c>
      <c r="E483" s="1" t="s">
        <v>4569</v>
      </c>
      <c r="F483" s="1" t="s">
        <v>4568</v>
      </c>
      <c r="G483" s="1" t="s">
        <v>4570</v>
      </c>
      <c r="H483" s="1" t="s">
        <v>4568</v>
      </c>
      <c r="I483" s="1" t="s">
        <v>12762</v>
      </c>
      <c r="J483" s="1" t="s">
        <v>12759</v>
      </c>
      <c r="K483" s="1">
        <v>5</v>
      </c>
      <c r="L483" s="1" t="s">
        <v>4206</v>
      </c>
      <c r="M483" s="1">
        <v>6</v>
      </c>
      <c r="N483" s="1" t="s">
        <v>4207</v>
      </c>
    </row>
    <row r="484" spans="1:14" x14ac:dyDescent="0.15">
      <c r="A484" s="1">
        <v>83</v>
      </c>
      <c r="B484" s="1" t="s">
        <v>4568</v>
      </c>
      <c r="C484" s="1" t="s">
        <v>4569</v>
      </c>
      <c r="D484" s="1" t="s">
        <v>4568</v>
      </c>
      <c r="E484" s="1" t="s">
        <v>4569</v>
      </c>
      <c r="F484" s="1" t="s">
        <v>4568</v>
      </c>
      <c r="G484" s="1" t="s">
        <v>4570</v>
      </c>
      <c r="H484" s="1" t="s">
        <v>4568</v>
      </c>
      <c r="I484" s="1" t="s">
        <v>12847</v>
      </c>
      <c r="J484" s="1" t="s">
        <v>12848</v>
      </c>
      <c r="K484" s="1">
        <v>5</v>
      </c>
      <c r="L484" s="1" t="s">
        <v>4206</v>
      </c>
      <c r="M484" s="1">
        <v>6</v>
      </c>
      <c r="N484" s="1" t="s">
        <v>4207</v>
      </c>
    </row>
    <row r="485" spans="1:14" x14ac:dyDescent="0.15">
      <c r="A485" s="1">
        <v>83</v>
      </c>
      <c r="B485" s="1" t="s">
        <v>4568</v>
      </c>
      <c r="C485" s="1" t="s">
        <v>4569</v>
      </c>
      <c r="D485" s="1" t="s">
        <v>4568</v>
      </c>
      <c r="E485" s="1" t="s">
        <v>4569</v>
      </c>
      <c r="F485" s="1" t="s">
        <v>4568</v>
      </c>
      <c r="G485" s="1" t="s">
        <v>4570</v>
      </c>
      <c r="H485" s="1" t="s">
        <v>4568</v>
      </c>
      <c r="I485" s="1" t="s">
        <v>7579</v>
      </c>
      <c r="J485" s="1" t="s">
        <v>4208</v>
      </c>
      <c r="K485" s="1">
        <v>5</v>
      </c>
      <c r="L485" s="1" t="s">
        <v>4206</v>
      </c>
      <c r="M485" s="1">
        <v>6</v>
      </c>
      <c r="N485" s="1" t="s">
        <v>4207</v>
      </c>
    </row>
    <row r="486" spans="1:14" x14ac:dyDescent="0.15">
      <c r="A486" s="1">
        <v>84</v>
      </c>
      <c r="B486" s="1" t="s">
        <v>4229</v>
      </c>
      <c r="C486" s="1" t="s">
        <v>4230</v>
      </c>
      <c r="D486" s="1" t="s">
        <v>4229</v>
      </c>
      <c r="E486" s="1" t="s">
        <v>4230</v>
      </c>
      <c r="F486" s="1" t="s">
        <v>4229</v>
      </c>
      <c r="G486" s="1" t="s">
        <v>4231</v>
      </c>
      <c r="H486" s="1" t="s">
        <v>4229</v>
      </c>
      <c r="I486" s="1" t="s">
        <v>7510</v>
      </c>
      <c r="J486" s="1" t="s">
        <v>5247</v>
      </c>
      <c r="K486" s="1">
        <v>5</v>
      </c>
      <c r="L486" s="1" t="s">
        <v>4206</v>
      </c>
      <c r="M486" s="1">
        <v>6</v>
      </c>
      <c r="N486" s="1" t="s">
        <v>4207</v>
      </c>
    </row>
    <row r="487" spans="1:14" x14ac:dyDescent="0.15">
      <c r="A487" s="1">
        <v>85</v>
      </c>
      <c r="B487" s="1" t="s">
        <v>4571</v>
      </c>
      <c r="C487" s="1" t="s">
        <v>4572</v>
      </c>
      <c r="D487" s="1" t="s">
        <v>4571</v>
      </c>
      <c r="E487" s="1" t="s">
        <v>4572</v>
      </c>
      <c r="F487" s="1" t="s">
        <v>4571</v>
      </c>
      <c r="G487" s="1" t="s">
        <v>4573</v>
      </c>
      <c r="H487" s="1" t="s">
        <v>4571</v>
      </c>
      <c r="I487" s="1" t="s">
        <v>12847</v>
      </c>
      <c r="J487" s="1" t="s">
        <v>12848</v>
      </c>
      <c r="K487" s="1">
        <v>5</v>
      </c>
      <c r="L487" s="1" t="s">
        <v>4206</v>
      </c>
      <c r="M487" s="1">
        <v>6</v>
      </c>
      <c r="N487" s="1" t="s">
        <v>4207</v>
      </c>
    </row>
    <row r="488" spans="1:14" x14ac:dyDescent="0.15">
      <c r="A488" s="1">
        <v>85</v>
      </c>
      <c r="B488" s="1" t="s">
        <v>4571</v>
      </c>
      <c r="C488" s="1" t="s">
        <v>4572</v>
      </c>
      <c r="D488" s="1" t="s">
        <v>4571</v>
      </c>
      <c r="E488" s="1" t="s">
        <v>4572</v>
      </c>
      <c r="F488" s="1" t="s">
        <v>4571</v>
      </c>
      <c r="G488" s="1" t="s">
        <v>4573</v>
      </c>
      <c r="H488" s="1" t="s">
        <v>4571</v>
      </c>
      <c r="I488" s="1" t="s">
        <v>12859</v>
      </c>
      <c r="J488" s="1" t="s">
        <v>4574</v>
      </c>
      <c r="K488" s="1">
        <v>5</v>
      </c>
      <c r="L488" s="1" t="s">
        <v>4206</v>
      </c>
      <c r="M488" s="1">
        <v>6</v>
      </c>
      <c r="N488" s="1" t="s">
        <v>4207</v>
      </c>
    </row>
    <row r="489" spans="1:14" x14ac:dyDescent="0.15">
      <c r="A489" s="1">
        <v>86</v>
      </c>
      <c r="B489" s="1" t="s">
        <v>4575</v>
      </c>
      <c r="C489" s="1" t="s">
        <v>4576</v>
      </c>
      <c r="D489" s="1" t="s">
        <v>4575</v>
      </c>
      <c r="E489" s="1" t="s">
        <v>4576</v>
      </c>
      <c r="F489" s="1" t="s">
        <v>4575</v>
      </c>
      <c r="G489" s="1" t="s">
        <v>4577</v>
      </c>
      <c r="H489" s="1" t="s">
        <v>4575</v>
      </c>
      <c r="I489" s="1" t="s">
        <v>7669</v>
      </c>
      <c r="J489" s="1" t="s">
        <v>5256</v>
      </c>
      <c r="K489" s="1">
        <v>5</v>
      </c>
      <c r="L489" s="1" t="s">
        <v>4206</v>
      </c>
      <c r="M489" s="1">
        <v>6</v>
      </c>
      <c r="N489" s="1" t="s">
        <v>4207</v>
      </c>
    </row>
    <row r="490" spans="1:14" x14ac:dyDescent="0.15">
      <c r="A490" s="1">
        <v>90</v>
      </c>
      <c r="B490" s="1" t="s">
        <v>4578</v>
      </c>
      <c r="C490" s="1" t="s">
        <v>4579</v>
      </c>
      <c r="D490" s="1" t="s">
        <v>4578</v>
      </c>
      <c r="E490" s="1" t="s">
        <v>4579</v>
      </c>
      <c r="F490" s="1" t="s">
        <v>4578</v>
      </c>
      <c r="G490" s="1" t="s">
        <v>4580</v>
      </c>
      <c r="H490" s="1" t="s">
        <v>4578</v>
      </c>
      <c r="I490" s="1" t="s">
        <v>12762</v>
      </c>
      <c r="J490" s="1" t="s">
        <v>12759</v>
      </c>
      <c r="K490" s="1">
        <v>9</v>
      </c>
      <c r="L490" s="1" t="s">
        <v>4199</v>
      </c>
      <c r="M490" s="1">
        <v>6</v>
      </c>
      <c r="N490" s="1" t="s">
        <v>4207</v>
      </c>
    </row>
    <row r="491" spans="1:14" x14ac:dyDescent="0.15">
      <c r="A491" s="1">
        <v>90</v>
      </c>
      <c r="B491" s="1" t="s">
        <v>4578</v>
      </c>
      <c r="C491" s="1" t="s">
        <v>4579</v>
      </c>
      <c r="D491" s="1" t="s">
        <v>4578</v>
      </c>
      <c r="E491" s="1" t="s">
        <v>4579</v>
      </c>
      <c r="F491" s="1" t="s">
        <v>4578</v>
      </c>
      <c r="G491" s="1" t="s">
        <v>4580</v>
      </c>
      <c r="H491" s="1" t="s">
        <v>4578</v>
      </c>
      <c r="I491" s="1" t="s">
        <v>11820</v>
      </c>
      <c r="J491" s="1" t="s">
        <v>11817</v>
      </c>
      <c r="K491" s="1">
        <v>9</v>
      </c>
      <c r="L491" s="1" t="s">
        <v>4199</v>
      </c>
      <c r="M491" s="1">
        <v>6</v>
      </c>
      <c r="N491" s="1" t="s">
        <v>4207</v>
      </c>
    </row>
    <row r="492" spans="1:14" x14ac:dyDescent="0.15">
      <c r="A492" s="1">
        <v>91</v>
      </c>
      <c r="B492" s="1" t="s">
        <v>4581</v>
      </c>
      <c r="C492" s="1" t="s">
        <v>4582</v>
      </c>
      <c r="D492" s="1" t="s">
        <v>4581</v>
      </c>
      <c r="E492" s="1" t="s">
        <v>4582</v>
      </c>
      <c r="F492" s="1" t="s">
        <v>4581</v>
      </c>
      <c r="G492" s="1" t="s">
        <v>4583</v>
      </c>
      <c r="H492" s="1" t="s">
        <v>4581</v>
      </c>
      <c r="I492" s="1" t="s">
        <v>11879</v>
      </c>
      <c r="J492" s="1" t="s">
        <v>4278</v>
      </c>
      <c r="K492" s="1">
        <v>5</v>
      </c>
      <c r="L492" s="1" t="s">
        <v>4206</v>
      </c>
      <c r="M492" s="1">
        <v>6</v>
      </c>
      <c r="N492" s="1" t="s">
        <v>4207</v>
      </c>
    </row>
    <row r="493" spans="1:14" x14ac:dyDescent="0.15">
      <c r="A493" s="1">
        <v>91</v>
      </c>
      <c r="B493" s="1" t="s">
        <v>4581</v>
      </c>
      <c r="C493" s="1" t="s">
        <v>4584</v>
      </c>
      <c r="D493" s="1" t="s">
        <v>4585</v>
      </c>
      <c r="E493" s="1" t="s">
        <v>4584</v>
      </c>
      <c r="F493" s="1" t="s">
        <v>4585</v>
      </c>
      <c r="G493" s="1" t="s">
        <v>4586</v>
      </c>
      <c r="H493" s="1" t="s">
        <v>4585</v>
      </c>
      <c r="I493" s="1" t="s">
        <v>12855</v>
      </c>
      <c r="J493" s="1" t="s">
        <v>12856</v>
      </c>
      <c r="K493" s="1">
        <v>5</v>
      </c>
      <c r="L493" s="1" t="s">
        <v>4206</v>
      </c>
      <c r="M493" s="1">
        <v>6</v>
      </c>
      <c r="N493" s="1" t="s">
        <v>4207</v>
      </c>
    </row>
    <row r="494" spans="1:14" x14ac:dyDescent="0.15">
      <c r="A494" s="1">
        <v>91</v>
      </c>
      <c r="B494" s="1" t="s">
        <v>4581</v>
      </c>
      <c r="C494" s="1" t="s">
        <v>4584</v>
      </c>
      <c r="D494" s="1" t="s">
        <v>4585</v>
      </c>
      <c r="E494" s="1" t="s">
        <v>4584</v>
      </c>
      <c r="F494" s="1" t="s">
        <v>4585</v>
      </c>
      <c r="G494" s="1" t="s">
        <v>4586</v>
      </c>
      <c r="H494" s="1" t="s">
        <v>4585</v>
      </c>
      <c r="I494" s="1" t="s">
        <v>12879</v>
      </c>
      <c r="J494" s="1" t="s">
        <v>4269</v>
      </c>
      <c r="K494" s="1">
        <v>5</v>
      </c>
      <c r="L494" s="1" t="s">
        <v>4206</v>
      </c>
      <c r="M494" s="1">
        <v>6</v>
      </c>
      <c r="N494" s="1" t="s">
        <v>4207</v>
      </c>
    </row>
    <row r="495" spans="1:14" x14ac:dyDescent="0.15">
      <c r="A495" s="1">
        <v>91</v>
      </c>
      <c r="B495" s="1" t="s">
        <v>4581</v>
      </c>
      <c r="C495" s="1" t="s">
        <v>4587</v>
      </c>
      <c r="D495" s="1" t="s">
        <v>4588</v>
      </c>
      <c r="E495" s="1" t="s">
        <v>4587</v>
      </c>
      <c r="F495" s="1" t="s">
        <v>4588</v>
      </c>
      <c r="G495" s="1" t="s">
        <v>4589</v>
      </c>
      <c r="H495" s="1" t="s">
        <v>4588</v>
      </c>
      <c r="I495" s="1" t="s">
        <v>12847</v>
      </c>
      <c r="J495" s="1" t="s">
        <v>12848</v>
      </c>
      <c r="K495" s="1">
        <v>5</v>
      </c>
      <c r="L495" s="1" t="s">
        <v>4206</v>
      </c>
      <c r="M495" s="1">
        <v>6</v>
      </c>
      <c r="N495" s="1" t="s">
        <v>4207</v>
      </c>
    </row>
    <row r="496" spans="1:14" x14ac:dyDescent="0.15">
      <c r="A496" s="1">
        <v>91</v>
      </c>
      <c r="B496" s="1" t="s">
        <v>4581</v>
      </c>
      <c r="C496" s="1" t="s">
        <v>4587</v>
      </c>
      <c r="D496" s="1" t="s">
        <v>4588</v>
      </c>
      <c r="E496" s="1" t="s">
        <v>4587</v>
      </c>
      <c r="F496" s="1" t="s">
        <v>4588</v>
      </c>
      <c r="G496" s="1" t="s">
        <v>4589</v>
      </c>
      <c r="H496" s="1" t="s">
        <v>4588</v>
      </c>
      <c r="I496" s="1" t="s">
        <v>7579</v>
      </c>
      <c r="J496" s="1" t="s">
        <v>4208</v>
      </c>
      <c r="K496" s="1">
        <v>5</v>
      </c>
      <c r="L496" s="1" t="s">
        <v>4206</v>
      </c>
      <c r="M496" s="1">
        <v>6</v>
      </c>
      <c r="N496" s="1" t="s">
        <v>4207</v>
      </c>
    </row>
    <row r="497" spans="1:14" x14ac:dyDescent="0.15">
      <c r="A497" s="1">
        <v>93</v>
      </c>
      <c r="B497" s="1" t="s">
        <v>4590</v>
      </c>
      <c r="C497" s="1" t="s">
        <v>4591</v>
      </c>
      <c r="D497" s="1" t="s">
        <v>4590</v>
      </c>
      <c r="E497" s="1" t="s">
        <v>4591</v>
      </c>
      <c r="F497" s="1" t="s">
        <v>4590</v>
      </c>
      <c r="G497" s="1" t="s">
        <v>4592</v>
      </c>
      <c r="H497" s="1" t="s">
        <v>4590</v>
      </c>
      <c r="I497" s="1" t="s">
        <v>12762</v>
      </c>
      <c r="J497" s="1" t="s">
        <v>12759</v>
      </c>
      <c r="K497" s="1">
        <v>9</v>
      </c>
      <c r="L497" s="1" t="s">
        <v>4199</v>
      </c>
      <c r="M497" s="1">
        <v>6</v>
      </c>
      <c r="N497" s="1" t="s">
        <v>4207</v>
      </c>
    </row>
    <row r="498" spans="1:14" x14ac:dyDescent="0.15">
      <c r="A498" s="1">
        <v>93</v>
      </c>
      <c r="B498" s="1" t="s">
        <v>4590</v>
      </c>
      <c r="C498" s="1" t="s">
        <v>4591</v>
      </c>
      <c r="D498" s="1" t="s">
        <v>4590</v>
      </c>
      <c r="E498" s="1" t="s">
        <v>4591</v>
      </c>
      <c r="F498" s="1" t="s">
        <v>4590</v>
      </c>
      <c r="G498" s="1" t="s">
        <v>4592</v>
      </c>
      <c r="H498" s="1" t="s">
        <v>4590</v>
      </c>
      <c r="I498" s="1" t="s">
        <v>11820</v>
      </c>
      <c r="J498" s="1" t="s">
        <v>11817</v>
      </c>
      <c r="K498" s="1">
        <v>9</v>
      </c>
      <c r="L498" s="1" t="s">
        <v>4199</v>
      </c>
      <c r="M498" s="1">
        <v>6</v>
      </c>
      <c r="N498" s="1" t="s">
        <v>4207</v>
      </c>
    </row>
    <row r="499" spans="1:14" x14ac:dyDescent="0.15">
      <c r="A499" s="1">
        <v>94</v>
      </c>
      <c r="B499" s="1" t="s">
        <v>4593</v>
      </c>
      <c r="C499" s="1" t="s">
        <v>4594</v>
      </c>
      <c r="D499" s="1" t="s">
        <v>4593</v>
      </c>
      <c r="E499" s="1" t="s">
        <v>4594</v>
      </c>
      <c r="F499" s="1" t="s">
        <v>4593</v>
      </c>
      <c r="G499" s="1" t="s">
        <v>4595</v>
      </c>
      <c r="H499" s="1" t="s">
        <v>4593</v>
      </c>
      <c r="I499" s="1" t="s">
        <v>12765</v>
      </c>
      <c r="J499" s="1" t="s">
        <v>4596</v>
      </c>
      <c r="K499" s="1">
        <v>2</v>
      </c>
      <c r="L499" s="1" t="s">
        <v>4193</v>
      </c>
      <c r="M499" s="1">
        <v>4</v>
      </c>
      <c r="N499" s="1" t="s">
        <v>4194</v>
      </c>
    </row>
    <row r="500" spans="1:14" x14ac:dyDescent="0.15">
      <c r="A500" s="1">
        <v>94</v>
      </c>
      <c r="B500" s="1" t="s">
        <v>4593</v>
      </c>
      <c r="C500" s="1" t="s">
        <v>4594</v>
      </c>
      <c r="D500" s="1" t="s">
        <v>4593</v>
      </c>
      <c r="E500" s="1" t="s">
        <v>4594</v>
      </c>
      <c r="F500" s="1" t="s">
        <v>4593</v>
      </c>
      <c r="G500" s="1" t="s">
        <v>4595</v>
      </c>
      <c r="H500" s="1" t="s">
        <v>4593</v>
      </c>
      <c r="I500" s="1" t="s">
        <v>11820</v>
      </c>
      <c r="J500" s="1" t="s">
        <v>11817</v>
      </c>
      <c r="K500" s="1">
        <v>2</v>
      </c>
      <c r="L500" s="1" t="s">
        <v>4193</v>
      </c>
      <c r="M500" s="1">
        <v>4</v>
      </c>
      <c r="N500" s="1" t="s">
        <v>4194</v>
      </c>
    </row>
    <row r="501" spans="1:14" x14ac:dyDescent="0.15">
      <c r="A501" s="1">
        <v>95</v>
      </c>
      <c r="B501" s="1" t="s">
        <v>4597</v>
      </c>
      <c r="C501" s="1" t="s">
        <v>4598</v>
      </c>
      <c r="D501" s="1" t="s">
        <v>4597</v>
      </c>
      <c r="E501" s="1" t="s">
        <v>4598</v>
      </c>
      <c r="F501" s="1" t="s">
        <v>4597</v>
      </c>
      <c r="G501" s="1" t="s">
        <v>4599</v>
      </c>
      <c r="H501" s="1" t="s">
        <v>4597</v>
      </c>
      <c r="I501" s="1" t="s">
        <v>12847</v>
      </c>
      <c r="J501" s="1" t="s">
        <v>12848</v>
      </c>
      <c r="K501" s="1">
        <v>2</v>
      </c>
      <c r="L501" s="1" t="s">
        <v>4193</v>
      </c>
      <c r="M501" s="1">
        <v>4</v>
      </c>
      <c r="N501" s="1" t="s">
        <v>4194</v>
      </c>
    </row>
    <row r="502" spans="1:14" x14ac:dyDescent="0.15">
      <c r="A502" s="1">
        <v>100</v>
      </c>
      <c r="B502" s="1" t="s">
        <v>4600</v>
      </c>
      <c r="C502" s="1" t="s">
        <v>4601</v>
      </c>
      <c r="D502" s="1" t="s">
        <v>4600</v>
      </c>
      <c r="E502" s="1" t="s">
        <v>4601</v>
      </c>
      <c r="F502" s="1" t="s">
        <v>4600</v>
      </c>
      <c r="G502" s="1" t="s">
        <v>4602</v>
      </c>
      <c r="H502" s="1" t="s">
        <v>4600</v>
      </c>
      <c r="I502" s="1" t="s">
        <v>11879</v>
      </c>
      <c r="J502" s="1" t="s">
        <v>4278</v>
      </c>
      <c r="K502" s="1">
        <v>13</v>
      </c>
      <c r="L502" s="1" t="s">
        <v>4219</v>
      </c>
      <c r="M502" s="1">
        <v>11</v>
      </c>
      <c r="N502" s="1" t="s">
        <v>4265</v>
      </c>
    </row>
    <row r="503" spans="1:14" x14ac:dyDescent="0.15">
      <c r="A503" s="1">
        <v>100</v>
      </c>
      <c r="B503" s="1" t="s">
        <v>4600</v>
      </c>
      <c r="C503" s="1" t="s">
        <v>4603</v>
      </c>
      <c r="D503" s="1" t="s">
        <v>4604</v>
      </c>
      <c r="E503" s="1" t="s">
        <v>4603</v>
      </c>
      <c r="F503" s="1" t="s">
        <v>4604</v>
      </c>
      <c r="G503" s="1" t="s">
        <v>4605</v>
      </c>
      <c r="H503" s="1" t="s">
        <v>4604</v>
      </c>
      <c r="I503" s="1" t="s">
        <v>17808</v>
      </c>
      <c r="J503" s="1" t="s">
        <v>17805</v>
      </c>
      <c r="K503" s="1">
        <v>13</v>
      </c>
      <c r="L503" s="1" t="s">
        <v>4219</v>
      </c>
      <c r="M503" s="1">
        <v>11</v>
      </c>
      <c r="N503" s="1" t="s">
        <v>4265</v>
      </c>
    </row>
    <row r="504" spans="1:14" x14ac:dyDescent="0.15">
      <c r="A504" s="1">
        <v>100</v>
      </c>
      <c r="B504" s="1" t="s">
        <v>4600</v>
      </c>
      <c r="C504" s="1" t="s">
        <v>4603</v>
      </c>
      <c r="D504" s="1" t="s">
        <v>4604</v>
      </c>
      <c r="E504" s="1" t="s">
        <v>4603</v>
      </c>
      <c r="F504" s="1" t="s">
        <v>4604</v>
      </c>
      <c r="G504" s="1" t="s">
        <v>4605</v>
      </c>
      <c r="H504" s="1" t="s">
        <v>4604</v>
      </c>
      <c r="I504" s="1" t="s">
        <v>17090</v>
      </c>
      <c r="J504" s="1" t="s">
        <v>17840</v>
      </c>
      <c r="K504" s="1">
        <v>13</v>
      </c>
      <c r="L504" s="1" t="s">
        <v>4219</v>
      </c>
      <c r="M504" s="1">
        <v>11</v>
      </c>
      <c r="N504" s="1" t="s">
        <v>4265</v>
      </c>
    </row>
    <row r="505" spans="1:14" x14ac:dyDescent="0.15">
      <c r="A505" s="1">
        <v>100</v>
      </c>
      <c r="B505" s="1" t="s">
        <v>4600</v>
      </c>
      <c r="C505" s="1" t="s">
        <v>4603</v>
      </c>
      <c r="D505" s="1" t="s">
        <v>4604</v>
      </c>
      <c r="E505" s="1" t="s">
        <v>4603</v>
      </c>
      <c r="F505" s="1" t="s">
        <v>4604</v>
      </c>
      <c r="G505" s="1" t="s">
        <v>4605</v>
      </c>
      <c r="H505" s="1" t="s">
        <v>4604</v>
      </c>
      <c r="I505" s="1" t="s">
        <v>11149</v>
      </c>
      <c r="J505" s="1" t="s">
        <v>4606</v>
      </c>
      <c r="K505" s="1">
        <v>13</v>
      </c>
      <c r="L505" s="1" t="s">
        <v>4219</v>
      </c>
      <c r="M505" s="1">
        <v>11</v>
      </c>
      <c r="N505" s="1" t="s">
        <v>4265</v>
      </c>
    </row>
    <row r="506" spans="1:14" x14ac:dyDescent="0.15">
      <c r="A506" s="1">
        <v>100</v>
      </c>
      <c r="B506" s="1" t="s">
        <v>4600</v>
      </c>
      <c r="C506" s="1" t="s">
        <v>4603</v>
      </c>
      <c r="D506" s="1" t="s">
        <v>4604</v>
      </c>
      <c r="E506" s="1" t="s">
        <v>4603</v>
      </c>
      <c r="F506" s="1" t="s">
        <v>4604</v>
      </c>
      <c r="G506" s="1" t="s">
        <v>4605</v>
      </c>
      <c r="H506" s="1" t="s">
        <v>4604</v>
      </c>
      <c r="I506" s="1" t="s">
        <v>17829</v>
      </c>
      <c r="J506" s="1" t="s">
        <v>6631</v>
      </c>
      <c r="K506" s="1">
        <v>13</v>
      </c>
      <c r="L506" s="1" t="s">
        <v>4219</v>
      </c>
      <c r="M506" s="1">
        <v>11</v>
      </c>
      <c r="N506" s="1" t="s">
        <v>4265</v>
      </c>
    </row>
    <row r="507" spans="1:14" x14ac:dyDescent="0.15">
      <c r="A507" s="1">
        <v>100</v>
      </c>
      <c r="B507" s="1" t="s">
        <v>4600</v>
      </c>
      <c r="C507" s="1" t="s">
        <v>4603</v>
      </c>
      <c r="D507" s="1" t="s">
        <v>4604</v>
      </c>
      <c r="E507" s="1" t="s">
        <v>4603</v>
      </c>
      <c r="F507" s="1" t="s">
        <v>4604</v>
      </c>
      <c r="G507" s="1" t="s">
        <v>4605</v>
      </c>
      <c r="H507" s="1" t="s">
        <v>4604</v>
      </c>
      <c r="I507" s="1" t="s">
        <v>17836</v>
      </c>
      <c r="J507" s="1" t="s">
        <v>6654</v>
      </c>
      <c r="K507" s="1">
        <v>13</v>
      </c>
      <c r="L507" s="1" t="s">
        <v>4219</v>
      </c>
      <c r="M507" s="1">
        <v>11</v>
      </c>
      <c r="N507" s="1" t="s">
        <v>4265</v>
      </c>
    </row>
    <row r="508" spans="1:14" x14ac:dyDescent="0.15">
      <c r="A508" s="1">
        <v>100</v>
      </c>
      <c r="B508" s="1" t="s">
        <v>4600</v>
      </c>
      <c r="C508" s="1" t="s">
        <v>4603</v>
      </c>
      <c r="D508" s="1" t="s">
        <v>4604</v>
      </c>
      <c r="E508" s="1" t="s">
        <v>4603</v>
      </c>
      <c r="F508" s="1" t="s">
        <v>4604</v>
      </c>
      <c r="G508" s="1" t="s">
        <v>4605</v>
      </c>
      <c r="H508" s="1" t="s">
        <v>4604</v>
      </c>
      <c r="I508" s="1" t="s">
        <v>17097</v>
      </c>
      <c r="J508" s="1" t="s">
        <v>4607</v>
      </c>
      <c r="K508" s="1">
        <v>13</v>
      </c>
      <c r="L508" s="1" t="s">
        <v>4219</v>
      </c>
      <c r="M508" s="1">
        <v>11</v>
      </c>
      <c r="N508" s="1" t="s">
        <v>4265</v>
      </c>
    </row>
    <row r="509" spans="1:14" x14ac:dyDescent="0.15">
      <c r="A509" s="1">
        <v>100</v>
      </c>
      <c r="B509" s="1" t="s">
        <v>4600</v>
      </c>
      <c r="C509" s="1" t="s">
        <v>4603</v>
      </c>
      <c r="D509" s="1" t="s">
        <v>4604</v>
      </c>
      <c r="E509" s="1" t="s">
        <v>4603</v>
      </c>
      <c r="F509" s="1" t="s">
        <v>4604</v>
      </c>
      <c r="G509" s="1" t="s">
        <v>4605</v>
      </c>
      <c r="H509" s="1" t="s">
        <v>4604</v>
      </c>
      <c r="I509" s="1" t="s">
        <v>11160</v>
      </c>
      <c r="J509" s="1" t="s">
        <v>4608</v>
      </c>
      <c r="K509" s="1">
        <v>13</v>
      </c>
      <c r="L509" s="1" t="s">
        <v>4219</v>
      </c>
      <c r="M509" s="1">
        <v>11</v>
      </c>
      <c r="N509" s="1" t="s">
        <v>4265</v>
      </c>
    </row>
    <row r="510" spans="1:14" x14ac:dyDescent="0.15">
      <c r="A510" s="1">
        <v>101</v>
      </c>
      <c r="B510" s="1" t="s">
        <v>4609</v>
      </c>
      <c r="C510" s="1" t="s">
        <v>4610</v>
      </c>
      <c r="D510" s="1" t="s">
        <v>4609</v>
      </c>
      <c r="E510" s="1" t="s">
        <v>4610</v>
      </c>
      <c r="F510" s="1" t="s">
        <v>4609</v>
      </c>
      <c r="G510" s="1" t="s">
        <v>4611</v>
      </c>
      <c r="H510" s="1" t="s">
        <v>4609</v>
      </c>
      <c r="I510" s="1" t="s">
        <v>11149</v>
      </c>
      <c r="J510" s="1" t="s">
        <v>4606</v>
      </c>
      <c r="K510" s="1">
        <v>13</v>
      </c>
      <c r="L510" s="1" t="s">
        <v>4219</v>
      </c>
      <c r="M510" s="1">
        <v>11</v>
      </c>
      <c r="N510" s="1" t="s">
        <v>4265</v>
      </c>
    </row>
    <row r="511" spans="1:14" x14ac:dyDescent="0.15">
      <c r="A511" s="1">
        <v>101</v>
      </c>
      <c r="B511" s="1" t="s">
        <v>4609</v>
      </c>
      <c r="C511" s="1" t="s">
        <v>4610</v>
      </c>
      <c r="D511" s="1" t="s">
        <v>4609</v>
      </c>
      <c r="E511" s="1" t="s">
        <v>4610</v>
      </c>
      <c r="F511" s="1" t="s">
        <v>4609</v>
      </c>
      <c r="G511" s="1" t="s">
        <v>4611</v>
      </c>
      <c r="H511" s="1" t="s">
        <v>4609</v>
      </c>
      <c r="I511" s="1" t="s">
        <v>17815</v>
      </c>
      <c r="J511" s="1" t="s">
        <v>6754</v>
      </c>
      <c r="K511" s="1">
        <v>13</v>
      </c>
      <c r="L511" s="1" t="s">
        <v>4219</v>
      </c>
      <c r="M511" s="1">
        <v>11</v>
      </c>
      <c r="N511" s="1" t="s">
        <v>4265</v>
      </c>
    </row>
    <row r="512" spans="1:14" x14ac:dyDescent="0.15">
      <c r="A512" s="1">
        <v>101</v>
      </c>
      <c r="B512" s="1" t="s">
        <v>4609</v>
      </c>
      <c r="C512" s="1" t="s">
        <v>4610</v>
      </c>
      <c r="D512" s="1" t="s">
        <v>4609</v>
      </c>
      <c r="E512" s="1" t="s">
        <v>4610</v>
      </c>
      <c r="F512" s="1" t="s">
        <v>4609</v>
      </c>
      <c r="G512" s="1" t="s">
        <v>4611</v>
      </c>
      <c r="H512" s="1" t="s">
        <v>4609</v>
      </c>
      <c r="I512" s="1" t="s">
        <v>11171</v>
      </c>
      <c r="J512" s="1" t="s">
        <v>4612</v>
      </c>
      <c r="K512" s="1">
        <v>13</v>
      </c>
      <c r="L512" s="1" t="s">
        <v>4219</v>
      </c>
      <c r="M512" s="1">
        <v>11</v>
      </c>
      <c r="N512" s="1" t="s">
        <v>4265</v>
      </c>
    </row>
    <row r="513" spans="1:14" x14ac:dyDescent="0.15">
      <c r="A513" s="1">
        <v>101</v>
      </c>
      <c r="B513" s="1" t="s">
        <v>4609</v>
      </c>
      <c r="C513" s="1" t="s">
        <v>4610</v>
      </c>
      <c r="D513" s="1" t="s">
        <v>4609</v>
      </c>
      <c r="E513" s="1" t="s">
        <v>4610</v>
      </c>
      <c r="F513" s="1" t="s">
        <v>4609</v>
      </c>
      <c r="G513" s="1" t="s">
        <v>4611</v>
      </c>
      <c r="H513" s="1" t="s">
        <v>4609</v>
      </c>
      <c r="I513" s="1" t="s">
        <v>11176</v>
      </c>
      <c r="J513" s="1" t="s">
        <v>4613</v>
      </c>
      <c r="K513" s="1">
        <v>13</v>
      </c>
      <c r="L513" s="1" t="s">
        <v>4219</v>
      </c>
      <c r="M513" s="1">
        <v>11</v>
      </c>
      <c r="N513" s="1" t="s">
        <v>4265</v>
      </c>
    </row>
    <row r="514" spans="1:14" x14ac:dyDescent="0.15">
      <c r="A514" s="1">
        <v>101</v>
      </c>
      <c r="B514" s="1" t="s">
        <v>4609</v>
      </c>
      <c r="C514" s="1" t="s">
        <v>4610</v>
      </c>
      <c r="D514" s="1" t="s">
        <v>4609</v>
      </c>
      <c r="E514" s="1" t="s">
        <v>4610</v>
      </c>
      <c r="F514" s="1" t="s">
        <v>4609</v>
      </c>
      <c r="G514" s="1" t="s">
        <v>4611</v>
      </c>
      <c r="H514" s="1" t="s">
        <v>4609</v>
      </c>
      <c r="I514" s="1" t="s">
        <v>11063</v>
      </c>
      <c r="J514" s="1" t="s">
        <v>4614</v>
      </c>
      <c r="K514" s="1">
        <v>13</v>
      </c>
      <c r="L514" s="1" t="s">
        <v>4219</v>
      </c>
      <c r="M514" s="1">
        <v>11</v>
      </c>
      <c r="N514" s="1" t="s">
        <v>4265</v>
      </c>
    </row>
    <row r="515" spans="1:14" x14ac:dyDescent="0.15">
      <c r="A515" s="1">
        <v>101</v>
      </c>
      <c r="B515" s="1" t="s">
        <v>4609</v>
      </c>
      <c r="C515" s="1" t="s">
        <v>4610</v>
      </c>
      <c r="D515" s="1" t="s">
        <v>4609</v>
      </c>
      <c r="E515" s="1" t="s">
        <v>4610</v>
      </c>
      <c r="F515" s="1" t="s">
        <v>4609</v>
      </c>
      <c r="G515" s="1" t="s">
        <v>4611</v>
      </c>
      <c r="H515" s="1" t="s">
        <v>4609</v>
      </c>
      <c r="I515" s="1" t="s">
        <v>11068</v>
      </c>
      <c r="J515" s="1" t="s">
        <v>4615</v>
      </c>
      <c r="K515" s="1">
        <v>13</v>
      </c>
      <c r="L515" s="1" t="s">
        <v>4219</v>
      </c>
      <c r="M515" s="1">
        <v>11</v>
      </c>
      <c r="N515" s="1" t="s">
        <v>4265</v>
      </c>
    </row>
    <row r="516" spans="1:14" x14ac:dyDescent="0.15">
      <c r="A516" s="1">
        <v>101</v>
      </c>
      <c r="B516" s="1" t="s">
        <v>4609</v>
      </c>
      <c r="C516" s="1" t="s">
        <v>4610</v>
      </c>
      <c r="D516" s="1" t="s">
        <v>4609</v>
      </c>
      <c r="E516" s="1" t="s">
        <v>4610</v>
      </c>
      <c r="F516" s="1" t="s">
        <v>4609</v>
      </c>
      <c r="G516" s="1" t="s">
        <v>4611</v>
      </c>
      <c r="H516" s="1" t="s">
        <v>4609</v>
      </c>
      <c r="I516" s="1" t="s">
        <v>10819</v>
      </c>
      <c r="J516" s="1" t="s">
        <v>4616</v>
      </c>
      <c r="K516" s="1">
        <v>13</v>
      </c>
      <c r="L516" s="1" t="s">
        <v>4219</v>
      </c>
      <c r="M516" s="1">
        <v>11</v>
      </c>
      <c r="N516" s="1" t="s">
        <v>4265</v>
      </c>
    </row>
    <row r="517" spans="1:14" x14ac:dyDescent="0.15">
      <c r="A517" s="1">
        <v>101</v>
      </c>
      <c r="B517" s="1" t="s">
        <v>4609</v>
      </c>
      <c r="C517" s="1" t="s">
        <v>4610</v>
      </c>
      <c r="D517" s="1" t="s">
        <v>4609</v>
      </c>
      <c r="E517" s="1" t="s">
        <v>4610</v>
      </c>
      <c r="F517" s="1" t="s">
        <v>4609</v>
      </c>
      <c r="G517" s="1" t="s">
        <v>4611</v>
      </c>
      <c r="H517" s="1" t="s">
        <v>4609</v>
      </c>
      <c r="I517" s="1" t="s">
        <v>11720</v>
      </c>
      <c r="J517" s="1" t="s">
        <v>4617</v>
      </c>
      <c r="K517" s="1">
        <v>13</v>
      </c>
      <c r="L517" s="1" t="s">
        <v>4219</v>
      </c>
      <c r="M517" s="1">
        <v>11</v>
      </c>
      <c r="N517" s="1" t="s">
        <v>4265</v>
      </c>
    </row>
    <row r="518" spans="1:14" x14ac:dyDescent="0.15">
      <c r="A518" s="1">
        <v>101</v>
      </c>
      <c r="B518" s="1" t="s">
        <v>4609</v>
      </c>
      <c r="C518" s="1" t="s">
        <v>4610</v>
      </c>
      <c r="D518" s="1" t="s">
        <v>4609</v>
      </c>
      <c r="E518" s="1" t="s">
        <v>4610</v>
      </c>
      <c r="F518" s="1" t="s">
        <v>4609</v>
      </c>
      <c r="G518" s="1" t="s">
        <v>4611</v>
      </c>
      <c r="H518" s="1" t="s">
        <v>4609</v>
      </c>
      <c r="I518" s="1" t="s">
        <v>11174</v>
      </c>
      <c r="J518" s="1" t="s">
        <v>4618</v>
      </c>
      <c r="K518" s="1">
        <v>13</v>
      </c>
      <c r="L518" s="1" t="s">
        <v>4219</v>
      </c>
      <c r="M518" s="1">
        <v>11</v>
      </c>
      <c r="N518" s="1" t="s">
        <v>4265</v>
      </c>
    </row>
    <row r="519" spans="1:14" x14ac:dyDescent="0.15">
      <c r="A519" s="1">
        <v>101</v>
      </c>
      <c r="B519" s="1" t="s">
        <v>4609</v>
      </c>
      <c r="C519" s="1" t="s">
        <v>4610</v>
      </c>
      <c r="D519" s="1" t="s">
        <v>4609</v>
      </c>
      <c r="E519" s="1" t="s">
        <v>4610</v>
      </c>
      <c r="F519" s="1" t="s">
        <v>4609</v>
      </c>
      <c r="G519" s="1" t="s">
        <v>4611</v>
      </c>
      <c r="H519" s="1" t="s">
        <v>4609</v>
      </c>
      <c r="I519" s="1" t="s">
        <v>11160</v>
      </c>
      <c r="J519" s="1" t="s">
        <v>4608</v>
      </c>
      <c r="K519" s="1">
        <v>13</v>
      </c>
      <c r="L519" s="1" t="s">
        <v>4219</v>
      </c>
      <c r="M519" s="1">
        <v>11</v>
      </c>
      <c r="N519" s="1" t="s">
        <v>4265</v>
      </c>
    </row>
    <row r="520" spans="1:14" x14ac:dyDescent="0.15">
      <c r="A520" s="1">
        <v>101</v>
      </c>
      <c r="B520" s="1" t="s">
        <v>4609</v>
      </c>
      <c r="C520" s="1" t="s">
        <v>4610</v>
      </c>
      <c r="D520" s="1" t="s">
        <v>4609</v>
      </c>
      <c r="E520" s="1" t="s">
        <v>4610</v>
      </c>
      <c r="F520" s="1" t="s">
        <v>4609</v>
      </c>
      <c r="G520" s="1" t="s">
        <v>4611</v>
      </c>
      <c r="H520" s="1" t="s">
        <v>4609</v>
      </c>
      <c r="I520" s="1" t="s">
        <v>7858</v>
      </c>
      <c r="J520" s="1" t="s">
        <v>4619</v>
      </c>
      <c r="K520" s="1">
        <v>13</v>
      </c>
      <c r="L520" s="1" t="s">
        <v>4219</v>
      </c>
      <c r="M520" s="1">
        <v>11</v>
      </c>
      <c r="N520" s="1" t="s">
        <v>4265</v>
      </c>
    </row>
    <row r="521" spans="1:14" x14ac:dyDescent="0.15">
      <c r="A521" s="1">
        <v>101</v>
      </c>
      <c r="B521" s="1" t="s">
        <v>4609</v>
      </c>
      <c r="C521" s="1" t="s">
        <v>4610</v>
      </c>
      <c r="D521" s="1" t="s">
        <v>4609</v>
      </c>
      <c r="E521" s="1" t="s">
        <v>4610</v>
      </c>
      <c r="F521" s="1" t="s">
        <v>4609</v>
      </c>
      <c r="G521" s="1" t="s">
        <v>4611</v>
      </c>
      <c r="H521" s="1" t="s">
        <v>4609</v>
      </c>
      <c r="I521" s="1" t="s">
        <v>12933</v>
      </c>
      <c r="J521" s="1" t="s">
        <v>5304</v>
      </c>
      <c r="K521" s="1">
        <v>13</v>
      </c>
      <c r="L521" s="1" t="s">
        <v>4219</v>
      </c>
      <c r="M521" s="1">
        <v>11</v>
      </c>
      <c r="N521" s="1" t="s">
        <v>4265</v>
      </c>
    </row>
    <row r="522" spans="1:14" x14ac:dyDescent="0.15">
      <c r="A522" s="1">
        <v>102</v>
      </c>
      <c r="B522" s="1" t="s">
        <v>4620</v>
      </c>
      <c r="C522" s="1" t="s">
        <v>4621</v>
      </c>
      <c r="D522" s="1" t="s">
        <v>4620</v>
      </c>
      <c r="E522" s="1" t="s">
        <v>4621</v>
      </c>
      <c r="F522" s="1" t="s">
        <v>4620</v>
      </c>
      <c r="G522" s="1" t="s">
        <v>4622</v>
      </c>
      <c r="H522" s="1" t="s">
        <v>4620</v>
      </c>
      <c r="I522" s="1" t="s">
        <v>11879</v>
      </c>
      <c r="J522" s="1" t="s">
        <v>4278</v>
      </c>
      <c r="K522" s="1">
        <v>13</v>
      </c>
      <c r="L522" s="1" t="s">
        <v>4219</v>
      </c>
      <c r="M522" s="1">
        <v>11</v>
      </c>
      <c r="N522" s="1" t="s">
        <v>4265</v>
      </c>
    </row>
    <row r="523" spans="1:14" x14ac:dyDescent="0.15">
      <c r="A523" s="1">
        <v>102</v>
      </c>
      <c r="B523" s="1" t="s">
        <v>4620</v>
      </c>
      <c r="C523" s="1" t="s">
        <v>4623</v>
      </c>
      <c r="D523" s="1" t="s">
        <v>4624</v>
      </c>
      <c r="E523" s="1" t="s">
        <v>4623</v>
      </c>
      <c r="F523" s="1" t="s">
        <v>4624</v>
      </c>
      <c r="G523" s="1" t="s">
        <v>4625</v>
      </c>
      <c r="H523" s="1" t="s">
        <v>4624</v>
      </c>
      <c r="I523" s="1" t="s">
        <v>17090</v>
      </c>
      <c r="J523" s="1" t="s">
        <v>17840</v>
      </c>
      <c r="K523" s="1">
        <v>12</v>
      </c>
      <c r="L523" s="1" t="s">
        <v>4264</v>
      </c>
      <c r="M523" s="1">
        <v>11</v>
      </c>
      <c r="N523" s="1" t="s">
        <v>4265</v>
      </c>
    </row>
    <row r="524" spans="1:14" x14ac:dyDescent="0.15">
      <c r="A524" s="1">
        <v>102</v>
      </c>
      <c r="B524" s="1" t="s">
        <v>4620</v>
      </c>
      <c r="C524" s="1" t="s">
        <v>4623</v>
      </c>
      <c r="D524" s="1" t="s">
        <v>4624</v>
      </c>
      <c r="E524" s="1" t="s">
        <v>4623</v>
      </c>
      <c r="F524" s="1" t="s">
        <v>4624</v>
      </c>
      <c r="G524" s="1" t="s">
        <v>4625</v>
      </c>
      <c r="H524" s="1" t="s">
        <v>4624</v>
      </c>
      <c r="I524" s="1" t="s">
        <v>11149</v>
      </c>
      <c r="J524" s="1" t="s">
        <v>4606</v>
      </c>
      <c r="K524" s="1">
        <v>12</v>
      </c>
      <c r="L524" s="1" t="s">
        <v>4264</v>
      </c>
      <c r="M524" s="1">
        <v>11</v>
      </c>
      <c r="N524" s="1" t="s">
        <v>4265</v>
      </c>
    </row>
    <row r="525" spans="1:14" x14ac:dyDescent="0.15">
      <c r="A525" s="1">
        <v>102</v>
      </c>
      <c r="B525" s="1" t="s">
        <v>4620</v>
      </c>
      <c r="C525" s="1" t="s">
        <v>4623</v>
      </c>
      <c r="D525" s="1" t="s">
        <v>4624</v>
      </c>
      <c r="E525" s="1" t="s">
        <v>4623</v>
      </c>
      <c r="F525" s="1" t="s">
        <v>4624</v>
      </c>
      <c r="G525" s="1" t="s">
        <v>4625</v>
      </c>
      <c r="H525" s="1" t="s">
        <v>4624</v>
      </c>
      <c r="I525" s="1" t="s">
        <v>11157</v>
      </c>
      <c r="J525" s="1" t="s">
        <v>4626</v>
      </c>
      <c r="K525" s="1">
        <v>12</v>
      </c>
      <c r="L525" s="1" t="s">
        <v>4264</v>
      </c>
      <c r="M525" s="1">
        <v>11</v>
      </c>
      <c r="N525" s="1" t="s">
        <v>4265</v>
      </c>
    </row>
    <row r="526" spans="1:14" x14ac:dyDescent="0.15">
      <c r="A526" s="1">
        <v>102</v>
      </c>
      <c r="B526" s="1" t="s">
        <v>4620</v>
      </c>
      <c r="C526" s="1" t="s">
        <v>4623</v>
      </c>
      <c r="D526" s="1" t="s">
        <v>4624</v>
      </c>
      <c r="E526" s="1" t="s">
        <v>4623</v>
      </c>
      <c r="F526" s="1" t="s">
        <v>4624</v>
      </c>
      <c r="G526" s="1" t="s">
        <v>4625</v>
      </c>
      <c r="H526" s="1" t="s">
        <v>4624</v>
      </c>
      <c r="I526" s="1" t="s">
        <v>16758</v>
      </c>
      <c r="J526" s="1" t="s">
        <v>6974</v>
      </c>
      <c r="K526" s="1">
        <v>12</v>
      </c>
      <c r="L526" s="1" t="s">
        <v>4264</v>
      </c>
      <c r="M526" s="1">
        <v>11</v>
      </c>
      <c r="N526" s="1" t="s">
        <v>4265</v>
      </c>
    </row>
    <row r="527" spans="1:14" x14ac:dyDescent="0.15">
      <c r="A527" s="1">
        <v>102</v>
      </c>
      <c r="B527" s="1" t="s">
        <v>4620</v>
      </c>
      <c r="C527" s="1" t="s">
        <v>4623</v>
      </c>
      <c r="D527" s="1" t="s">
        <v>4624</v>
      </c>
      <c r="E527" s="1" t="s">
        <v>4623</v>
      </c>
      <c r="F527" s="1" t="s">
        <v>4624</v>
      </c>
      <c r="G527" s="1" t="s">
        <v>4625</v>
      </c>
      <c r="H527" s="1" t="s">
        <v>4624</v>
      </c>
      <c r="I527" s="1" t="s">
        <v>10786</v>
      </c>
      <c r="J527" s="1" t="s">
        <v>4368</v>
      </c>
      <c r="K527" s="1">
        <v>12</v>
      </c>
      <c r="L527" s="1" t="s">
        <v>4264</v>
      </c>
      <c r="M527" s="1">
        <v>11</v>
      </c>
      <c r="N527" s="1" t="s">
        <v>4265</v>
      </c>
    </row>
    <row r="528" spans="1:14" x14ac:dyDescent="0.15">
      <c r="A528" s="1">
        <v>102</v>
      </c>
      <c r="B528" s="1" t="s">
        <v>4620</v>
      </c>
      <c r="C528" s="1" t="s">
        <v>4623</v>
      </c>
      <c r="D528" s="1" t="s">
        <v>4624</v>
      </c>
      <c r="E528" s="1" t="s">
        <v>4623</v>
      </c>
      <c r="F528" s="1" t="s">
        <v>4624</v>
      </c>
      <c r="G528" s="1" t="s">
        <v>4625</v>
      </c>
      <c r="H528" s="1" t="s">
        <v>4624</v>
      </c>
      <c r="I528" s="1" t="s">
        <v>10144</v>
      </c>
      <c r="J528" s="1" t="s">
        <v>4627</v>
      </c>
      <c r="K528" s="1">
        <v>12</v>
      </c>
      <c r="L528" s="1" t="s">
        <v>4264</v>
      </c>
      <c r="M528" s="1">
        <v>11</v>
      </c>
      <c r="N528" s="1" t="s">
        <v>4265</v>
      </c>
    </row>
    <row r="529" spans="1:14" x14ac:dyDescent="0.15">
      <c r="A529" s="1">
        <v>102</v>
      </c>
      <c r="B529" s="1" t="s">
        <v>4620</v>
      </c>
      <c r="C529" s="1" t="s">
        <v>4623</v>
      </c>
      <c r="D529" s="1" t="s">
        <v>4624</v>
      </c>
      <c r="E529" s="1" t="s">
        <v>4623</v>
      </c>
      <c r="F529" s="1" t="s">
        <v>4624</v>
      </c>
      <c r="G529" s="1" t="s">
        <v>4625</v>
      </c>
      <c r="H529" s="1" t="s">
        <v>4624</v>
      </c>
      <c r="I529" s="1" t="s">
        <v>11720</v>
      </c>
      <c r="J529" s="1" t="s">
        <v>4617</v>
      </c>
      <c r="K529" s="1">
        <v>12</v>
      </c>
      <c r="L529" s="1" t="s">
        <v>4264</v>
      </c>
      <c r="M529" s="1">
        <v>11</v>
      </c>
      <c r="N529" s="1" t="s">
        <v>4265</v>
      </c>
    </row>
    <row r="530" spans="1:14" x14ac:dyDescent="0.15">
      <c r="A530" s="1">
        <v>102</v>
      </c>
      <c r="B530" s="1" t="s">
        <v>4620</v>
      </c>
      <c r="C530" s="1" t="s">
        <v>4623</v>
      </c>
      <c r="D530" s="1" t="s">
        <v>4624</v>
      </c>
      <c r="E530" s="1" t="s">
        <v>4623</v>
      </c>
      <c r="F530" s="1" t="s">
        <v>4624</v>
      </c>
      <c r="G530" s="1" t="s">
        <v>4625</v>
      </c>
      <c r="H530" s="1" t="s">
        <v>4624</v>
      </c>
      <c r="I530" s="1" t="s">
        <v>11160</v>
      </c>
      <c r="J530" s="1" t="s">
        <v>4608</v>
      </c>
      <c r="K530" s="1">
        <v>12</v>
      </c>
      <c r="L530" s="1" t="s">
        <v>4264</v>
      </c>
      <c r="M530" s="1">
        <v>11</v>
      </c>
      <c r="N530" s="1" t="s">
        <v>4265</v>
      </c>
    </row>
    <row r="531" spans="1:14" x14ac:dyDescent="0.15">
      <c r="A531" s="1">
        <v>102</v>
      </c>
      <c r="B531" s="1" t="s">
        <v>4620</v>
      </c>
      <c r="C531" s="1" t="s">
        <v>4623</v>
      </c>
      <c r="D531" s="1" t="s">
        <v>4624</v>
      </c>
      <c r="E531" s="1" t="s">
        <v>4623</v>
      </c>
      <c r="F531" s="1" t="s">
        <v>4624</v>
      </c>
      <c r="G531" s="1" t="s">
        <v>4625</v>
      </c>
      <c r="H531" s="1" t="s">
        <v>4624</v>
      </c>
      <c r="I531" s="1" t="s">
        <v>7734</v>
      </c>
      <c r="J531" s="1" t="s">
        <v>4628</v>
      </c>
      <c r="K531" s="1">
        <v>12</v>
      </c>
      <c r="L531" s="1" t="s">
        <v>4264</v>
      </c>
      <c r="M531" s="1">
        <v>11</v>
      </c>
      <c r="N531" s="1" t="s">
        <v>4265</v>
      </c>
    </row>
    <row r="532" spans="1:14" x14ac:dyDescent="0.15">
      <c r="A532" s="1">
        <v>102</v>
      </c>
      <c r="B532" s="1" t="s">
        <v>4620</v>
      </c>
      <c r="C532" s="1" t="s">
        <v>4629</v>
      </c>
      <c r="D532" s="1" t="s">
        <v>4630</v>
      </c>
      <c r="E532" s="1" t="s">
        <v>4629</v>
      </c>
      <c r="F532" s="1" t="s">
        <v>4624</v>
      </c>
      <c r="G532" s="1" t="s">
        <v>4631</v>
      </c>
      <c r="H532" s="1" t="s">
        <v>4630</v>
      </c>
      <c r="I532" s="1" t="s">
        <v>17090</v>
      </c>
      <c r="J532" s="1" t="s">
        <v>17840</v>
      </c>
      <c r="K532" s="1">
        <v>13</v>
      </c>
      <c r="L532" s="1" t="s">
        <v>4219</v>
      </c>
      <c r="M532" s="1">
        <v>11</v>
      </c>
      <c r="N532" s="1" t="s">
        <v>4265</v>
      </c>
    </row>
    <row r="533" spans="1:14" x14ac:dyDescent="0.15">
      <c r="A533" s="1">
        <v>102</v>
      </c>
      <c r="B533" s="1" t="s">
        <v>4620</v>
      </c>
      <c r="C533" s="1" t="s">
        <v>4629</v>
      </c>
      <c r="D533" s="1" t="s">
        <v>4630</v>
      </c>
      <c r="E533" s="1" t="s">
        <v>4629</v>
      </c>
      <c r="F533" s="1" t="s">
        <v>4630</v>
      </c>
      <c r="G533" s="1" t="s">
        <v>4631</v>
      </c>
      <c r="H533" s="1" t="s">
        <v>4630</v>
      </c>
      <c r="I533" s="1" t="s">
        <v>11149</v>
      </c>
      <c r="J533" s="1" t="s">
        <v>4606</v>
      </c>
      <c r="K533" s="1">
        <v>13</v>
      </c>
      <c r="L533" s="1" t="s">
        <v>4219</v>
      </c>
      <c r="M533" s="1">
        <v>11</v>
      </c>
      <c r="N533" s="1" t="s">
        <v>4265</v>
      </c>
    </row>
    <row r="534" spans="1:14" x14ac:dyDescent="0.15">
      <c r="A534" s="1">
        <v>102</v>
      </c>
      <c r="B534" s="1" t="s">
        <v>4620</v>
      </c>
      <c r="C534" s="1" t="s">
        <v>4629</v>
      </c>
      <c r="D534" s="1" t="s">
        <v>4630</v>
      </c>
      <c r="E534" s="1" t="s">
        <v>4629</v>
      </c>
      <c r="F534" s="1" t="s">
        <v>4630</v>
      </c>
      <c r="G534" s="1" t="s">
        <v>4631</v>
      </c>
      <c r="H534" s="1" t="s">
        <v>4630</v>
      </c>
      <c r="I534" s="1" t="s">
        <v>11157</v>
      </c>
      <c r="J534" s="1" t="s">
        <v>4626</v>
      </c>
      <c r="K534" s="1">
        <v>13</v>
      </c>
      <c r="L534" s="1" t="s">
        <v>4219</v>
      </c>
      <c r="M534" s="1">
        <v>11</v>
      </c>
      <c r="N534" s="1" t="s">
        <v>4265</v>
      </c>
    </row>
    <row r="535" spans="1:14" x14ac:dyDescent="0.15">
      <c r="A535" s="1">
        <v>102</v>
      </c>
      <c r="B535" s="1" t="s">
        <v>4620</v>
      </c>
      <c r="C535" s="1" t="s">
        <v>4629</v>
      </c>
      <c r="D535" s="1" t="s">
        <v>4630</v>
      </c>
      <c r="E535" s="1" t="s">
        <v>4629</v>
      </c>
      <c r="F535" s="1" t="s">
        <v>4630</v>
      </c>
      <c r="G535" s="1" t="s">
        <v>4631</v>
      </c>
      <c r="H535" s="1" t="s">
        <v>4630</v>
      </c>
      <c r="I535" s="1" t="s">
        <v>17829</v>
      </c>
      <c r="J535" s="1" t="s">
        <v>6631</v>
      </c>
      <c r="K535" s="1">
        <v>13</v>
      </c>
      <c r="L535" s="1" t="s">
        <v>4219</v>
      </c>
      <c r="M535" s="1">
        <v>11</v>
      </c>
      <c r="N535" s="1" t="s">
        <v>4265</v>
      </c>
    </row>
    <row r="536" spans="1:14" x14ac:dyDescent="0.15">
      <c r="A536" s="1">
        <v>102</v>
      </c>
      <c r="B536" s="1" t="s">
        <v>4620</v>
      </c>
      <c r="C536" s="1" t="s">
        <v>4629</v>
      </c>
      <c r="D536" s="1" t="s">
        <v>4630</v>
      </c>
      <c r="E536" s="1" t="s">
        <v>4629</v>
      </c>
      <c r="F536" s="1" t="s">
        <v>4630</v>
      </c>
      <c r="G536" s="1" t="s">
        <v>4631</v>
      </c>
      <c r="H536" s="1" t="s">
        <v>4630</v>
      </c>
      <c r="I536" s="1" t="s">
        <v>16758</v>
      </c>
      <c r="J536" s="1" t="s">
        <v>6974</v>
      </c>
      <c r="K536" s="1">
        <v>13</v>
      </c>
      <c r="L536" s="1" t="s">
        <v>4219</v>
      </c>
      <c r="M536" s="1">
        <v>11</v>
      </c>
      <c r="N536" s="1" t="s">
        <v>4265</v>
      </c>
    </row>
    <row r="537" spans="1:14" x14ac:dyDescent="0.15">
      <c r="A537" s="1">
        <v>102</v>
      </c>
      <c r="B537" s="1" t="s">
        <v>4620</v>
      </c>
      <c r="C537" s="1" t="s">
        <v>4629</v>
      </c>
      <c r="D537" s="1" t="s">
        <v>4630</v>
      </c>
      <c r="E537" s="1" t="s">
        <v>4629</v>
      </c>
      <c r="F537" s="1" t="s">
        <v>4630</v>
      </c>
      <c r="G537" s="1" t="s">
        <v>4631</v>
      </c>
      <c r="H537" s="1" t="s">
        <v>4630</v>
      </c>
      <c r="I537" s="1" t="s">
        <v>10144</v>
      </c>
      <c r="J537" s="1" t="s">
        <v>4627</v>
      </c>
      <c r="K537" s="1">
        <v>13</v>
      </c>
      <c r="L537" s="1" t="s">
        <v>4219</v>
      </c>
      <c r="M537" s="1">
        <v>11</v>
      </c>
      <c r="N537" s="1" t="s">
        <v>4265</v>
      </c>
    </row>
    <row r="538" spans="1:14" x14ac:dyDescent="0.15">
      <c r="A538" s="1">
        <v>104</v>
      </c>
      <c r="B538" s="1" t="s">
        <v>4632</v>
      </c>
      <c r="C538" s="1" t="s">
        <v>4633</v>
      </c>
      <c r="D538" s="1" t="s">
        <v>4632</v>
      </c>
      <c r="E538" s="1" t="s">
        <v>4633</v>
      </c>
      <c r="F538" s="1" t="s">
        <v>4632</v>
      </c>
      <c r="G538" s="1" t="s">
        <v>4634</v>
      </c>
      <c r="H538" s="1" t="s">
        <v>4632</v>
      </c>
      <c r="I538" s="1" t="s">
        <v>11605</v>
      </c>
      <c r="J538" s="1" t="s">
        <v>4635</v>
      </c>
      <c r="K538" s="1">
        <v>13</v>
      </c>
      <c r="L538" s="1" t="s">
        <v>4219</v>
      </c>
      <c r="M538" s="1">
        <v>11</v>
      </c>
      <c r="N538" s="1" t="s">
        <v>4265</v>
      </c>
    </row>
    <row r="539" spans="1:14" x14ac:dyDescent="0.15">
      <c r="A539" s="1">
        <v>104</v>
      </c>
      <c r="B539" s="1" t="s">
        <v>4632</v>
      </c>
      <c r="C539" s="1" t="s">
        <v>4633</v>
      </c>
      <c r="D539" s="1" t="s">
        <v>4632</v>
      </c>
      <c r="E539" s="1" t="s">
        <v>4633</v>
      </c>
      <c r="F539" s="1" t="s">
        <v>4632</v>
      </c>
      <c r="G539" s="1" t="s">
        <v>4634</v>
      </c>
      <c r="H539" s="1" t="s">
        <v>4632</v>
      </c>
      <c r="I539" s="1" t="s">
        <v>17822</v>
      </c>
      <c r="J539" s="1" t="s">
        <v>4636</v>
      </c>
      <c r="K539" s="1">
        <v>13</v>
      </c>
      <c r="L539" s="1" t="s">
        <v>4219</v>
      </c>
      <c r="M539" s="1">
        <v>11</v>
      </c>
      <c r="N539" s="1" t="s">
        <v>4265</v>
      </c>
    </row>
    <row r="540" spans="1:14" x14ac:dyDescent="0.15">
      <c r="A540" s="1">
        <v>104</v>
      </c>
      <c r="B540" s="1" t="s">
        <v>4632</v>
      </c>
      <c r="C540" s="1" t="s">
        <v>4633</v>
      </c>
      <c r="D540" s="1" t="s">
        <v>4632</v>
      </c>
      <c r="E540" s="1" t="s">
        <v>4633</v>
      </c>
      <c r="F540" s="1" t="s">
        <v>4632</v>
      </c>
      <c r="G540" s="1" t="s">
        <v>4634</v>
      </c>
      <c r="H540" s="1" t="s">
        <v>4632</v>
      </c>
      <c r="I540" s="1" t="s">
        <v>11155</v>
      </c>
      <c r="J540" s="1" t="s">
        <v>4637</v>
      </c>
      <c r="K540" s="1">
        <v>13</v>
      </c>
      <c r="L540" s="1" t="s">
        <v>4219</v>
      </c>
      <c r="M540" s="1">
        <v>11</v>
      </c>
      <c r="N540" s="1" t="s">
        <v>4265</v>
      </c>
    </row>
    <row r="541" spans="1:14" x14ac:dyDescent="0.15">
      <c r="A541" s="1">
        <v>104</v>
      </c>
      <c r="B541" s="1" t="s">
        <v>4632</v>
      </c>
      <c r="C541" s="1" t="s">
        <v>4633</v>
      </c>
      <c r="D541" s="1" t="s">
        <v>4632</v>
      </c>
      <c r="E541" s="1" t="s">
        <v>4633</v>
      </c>
      <c r="F541" s="1" t="s">
        <v>4632</v>
      </c>
      <c r="G541" s="1" t="s">
        <v>4634</v>
      </c>
      <c r="H541" s="1" t="s">
        <v>4632</v>
      </c>
      <c r="I541" s="1" t="s">
        <v>10788</v>
      </c>
      <c r="J541" s="1" t="s">
        <v>4638</v>
      </c>
      <c r="K541" s="1">
        <v>13</v>
      </c>
      <c r="L541" s="1" t="s">
        <v>4219</v>
      </c>
      <c r="M541" s="1">
        <v>11</v>
      </c>
      <c r="N541" s="1" t="s">
        <v>4265</v>
      </c>
    </row>
    <row r="542" spans="1:14" x14ac:dyDescent="0.15">
      <c r="A542" s="1">
        <v>104</v>
      </c>
      <c r="B542" s="1" t="s">
        <v>4632</v>
      </c>
      <c r="C542" s="1" t="s">
        <v>4633</v>
      </c>
      <c r="D542" s="1" t="s">
        <v>4632</v>
      </c>
      <c r="E542" s="1" t="s">
        <v>4633</v>
      </c>
      <c r="F542" s="1" t="s">
        <v>4632</v>
      </c>
      <c r="G542" s="1" t="s">
        <v>4634</v>
      </c>
      <c r="H542" s="1" t="s">
        <v>4632</v>
      </c>
      <c r="I542" s="1" t="s">
        <v>9247</v>
      </c>
      <c r="J542" s="1" t="s">
        <v>4552</v>
      </c>
      <c r="K542" s="1">
        <v>13</v>
      </c>
      <c r="L542" s="1" t="s">
        <v>4219</v>
      </c>
      <c r="M542" s="1">
        <v>11</v>
      </c>
      <c r="N542" s="1" t="s">
        <v>4265</v>
      </c>
    </row>
    <row r="543" spans="1:14" x14ac:dyDescent="0.15">
      <c r="A543" s="1">
        <v>104</v>
      </c>
      <c r="B543" s="1" t="s">
        <v>4632</v>
      </c>
      <c r="C543" s="1" t="s">
        <v>4633</v>
      </c>
      <c r="D543" s="1" t="s">
        <v>4632</v>
      </c>
      <c r="E543" s="1" t="s">
        <v>4633</v>
      </c>
      <c r="F543" s="1" t="s">
        <v>4632</v>
      </c>
      <c r="G543" s="1" t="s">
        <v>4634</v>
      </c>
      <c r="H543" s="1" t="s">
        <v>4632</v>
      </c>
      <c r="I543" s="1" t="s">
        <v>11174</v>
      </c>
      <c r="J543" s="1" t="s">
        <v>4618</v>
      </c>
      <c r="K543" s="1">
        <v>13</v>
      </c>
      <c r="L543" s="1" t="s">
        <v>4219</v>
      </c>
      <c r="M543" s="1">
        <v>11</v>
      </c>
      <c r="N543" s="1" t="s">
        <v>4265</v>
      </c>
    </row>
    <row r="544" spans="1:14" x14ac:dyDescent="0.15">
      <c r="A544" s="1">
        <v>100</v>
      </c>
      <c r="B544" s="1" t="s">
        <v>4600</v>
      </c>
      <c r="C544" s="1" t="s">
        <v>4639</v>
      </c>
      <c r="D544" s="1" t="s">
        <v>4640</v>
      </c>
      <c r="E544" s="1" t="s">
        <v>4639</v>
      </c>
      <c r="F544" s="1" t="s">
        <v>4640</v>
      </c>
      <c r="G544" s="1" t="s">
        <v>4641</v>
      </c>
      <c r="H544" s="1" t="s">
        <v>4640</v>
      </c>
      <c r="I544" s="1" t="s">
        <v>17808</v>
      </c>
      <c r="J544" s="1" t="s">
        <v>17805</v>
      </c>
      <c r="K544" s="1">
        <v>13</v>
      </c>
      <c r="L544" s="1" t="s">
        <v>4219</v>
      </c>
      <c r="M544" s="1">
        <v>11</v>
      </c>
      <c r="N544" s="1" t="s">
        <v>4265</v>
      </c>
    </row>
    <row r="545" spans="1:14" x14ac:dyDescent="0.15">
      <c r="A545" s="1">
        <v>100</v>
      </c>
      <c r="B545" s="1" t="s">
        <v>4600</v>
      </c>
      <c r="C545" s="1" t="s">
        <v>4639</v>
      </c>
      <c r="D545" s="1" t="s">
        <v>4640</v>
      </c>
      <c r="E545" s="1" t="s">
        <v>4639</v>
      </c>
      <c r="F545" s="1" t="s">
        <v>4640</v>
      </c>
      <c r="G545" s="1" t="s">
        <v>4641</v>
      </c>
      <c r="H545" s="1" t="s">
        <v>4640</v>
      </c>
      <c r="I545" s="1" t="s">
        <v>11157</v>
      </c>
      <c r="J545" s="1" t="s">
        <v>4626</v>
      </c>
      <c r="K545" s="1">
        <v>13</v>
      </c>
      <c r="L545" s="1" t="s">
        <v>4219</v>
      </c>
      <c r="M545" s="1">
        <v>11</v>
      </c>
      <c r="N545" s="1" t="s">
        <v>4265</v>
      </c>
    </row>
    <row r="546" spans="1:14" x14ac:dyDescent="0.15">
      <c r="A546" s="1">
        <v>100</v>
      </c>
      <c r="B546" s="1" t="s">
        <v>4600</v>
      </c>
      <c r="C546" s="1" t="s">
        <v>4639</v>
      </c>
      <c r="D546" s="1" t="s">
        <v>4640</v>
      </c>
      <c r="E546" s="1" t="s">
        <v>4639</v>
      </c>
      <c r="F546" s="1" t="s">
        <v>4640</v>
      </c>
      <c r="G546" s="1" t="s">
        <v>4641</v>
      </c>
      <c r="H546" s="1" t="s">
        <v>4640</v>
      </c>
      <c r="I546" s="1" t="s">
        <v>17836</v>
      </c>
      <c r="J546" s="1" t="s">
        <v>6654</v>
      </c>
      <c r="K546" s="1">
        <v>13</v>
      </c>
      <c r="L546" s="1" t="s">
        <v>4219</v>
      </c>
      <c r="M546" s="1">
        <v>11</v>
      </c>
      <c r="N546" s="1" t="s">
        <v>4265</v>
      </c>
    </row>
    <row r="547" spans="1:14" x14ac:dyDescent="0.15">
      <c r="A547" s="1">
        <v>100</v>
      </c>
      <c r="B547" s="1" t="s">
        <v>4600</v>
      </c>
      <c r="C547" s="1" t="s">
        <v>4639</v>
      </c>
      <c r="D547" s="1" t="s">
        <v>4640</v>
      </c>
      <c r="E547" s="1" t="s">
        <v>4639</v>
      </c>
      <c r="F547" s="1" t="s">
        <v>4640</v>
      </c>
      <c r="G547" s="1" t="s">
        <v>4641</v>
      </c>
      <c r="H547" s="1" t="s">
        <v>4640</v>
      </c>
      <c r="I547" s="1" t="s">
        <v>10819</v>
      </c>
      <c r="J547" s="1" t="s">
        <v>4616</v>
      </c>
      <c r="K547" s="1">
        <v>13</v>
      </c>
      <c r="L547" s="1" t="s">
        <v>4219</v>
      </c>
      <c r="M547" s="1">
        <v>11</v>
      </c>
      <c r="N547" s="1" t="s">
        <v>4265</v>
      </c>
    </row>
    <row r="548" spans="1:14" x14ac:dyDescent="0.15">
      <c r="A548" s="1">
        <v>106</v>
      </c>
      <c r="B548" s="1" t="s">
        <v>4642</v>
      </c>
      <c r="C548" s="1" t="s">
        <v>4643</v>
      </c>
      <c r="D548" s="1" t="s">
        <v>4642</v>
      </c>
      <c r="E548" s="1" t="s">
        <v>4643</v>
      </c>
      <c r="F548" s="1" t="s">
        <v>4642</v>
      </c>
      <c r="G548" s="1" t="s">
        <v>4644</v>
      </c>
      <c r="H548" s="1" t="s">
        <v>4642</v>
      </c>
      <c r="I548" s="1" t="s">
        <v>17808</v>
      </c>
      <c r="J548" s="1" t="s">
        <v>17805</v>
      </c>
      <c r="K548" s="1">
        <v>13</v>
      </c>
      <c r="L548" s="1" t="s">
        <v>4219</v>
      </c>
      <c r="M548" s="1">
        <v>11</v>
      </c>
      <c r="N548" s="1" t="s">
        <v>4265</v>
      </c>
    </row>
    <row r="549" spans="1:14" x14ac:dyDescent="0.15">
      <c r="A549" s="1">
        <v>106</v>
      </c>
      <c r="B549" s="1" t="s">
        <v>4642</v>
      </c>
      <c r="C549" s="1" t="s">
        <v>4643</v>
      </c>
      <c r="D549" s="1" t="s">
        <v>4642</v>
      </c>
      <c r="E549" s="1" t="s">
        <v>4643</v>
      </c>
      <c r="F549" s="1" t="s">
        <v>4642</v>
      </c>
      <c r="G549" s="1" t="s">
        <v>4644</v>
      </c>
      <c r="H549" s="1" t="s">
        <v>4642</v>
      </c>
      <c r="I549" s="1" t="s">
        <v>17836</v>
      </c>
      <c r="J549" s="1" t="s">
        <v>6654</v>
      </c>
      <c r="K549" s="1">
        <v>13</v>
      </c>
      <c r="L549" s="1" t="s">
        <v>4219</v>
      </c>
      <c r="M549" s="1">
        <v>11</v>
      </c>
      <c r="N549" s="1" t="s">
        <v>4265</v>
      </c>
    </row>
    <row r="550" spans="1:14" x14ac:dyDescent="0.15">
      <c r="A550" s="1">
        <v>106</v>
      </c>
      <c r="B550" s="1" t="s">
        <v>4642</v>
      </c>
      <c r="C550" s="1" t="s">
        <v>4643</v>
      </c>
      <c r="D550" s="1" t="s">
        <v>4642</v>
      </c>
      <c r="E550" s="1" t="s">
        <v>4643</v>
      </c>
      <c r="F550" s="1" t="s">
        <v>4642</v>
      </c>
      <c r="G550" s="1" t="s">
        <v>4644</v>
      </c>
      <c r="H550" s="1" t="s">
        <v>4642</v>
      </c>
      <c r="I550" s="1" t="s">
        <v>10791</v>
      </c>
      <c r="J550" s="1" t="s">
        <v>4645</v>
      </c>
      <c r="K550" s="1">
        <v>13</v>
      </c>
      <c r="L550" s="1" t="s">
        <v>4219</v>
      </c>
      <c r="M550" s="1">
        <v>11</v>
      </c>
      <c r="N550" s="1" t="s">
        <v>4265</v>
      </c>
    </row>
    <row r="551" spans="1:14" x14ac:dyDescent="0.15">
      <c r="A551" s="1">
        <v>106</v>
      </c>
      <c r="B551" s="1" t="s">
        <v>4642</v>
      </c>
      <c r="C551" s="1" t="s">
        <v>4643</v>
      </c>
      <c r="D551" s="1" t="s">
        <v>4642</v>
      </c>
      <c r="E551" s="1" t="s">
        <v>4643</v>
      </c>
      <c r="F551" s="1" t="s">
        <v>4642</v>
      </c>
      <c r="G551" s="1" t="s">
        <v>4644</v>
      </c>
      <c r="H551" s="1" t="s">
        <v>4642</v>
      </c>
      <c r="I551" s="1" t="s">
        <v>10816</v>
      </c>
      <c r="J551" s="1" t="s">
        <v>4646</v>
      </c>
      <c r="K551" s="1">
        <v>13</v>
      </c>
      <c r="L551" s="1" t="s">
        <v>4219</v>
      </c>
      <c r="M551" s="1">
        <v>11</v>
      </c>
      <c r="N551" s="1" t="s">
        <v>4265</v>
      </c>
    </row>
    <row r="552" spans="1:14" x14ac:dyDescent="0.15">
      <c r="A552" s="1">
        <v>106</v>
      </c>
      <c r="B552" s="1" t="s">
        <v>4642</v>
      </c>
      <c r="C552" s="1" t="s">
        <v>4643</v>
      </c>
      <c r="D552" s="1" t="s">
        <v>4642</v>
      </c>
      <c r="E552" s="1" t="s">
        <v>4643</v>
      </c>
      <c r="F552" s="1" t="s">
        <v>4642</v>
      </c>
      <c r="G552" s="1" t="s">
        <v>4644</v>
      </c>
      <c r="H552" s="1" t="s">
        <v>4642</v>
      </c>
      <c r="I552" s="1" t="s">
        <v>12933</v>
      </c>
      <c r="J552" s="1" t="s">
        <v>5304</v>
      </c>
      <c r="K552" s="1">
        <v>13</v>
      </c>
      <c r="L552" s="1" t="s">
        <v>4219</v>
      </c>
      <c r="M552" s="1">
        <v>11</v>
      </c>
      <c r="N552" s="1" t="s">
        <v>4265</v>
      </c>
    </row>
    <row r="553" spans="1:14" x14ac:dyDescent="0.15">
      <c r="A553" s="1">
        <v>110</v>
      </c>
      <c r="B553" s="1" t="s">
        <v>4647</v>
      </c>
      <c r="C553" s="1" t="s">
        <v>4648</v>
      </c>
      <c r="D553" s="1" t="s">
        <v>4647</v>
      </c>
      <c r="E553" s="1" t="s">
        <v>4648</v>
      </c>
      <c r="F553" s="1" t="s">
        <v>4647</v>
      </c>
      <c r="G553" s="1" t="s">
        <v>4649</v>
      </c>
      <c r="H553" s="1" t="s">
        <v>4647</v>
      </c>
      <c r="I553" s="1" t="s">
        <v>17808</v>
      </c>
      <c r="J553" s="1" t="s">
        <v>17805</v>
      </c>
      <c r="K553" s="1">
        <v>13</v>
      </c>
      <c r="L553" s="1" t="s">
        <v>4219</v>
      </c>
      <c r="M553" s="1">
        <v>11</v>
      </c>
      <c r="N553" s="1" t="s">
        <v>4265</v>
      </c>
    </row>
    <row r="554" spans="1:14" x14ac:dyDescent="0.15">
      <c r="A554" s="1">
        <v>110</v>
      </c>
      <c r="B554" s="1" t="s">
        <v>4647</v>
      </c>
      <c r="C554" s="1" t="s">
        <v>4648</v>
      </c>
      <c r="D554" s="1" t="s">
        <v>4647</v>
      </c>
      <c r="E554" s="1" t="s">
        <v>4648</v>
      </c>
      <c r="F554" s="1" t="s">
        <v>4647</v>
      </c>
      <c r="G554" s="1" t="s">
        <v>4649</v>
      </c>
      <c r="H554" s="1" t="s">
        <v>4647</v>
      </c>
      <c r="I554" s="1" t="s">
        <v>17829</v>
      </c>
      <c r="J554" s="1" t="s">
        <v>6631</v>
      </c>
      <c r="K554" s="1">
        <v>13</v>
      </c>
      <c r="L554" s="1" t="s">
        <v>4219</v>
      </c>
      <c r="M554" s="1">
        <v>11</v>
      </c>
      <c r="N554" s="1" t="s">
        <v>4265</v>
      </c>
    </row>
    <row r="555" spans="1:14" x14ac:dyDescent="0.15">
      <c r="A555" s="1">
        <v>110</v>
      </c>
      <c r="B555" s="1" t="s">
        <v>4647</v>
      </c>
      <c r="C555" s="1" t="s">
        <v>4648</v>
      </c>
      <c r="D555" s="1" t="s">
        <v>4647</v>
      </c>
      <c r="E555" s="1" t="s">
        <v>4648</v>
      </c>
      <c r="F555" s="1" t="s">
        <v>4647</v>
      </c>
      <c r="G555" s="1" t="s">
        <v>4649</v>
      </c>
      <c r="H555" s="1" t="s">
        <v>4647</v>
      </c>
      <c r="I555" s="1" t="s">
        <v>17836</v>
      </c>
      <c r="J555" s="1" t="s">
        <v>6654</v>
      </c>
      <c r="K555" s="1">
        <v>13</v>
      </c>
      <c r="L555" s="1" t="s">
        <v>4219</v>
      </c>
      <c r="M555" s="1">
        <v>11</v>
      </c>
      <c r="N555" s="1" t="s">
        <v>4265</v>
      </c>
    </row>
    <row r="556" spans="1:14" x14ac:dyDescent="0.15">
      <c r="A556" s="1">
        <v>110</v>
      </c>
      <c r="B556" s="1" t="s">
        <v>4647</v>
      </c>
      <c r="C556" s="1" t="s">
        <v>4648</v>
      </c>
      <c r="D556" s="1" t="s">
        <v>4647</v>
      </c>
      <c r="E556" s="1" t="s">
        <v>4648</v>
      </c>
      <c r="F556" s="1" t="s">
        <v>4647</v>
      </c>
      <c r="G556" s="1" t="s">
        <v>4649</v>
      </c>
      <c r="H556" s="1" t="s">
        <v>4647</v>
      </c>
      <c r="I556" s="1" t="s">
        <v>10801</v>
      </c>
      <c r="J556" s="1" t="s">
        <v>4650</v>
      </c>
      <c r="K556" s="1">
        <v>13</v>
      </c>
      <c r="L556" s="1" t="s">
        <v>4219</v>
      </c>
      <c r="M556" s="1">
        <v>11</v>
      </c>
      <c r="N556" s="1" t="s">
        <v>4265</v>
      </c>
    </row>
    <row r="557" spans="1:14" x14ac:dyDescent="0.15">
      <c r="A557" s="1">
        <v>110</v>
      </c>
      <c r="B557" s="1" t="s">
        <v>4647</v>
      </c>
      <c r="C557" s="1" t="s">
        <v>4648</v>
      </c>
      <c r="D557" s="1" t="s">
        <v>4647</v>
      </c>
      <c r="E557" s="1" t="s">
        <v>4648</v>
      </c>
      <c r="F557" s="1" t="s">
        <v>4647</v>
      </c>
      <c r="G557" s="1" t="s">
        <v>4649</v>
      </c>
      <c r="H557" s="1" t="s">
        <v>4647</v>
      </c>
      <c r="I557" s="1" t="s">
        <v>10810</v>
      </c>
      <c r="J557" s="1" t="s">
        <v>4266</v>
      </c>
      <c r="K557" s="1">
        <v>13</v>
      </c>
      <c r="L557" s="1" t="s">
        <v>4219</v>
      </c>
      <c r="M557" s="1">
        <v>11</v>
      </c>
      <c r="N557" s="1" t="s">
        <v>4265</v>
      </c>
    </row>
    <row r="558" spans="1:14" x14ac:dyDescent="0.15">
      <c r="A558" s="1">
        <v>110</v>
      </c>
      <c r="B558" s="1" t="s">
        <v>4647</v>
      </c>
      <c r="C558" s="1" t="s">
        <v>4648</v>
      </c>
      <c r="D558" s="1" t="s">
        <v>4647</v>
      </c>
      <c r="E558" s="1" t="s">
        <v>4648</v>
      </c>
      <c r="F558" s="1" t="s">
        <v>4647</v>
      </c>
      <c r="G558" s="1" t="s">
        <v>4649</v>
      </c>
      <c r="H558" s="1" t="s">
        <v>4647</v>
      </c>
      <c r="I558" s="1" t="s">
        <v>10813</v>
      </c>
      <c r="J558" s="1" t="s">
        <v>4651</v>
      </c>
      <c r="K558" s="1">
        <v>13</v>
      </c>
      <c r="L558" s="1" t="s">
        <v>4219</v>
      </c>
      <c r="M558" s="1">
        <v>11</v>
      </c>
      <c r="N558" s="1" t="s">
        <v>4265</v>
      </c>
    </row>
    <row r="559" spans="1:14" x14ac:dyDescent="0.15">
      <c r="A559" s="1">
        <v>110</v>
      </c>
      <c r="B559" s="1" t="s">
        <v>4647</v>
      </c>
      <c r="C559" s="1" t="s">
        <v>4648</v>
      </c>
      <c r="D559" s="1" t="s">
        <v>4647</v>
      </c>
      <c r="E559" s="1" t="s">
        <v>4648</v>
      </c>
      <c r="F559" s="1" t="s">
        <v>4647</v>
      </c>
      <c r="G559" s="1" t="s">
        <v>4649</v>
      </c>
      <c r="H559" s="1" t="s">
        <v>4647</v>
      </c>
      <c r="I559" s="1" t="s">
        <v>10816</v>
      </c>
      <c r="J559" s="1" t="s">
        <v>4646</v>
      </c>
      <c r="K559" s="1">
        <v>13</v>
      </c>
      <c r="L559" s="1" t="s">
        <v>4219</v>
      </c>
      <c r="M559" s="1">
        <v>11</v>
      </c>
      <c r="N559" s="1" t="s">
        <v>4265</v>
      </c>
    </row>
    <row r="560" spans="1:14" x14ac:dyDescent="0.15">
      <c r="A560" s="1">
        <v>110</v>
      </c>
      <c r="B560" s="1" t="s">
        <v>4647</v>
      </c>
      <c r="C560" s="1" t="s">
        <v>4648</v>
      </c>
      <c r="D560" s="1" t="s">
        <v>4647</v>
      </c>
      <c r="E560" s="1" t="s">
        <v>4648</v>
      </c>
      <c r="F560" s="1" t="s">
        <v>4647</v>
      </c>
      <c r="G560" s="1" t="s">
        <v>4649</v>
      </c>
      <c r="H560" s="1" t="s">
        <v>4647</v>
      </c>
      <c r="I560" s="1" t="s">
        <v>17097</v>
      </c>
      <c r="J560" s="1" t="s">
        <v>4607</v>
      </c>
      <c r="K560" s="1">
        <v>13</v>
      </c>
      <c r="L560" s="1" t="s">
        <v>4219</v>
      </c>
      <c r="M560" s="1">
        <v>11</v>
      </c>
      <c r="N560" s="1" t="s">
        <v>4265</v>
      </c>
    </row>
    <row r="561" spans="1:14" x14ac:dyDescent="0.15">
      <c r="A561" s="1">
        <v>110</v>
      </c>
      <c r="B561" s="1" t="s">
        <v>4647</v>
      </c>
      <c r="C561" s="1" t="s">
        <v>4648</v>
      </c>
      <c r="D561" s="1" t="s">
        <v>4647</v>
      </c>
      <c r="E561" s="1" t="s">
        <v>4648</v>
      </c>
      <c r="F561" s="1" t="s">
        <v>4647</v>
      </c>
      <c r="G561" s="1" t="s">
        <v>4652</v>
      </c>
      <c r="H561" s="1" t="s">
        <v>4653</v>
      </c>
      <c r="I561" s="1" t="s">
        <v>10816</v>
      </c>
      <c r="J561" s="1" t="s">
        <v>4646</v>
      </c>
      <c r="K561" s="1">
        <v>9</v>
      </c>
      <c r="L561" s="1" t="s">
        <v>4199</v>
      </c>
      <c r="M561" s="1">
        <v>11</v>
      </c>
      <c r="N561" s="1" t="s">
        <v>4265</v>
      </c>
    </row>
    <row r="562" spans="1:14" x14ac:dyDescent="0.15">
      <c r="A562" s="1">
        <v>111</v>
      </c>
      <c r="B562" s="1" t="s">
        <v>4654</v>
      </c>
      <c r="C562" s="1" t="s">
        <v>4655</v>
      </c>
      <c r="D562" s="1" t="s">
        <v>4654</v>
      </c>
      <c r="E562" s="1" t="s">
        <v>4655</v>
      </c>
      <c r="F562" s="1" t="s">
        <v>4654</v>
      </c>
      <c r="G562" s="1" t="s">
        <v>4656</v>
      </c>
      <c r="H562" s="1" t="s">
        <v>4654</v>
      </c>
      <c r="I562" s="1" t="s">
        <v>17808</v>
      </c>
      <c r="J562" s="1" t="s">
        <v>17805</v>
      </c>
      <c r="K562" s="1">
        <v>13</v>
      </c>
      <c r="L562" s="1" t="s">
        <v>4219</v>
      </c>
      <c r="M562" s="1">
        <v>11</v>
      </c>
      <c r="N562" s="1" t="s">
        <v>4265</v>
      </c>
    </row>
    <row r="563" spans="1:14" x14ac:dyDescent="0.15">
      <c r="A563" s="1">
        <v>111</v>
      </c>
      <c r="B563" s="1" t="s">
        <v>4654</v>
      </c>
      <c r="C563" s="1" t="s">
        <v>4655</v>
      </c>
      <c r="D563" s="1" t="s">
        <v>4654</v>
      </c>
      <c r="E563" s="1" t="s">
        <v>4655</v>
      </c>
      <c r="F563" s="1" t="s">
        <v>4654</v>
      </c>
      <c r="G563" s="1" t="s">
        <v>4656</v>
      </c>
      <c r="H563" s="1" t="s">
        <v>4654</v>
      </c>
      <c r="I563" s="1" t="s">
        <v>11157</v>
      </c>
      <c r="J563" s="1" t="s">
        <v>4626</v>
      </c>
      <c r="K563" s="1">
        <v>13</v>
      </c>
      <c r="L563" s="1" t="s">
        <v>4219</v>
      </c>
      <c r="M563" s="1">
        <v>11</v>
      </c>
      <c r="N563" s="1" t="s">
        <v>4265</v>
      </c>
    </row>
    <row r="564" spans="1:14" x14ac:dyDescent="0.15">
      <c r="A564" s="1">
        <v>111</v>
      </c>
      <c r="B564" s="1" t="s">
        <v>4654</v>
      </c>
      <c r="C564" s="1" t="s">
        <v>4655</v>
      </c>
      <c r="D564" s="1" t="s">
        <v>4654</v>
      </c>
      <c r="E564" s="1" t="s">
        <v>4655</v>
      </c>
      <c r="F564" s="1" t="s">
        <v>4654</v>
      </c>
      <c r="G564" s="1" t="s">
        <v>4656</v>
      </c>
      <c r="H564" s="1" t="s">
        <v>4654</v>
      </c>
      <c r="I564" s="1" t="s">
        <v>17836</v>
      </c>
      <c r="J564" s="1" t="s">
        <v>6654</v>
      </c>
      <c r="K564" s="1">
        <v>13</v>
      </c>
      <c r="L564" s="1" t="s">
        <v>4219</v>
      </c>
      <c r="M564" s="1">
        <v>11</v>
      </c>
      <c r="N564" s="1" t="s">
        <v>4265</v>
      </c>
    </row>
    <row r="565" spans="1:14" x14ac:dyDescent="0.15">
      <c r="A565" s="1">
        <v>111</v>
      </c>
      <c r="B565" s="1" t="s">
        <v>4654</v>
      </c>
      <c r="C565" s="1" t="s">
        <v>4655</v>
      </c>
      <c r="D565" s="1" t="s">
        <v>4654</v>
      </c>
      <c r="E565" s="1" t="s">
        <v>4655</v>
      </c>
      <c r="F565" s="1" t="s">
        <v>4654</v>
      </c>
      <c r="G565" s="1" t="s">
        <v>4656</v>
      </c>
      <c r="H565" s="1" t="s">
        <v>4654</v>
      </c>
      <c r="I565" s="1" t="s">
        <v>10801</v>
      </c>
      <c r="J565" s="1" t="s">
        <v>4650</v>
      </c>
      <c r="K565" s="1">
        <v>13</v>
      </c>
      <c r="L565" s="1" t="s">
        <v>4219</v>
      </c>
      <c r="M565" s="1">
        <v>11</v>
      </c>
      <c r="N565" s="1" t="s">
        <v>4265</v>
      </c>
    </row>
    <row r="566" spans="1:14" x14ac:dyDescent="0.15">
      <c r="A566" s="1">
        <v>111</v>
      </c>
      <c r="B566" s="1" t="s">
        <v>4654</v>
      </c>
      <c r="C566" s="1" t="s">
        <v>4655</v>
      </c>
      <c r="D566" s="1" t="s">
        <v>4654</v>
      </c>
      <c r="E566" s="1" t="s">
        <v>4655</v>
      </c>
      <c r="F566" s="1" t="s">
        <v>4654</v>
      </c>
      <c r="G566" s="1" t="s">
        <v>4656</v>
      </c>
      <c r="H566" s="1" t="s">
        <v>4654</v>
      </c>
      <c r="I566" s="1" t="s">
        <v>10816</v>
      </c>
      <c r="J566" s="1" t="s">
        <v>4646</v>
      </c>
      <c r="K566" s="1">
        <v>13</v>
      </c>
      <c r="L566" s="1" t="s">
        <v>4219</v>
      </c>
      <c r="M566" s="1">
        <v>11</v>
      </c>
      <c r="N566" s="1" t="s">
        <v>4265</v>
      </c>
    </row>
    <row r="567" spans="1:14" x14ac:dyDescent="0.15">
      <c r="A567" s="1">
        <v>100</v>
      </c>
      <c r="B567" s="1" t="s">
        <v>4600</v>
      </c>
      <c r="C567" s="1" t="s">
        <v>4657</v>
      </c>
      <c r="D567" s="1" t="s">
        <v>4658</v>
      </c>
      <c r="E567" s="1" t="s">
        <v>4657</v>
      </c>
      <c r="F567" s="1" t="s">
        <v>4658</v>
      </c>
      <c r="G567" s="1" t="s">
        <v>4659</v>
      </c>
      <c r="H567" s="1" t="s">
        <v>4658</v>
      </c>
      <c r="I567" s="1" t="s">
        <v>11720</v>
      </c>
      <c r="J567" s="1" t="s">
        <v>4617</v>
      </c>
      <c r="K567" s="1">
        <v>13</v>
      </c>
      <c r="L567" s="1" t="s">
        <v>4219</v>
      </c>
      <c r="M567" s="1">
        <v>11</v>
      </c>
      <c r="N567" s="1" t="s">
        <v>4265</v>
      </c>
    </row>
    <row r="568" spans="1:14" x14ac:dyDescent="0.15">
      <c r="A568" s="1">
        <v>100</v>
      </c>
      <c r="B568" s="1" t="s">
        <v>4600</v>
      </c>
      <c r="C568" s="1" t="s">
        <v>4657</v>
      </c>
      <c r="D568" s="1" t="s">
        <v>4658</v>
      </c>
      <c r="E568" s="1" t="s">
        <v>4657</v>
      </c>
      <c r="F568" s="1" t="s">
        <v>4658</v>
      </c>
      <c r="G568" s="1" t="s">
        <v>4659</v>
      </c>
      <c r="H568" s="1" t="s">
        <v>4658</v>
      </c>
      <c r="I568" s="1" t="s">
        <v>9552</v>
      </c>
      <c r="J568" s="1" t="s">
        <v>4660</v>
      </c>
      <c r="K568" s="1">
        <v>13</v>
      </c>
      <c r="L568" s="1" t="s">
        <v>4219</v>
      </c>
      <c r="M568" s="1">
        <v>11</v>
      </c>
      <c r="N568" s="1" t="s">
        <v>4265</v>
      </c>
    </row>
    <row r="569" spans="1:14" x14ac:dyDescent="0.15">
      <c r="A569" s="1">
        <v>100</v>
      </c>
      <c r="B569" s="1" t="s">
        <v>4600</v>
      </c>
      <c r="C569" s="1" t="s">
        <v>4657</v>
      </c>
      <c r="D569" s="1" t="s">
        <v>4658</v>
      </c>
      <c r="E569" s="1" t="s">
        <v>4657</v>
      </c>
      <c r="F569" s="1" t="s">
        <v>4658</v>
      </c>
      <c r="G569" s="1" t="s">
        <v>4659</v>
      </c>
      <c r="H569" s="1" t="s">
        <v>4658</v>
      </c>
      <c r="I569" s="1" t="s">
        <v>17808</v>
      </c>
      <c r="J569" s="1" t="s">
        <v>17805</v>
      </c>
      <c r="K569" s="1">
        <v>13</v>
      </c>
      <c r="L569" s="1" t="s">
        <v>4219</v>
      </c>
      <c r="M569" s="1">
        <v>11</v>
      </c>
      <c r="N569" s="1" t="s">
        <v>4265</v>
      </c>
    </row>
    <row r="570" spans="1:14" x14ac:dyDescent="0.15">
      <c r="A570" s="1">
        <v>100</v>
      </c>
      <c r="B570" s="1" t="s">
        <v>4600</v>
      </c>
      <c r="C570" s="1" t="s">
        <v>4657</v>
      </c>
      <c r="D570" s="1" t="s">
        <v>4658</v>
      </c>
      <c r="E570" s="1" t="s">
        <v>4657</v>
      </c>
      <c r="F570" s="1" t="s">
        <v>4658</v>
      </c>
      <c r="G570" s="1" t="s">
        <v>4659</v>
      </c>
      <c r="H570" s="1" t="s">
        <v>4658</v>
      </c>
      <c r="I570" s="1" t="s">
        <v>17090</v>
      </c>
      <c r="J570" s="1" t="s">
        <v>17840</v>
      </c>
      <c r="K570" s="1">
        <v>13</v>
      </c>
      <c r="L570" s="1" t="s">
        <v>4219</v>
      </c>
      <c r="M570" s="1">
        <v>11</v>
      </c>
      <c r="N570" s="1" t="s">
        <v>4265</v>
      </c>
    </row>
    <row r="571" spans="1:14" x14ac:dyDescent="0.15">
      <c r="A571" s="1">
        <v>100</v>
      </c>
      <c r="B571" s="1" t="s">
        <v>4600</v>
      </c>
      <c r="C571" s="1" t="s">
        <v>4657</v>
      </c>
      <c r="D571" s="1" t="s">
        <v>4658</v>
      </c>
      <c r="E571" s="1" t="s">
        <v>4657</v>
      </c>
      <c r="F571" s="1" t="s">
        <v>4658</v>
      </c>
      <c r="G571" s="1" t="s">
        <v>4659</v>
      </c>
      <c r="H571" s="1" t="s">
        <v>4658</v>
      </c>
      <c r="I571" s="1" t="s">
        <v>17822</v>
      </c>
      <c r="J571" s="1" t="s">
        <v>4636</v>
      </c>
      <c r="K571" s="1">
        <v>13</v>
      </c>
      <c r="L571" s="1" t="s">
        <v>4219</v>
      </c>
      <c r="M571" s="1">
        <v>11</v>
      </c>
      <c r="N571" s="1" t="s">
        <v>4265</v>
      </c>
    </row>
    <row r="572" spans="1:14" x14ac:dyDescent="0.15">
      <c r="A572" s="1">
        <v>100</v>
      </c>
      <c r="B572" s="1" t="s">
        <v>4600</v>
      </c>
      <c r="C572" s="1" t="s">
        <v>4657</v>
      </c>
      <c r="D572" s="1" t="s">
        <v>4658</v>
      </c>
      <c r="E572" s="1" t="s">
        <v>4657</v>
      </c>
      <c r="F572" s="1" t="s">
        <v>4658</v>
      </c>
      <c r="G572" s="1" t="s">
        <v>4659</v>
      </c>
      <c r="H572" s="1" t="s">
        <v>4658</v>
      </c>
      <c r="I572" s="1" t="s">
        <v>17829</v>
      </c>
      <c r="J572" s="1" t="s">
        <v>6631</v>
      </c>
      <c r="K572" s="1">
        <v>13</v>
      </c>
      <c r="L572" s="1" t="s">
        <v>4219</v>
      </c>
      <c r="M572" s="1">
        <v>11</v>
      </c>
      <c r="N572" s="1" t="s">
        <v>4265</v>
      </c>
    </row>
    <row r="573" spans="1:14" x14ac:dyDescent="0.15">
      <c r="A573" s="1">
        <v>100</v>
      </c>
      <c r="B573" s="1" t="s">
        <v>4600</v>
      </c>
      <c r="C573" s="1" t="s">
        <v>4657</v>
      </c>
      <c r="D573" s="1" t="s">
        <v>4658</v>
      </c>
      <c r="E573" s="1" t="s">
        <v>4657</v>
      </c>
      <c r="F573" s="1" t="s">
        <v>4658</v>
      </c>
      <c r="G573" s="1" t="s">
        <v>4659</v>
      </c>
      <c r="H573" s="1" t="s">
        <v>4658</v>
      </c>
      <c r="I573" s="1" t="s">
        <v>17097</v>
      </c>
      <c r="J573" s="1" t="s">
        <v>4607</v>
      </c>
      <c r="K573" s="1">
        <v>13</v>
      </c>
      <c r="L573" s="1" t="s">
        <v>4219</v>
      </c>
      <c r="M573" s="1">
        <v>11</v>
      </c>
      <c r="N573" s="1" t="s">
        <v>4265</v>
      </c>
    </row>
    <row r="574" spans="1:14" x14ac:dyDescent="0.15">
      <c r="A574" s="1">
        <v>100</v>
      </c>
      <c r="B574" s="1" t="s">
        <v>4600</v>
      </c>
      <c r="C574" s="1" t="s">
        <v>4657</v>
      </c>
      <c r="D574" s="1" t="s">
        <v>4658</v>
      </c>
      <c r="E574" s="1" t="s">
        <v>4657</v>
      </c>
      <c r="F574" s="1" t="s">
        <v>4658</v>
      </c>
      <c r="G574" s="1" t="s">
        <v>4659</v>
      </c>
      <c r="H574" s="1" t="s">
        <v>4658</v>
      </c>
      <c r="I574" s="1" t="s">
        <v>12953</v>
      </c>
      <c r="J574" s="1" t="s">
        <v>4661</v>
      </c>
      <c r="K574" s="1">
        <v>13</v>
      </c>
      <c r="L574" s="1" t="s">
        <v>4219</v>
      </c>
      <c r="M574" s="1">
        <v>11</v>
      </c>
      <c r="N574" s="1" t="s">
        <v>4265</v>
      </c>
    </row>
    <row r="575" spans="1:14" x14ac:dyDescent="0.15">
      <c r="A575" s="1">
        <v>120</v>
      </c>
      <c r="B575" s="1" t="s">
        <v>4662</v>
      </c>
      <c r="C575" s="1" t="s">
        <v>4663</v>
      </c>
      <c r="D575" s="1" t="s">
        <v>4662</v>
      </c>
      <c r="E575" s="1" t="s">
        <v>4663</v>
      </c>
      <c r="F575" s="1" t="s">
        <v>4662</v>
      </c>
      <c r="G575" s="1" t="s">
        <v>4664</v>
      </c>
      <c r="H575" s="1" t="s">
        <v>4662</v>
      </c>
      <c r="I575" s="1" t="s">
        <v>9180</v>
      </c>
      <c r="J575" s="1" t="s">
        <v>12852</v>
      </c>
      <c r="K575" s="1">
        <v>5</v>
      </c>
      <c r="L575" s="1" t="s">
        <v>4206</v>
      </c>
      <c r="M575" s="1">
        <v>6</v>
      </c>
      <c r="N575" s="1" t="s">
        <v>4207</v>
      </c>
    </row>
    <row r="576" spans="1:14" x14ac:dyDescent="0.15">
      <c r="A576" s="1">
        <v>121</v>
      </c>
      <c r="B576" s="1" t="s">
        <v>4665</v>
      </c>
      <c r="C576" s="1" t="s">
        <v>4666</v>
      </c>
      <c r="D576" s="1" t="s">
        <v>4665</v>
      </c>
      <c r="E576" s="1" t="s">
        <v>4666</v>
      </c>
      <c r="F576" s="1" t="s">
        <v>4665</v>
      </c>
      <c r="G576" s="1" t="s">
        <v>4667</v>
      </c>
      <c r="H576" s="1" t="s">
        <v>4665</v>
      </c>
      <c r="I576" s="1" t="s">
        <v>15207</v>
      </c>
      <c r="J576" s="1" t="s">
        <v>12443</v>
      </c>
      <c r="K576" s="1">
        <v>12</v>
      </c>
      <c r="L576" s="1" t="s">
        <v>4264</v>
      </c>
      <c r="M576" s="1">
        <v>15</v>
      </c>
      <c r="N576" s="1" t="s">
        <v>4365</v>
      </c>
    </row>
    <row r="577" spans="1:14" x14ac:dyDescent="0.15">
      <c r="A577" s="1">
        <v>121</v>
      </c>
      <c r="B577" s="1" t="s">
        <v>4665</v>
      </c>
      <c r="C577" s="1" t="s">
        <v>4666</v>
      </c>
      <c r="D577" s="1" t="s">
        <v>4665</v>
      </c>
      <c r="E577" s="1" t="s">
        <v>4666</v>
      </c>
      <c r="F577" s="1" t="s">
        <v>4665</v>
      </c>
      <c r="G577" s="1" t="s">
        <v>4667</v>
      </c>
      <c r="H577" s="1" t="s">
        <v>4665</v>
      </c>
      <c r="I577" s="1" t="s">
        <v>9150</v>
      </c>
      <c r="J577" s="1" t="s">
        <v>4417</v>
      </c>
      <c r="K577" s="1">
        <v>12</v>
      </c>
      <c r="L577" s="1" t="s">
        <v>4264</v>
      </c>
      <c r="M577" s="1">
        <v>15</v>
      </c>
      <c r="N577" s="1" t="s">
        <v>4365</v>
      </c>
    </row>
    <row r="578" spans="1:14" x14ac:dyDescent="0.15">
      <c r="A578" s="1">
        <v>121</v>
      </c>
      <c r="B578" s="1" t="s">
        <v>4665</v>
      </c>
      <c r="C578" s="1" t="s">
        <v>4666</v>
      </c>
      <c r="D578" s="1" t="s">
        <v>4665</v>
      </c>
      <c r="E578" s="1" t="s">
        <v>4666</v>
      </c>
      <c r="F578" s="1" t="s">
        <v>4665</v>
      </c>
      <c r="G578" s="1" t="s">
        <v>4667</v>
      </c>
      <c r="H578" s="1" t="s">
        <v>4665</v>
      </c>
      <c r="I578" s="1" t="s">
        <v>9153</v>
      </c>
      <c r="J578" s="1" t="s">
        <v>4418</v>
      </c>
      <c r="K578" s="1">
        <v>12</v>
      </c>
      <c r="L578" s="1" t="s">
        <v>4264</v>
      </c>
      <c r="M578" s="1">
        <v>15</v>
      </c>
      <c r="N578" s="1" t="s">
        <v>4365</v>
      </c>
    </row>
    <row r="579" spans="1:14" x14ac:dyDescent="0.15">
      <c r="A579" s="1">
        <v>121</v>
      </c>
      <c r="B579" s="1" t="s">
        <v>4665</v>
      </c>
      <c r="C579" s="1" t="s">
        <v>4666</v>
      </c>
      <c r="D579" s="1" t="s">
        <v>4665</v>
      </c>
      <c r="E579" s="1" t="s">
        <v>4666</v>
      </c>
      <c r="F579" s="1" t="s">
        <v>4665</v>
      </c>
      <c r="G579" s="1" t="s">
        <v>4667</v>
      </c>
      <c r="H579" s="1" t="s">
        <v>4665</v>
      </c>
      <c r="I579" s="1" t="s">
        <v>9156</v>
      </c>
      <c r="J579" s="1" t="s">
        <v>4419</v>
      </c>
      <c r="K579" s="1">
        <v>12</v>
      </c>
      <c r="L579" s="1" t="s">
        <v>4264</v>
      </c>
      <c r="M579" s="1">
        <v>15</v>
      </c>
      <c r="N579" s="1" t="s">
        <v>4365</v>
      </c>
    </row>
    <row r="580" spans="1:14" x14ac:dyDescent="0.15">
      <c r="A580" s="1">
        <v>121</v>
      </c>
      <c r="B580" s="1" t="s">
        <v>4665</v>
      </c>
      <c r="C580" s="1" t="s">
        <v>4666</v>
      </c>
      <c r="D580" s="1" t="s">
        <v>4665</v>
      </c>
      <c r="E580" s="1" t="s">
        <v>4666</v>
      </c>
      <c r="F580" s="1" t="s">
        <v>4665</v>
      </c>
      <c r="G580" s="1" t="s">
        <v>4667</v>
      </c>
      <c r="H580" s="1" t="s">
        <v>4665</v>
      </c>
      <c r="I580" s="1" t="s">
        <v>9159</v>
      </c>
      <c r="J580" s="1" t="s">
        <v>4420</v>
      </c>
      <c r="K580" s="1">
        <v>12</v>
      </c>
      <c r="L580" s="1" t="s">
        <v>4264</v>
      </c>
      <c r="M580" s="1">
        <v>15</v>
      </c>
      <c r="N580" s="1" t="s">
        <v>4365</v>
      </c>
    </row>
    <row r="581" spans="1:14" x14ac:dyDescent="0.15">
      <c r="A581" s="1">
        <v>121</v>
      </c>
      <c r="B581" s="1" t="s">
        <v>4665</v>
      </c>
      <c r="C581" s="1" t="s">
        <v>4666</v>
      </c>
      <c r="D581" s="1" t="s">
        <v>4665</v>
      </c>
      <c r="E581" s="1" t="s">
        <v>4666</v>
      </c>
      <c r="F581" s="1" t="s">
        <v>4665</v>
      </c>
      <c r="G581" s="1" t="s">
        <v>4667</v>
      </c>
      <c r="H581" s="1" t="s">
        <v>4665</v>
      </c>
      <c r="I581" s="1" t="s">
        <v>9162</v>
      </c>
      <c r="J581" s="1" t="s">
        <v>4668</v>
      </c>
      <c r="K581" s="1">
        <v>12</v>
      </c>
      <c r="L581" s="1" t="s">
        <v>4264</v>
      </c>
      <c r="M581" s="1">
        <v>15</v>
      </c>
      <c r="N581" s="1" t="s">
        <v>4365</v>
      </c>
    </row>
    <row r="582" spans="1:14" x14ac:dyDescent="0.15">
      <c r="A582" s="1">
        <v>121</v>
      </c>
      <c r="B582" s="1" t="s">
        <v>4665</v>
      </c>
      <c r="C582" s="1" t="s">
        <v>4666</v>
      </c>
      <c r="D582" s="1" t="s">
        <v>4665</v>
      </c>
      <c r="E582" s="1" t="s">
        <v>4666</v>
      </c>
      <c r="F582" s="1" t="s">
        <v>4665</v>
      </c>
      <c r="G582" s="1" t="s">
        <v>4667</v>
      </c>
      <c r="H582" s="1" t="s">
        <v>4665</v>
      </c>
      <c r="I582" s="1" t="s">
        <v>15214</v>
      </c>
      <c r="J582" s="1" t="s">
        <v>15211</v>
      </c>
      <c r="K582" s="1">
        <v>12</v>
      </c>
      <c r="L582" s="1" t="s">
        <v>4264</v>
      </c>
      <c r="M582" s="1">
        <v>15</v>
      </c>
      <c r="N582" s="1" t="s">
        <v>4365</v>
      </c>
    </row>
    <row r="583" spans="1:14" x14ac:dyDescent="0.15">
      <c r="A583" s="1">
        <v>121</v>
      </c>
      <c r="B583" s="1" t="s">
        <v>4665</v>
      </c>
      <c r="C583" s="1" t="s">
        <v>4666</v>
      </c>
      <c r="D583" s="1" t="s">
        <v>4665</v>
      </c>
      <c r="E583" s="1" t="s">
        <v>4666</v>
      </c>
      <c r="F583" s="1" t="s">
        <v>4665</v>
      </c>
      <c r="G583" s="1" t="s">
        <v>4667</v>
      </c>
      <c r="H583" s="1" t="s">
        <v>4665</v>
      </c>
      <c r="I583" s="1" t="s">
        <v>11219</v>
      </c>
      <c r="J583" s="1" t="s">
        <v>4421</v>
      </c>
      <c r="K583" s="1">
        <v>12</v>
      </c>
      <c r="L583" s="1" t="s">
        <v>4264</v>
      </c>
      <c r="M583" s="1">
        <v>15</v>
      </c>
      <c r="N583" s="1" t="s">
        <v>4365</v>
      </c>
    </row>
    <row r="584" spans="1:14" x14ac:dyDescent="0.15">
      <c r="A584" s="1">
        <v>121</v>
      </c>
      <c r="B584" s="1" t="s">
        <v>4665</v>
      </c>
      <c r="C584" s="1" t="s">
        <v>4666</v>
      </c>
      <c r="D584" s="1" t="s">
        <v>4665</v>
      </c>
      <c r="E584" s="1" t="s">
        <v>4666</v>
      </c>
      <c r="F584" s="1" t="s">
        <v>4665</v>
      </c>
      <c r="G584" s="1" t="s">
        <v>4667</v>
      </c>
      <c r="H584" s="1" t="s">
        <v>4665</v>
      </c>
      <c r="I584" s="1" t="s">
        <v>15222</v>
      </c>
      <c r="J584" s="1" t="s">
        <v>15223</v>
      </c>
      <c r="K584" s="1">
        <v>12</v>
      </c>
      <c r="L584" s="1" t="s">
        <v>4264</v>
      </c>
      <c r="M584" s="1">
        <v>15</v>
      </c>
      <c r="N584" s="1" t="s">
        <v>4365</v>
      </c>
    </row>
    <row r="585" spans="1:14" x14ac:dyDescent="0.15">
      <c r="A585" s="1">
        <v>121</v>
      </c>
      <c r="B585" s="1" t="s">
        <v>4665</v>
      </c>
      <c r="C585" s="1" t="s">
        <v>4666</v>
      </c>
      <c r="D585" s="1" t="s">
        <v>4665</v>
      </c>
      <c r="E585" s="1" t="s">
        <v>4666</v>
      </c>
      <c r="F585" s="1" t="s">
        <v>4665</v>
      </c>
      <c r="G585" s="1" t="s">
        <v>4667</v>
      </c>
      <c r="H585" s="1" t="s">
        <v>4665</v>
      </c>
      <c r="I585" s="1" t="s">
        <v>9182</v>
      </c>
      <c r="J585" s="1" t="s">
        <v>4669</v>
      </c>
      <c r="K585" s="1">
        <v>12</v>
      </c>
      <c r="L585" s="1" t="s">
        <v>4264</v>
      </c>
      <c r="M585" s="1">
        <v>15</v>
      </c>
      <c r="N585" s="1" t="s">
        <v>4365</v>
      </c>
    </row>
    <row r="586" spans="1:14" x14ac:dyDescent="0.15">
      <c r="A586" s="1">
        <v>121</v>
      </c>
      <c r="B586" s="1" t="s">
        <v>4665</v>
      </c>
      <c r="C586" s="1" t="s">
        <v>4666</v>
      </c>
      <c r="D586" s="1" t="s">
        <v>4665</v>
      </c>
      <c r="E586" s="1" t="s">
        <v>4666</v>
      </c>
      <c r="F586" s="1" t="s">
        <v>4665</v>
      </c>
      <c r="G586" s="1" t="s">
        <v>4667</v>
      </c>
      <c r="H586" s="1" t="s">
        <v>4665</v>
      </c>
      <c r="I586" s="1" t="s">
        <v>15237</v>
      </c>
      <c r="J586" s="1" t="s">
        <v>4422</v>
      </c>
      <c r="K586" s="1">
        <v>12</v>
      </c>
      <c r="L586" s="1" t="s">
        <v>4264</v>
      </c>
      <c r="M586" s="1">
        <v>15</v>
      </c>
      <c r="N586" s="1" t="s">
        <v>4365</v>
      </c>
    </row>
    <row r="587" spans="1:14" x14ac:dyDescent="0.15">
      <c r="A587" s="1">
        <v>121</v>
      </c>
      <c r="B587" s="1" t="s">
        <v>4665</v>
      </c>
      <c r="C587" s="1" t="s">
        <v>4666</v>
      </c>
      <c r="D587" s="1" t="s">
        <v>4665</v>
      </c>
      <c r="E587" s="1" t="s">
        <v>4666</v>
      </c>
      <c r="F587" s="1" t="s">
        <v>4665</v>
      </c>
      <c r="G587" s="1" t="s">
        <v>4667</v>
      </c>
      <c r="H587" s="1" t="s">
        <v>4665</v>
      </c>
      <c r="I587" s="1" t="s">
        <v>9330</v>
      </c>
      <c r="J587" s="1" t="s">
        <v>4424</v>
      </c>
      <c r="K587" s="1">
        <v>12</v>
      </c>
      <c r="L587" s="1" t="s">
        <v>4264</v>
      </c>
      <c r="M587" s="1">
        <v>15</v>
      </c>
      <c r="N587" s="1" t="s">
        <v>4365</v>
      </c>
    </row>
    <row r="588" spans="1:14" x14ac:dyDescent="0.15">
      <c r="A588" s="1">
        <v>122</v>
      </c>
      <c r="B588" s="1" t="s">
        <v>4670</v>
      </c>
      <c r="C588" s="1" t="s">
        <v>4671</v>
      </c>
      <c r="D588" s="1" t="s">
        <v>4670</v>
      </c>
      <c r="E588" s="1" t="s">
        <v>4671</v>
      </c>
      <c r="F588" s="1" t="s">
        <v>4670</v>
      </c>
      <c r="G588" s="1" t="s">
        <v>4672</v>
      </c>
      <c r="H588" s="1" t="s">
        <v>4670</v>
      </c>
      <c r="I588" s="1" t="s">
        <v>10457</v>
      </c>
      <c r="J588" s="1" t="s">
        <v>15219</v>
      </c>
      <c r="K588" s="1">
        <v>2</v>
      </c>
      <c r="L588" s="1" t="s">
        <v>4193</v>
      </c>
      <c r="M588" s="1">
        <v>4</v>
      </c>
      <c r="N588" s="1" t="s">
        <v>4194</v>
      </c>
    </row>
    <row r="589" spans="1:14" x14ac:dyDescent="0.15">
      <c r="A589" s="1">
        <v>122</v>
      </c>
      <c r="B589" s="1" t="s">
        <v>4670</v>
      </c>
      <c r="C589" s="1" t="s">
        <v>4671</v>
      </c>
      <c r="D589" s="1" t="s">
        <v>4670</v>
      </c>
      <c r="E589" s="1" t="s">
        <v>4671</v>
      </c>
      <c r="F589" s="1" t="s">
        <v>4670</v>
      </c>
      <c r="G589" s="1" t="s">
        <v>4672</v>
      </c>
      <c r="H589" s="1" t="s">
        <v>4670</v>
      </c>
      <c r="I589" s="1" t="s">
        <v>11777</v>
      </c>
      <c r="J589" s="1" t="s">
        <v>5318</v>
      </c>
      <c r="K589" s="1">
        <v>2</v>
      </c>
      <c r="L589" s="1" t="s">
        <v>4193</v>
      </c>
      <c r="M589" s="1">
        <v>4</v>
      </c>
      <c r="N589" s="1" t="s">
        <v>4194</v>
      </c>
    </row>
    <row r="590" spans="1:14" x14ac:dyDescent="0.15">
      <c r="A590" s="1">
        <v>122</v>
      </c>
      <c r="B590" s="1" t="s">
        <v>4670</v>
      </c>
      <c r="C590" s="1" t="s">
        <v>4671</v>
      </c>
      <c r="D590" s="1" t="s">
        <v>4670</v>
      </c>
      <c r="E590" s="1" t="s">
        <v>4671</v>
      </c>
      <c r="F590" s="1" t="s">
        <v>4670</v>
      </c>
      <c r="G590" s="1" t="s">
        <v>4672</v>
      </c>
      <c r="H590" s="1" t="s">
        <v>4670</v>
      </c>
      <c r="I590" s="1" t="s">
        <v>11785</v>
      </c>
      <c r="J590" s="1" t="s">
        <v>4673</v>
      </c>
      <c r="K590" s="1">
        <v>2</v>
      </c>
      <c r="L590" s="1" t="s">
        <v>4193</v>
      </c>
      <c r="M590" s="1">
        <v>4</v>
      </c>
      <c r="N590" s="1" t="s">
        <v>4194</v>
      </c>
    </row>
    <row r="591" spans="1:14" x14ac:dyDescent="0.15">
      <c r="A591" s="1">
        <v>123</v>
      </c>
      <c r="B591" s="1" t="s">
        <v>4674</v>
      </c>
      <c r="C591" s="1" t="s">
        <v>4675</v>
      </c>
      <c r="D591" s="1" t="s">
        <v>4674</v>
      </c>
      <c r="E591" s="1" t="s">
        <v>4675</v>
      </c>
      <c r="F591" s="1" t="s">
        <v>4674</v>
      </c>
      <c r="G591" s="1" t="s">
        <v>4676</v>
      </c>
      <c r="H591" s="1" t="s">
        <v>4674</v>
      </c>
      <c r="I591" s="1" t="s">
        <v>9549</v>
      </c>
      <c r="J591" s="1" t="s">
        <v>15915</v>
      </c>
      <c r="K591" s="1">
        <v>2</v>
      </c>
      <c r="L591" s="1" t="s">
        <v>4193</v>
      </c>
      <c r="M591" s="1">
        <v>4</v>
      </c>
      <c r="N591" s="1" t="s">
        <v>4194</v>
      </c>
    </row>
    <row r="592" spans="1:14" x14ac:dyDescent="0.15">
      <c r="A592" s="1">
        <v>123</v>
      </c>
      <c r="B592" s="1" t="s">
        <v>4674</v>
      </c>
      <c r="C592" s="1" t="s">
        <v>4675</v>
      </c>
      <c r="D592" s="1" t="s">
        <v>4674</v>
      </c>
      <c r="E592" s="1" t="s">
        <v>4675</v>
      </c>
      <c r="F592" s="1" t="s">
        <v>4674</v>
      </c>
      <c r="G592" s="1" t="s">
        <v>4676</v>
      </c>
      <c r="H592" s="1" t="s">
        <v>4674</v>
      </c>
      <c r="I592" s="1" t="s">
        <v>15207</v>
      </c>
      <c r="J592" s="1" t="s">
        <v>12443</v>
      </c>
      <c r="K592" s="1">
        <v>2</v>
      </c>
      <c r="L592" s="1" t="s">
        <v>4193</v>
      </c>
      <c r="M592" s="1">
        <v>4</v>
      </c>
      <c r="N592" s="1" t="s">
        <v>4194</v>
      </c>
    </row>
    <row r="593" spans="1:14" x14ac:dyDescent="0.15">
      <c r="A593" s="1">
        <v>123</v>
      </c>
      <c r="B593" s="1" t="s">
        <v>4674</v>
      </c>
      <c r="C593" s="1" t="s">
        <v>4675</v>
      </c>
      <c r="D593" s="1" t="s">
        <v>4674</v>
      </c>
      <c r="E593" s="1" t="s">
        <v>4675</v>
      </c>
      <c r="F593" s="1" t="s">
        <v>4674</v>
      </c>
      <c r="G593" s="1" t="s">
        <v>4676</v>
      </c>
      <c r="H593" s="1" t="s">
        <v>4674</v>
      </c>
      <c r="I593" s="1" t="s">
        <v>15214</v>
      </c>
      <c r="J593" s="1" t="s">
        <v>15211</v>
      </c>
      <c r="K593" s="1">
        <v>2</v>
      </c>
      <c r="L593" s="1" t="s">
        <v>4193</v>
      </c>
      <c r="M593" s="1">
        <v>4</v>
      </c>
      <c r="N593" s="1" t="s">
        <v>4194</v>
      </c>
    </row>
    <row r="594" spans="1:14" x14ac:dyDescent="0.15">
      <c r="A594" s="1">
        <v>123</v>
      </c>
      <c r="B594" s="1" t="s">
        <v>4674</v>
      </c>
      <c r="C594" s="1" t="s">
        <v>4675</v>
      </c>
      <c r="D594" s="1" t="s">
        <v>4674</v>
      </c>
      <c r="E594" s="1" t="s">
        <v>4675</v>
      </c>
      <c r="F594" s="1" t="s">
        <v>4674</v>
      </c>
      <c r="G594" s="1" t="s">
        <v>4676</v>
      </c>
      <c r="H594" s="1" t="s">
        <v>4674</v>
      </c>
      <c r="I594" s="1" t="s">
        <v>15230</v>
      </c>
      <c r="J594" s="1" t="s">
        <v>6102</v>
      </c>
      <c r="K594" s="1">
        <v>2</v>
      </c>
      <c r="L594" s="1" t="s">
        <v>4193</v>
      </c>
      <c r="M594" s="1">
        <v>4</v>
      </c>
      <c r="N594" s="1" t="s">
        <v>4194</v>
      </c>
    </row>
    <row r="595" spans="1:14" x14ac:dyDescent="0.15">
      <c r="A595" s="1">
        <v>123</v>
      </c>
      <c r="B595" s="1" t="s">
        <v>4674</v>
      </c>
      <c r="C595" s="1" t="s">
        <v>4675</v>
      </c>
      <c r="D595" s="1" t="s">
        <v>4674</v>
      </c>
      <c r="E595" s="1" t="s">
        <v>4675</v>
      </c>
      <c r="F595" s="1" t="s">
        <v>4674</v>
      </c>
      <c r="G595" s="1" t="s">
        <v>4676</v>
      </c>
      <c r="H595" s="1" t="s">
        <v>4674</v>
      </c>
      <c r="I595" s="1" t="s">
        <v>9182</v>
      </c>
      <c r="J595" s="1" t="s">
        <v>4669</v>
      </c>
      <c r="K595" s="1">
        <v>2</v>
      </c>
      <c r="L595" s="1" t="s">
        <v>4193</v>
      </c>
      <c r="M595" s="1">
        <v>4</v>
      </c>
      <c r="N595" s="1" t="s">
        <v>4194</v>
      </c>
    </row>
    <row r="596" spans="1:14" x14ac:dyDescent="0.15">
      <c r="A596" s="1">
        <v>123</v>
      </c>
      <c r="B596" s="1" t="s">
        <v>4674</v>
      </c>
      <c r="C596" s="1" t="s">
        <v>4675</v>
      </c>
      <c r="D596" s="1" t="s">
        <v>4674</v>
      </c>
      <c r="E596" s="1" t="s">
        <v>4675</v>
      </c>
      <c r="F596" s="1" t="s">
        <v>4674</v>
      </c>
      <c r="G596" s="1" t="s">
        <v>4676</v>
      </c>
      <c r="H596" s="1" t="s">
        <v>4674</v>
      </c>
      <c r="I596" s="1" t="s">
        <v>9185</v>
      </c>
      <c r="J596" s="1" t="s">
        <v>4677</v>
      </c>
      <c r="K596" s="1">
        <v>2</v>
      </c>
      <c r="L596" s="1" t="s">
        <v>4193</v>
      </c>
      <c r="M596" s="1">
        <v>4</v>
      </c>
      <c r="N596" s="1" t="s">
        <v>4194</v>
      </c>
    </row>
    <row r="597" spans="1:14" x14ac:dyDescent="0.15">
      <c r="A597" s="1">
        <v>123</v>
      </c>
      <c r="B597" s="1" t="s">
        <v>4674</v>
      </c>
      <c r="C597" s="1" t="s">
        <v>4675</v>
      </c>
      <c r="D597" s="1" t="s">
        <v>4674</v>
      </c>
      <c r="E597" s="1" t="s">
        <v>4675</v>
      </c>
      <c r="F597" s="1" t="s">
        <v>4674</v>
      </c>
      <c r="G597" s="1" t="s">
        <v>4676</v>
      </c>
      <c r="H597" s="1" t="s">
        <v>4674</v>
      </c>
      <c r="I597" s="1" t="s">
        <v>11781</v>
      </c>
      <c r="J597" s="1" t="s">
        <v>11782</v>
      </c>
      <c r="K597" s="1">
        <v>2</v>
      </c>
      <c r="L597" s="1" t="s">
        <v>4193</v>
      </c>
      <c r="M597" s="1">
        <v>4</v>
      </c>
      <c r="N597" s="1" t="s">
        <v>4194</v>
      </c>
    </row>
    <row r="598" spans="1:14" x14ac:dyDescent="0.15">
      <c r="A598" s="1">
        <v>124</v>
      </c>
      <c r="B598" s="1" t="s">
        <v>4678</v>
      </c>
      <c r="C598" s="1" t="s">
        <v>4679</v>
      </c>
      <c r="D598" s="1" t="s">
        <v>4678</v>
      </c>
      <c r="E598" s="1" t="s">
        <v>4679</v>
      </c>
      <c r="F598" s="1" t="s">
        <v>4678</v>
      </c>
      <c r="G598" s="1" t="s">
        <v>4680</v>
      </c>
      <c r="H598" s="1" t="s">
        <v>4678</v>
      </c>
      <c r="I598" s="1" t="s">
        <v>11879</v>
      </c>
      <c r="J598" s="1" t="s">
        <v>4278</v>
      </c>
      <c r="K598" s="1">
        <v>12</v>
      </c>
      <c r="L598" s="1" t="s">
        <v>4264</v>
      </c>
      <c r="M598" s="1">
        <v>15</v>
      </c>
      <c r="N598" s="1" t="s">
        <v>4365</v>
      </c>
    </row>
    <row r="599" spans="1:14" x14ac:dyDescent="0.15">
      <c r="A599" s="1">
        <v>124</v>
      </c>
      <c r="B599" s="1" t="s">
        <v>4678</v>
      </c>
      <c r="C599" s="1" t="s">
        <v>4681</v>
      </c>
      <c r="D599" s="1" t="s">
        <v>4682</v>
      </c>
      <c r="E599" s="1" t="s">
        <v>4681</v>
      </c>
      <c r="F599" s="1" t="s">
        <v>4682</v>
      </c>
      <c r="G599" s="1" t="s">
        <v>4681</v>
      </c>
      <c r="H599" s="1" t="s">
        <v>4682</v>
      </c>
      <c r="I599" s="1" t="s">
        <v>15214</v>
      </c>
      <c r="J599" s="1" t="s">
        <v>15211</v>
      </c>
      <c r="K599" s="1">
        <v>12</v>
      </c>
      <c r="L599" s="1" t="s">
        <v>4264</v>
      </c>
      <c r="M599" s="1">
        <v>15</v>
      </c>
      <c r="N599" s="1" t="s">
        <v>4365</v>
      </c>
    </row>
    <row r="600" spans="1:14" x14ac:dyDescent="0.15">
      <c r="A600" s="1">
        <v>124</v>
      </c>
      <c r="B600" s="1" t="s">
        <v>4678</v>
      </c>
      <c r="C600" s="1" t="s">
        <v>4683</v>
      </c>
      <c r="D600" s="1" t="s">
        <v>4684</v>
      </c>
      <c r="E600" s="1" t="s">
        <v>4683</v>
      </c>
      <c r="F600" s="1" t="s">
        <v>4684</v>
      </c>
      <c r="G600" s="1" t="s">
        <v>4685</v>
      </c>
      <c r="H600" s="1" t="s">
        <v>4686</v>
      </c>
      <c r="I600" s="1" t="s">
        <v>15207</v>
      </c>
      <c r="J600" s="1" t="s">
        <v>12443</v>
      </c>
      <c r="K600" s="1">
        <v>12</v>
      </c>
      <c r="L600" s="1" t="s">
        <v>4264</v>
      </c>
      <c r="M600" s="1">
        <v>15</v>
      </c>
      <c r="N600" s="1" t="s">
        <v>4365</v>
      </c>
    </row>
    <row r="601" spans="1:14" x14ac:dyDescent="0.15">
      <c r="A601" s="1">
        <v>124</v>
      </c>
      <c r="B601" s="1" t="s">
        <v>4678</v>
      </c>
      <c r="C601" s="1" t="s">
        <v>4683</v>
      </c>
      <c r="D601" s="1" t="s">
        <v>4684</v>
      </c>
      <c r="E601" s="1" t="s">
        <v>4683</v>
      </c>
      <c r="F601" s="1" t="s">
        <v>4684</v>
      </c>
      <c r="G601" s="1" t="s">
        <v>4685</v>
      </c>
      <c r="H601" s="1" t="s">
        <v>4686</v>
      </c>
      <c r="I601" s="1" t="s">
        <v>15214</v>
      </c>
      <c r="J601" s="1" t="s">
        <v>15211</v>
      </c>
      <c r="K601" s="1">
        <v>12</v>
      </c>
      <c r="L601" s="1" t="s">
        <v>4264</v>
      </c>
      <c r="M601" s="1">
        <v>15</v>
      </c>
      <c r="N601" s="1" t="s">
        <v>4365</v>
      </c>
    </row>
    <row r="602" spans="1:14" x14ac:dyDescent="0.15">
      <c r="A602" s="1">
        <v>124</v>
      </c>
      <c r="B602" s="1" t="s">
        <v>4678</v>
      </c>
      <c r="C602" s="1" t="s">
        <v>4683</v>
      </c>
      <c r="D602" s="1" t="s">
        <v>4684</v>
      </c>
      <c r="E602" s="1" t="s">
        <v>4683</v>
      </c>
      <c r="F602" s="1" t="s">
        <v>4684</v>
      </c>
      <c r="G602" s="1" t="s">
        <v>4685</v>
      </c>
      <c r="H602" s="1" t="s">
        <v>4686</v>
      </c>
      <c r="I602" s="1" t="s">
        <v>11219</v>
      </c>
      <c r="J602" s="1" t="s">
        <v>4421</v>
      </c>
      <c r="K602" s="1">
        <v>12</v>
      </c>
      <c r="L602" s="1" t="s">
        <v>4264</v>
      </c>
      <c r="M602" s="1">
        <v>15</v>
      </c>
      <c r="N602" s="1" t="s">
        <v>4365</v>
      </c>
    </row>
    <row r="603" spans="1:14" x14ac:dyDescent="0.15">
      <c r="A603" s="1">
        <v>124</v>
      </c>
      <c r="B603" s="1" t="s">
        <v>4678</v>
      </c>
      <c r="C603" s="1" t="s">
        <v>4683</v>
      </c>
      <c r="D603" s="1" t="s">
        <v>4684</v>
      </c>
      <c r="E603" s="1" t="s">
        <v>4683</v>
      </c>
      <c r="F603" s="1" t="s">
        <v>4684</v>
      </c>
      <c r="G603" s="1" t="s">
        <v>4685</v>
      </c>
      <c r="H603" s="1" t="s">
        <v>4686</v>
      </c>
      <c r="I603" s="1" t="s">
        <v>15222</v>
      </c>
      <c r="J603" s="1" t="s">
        <v>15223</v>
      </c>
      <c r="K603" s="1">
        <v>12</v>
      </c>
      <c r="L603" s="1" t="s">
        <v>4264</v>
      </c>
      <c r="M603" s="1">
        <v>15</v>
      </c>
      <c r="N603" s="1" t="s">
        <v>4365</v>
      </c>
    </row>
    <row r="604" spans="1:14" x14ac:dyDescent="0.15">
      <c r="A604" s="1">
        <v>124</v>
      </c>
      <c r="B604" s="1" t="s">
        <v>4678</v>
      </c>
      <c r="C604" s="1" t="s">
        <v>4683</v>
      </c>
      <c r="D604" s="1" t="s">
        <v>4684</v>
      </c>
      <c r="E604" s="1" t="s">
        <v>4683</v>
      </c>
      <c r="F604" s="1" t="s">
        <v>4684</v>
      </c>
      <c r="G604" s="1" t="s">
        <v>4685</v>
      </c>
      <c r="H604" s="1" t="s">
        <v>4686</v>
      </c>
      <c r="I604" s="1" t="s">
        <v>15237</v>
      </c>
      <c r="J604" s="1" t="s">
        <v>4422</v>
      </c>
      <c r="K604" s="1">
        <v>12</v>
      </c>
      <c r="L604" s="1" t="s">
        <v>4264</v>
      </c>
      <c r="M604" s="1">
        <v>15</v>
      </c>
      <c r="N604" s="1" t="s">
        <v>4365</v>
      </c>
    </row>
    <row r="605" spans="1:14" x14ac:dyDescent="0.15">
      <c r="A605" s="1">
        <v>130</v>
      </c>
      <c r="B605" s="1" t="s">
        <v>4687</v>
      </c>
      <c r="C605" s="1" t="s">
        <v>4688</v>
      </c>
      <c r="D605" s="1" t="s">
        <v>4687</v>
      </c>
      <c r="E605" s="1" t="s">
        <v>4688</v>
      </c>
      <c r="F605" s="1" t="s">
        <v>4687</v>
      </c>
      <c r="G605" s="1" t="s">
        <v>4689</v>
      </c>
      <c r="H605" s="1" t="s">
        <v>4687</v>
      </c>
      <c r="I605" s="1" t="s">
        <v>11879</v>
      </c>
      <c r="J605" s="1" t="s">
        <v>4278</v>
      </c>
      <c r="K605" s="1">
        <v>12</v>
      </c>
      <c r="L605" s="1" t="s">
        <v>4264</v>
      </c>
      <c r="M605" s="1">
        <v>2</v>
      </c>
      <c r="N605" s="1" t="s">
        <v>4283</v>
      </c>
    </row>
    <row r="606" spans="1:14" x14ac:dyDescent="0.15">
      <c r="A606" s="1">
        <v>130</v>
      </c>
      <c r="B606" s="1" t="s">
        <v>4687</v>
      </c>
      <c r="C606" s="1" t="s">
        <v>4690</v>
      </c>
      <c r="D606" s="1" t="s">
        <v>4691</v>
      </c>
      <c r="E606" s="1" t="s">
        <v>4690</v>
      </c>
      <c r="F606" s="1" t="s">
        <v>4691</v>
      </c>
      <c r="G606" s="1" t="s">
        <v>4692</v>
      </c>
      <c r="H606" s="1" t="s">
        <v>4691</v>
      </c>
      <c r="I606" s="1" t="s">
        <v>11537</v>
      </c>
      <c r="J606" s="1" t="s">
        <v>4693</v>
      </c>
      <c r="K606" s="1">
        <v>12</v>
      </c>
      <c r="L606" s="1" t="s">
        <v>4264</v>
      </c>
      <c r="M606" s="1">
        <v>2</v>
      </c>
      <c r="N606" s="1" t="s">
        <v>4283</v>
      </c>
    </row>
    <row r="607" spans="1:14" x14ac:dyDescent="0.15">
      <c r="A607" s="1">
        <v>130</v>
      </c>
      <c r="B607" s="1" t="s">
        <v>4687</v>
      </c>
      <c r="C607" s="1" t="s">
        <v>4690</v>
      </c>
      <c r="D607" s="1" t="s">
        <v>4691</v>
      </c>
      <c r="E607" s="1" t="s">
        <v>4690</v>
      </c>
      <c r="F607" s="1" t="s">
        <v>4691</v>
      </c>
      <c r="G607" s="1" t="s">
        <v>4692</v>
      </c>
      <c r="H607" s="1" t="s">
        <v>4691</v>
      </c>
      <c r="I607" s="1" t="s">
        <v>18209</v>
      </c>
      <c r="J607" s="1" t="s">
        <v>6662</v>
      </c>
      <c r="K607" s="1">
        <v>12</v>
      </c>
      <c r="L607" s="1" t="s">
        <v>4264</v>
      </c>
      <c r="M607" s="1">
        <v>2</v>
      </c>
      <c r="N607" s="1" t="s">
        <v>4283</v>
      </c>
    </row>
    <row r="608" spans="1:14" x14ac:dyDescent="0.15">
      <c r="A608" s="1">
        <v>130</v>
      </c>
      <c r="B608" s="1" t="s">
        <v>4687</v>
      </c>
      <c r="C608" s="1" t="s">
        <v>4690</v>
      </c>
      <c r="D608" s="1" t="s">
        <v>4691</v>
      </c>
      <c r="E608" s="1" t="s">
        <v>4690</v>
      </c>
      <c r="F608" s="1" t="s">
        <v>4691</v>
      </c>
      <c r="G608" s="1" t="s">
        <v>4692</v>
      </c>
      <c r="H608" s="1" t="s">
        <v>4691</v>
      </c>
      <c r="I608" s="1" t="s">
        <v>18223</v>
      </c>
      <c r="J608" s="1" t="s">
        <v>6664</v>
      </c>
      <c r="K608" s="1">
        <v>12</v>
      </c>
      <c r="L608" s="1" t="s">
        <v>4264</v>
      </c>
      <c r="M608" s="1">
        <v>2</v>
      </c>
      <c r="N608" s="1" t="s">
        <v>4283</v>
      </c>
    </row>
    <row r="609" spans="1:14" x14ac:dyDescent="0.15">
      <c r="A609" s="1">
        <v>130</v>
      </c>
      <c r="B609" s="1" t="s">
        <v>4687</v>
      </c>
      <c r="C609" s="1" t="s">
        <v>4690</v>
      </c>
      <c r="D609" s="1" t="s">
        <v>4691</v>
      </c>
      <c r="E609" s="1" t="s">
        <v>4690</v>
      </c>
      <c r="F609" s="1" t="s">
        <v>4691</v>
      </c>
      <c r="G609" s="1" t="s">
        <v>4692</v>
      </c>
      <c r="H609" s="1" t="s">
        <v>4691</v>
      </c>
      <c r="I609" s="1" t="s">
        <v>17401</v>
      </c>
      <c r="J609" s="1" t="s">
        <v>17398</v>
      </c>
      <c r="K609" s="1">
        <v>12</v>
      </c>
      <c r="L609" s="1" t="s">
        <v>4264</v>
      </c>
      <c r="M609" s="1">
        <v>2</v>
      </c>
      <c r="N609" s="1" t="s">
        <v>4283</v>
      </c>
    </row>
    <row r="610" spans="1:14" x14ac:dyDescent="0.15">
      <c r="A610" s="1">
        <v>130</v>
      </c>
      <c r="B610" s="1" t="s">
        <v>4687</v>
      </c>
      <c r="C610" s="1" t="s">
        <v>4694</v>
      </c>
      <c r="D610" s="1" t="s">
        <v>4695</v>
      </c>
      <c r="E610" s="1" t="s">
        <v>4694</v>
      </c>
      <c r="F610" s="1" t="s">
        <v>4695</v>
      </c>
      <c r="G610" s="1" t="s">
        <v>4696</v>
      </c>
      <c r="H610" s="1" t="s">
        <v>4695</v>
      </c>
      <c r="I610" s="1" t="s">
        <v>18223</v>
      </c>
      <c r="J610" s="1" t="s">
        <v>6664</v>
      </c>
      <c r="K610" s="1">
        <v>12</v>
      </c>
      <c r="L610" s="1" t="s">
        <v>4264</v>
      </c>
      <c r="M610" s="1">
        <v>2</v>
      </c>
      <c r="N610" s="1" t="s">
        <v>4283</v>
      </c>
    </row>
    <row r="611" spans="1:14" x14ac:dyDescent="0.15">
      <c r="A611" s="1">
        <v>130</v>
      </c>
      <c r="B611" s="1" t="s">
        <v>4687</v>
      </c>
      <c r="C611" s="1" t="s">
        <v>4694</v>
      </c>
      <c r="D611" s="1" t="s">
        <v>4695</v>
      </c>
      <c r="E611" s="1" t="s">
        <v>4694</v>
      </c>
      <c r="F611" s="1" t="s">
        <v>4695</v>
      </c>
      <c r="G611" s="1" t="s">
        <v>4696</v>
      </c>
      <c r="H611" s="1" t="s">
        <v>4695</v>
      </c>
      <c r="I611" s="1" t="s">
        <v>17387</v>
      </c>
      <c r="J611" s="1" t="s">
        <v>6665</v>
      </c>
      <c r="K611" s="1">
        <v>12</v>
      </c>
      <c r="L611" s="1" t="s">
        <v>4264</v>
      </c>
      <c r="M611" s="1">
        <v>2</v>
      </c>
      <c r="N611" s="1" t="s">
        <v>4283</v>
      </c>
    </row>
    <row r="612" spans="1:14" x14ac:dyDescent="0.15">
      <c r="A612" s="1">
        <v>131</v>
      </c>
      <c r="B612" s="1" t="s">
        <v>4697</v>
      </c>
      <c r="C612" s="1" t="s">
        <v>4698</v>
      </c>
      <c r="D612" s="1" t="s">
        <v>4697</v>
      </c>
      <c r="E612" s="1" t="s">
        <v>4698</v>
      </c>
      <c r="F612" s="1" t="s">
        <v>4697</v>
      </c>
      <c r="G612" s="1" t="s">
        <v>4699</v>
      </c>
      <c r="H612" s="1" t="s">
        <v>4697</v>
      </c>
      <c r="I612" s="1" t="s">
        <v>11879</v>
      </c>
      <c r="J612" s="1" t="s">
        <v>4278</v>
      </c>
      <c r="K612" s="1">
        <v>12</v>
      </c>
      <c r="L612" s="1" t="s">
        <v>4264</v>
      </c>
      <c r="M612" s="1">
        <v>15</v>
      </c>
      <c r="N612" s="1" t="s">
        <v>4365</v>
      </c>
    </row>
    <row r="613" spans="1:14" x14ac:dyDescent="0.15">
      <c r="A613" s="1">
        <v>131</v>
      </c>
      <c r="B613" s="1" t="s">
        <v>4697</v>
      </c>
      <c r="C613" s="1" t="s">
        <v>4700</v>
      </c>
      <c r="D613" s="1" t="s">
        <v>4701</v>
      </c>
      <c r="E613" s="1" t="s">
        <v>4700</v>
      </c>
      <c r="F613" s="1" t="s">
        <v>4701</v>
      </c>
      <c r="G613" s="1" t="s">
        <v>4702</v>
      </c>
      <c r="H613" s="1" t="s">
        <v>4701</v>
      </c>
      <c r="I613" s="1" t="s">
        <v>15946</v>
      </c>
      <c r="J613" s="1" t="s">
        <v>4703</v>
      </c>
      <c r="K613" s="1">
        <v>12</v>
      </c>
      <c r="L613" s="1" t="s">
        <v>4264</v>
      </c>
      <c r="M613" s="1">
        <v>15</v>
      </c>
      <c r="N613" s="1" t="s">
        <v>4365</v>
      </c>
    </row>
    <row r="614" spans="1:14" x14ac:dyDescent="0.15">
      <c r="A614" s="1">
        <v>131</v>
      </c>
      <c r="B614" s="1" t="s">
        <v>4697</v>
      </c>
      <c r="C614" s="1" t="s">
        <v>4700</v>
      </c>
      <c r="D614" s="1" t="s">
        <v>4701</v>
      </c>
      <c r="E614" s="1" t="s">
        <v>4700</v>
      </c>
      <c r="F614" s="1" t="s">
        <v>4701</v>
      </c>
      <c r="G614" s="1" t="s">
        <v>4702</v>
      </c>
      <c r="H614" s="1" t="s">
        <v>4701</v>
      </c>
      <c r="I614" s="1" t="s">
        <v>14756</v>
      </c>
      <c r="J614" s="1" t="s">
        <v>14757</v>
      </c>
      <c r="K614" s="1">
        <v>12</v>
      </c>
      <c r="L614" s="1" t="s">
        <v>4264</v>
      </c>
      <c r="M614" s="1">
        <v>15</v>
      </c>
      <c r="N614" s="1" t="s">
        <v>4365</v>
      </c>
    </row>
    <row r="615" spans="1:14" x14ac:dyDescent="0.15">
      <c r="A615" s="1">
        <v>131</v>
      </c>
      <c r="B615" s="1" t="s">
        <v>4697</v>
      </c>
      <c r="C615" s="1" t="s">
        <v>4704</v>
      </c>
      <c r="D615" s="1" t="s">
        <v>4705</v>
      </c>
      <c r="E615" s="1" t="s">
        <v>4704</v>
      </c>
      <c r="F615" s="1" t="s">
        <v>4705</v>
      </c>
      <c r="G615" s="1" t="s">
        <v>4706</v>
      </c>
      <c r="H615" s="1" t="s">
        <v>4705</v>
      </c>
      <c r="I615" s="1" t="s">
        <v>15946</v>
      </c>
      <c r="J615" s="1" t="s">
        <v>4703</v>
      </c>
      <c r="K615" s="1">
        <v>12</v>
      </c>
      <c r="L615" s="1" t="s">
        <v>4264</v>
      </c>
      <c r="M615" s="1">
        <v>2</v>
      </c>
      <c r="N615" s="1" t="s">
        <v>4283</v>
      </c>
    </row>
    <row r="616" spans="1:14" x14ac:dyDescent="0.15">
      <c r="A616" s="1">
        <v>132</v>
      </c>
      <c r="B616" s="1" t="s">
        <v>4707</v>
      </c>
      <c r="C616" s="1" t="s">
        <v>4708</v>
      </c>
      <c r="D616" s="1" t="s">
        <v>4707</v>
      </c>
      <c r="E616" s="1" t="s">
        <v>4708</v>
      </c>
      <c r="F616" s="1" t="s">
        <v>4707</v>
      </c>
      <c r="G616" s="1" t="s">
        <v>4709</v>
      </c>
      <c r="H616" s="1" t="s">
        <v>4707</v>
      </c>
      <c r="I616" s="1" t="s">
        <v>16688</v>
      </c>
      <c r="J616" s="1" t="s">
        <v>16685</v>
      </c>
      <c r="K616" s="1">
        <v>12</v>
      </c>
      <c r="L616" s="1" t="s">
        <v>4264</v>
      </c>
      <c r="M616" s="1">
        <v>15</v>
      </c>
      <c r="N616" s="1" t="s">
        <v>4365</v>
      </c>
    </row>
    <row r="617" spans="1:14" x14ac:dyDescent="0.15">
      <c r="A617" s="1">
        <v>133</v>
      </c>
      <c r="B617" s="1" t="s">
        <v>4710</v>
      </c>
      <c r="C617" s="1" t="s">
        <v>4711</v>
      </c>
      <c r="D617" s="1" t="s">
        <v>4710</v>
      </c>
      <c r="E617" s="1" t="s">
        <v>4711</v>
      </c>
      <c r="F617" s="1" t="s">
        <v>4710</v>
      </c>
      <c r="G617" s="1" t="s">
        <v>4712</v>
      </c>
      <c r="H617" s="1" t="s">
        <v>4710</v>
      </c>
      <c r="I617" s="1" t="s">
        <v>16695</v>
      </c>
      <c r="J617" s="1" t="s">
        <v>4366</v>
      </c>
      <c r="K617" s="1">
        <v>12</v>
      </c>
      <c r="L617" s="1" t="s">
        <v>4264</v>
      </c>
      <c r="M617" s="1">
        <v>15</v>
      </c>
      <c r="N617" s="1" t="s">
        <v>4365</v>
      </c>
    </row>
    <row r="618" spans="1:14" x14ac:dyDescent="0.15">
      <c r="A618" s="1">
        <v>134</v>
      </c>
      <c r="B618" s="1" t="s">
        <v>4713</v>
      </c>
      <c r="C618" s="1" t="s">
        <v>4714</v>
      </c>
      <c r="D618" s="1" t="s">
        <v>4713</v>
      </c>
      <c r="E618" s="1" t="s">
        <v>4714</v>
      </c>
      <c r="F618" s="1" t="s">
        <v>4713</v>
      </c>
      <c r="G618" s="1" t="s">
        <v>4715</v>
      </c>
      <c r="H618" s="1" t="s">
        <v>4713</v>
      </c>
      <c r="I618" s="1" t="s">
        <v>16709</v>
      </c>
      <c r="J618" s="1" t="s">
        <v>6971</v>
      </c>
      <c r="K618" s="1">
        <v>12</v>
      </c>
      <c r="L618" s="1" t="s">
        <v>4264</v>
      </c>
      <c r="M618" s="1">
        <v>15</v>
      </c>
      <c r="N618" s="1" t="s">
        <v>4365</v>
      </c>
    </row>
    <row r="619" spans="1:14" x14ac:dyDescent="0.15">
      <c r="A619" s="1">
        <v>135</v>
      </c>
      <c r="B619" s="1" t="s">
        <v>4716</v>
      </c>
      <c r="C619" s="1" t="s">
        <v>4717</v>
      </c>
      <c r="D619" s="1" t="s">
        <v>4716</v>
      </c>
      <c r="E619" s="1" t="s">
        <v>4717</v>
      </c>
      <c r="F619" s="1" t="s">
        <v>4716</v>
      </c>
      <c r="G619" s="1" t="s">
        <v>4718</v>
      </c>
      <c r="H619" s="1" t="s">
        <v>4716</v>
      </c>
      <c r="I619" s="1" t="s">
        <v>16723</v>
      </c>
      <c r="J619" s="1" t="s">
        <v>16720</v>
      </c>
      <c r="K619" s="1">
        <v>12</v>
      </c>
      <c r="L619" s="1" t="s">
        <v>4264</v>
      </c>
      <c r="M619" s="1">
        <v>15</v>
      </c>
      <c r="N619" s="1" t="s">
        <v>4365</v>
      </c>
    </row>
    <row r="620" spans="1:14" x14ac:dyDescent="0.15">
      <c r="A620" s="1">
        <v>136</v>
      </c>
      <c r="B620" s="1" t="s">
        <v>4719</v>
      </c>
      <c r="C620" s="1" t="s">
        <v>4720</v>
      </c>
      <c r="D620" s="1" t="s">
        <v>4719</v>
      </c>
      <c r="E620" s="1" t="s">
        <v>4720</v>
      </c>
      <c r="F620" s="1" t="s">
        <v>4719</v>
      </c>
      <c r="G620" s="1" t="s">
        <v>4721</v>
      </c>
      <c r="H620" s="1" t="s">
        <v>4719</v>
      </c>
      <c r="I620" s="1" t="s">
        <v>16730</v>
      </c>
      <c r="J620" s="1" t="s">
        <v>16731</v>
      </c>
      <c r="K620" s="1">
        <v>12</v>
      </c>
      <c r="L620" s="1" t="s">
        <v>4264</v>
      </c>
      <c r="M620" s="1">
        <v>15</v>
      </c>
      <c r="N620" s="1" t="s">
        <v>4365</v>
      </c>
    </row>
    <row r="621" spans="1:14" x14ac:dyDescent="0.15">
      <c r="A621" s="1">
        <v>136</v>
      </c>
      <c r="B621" s="1" t="s">
        <v>4719</v>
      </c>
      <c r="C621" s="1" t="s">
        <v>4720</v>
      </c>
      <c r="D621" s="1" t="s">
        <v>4719</v>
      </c>
      <c r="E621" s="1" t="s">
        <v>4720</v>
      </c>
      <c r="F621" s="1" t="s">
        <v>4719</v>
      </c>
      <c r="G621" s="1" t="s">
        <v>4721</v>
      </c>
      <c r="H621" s="1" t="s">
        <v>4719</v>
      </c>
      <c r="I621" s="1" t="s">
        <v>16742</v>
      </c>
      <c r="J621" s="1" t="s">
        <v>16743</v>
      </c>
      <c r="K621" s="1">
        <v>12</v>
      </c>
      <c r="L621" s="1" t="s">
        <v>4264</v>
      </c>
      <c r="M621" s="1">
        <v>15</v>
      </c>
      <c r="N621" s="1" t="s">
        <v>4365</v>
      </c>
    </row>
    <row r="622" spans="1:14" x14ac:dyDescent="0.15">
      <c r="A622" s="1">
        <v>136</v>
      </c>
      <c r="B622" s="1" t="s">
        <v>4719</v>
      </c>
      <c r="C622" s="1" t="s">
        <v>4720</v>
      </c>
      <c r="D622" s="1" t="s">
        <v>4719</v>
      </c>
      <c r="E622" s="1" t="s">
        <v>4720</v>
      </c>
      <c r="F622" s="1" t="s">
        <v>4719</v>
      </c>
      <c r="G622" s="1" t="s">
        <v>4721</v>
      </c>
      <c r="H622" s="1" t="s">
        <v>4719</v>
      </c>
      <c r="I622" s="1" t="s">
        <v>16746</v>
      </c>
      <c r="J622" s="1" t="s">
        <v>16747</v>
      </c>
      <c r="K622" s="1">
        <v>12</v>
      </c>
      <c r="L622" s="1" t="s">
        <v>4264</v>
      </c>
      <c r="M622" s="1">
        <v>15</v>
      </c>
      <c r="N622" s="1" t="s">
        <v>4365</v>
      </c>
    </row>
    <row r="623" spans="1:14" x14ac:dyDescent="0.15">
      <c r="A623" s="1">
        <v>136</v>
      </c>
      <c r="B623" s="1" t="s">
        <v>4719</v>
      </c>
      <c r="C623" s="1" t="s">
        <v>4720</v>
      </c>
      <c r="D623" s="1" t="s">
        <v>4719</v>
      </c>
      <c r="E623" s="1" t="s">
        <v>4720</v>
      </c>
      <c r="F623" s="1" t="s">
        <v>4719</v>
      </c>
      <c r="G623" s="1" t="s">
        <v>4721</v>
      </c>
      <c r="H623" s="1" t="s">
        <v>4719</v>
      </c>
      <c r="I623" s="1" t="s">
        <v>16750</v>
      </c>
      <c r="J623" s="1" t="s">
        <v>16751</v>
      </c>
      <c r="K623" s="1">
        <v>12</v>
      </c>
      <c r="L623" s="1" t="s">
        <v>4264</v>
      </c>
      <c r="M623" s="1">
        <v>15</v>
      </c>
      <c r="N623" s="1" t="s">
        <v>4365</v>
      </c>
    </row>
    <row r="624" spans="1:14" x14ac:dyDescent="0.15">
      <c r="A624" s="1">
        <v>140</v>
      </c>
      <c r="B624" s="1" t="s">
        <v>4722</v>
      </c>
      <c r="C624" s="1" t="s">
        <v>4723</v>
      </c>
      <c r="D624" s="1" t="s">
        <v>4722</v>
      </c>
      <c r="E624" s="1" t="s">
        <v>4723</v>
      </c>
      <c r="F624" s="1" t="s">
        <v>4722</v>
      </c>
      <c r="G624" s="1" t="s">
        <v>4724</v>
      </c>
      <c r="H624" s="1" t="s">
        <v>4722</v>
      </c>
      <c r="I624" s="1" t="s">
        <v>16758</v>
      </c>
      <c r="J624" s="1" t="s">
        <v>6974</v>
      </c>
      <c r="K624" s="1">
        <v>12</v>
      </c>
      <c r="L624" s="1" t="s">
        <v>4264</v>
      </c>
      <c r="M624" s="1">
        <v>11</v>
      </c>
      <c r="N624" s="1" t="s">
        <v>4265</v>
      </c>
    </row>
    <row r="625" spans="1:14" x14ac:dyDescent="0.15">
      <c r="A625" s="1">
        <v>140</v>
      </c>
      <c r="B625" s="1" t="s">
        <v>4722</v>
      </c>
      <c r="C625" s="1" t="s">
        <v>4723</v>
      </c>
      <c r="D625" s="1" t="s">
        <v>4722</v>
      </c>
      <c r="E625" s="1" t="s">
        <v>4723</v>
      </c>
      <c r="F625" s="1" t="s">
        <v>4722</v>
      </c>
      <c r="G625" s="1" t="s">
        <v>4724</v>
      </c>
      <c r="H625" s="1" t="s">
        <v>4722</v>
      </c>
      <c r="I625" s="1" t="s">
        <v>11153</v>
      </c>
      <c r="J625" s="1" t="s">
        <v>4367</v>
      </c>
      <c r="K625" s="1">
        <v>12</v>
      </c>
      <c r="L625" s="1" t="s">
        <v>4264</v>
      </c>
      <c r="M625" s="1">
        <v>11</v>
      </c>
      <c r="N625" s="1" t="s">
        <v>4265</v>
      </c>
    </row>
    <row r="626" spans="1:14" x14ac:dyDescent="0.15">
      <c r="A626" s="1">
        <v>141</v>
      </c>
      <c r="B626" s="1" t="s">
        <v>4725</v>
      </c>
      <c r="C626" s="1" t="s">
        <v>4726</v>
      </c>
      <c r="D626" s="1" t="s">
        <v>4725</v>
      </c>
      <c r="E626" s="1" t="s">
        <v>4726</v>
      </c>
      <c r="F626" s="1" t="s">
        <v>4725</v>
      </c>
      <c r="G626" s="1" t="s">
        <v>4727</v>
      </c>
      <c r="H626" s="1" t="s">
        <v>4725</v>
      </c>
      <c r="I626" s="1" t="s">
        <v>11879</v>
      </c>
      <c r="J626" s="1" t="s">
        <v>4278</v>
      </c>
      <c r="K626" s="1">
        <v>12</v>
      </c>
      <c r="L626" s="1" t="s">
        <v>4264</v>
      </c>
      <c r="M626" s="1">
        <v>15</v>
      </c>
      <c r="N626" s="1" t="s">
        <v>4365</v>
      </c>
    </row>
    <row r="627" spans="1:14" x14ac:dyDescent="0.15">
      <c r="A627" s="1">
        <v>141</v>
      </c>
      <c r="B627" s="1" t="s">
        <v>4725</v>
      </c>
      <c r="C627" s="1" t="s">
        <v>4728</v>
      </c>
      <c r="D627" s="1" t="s">
        <v>4729</v>
      </c>
      <c r="E627" s="1" t="s">
        <v>4728</v>
      </c>
      <c r="F627" s="1" t="s">
        <v>4729</v>
      </c>
      <c r="G627" s="1" t="s">
        <v>4730</v>
      </c>
      <c r="H627" s="1" t="s">
        <v>4729</v>
      </c>
      <c r="I627" s="1" t="s">
        <v>16765</v>
      </c>
      <c r="J627" s="1" t="s">
        <v>16762</v>
      </c>
      <c r="K627" s="1">
        <v>12</v>
      </c>
      <c r="L627" s="1" t="s">
        <v>4264</v>
      </c>
      <c r="M627" s="1">
        <v>15</v>
      </c>
      <c r="N627" s="1" t="s">
        <v>4365</v>
      </c>
    </row>
    <row r="628" spans="1:14" x14ac:dyDescent="0.15">
      <c r="A628" s="1">
        <v>141</v>
      </c>
      <c r="B628" s="1" t="s">
        <v>4725</v>
      </c>
      <c r="C628" s="1" t="s">
        <v>4731</v>
      </c>
      <c r="D628" s="1" t="s">
        <v>4732</v>
      </c>
      <c r="E628" s="1" t="s">
        <v>4731</v>
      </c>
      <c r="F628" s="1" t="s">
        <v>4732</v>
      </c>
      <c r="G628" s="1" t="s">
        <v>4733</v>
      </c>
      <c r="H628" s="1" t="s">
        <v>4732</v>
      </c>
      <c r="I628" s="1" t="s">
        <v>16765</v>
      </c>
      <c r="J628" s="1" t="s">
        <v>16762</v>
      </c>
      <c r="K628" s="1">
        <v>12</v>
      </c>
      <c r="L628" s="1" t="s">
        <v>4264</v>
      </c>
      <c r="M628" s="1">
        <v>15</v>
      </c>
      <c r="N628" s="1" t="s">
        <v>4365</v>
      </c>
    </row>
    <row r="629" spans="1:14" x14ac:dyDescent="0.15">
      <c r="A629" s="1">
        <v>142</v>
      </c>
      <c r="B629" s="1" t="s">
        <v>4734</v>
      </c>
      <c r="C629" s="1" t="s">
        <v>4735</v>
      </c>
      <c r="D629" s="1" t="s">
        <v>4734</v>
      </c>
      <c r="E629" s="1" t="s">
        <v>4735</v>
      </c>
      <c r="F629" s="1" t="s">
        <v>4734</v>
      </c>
      <c r="G629" s="1" t="s">
        <v>4736</v>
      </c>
      <c r="H629" s="1" t="s">
        <v>4734</v>
      </c>
      <c r="I629" s="1" t="s">
        <v>16793</v>
      </c>
      <c r="J629" s="1" t="s">
        <v>16790</v>
      </c>
      <c r="K629" s="1">
        <v>12</v>
      </c>
      <c r="L629" s="1" t="s">
        <v>4264</v>
      </c>
      <c r="M629" s="1">
        <v>1</v>
      </c>
      <c r="N629" s="1" t="s">
        <v>4318</v>
      </c>
    </row>
    <row r="630" spans="1:14" x14ac:dyDescent="0.15">
      <c r="A630" s="1">
        <v>143</v>
      </c>
      <c r="B630" s="1" t="s">
        <v>4737</v>
      </c>
      <c r="C630" s="1" t="s">
        <v>4738</v>
      </c>
      <c r="D630" s="1" t="s">
        <v>4737</v>
      </c>
      <c r="E630" s="1" t="s">
        <v>4738</v>
      </c>
      <c r="F630" s="1" t="s">
        <v>4737</v>
      </c>
      <c r="G630" s="1" t="s">
        <v>4739</v>
      </c>
      <c r="H630" s="1" t="s">
        <v>4737</v>
      </c>
      <c r="I630" s="1" t="s">
        <v>11879</v>
      </c>
      <c r="J630" s="1" t="s">
        <v>4278</v>
      </c>
      <c r="K630" s="1">
        <v>12</v>
      </c>
      <c r="L630" s="1" t="s">
        <v>4264</v>
      </c>
      <c r="M630" s="1">
        <v>15</v>
      </c>
      <c r="N630" s="1" t="s">
        <v>4365</v>
      </c>
    </row>
    <row r="631" spans="1:14" x14ac:dyDescent="0.15">
      <c r="A631" s="1">
        <v>143</v>
      </c>
      <c r="B631" s="1" t="s">
        <v>4737</v>
      </c>
      <c r="C631" s="1" t="s">
        <v>4740</v>
      </c>
      <c r="D631" s="1" t="s">
        <v>4741</v>
      </c>
      <c r="E631" s="1" t="s">
        <v>4740</v>
      </c>
      <c r="F631" s="1" t="s">
        <v>4741</v>
      </c>
      <c r="G631" s="1" t="s">
        <v>4742</v>
      </c>
      <c r="H631" s="1" t="s">
        <v>4741</v>
      </c>
      <c r="I631" s="1" t="s">
        <v>16793</v>
      </c>
      <c r="J631" s="1" t="s">
        <v>16790</v>
      </c>
      <c r="K631" s="1">
        <v>12</v>
      </c>
      <c r="L631" s="1" t="s">
        <v>4264</v>
      </c>
      <c r="M631" s="1">
        <v>15</v>
      </c>
      <c r="N631" s="1" t="s">
        <v>4365</v>
      </c>
    </row>
    <row r="632" spans="1:14" x14ac:dyDescent="0.15">
      <c r="A632" s="1">
        <v>143</v>
      </c>
      <c r="B632" s="1" t="s">
        <v>4737</v>
      </c>
      <c r="C632" s="1" t="s">
        <v>4740</v>
      </c>
      <c r="D632" s="1" t="s">
        <v>4741</v>
      </c>
      <c r="E632" s="1" t="s">
        <v>4740</v>
      </c>
      <c r="F632" s="1" t="s">
        <v>4741</v>
      </c>
      <c r="G632" s="1" t="s">
        <v>4743</v>
      </c>
      <c r="H632" s="1" t="s">
        <v>4744</v>
      </c>
      <c r="I632" s="1" t="s">
        <v>16793</v>
      </c>
      <c r="J632" s="1" t="s">
        <v>16790</v>
      </c>
      <c r="K632" s="1">
        <v>12</v>
      </c>
      <c r="L632" s="1" t="s">
        <v>4264</v>
      </c>
      <c r="M632" s="1">
        <v>15</v>
      </c>
      <c r="N632" s="1" t="s">
        <v>4365</v>
      </c>
    </row>
    <row r="633" spans="1:14" x14ac:dyDescent="0.15">
      <c r="A633" s="1">
        <v>143</v>
      </c>
      <c r="B633" s="1" t="s">
        <v>4737</v>
      </c>
      <c r="C633" s="1" t="s">
        <v>4740</v>
      </c>
      <c r="D633" s="1" t="s">
        <v>4741</v>
      </c>
      <c r="E633" s="1" t="s">
        <v>4740</v>
      </c>
      <c r="F633" s="1" t="s">
        <v>4741</v>
      </c>
      <c r="G633" s="1" t="s">
        <v>4745</v>
      </c>
      <c r="H633" s="1" t="s">
        <v>4746</v>
      </c>
      <c r="I633" s="1" t="s">
        <v>16793</v>
      </c>
      <c r="J633" s="1" t="s">
        <v>16790</v>
      </c>
      <c r="K633" s="1">
        <v>12</v>
      </c>
      <c r="L633" s="1" t="s">
        <v>4264</v>
      </c>
      <c r="M633" s="1">
        <v>15</v>
      </c>
      <c r="N633" s="1" t="s">
        <v>4365</v>
      </c>
    </row>
    <row r="634" spans="1:14" x14ac:dyDescent="0.15">
      <c r="A634" s="1">
        <v>143</v>
      </c>
      <c r="B634" s="1" t="s">
        <v>4737</v>
      </c>
      <c r="C634" s="1" t="s">
        <v>4740</v>
      </c>
      <c r="D634" s="1" t="s">
        <v>4741</v>
      </c>
      <c r="E634" s="1" t="s">
        <v>4740</v>
      </c>
      <c r="F634" s="1" t="s">
        <v>4741</v>
      </c>
      <c r="G634" s="1" t="s">
        <v>4747</v>
      </c>
      <c r="H634" s="1" t="s">
        <v>4748</v>
      </c>
      <c r="I634" s="1" t="s">
        <v>16793</v>
      </c>
      <c r="J634" s="1" t="s">
        <v>16790</v>
      </c>
      <c r="K634" s="1">
        <v>12</v>
      </c>
      <c r="L634" s="1" t="s">
        <v>4264</v>
      </c>
      <c r="M634" s="1">
        <v>15</v>
      </c>
      <c r="N634" s="1" t="s">
        <v>4365</v>
      </c>
    </row>
    <row r="635" spans="1:14" x14ac:dyDescent="0.15">
      <c r="A635" s="1">
        <v>143</v>
      </c>
      <c r="B635" s="1" t="s">
        <v>4737</v>
      </c>
      <c r="C635" s="1" t="s">
        <v>4749</v>
      </c>
      <c r="D635" s="1" t="s">
        <v>4750</v>
      </c>
      <c r="E635" s="1" t="s">
        <v>4749</v>
      </c>
      <c r="F635" s="1" t="s">
        <v>4750</v>
      </c>
      <c r="G635" s="1" t="s">
        <v>4751</v>
      </c>
      <c r="H635" s="1" t="s">
        <v>4750</v>
      </c>
      <c r="I635" s="1" t="s">
        <v>10445</v>
      </c>
      <c r="J635" s="1" t="s">
        <v>4372</v>
      </c>
      <c r="K635" s="1">
        <v>12</v>
      </c>
      <c r="L635" s="1" t="s">
        <v>4264</v>
      </c>
      <c r="M635" s="1">
        <v>15</v>
      </c>
      <c r="N635" s="1" t="s">
        <v>4365</v>
      </c>
    </row>
    <row r="636" spans="1:14" x14ac:dyDescent="0.15">
      <c r="A636" s="1">
        <v>144</v>
      </c>
      <c r="B636" s="1" t="s">
        <v>4752</v>
      </c>
      <c r="C636" s="1" t="s">
        <v>4753</v>
      </c>
      <c r="D636" s="1" t="s">
        <v>4752</v>
      </c>
      <c r="E636" s="1" t="s">
        <v>4753</v>
      </c>
      <c r="F636" s="1" t="s">
        <v>4752</v>
      </c>
      <c r="G636" s="1" t="s">
        <v>4754</v>
      </c>
      <c r="H636" s="1" t="s">
        <v>4752</v>
      </c>
      <c r="I636" s="1" t="s">
        <v>16265</v>
      </c>
      <c r="J636" s="1" t="s">
        <v>16262</v>
      </c>
      <c r="K636" s="1">
        <v>12</v>
      </c>
      <c r="L636" s="1" t="s">
        <v>4264</v>
      </c>
      <c r="M636" s="1">
        <v>15</v>
      </c>
      <c r="N636" s="1" t="s">
        <v>4365</v>
      </c>
    </row>
    <row r="637" spans="1:14" x14ac:dyDescent="0.15">
      <c r="A637" s="1">
        <v>144</v>
      </c>
      <c r="B637" s="1" t="s">
        <v>4752</v>
      </c>
      <c r="C637" s="1" t="s">
        <v>4753</v>
      </c>
      <c r="D637" s="1" t="s">
        <v>4752</v>
      </c>
      <c r="E637" s="1" t="s">
        <v>4753</v>
      </c>
      <c r="F637" s="1" t="s">
        <v>4752</v>
      </c>
      <c r="G637" s="1" t="s">
        <v>4755</v>
      </c>
      <c r="H637" s="1" t="s">
        <v>4756</v>
      </c>
      <c r="I637" s="1" t="s">
        <v>16265</v>
      </c>
      <c r="J637" s="1" t="s">
        <v>16262</v>
      </c>
      <c r="K637" s="1">
        <v>12</v>
      </c>
      <c r="L637" s="1" t="s">
        <v>4264</v>
      </c>
      <c r="M637" s="1">
        <v>15</v>
      </c>
      <c r="N637" s="1" t="s">
        <v>4365</v>
      </c>
    </row>
    <row r="638" spans="1:14" x14ac:dyDescent="0.15">
      <c r="A638" s="1">
        <v>144</v>
      </c>
      <c r="B638" s="1" t="s">
        <v>4752</v>
      </c>
      <c r="C638" s="1" t="s">
        <v>4753</v>
      </c>
      <c r="D638" s="1" t="s">
        <v>4752</v>
      </c>
      <c r="E638" s="1" t="s">
        <v>4753</v>
      </c>
      <c r="F638" s="1" t="s">
        <v>4752</v>
      </c>
      <c r="G638" s="1" t="s">
        <v>4757</v>
      </c>
      <c r="H638" s="1" t="s">
        <v>4758</v>
      </c>
      <c r="I638" s="1" t="s">
        <v>16265</v>
      </c>
      <c r="J638" s="1" t="s">
        <v>16262</v>
      </c>
      <c r="K638" s="1">
        <v>12</v>
      </c>
      <c r="L638" s="1" t="s">
        <v>4264</v>
      </c>
      <c r="M638" s="1">
        <v>15</v>
      </c>
      <c r="N638" s="1" t="s">
        <v>4365</v>
      </c>
    </row>
    <row r="639" spans="1:14" x14ac:dyDescent="0.15">
      <c r="A639" s="1">
        <v>145</v>
      </c>
      <c r="B639" s="1" t="s">
        <v>4759</v>
      </c>
      <c r="C639" s="1" t="s">
        <v>4760</v>
      </c>
      <c r="D639" s="1" t="s">
        <v>4759</v>
      </c>
      <c r="E639" s="1" t="s">
        <v>4760</v>
      </c>
      <c r="F639" s="1" t="s">
        <v>4759</v>
      </c>
      <c r="G639" s="1" t="s">
        <v>4761</v>
      </c>
      <c r="H639" s="1" t="s">
        <v>4759</v>
      </c>
      <c r="I639" s="1" t="s">
        <v>16716</v>
      </c>
      <c r="J639" s="1" t="s">
        <v>16713</v>
      </c>
      <c r="K639" s="1">
        <v>12</v>
      </c>
      <c r="L639" s="1" t="s">
        <v>4264</v>
      </c>
      <c r="M639" s="1">
        <v>15</v>
      </c>
      <c r="N639" s="1" t="s">
        <v>4365</v>
      </c>
    </row>
    <row r="640" spans="1:14" x14ac:dyDescent="0.15">
      <c r="A640" s="1">
        <v>145</v>
      </c>
      <c r="B640" s="1" t="s">
        <v>4759</v>
      </c>
      <c r="C640" s="1" t="s">
        <v>4760</v>
      </c>
      <c r="D640" s="1" t="s">
        <v>4759</v>
      </c>
      <c r="E640" s="1" t="s">
        <v>4760</v>
      </c>
      <c r="F640" s="1" t="s">
        <v>4759</v>
      </c>
      <c r="G640" s="1" t="s">
        <v>4761</v>
      </c>
      <c r="H640" s="1" t="s">
        <v>4759</v>
      </c>
      <c r="I640" s="1" t="s">
        <v>16821</v>
      </c>
      <c r="J640" s="1" t="s">
        <v>16818</v>
      </c>
      <c r="K640" s="1">
        <v>12</v>
      </c>
      <c r="L640" s="1" t="s">
        <v>4264</v>
      </c>
      <c r="M640" s="1">
        <v>15</v>
      </c>
      <c r="N640" s="1" t="s">
        <v>4365</v>
      </c>
    </row>
    <row r="641" spans="1:14" x14ac:dyDescent="0.15">
      <c r="A641" s="1">
        <v>145</v>
      </c>
      <c r="B641" s="1" t="s">
        <v>4759</v>
      </c>
      <c r="C641" s="1" t="s">
        <v>4760</v>
      </c>
      <c r="D641" s="1" t="s">
        <v>4759</v>
      </c>
      <c r="E641" s="1" t="s">
        <v>4760</v>
      </c>
      <c r="F641" s="1" t="s">
        <v>4759</v>
      </c>
      <c r="G641" s="1" t="s">
        <v>4761</v>
      </c>
      <c r="H641" s="1" t="s">
        <v>4759</v>
      </c>
      <c r="I641" s="1" t="s">
        <v>16835</v>
      </c>
      <c r="J641" s="1" t="s">
        <v>16832</v>
      </c>
      <c r="K641" s="1">
        <v>12</v>
      </c>
      <c r="L641" s="1" t="s">
        <v>4264</v>
      </c>
      <c r="M641" s="1">
        <v>15</v>
      </c>
      <c r="N641" s="1" t="s">
        <v>4365</v>
      </c>
    </row>
    <row r="642" spans="1:14" x14ac:dyDescent="0.15">
      <c r="A642" s="1">
        <v>146</v>
      </c>
      <c r="B642" s="1" t="s">
        <v>4762</v>
      </c>
      <c r="C642" s="1" t="s">
        <v>4763</v>
      </c>
      <c r="D642" s="1" t="s">
        <v>4762</v>
      </c>
      <c r="E642" s="1" t="s">
        <v>4763</v>
      </c>
      <c r="F642" s="1" t="s">
        <v>4762</v>
      </c>
      <c r="G642" s="1" t="s">
        <v>4764</v>
      </c>
      <c r="H642" s="1" t="s">
        <v>4762</v>
      </c>
      <c r="I642" s="1" t="s">
        <v>16828</v>
      </c>
      <c r="J642" s="1" t="s">
        <v>16825</v>
      </c>
      <c r="K642" s="1">
        <v>12</v>
      </c>
      <c r="L642" s="1" t="s">
        <v>4264</v>
      </c>
      <c r="M642" s="1">
        <v>15</v>
      </c>
      <c r="N642" s="1" t="s">
        <v>4365</v>
      </c>
    </row>
    <row r="643" spans="1:14" x14ac:dyDescent="0.15">
      <c r="A643" s="1">
        <v>150</v>
      </c>
      <c r="B643" s="1" t="s">
        <v>4765</v>
      </c>
      <c r="C643" s="1" t="s">
        <v>4766</v>
      </c>
      <c r="D643" s="1" t="s">
        <v>4765</v>
      </c>
      <c r="E643" s="1" t="s">
        <v>4766</v>
      </c>
      <c r="F643" s="1" t="s">
        <v>4765</v>
      </c>
      <c r="G643" s="1" t="s">
        <v>4767</v>
      </c>
      <c r="H643" s="1" t="s">
        <v>4765</v>
      </c>
      <c r="I643" s="1" t="s">
        <v>16258</v>
      </c>
      <c r="J643" s="1" t="s">
        <v>16839</v>
      </c>
      <c r="K643" s="1">
        <v>12</v>
      </c>
      <c r="L643" s="1" t="s">
        <v>4264</v>
      </c>
      <c r="M643" s="1">
        <v>1</v>
      </c>
      <c r="N643" s="1" t="s">
        <v>4318</v>
      </c>
    </row>
    <row r="644" spans="1:14" x14ac:dyDescent="0.15">
      <c r="A644" s="1">
        <v>151</v>
      </c>
      <c r="B644" s="1" t="s">
        <v>4768</v>
      </c>
      <c r="C644" s="1" t="s">
        <v>4769</v>
      </c>
      <c r="D644" s="1" t="s">
        <v>4768</v>
      </c>
      <c r="E644" s="1" t="s">
        <v>4769</v>
      </c>
      <c r="F644" s="1" t="s">
        <v>4768</v>
      </c>
      <c r="G644" s="1" t="s">
        <v>4770</v>
      </c>
      <c r="H644" s="1" t="s">
        <v>4768</v>
      </c>
      <c r="I644" s="1" t="s">
        <v>16272</v>
      </c>
      <c r="J644" s="1" t="s">
        <v>16269</v>
      </c>
      <c r="K644" s="1">
        <v>12</v>
      </c>
      <c r="L644" s="1" t="s">
        <v>4264</v>
      </c>
      <c r="M644" s="1">
        <v>15</v>
      </c>
      <c r="N644" s="1" t="s">
        <v>4365</v>
      </c>
    </row>
    <row r="645" spans="1:14" x14ac:dyDescent="0.15">
      <c r="A645" s="1">
        <v>152</v>
      </c>
      <c r="B645" s="1" t="s">
        <v>4771</v>
      </c>
      <c r="C645" s="1" t="s">
        <v>4772</v>
      </c>
      <c r="D645" s="1" t="s">
        <v>4771</v>
      </c>
      <c r="E645" s="1" t="s">
        <v>4772</v>
      </c>
      <c r="F645" s="1" t="s">
        <v>4771</v>
      </c>
      <c r="G645" s="1" t="s">
        <v>4773</v>
      </c>
      <c r="H645" s="1" t="s">
        <v>4771</v>
      </c>
      <c r="I645" s="1" t="s">
        <v>16286</v>
      </c>
      <c r="J645" s="1" t="s">
        <v>16283</v>
      </c>
      <c r="K645" s="1">
        <v>12</v>
      </c>
      <c r="L645" s="1" t="s">
        <v>4264</v>
      </c>
      <c r="M645" s="1">
        <v>15</v>
      </c>
      <c r="N645" s="1" t="s">
        <v>4365</v>
      </c>
    </row>
    <row r="646" spans="1:14" x14ac:dyDescent="0.15">
      <c r="A646" s="1">
        <v>153</v>
      </c>
      <c r="B646" s="1" t="s">
        <v>4774</v>
      </c>
      <c r="C646" s="1" t="s">
        <v>4775</v>
      </c>
      <c r="D646" s="1" t="s">
        <v>4774</v>
      </c>
      <c r="E646" s="1" t="s">
        <v>4775</v>
      </c>
      <c r="F646" s="1" t="s">
        <v>4774</v>
      </c>
      <c r="G646" s="1" t="s">
        <v>4776</v>
      </c>
      <c r="H646" s="1" t="s">
        <v>4774</v>
      </c>
      <c r="I646" s="1" t="s">
        <v>16681</v>
      </c>
      <c r="J646" s="1" t="s">
        <v>16678</v>
      </c>
      <c r="K646" s="1">
        <v>12</v>
      </c>
      <c r="L646" s="1" t="s">
        <v>4264</v>
      </c>
      <c r="M646" s="1">
        <v>15</v>
      </c>
      <c r="N646" s="1" t="s">
        <v>4365</v>
      </c>
    </row>
    <row r="647" spans="1:14" x14ac:dyDescent="0.15">
      <c r="A647" s="1">
        <v>153</v>
      </c>
      <c r="B647" s="1" t="s">
        <v>4774</v>
      </c>
      <c r="C647" s="1" t="s">
        <v>4775</v>
      </c>
      <c r="D647" s="1" t="s">
        <v>4774</v>
      </c>
      <c r="E647" s="1" t="s">
        <v>4775</v>
      </c>
      <c r="F647" s="1" t="s">
        <v>4774</v>
      </c>
      <c r="G647" s="1" t="s">
        <v>4776</v>
      </c>
      <c r="H647" s="1" t="s">
        <v>4774</v>
      </c>
      <c r="I647" s="1" t="s">
        <v>16702</v>
      </c>
      <c r="J647" s="1" t="s">
        <v>16699</v>
      </c>
      <c r="K647" s="1">
        <v>12</v>
      </c>
      <c r="L647" s="1" t="s">
        <v>4264</v>
      </c>
      <c r="M647" s="1">
        <v>15</v>
      </c>
      <c r="N647" s="1" t="s">
        <v>4365</v>
      </c>
    </row>
    <row r="648" spans="1:14" x14ac:dyDescent="0.15">
      <c r="A648" s="1">
        <v>153</v>
      </c>
      <c r="B648" s="1" t="s">
        <v>4774</v>
      </c>
      <c r="C648" s="1" t="s">
        <v>4775</v>
      </c>
      <c r="D648" s="1" t="s">
        <v>4774</v>
      </c>
      <c r="E648" s="1" t="s">
        <v>4775</v>
      </c>
      <c r="F648" s="1" t="s">
        <v>4774</v>
      </c>
      <c r="G648" s="1" t="s">
        <v>4776</v>
      </c>
      <c r="H648" s="1" t="s">
        <v>4774</v>
      </c>
      <c r="I648" s="1" t="s">
        <v>16772</v>
      </c>
      <c r="J648" s="1" t="s">
        <v>16769</v>
      </c>
      <c r="K648" s="1">
        <v>12</v>
      </c>
      <c r="L648" s="1" t="s">
        <v>4264</v>
      </c>
      <c r="M648" s="1">
        <v>15</v>
      </c>
      <c r="N648" s="1" t="s">
        <v>4365</v>
      </c>
    </row>
    <row r="649" spans="1:14" x14ac:dyDescent="0.15">
      <c r="A649" s="1">
        <v>153</v>
      </c>
      <c r="B649" s="1" t="s">
        <v>4774</v>
      </c>
      <c r="C649" s="1" t="s">
        <v>4775</v>
      </c>
      <c r="D649" s="1" t="s">
        <v>4774</v>
      </c>
      <c r="E649" s="1" t="s">
        <v>4775</v>
      </c>
      <c r="F649" s="1" t="s">
        <v>4774</v>
      </c>
      <c r="G649" s="1" t="s">
        <v>4776</v>
      </c>
      <c r="H649" s="1" t="s">
        <v>4774</v>
      </c>
      <c r="I649" s="1" t="s">
        <v>16779</v>
      </c>
      <c r="J649" s="1" t="s">
        <v>16776</v>
      </c>
      <c r="K649" s="1">
        <v>12</v>
      </c>
      <c r="L649" s="1" t="s">
        <v>4264</v>
      </c>
      <c r="M649" s="1">
        <v>15</v>
      </c>
      <c r="N649" s="1" t="s">
        <v>4365</v>
      </c>
    </row>
    <row r="650" spans="1:14" x14ac:dyDescent="0.15">
      <c r="A650" s="1">
        <v>153</v>
      </c>
      <c r="B650" s="1" t="s">
        <v>4774</v>
      </c>
      <c r="C650" s="1" t="s">
        <v>4775</v>
      </c>
      <c r="D650" s="1" t="s">
        <v>4774</v>
      </c>
      <c r="E650" s="1" t="s">
        <v>4775</v>
      </c>
      <c r="F650" s="1" t="s">
        <v>4774</v>
      </c>
      <c r="G650" s="1" t="s">
        <v>4776</v>
      </c>
      <c r="H650" s="1" t="s">
        <v>4774</v>
      </c>
      <c r="I650" s="1" t="s">
        <v>16786</v>
      </c>
      <c r="J650" s="1" t="s">
        <v>16783</v>
      </c>
      <c r="K650" s="1">
        <v>12</v>
      </c>
      <c r="L650" s="1" t="s">
        <v>4264</v>
      </c>
      <c r="M650" s="1">
        <v>15</v>
      </c>
      <c r="N650" s="1" t="s">
        <v>4365</v>
      </c>
    </row>
    <row r="651" spans="1:14" x14ac:dyDescent="0.15">
      <c r="A651" s="1">
        <v>153</v>
      </c>
      <c r="B651" s="1" t="s">
        <v>4774</v>
      </c>
      <c r="C651" s="1" t="s">
        <v>4775</v>
      </c>
      <c r="D651" s="1" t="s">
        <v>4774</v>
      </c>
      <c r="E651" s="1" t="s">
        <v>4775</v>
      </c>
      <c r="F651" s="1" t="s">
        <v>4774</v>
      </c>
      <c r="G651" s="1" t="s">
        <v>4776</v>
      </c>
      <c r="H651" s="1" t="s">
        <v>4774</v>
      </c>
      <c r="I651" s="1" t="s">
        <v>16279</v>
      </c>
      <c r="J651" s="1" t="s">
        <v>16276</v>
      </c>
      <c r="K651" s="1">
        <v>12</v>
      </c>
      <c r="L651" s="1" t="s">
        <v>4264</v>
      </c>
      <c r="M651" s="1">
        <v>15</v>
      </c>
      <c r="N651" s="1" t="s">
        <v>4365</v>
      </c>
    </row>
    <row r="652" spans="1:14" x14ac:dyDescent="0.15">
      <c r="A652" s="1">
        <v>153</v>
      </c>
      <c r="B652" s="1" t="s">
        <v>4774</v>
      </c>
      <c r="C652" s="1" t="s">
        <v>4775</v>
      </c>
      <c r="D652" s="1" t="s">
        <v>4774</v>
      </c>
      <c r="E652" s="1" t="s">
        <v>4775</v>
      </c>
      <c r="F652" s="1" t="s">
        <v>4774</v>
      </c>
      <c r="G652" s="1" t="s">
        <v>4776</v>
      </c>
      <c r="H652" s="1" t="s">
        <v>4774</v>
      </c>
      <c r="I652" s="1" t="s">
        <v>16293</v>
      </c>
      <c r="J652" s="1" t="s">
        <v>16290</v>
      </c>
      <c r="K652" s="1">
        <v>12</v>
      </c>
      <c r="L652" s="1" t="s">
        <v>4264</v>
      </c>
      <c r="M652" s="1">
        <v>15</v>
      </c>
      <c r="N652" s="1" t="s">
        <v>4365</v>
      </c>
    </row>
    <row r="653" spans="1:14" x14ac:dyDescent="0.15">
      <c r="A653" s="1">
        <v>153</v>
      </c>
      <c r="B653" s="1" t="s">
        <v>4774</v>
      </c>
      <c r="C653" s="1" t="s">
        <v>4775</v>
      </c>
      <c r="D653" s="1" t="s">
        <v>4774</v>
      </c>
      <c r="E653" s="1" t="s">
        <v>4775</v>
      </c>
      <c r="F653" s="1" t="s">
        <v>4774</v>
      </c>
      <c r="G653" s="1" t="s">
        <v>4776</v>
      </c>
      <c r="H653" s="1" t="s">
        <v>4774</v>
      </c>
      <c r="I653" s="1" t="s">
        <v>16300</v>
      </c>
      <c r="J653" s="1" t="s">
        <v>16297</v>
      </c>
      <c r="K653" s="1">
        <v>12</v>
      </c>
      <c r="L653" s="1" t="s">
        <v>4264</v>
      </c>
      <c r="M653" s="1">
        <v>15</v>
      </c>
      <c r="N653" s="1" t="s">
        <v>4365</v>
      </c>
    </row>
    <row r="654" spans="1:14" x14ac:dyDescent="0.15">
      <c r="A654" s="1">
        <v>153</v>
      </c>
      <c r="B654" s="1" t="s">
        <v>4774</v>
      </c>
      <c r="C654" s="1" t="s">
        <v>4775</v>
      </c>
      <c r="D654" s="1" t="s">
        <v>4774</v>
      </c>
      <c r="E654" s="1" t="s">
        <v>4775</v>
      </c>
      <c r="F654" s="1" t="s">
        <v>4774</v>
      </c>
      <c r="G654" s="1" t="s">
        <v>4776</v>
      </c>
      <c r="H654" s="1" t="s">
        <v>4774</v>
      </c>
      <c r="I654" s="1" t="s">
        <v>16328</v>
      </c>
      <c r="J654" s="1" t="s">
        <v>16325</v>
      </c>
      <c r="K654" s="1">
        <v>12</v>
      </c>
      <c r="L654" s="1" t="s">
        <v>4264</v>
      </c>
      <c r="M654" s="1">
        <v>15</v>
      </c>
      <c r="N654" s="1" t="s">
        <v>4365</v>
      </c>
    </row>
    <row r="655" spans="1:14" x14ac:dyDescent="0.15">
      <c r="A655" s="1">
        <v>153</v>
      </c>
      <c r="B655" s="1" t="s">
        <v>4774</v>
      </c>
      <c r="C655" s="1" t="s">
        <v>4775</v>
      </c>
      <c r="D655" s="1" t="s">
        <v>4774</v>
      </c>
      <c r="E655" s="1" t="s">
        <v>4775</v>
      </c>
      <c r="F655" s="1" t="s">
        <v>4774</v>
      </c>
      <c r="G655" s="1" t="s">
        <v>4776</v>
      </c>
      <c r="H655" s="1" t="s">
        <v>4774</v>
      </c>
      <c r="I655" s="1" t="s">
        <v>12661</v>
      </c>
      <c r="J655" s="1" t="s">
        <v>4370</v>
      </c>
      <c r="K655" s="1">
        <v>12</v>
      </c>
      <c r="L655" s="1" t="s">
        <v>4264</v>
      </c>
      <c r="M655" s="1">
        <v>15</v>
      </c>
      <c r="N655" s="1" t="s">
        <v>4365</v>
      </c>
    </row>
    <row r="656" spans="1:14" x14ac:dyDescent="0.15">
      <c r="A656" s="1">
        <v>153</v>
      </c>
      <c r="B656" s="1" t="s">
        <v>4774</v>
      </c>
      <c r="C656" s="1" t="s">
        <v>4775</v>
      </c>
      <c r="D656" s="1" t="s">
        <v>4774</v>
      </c>
      <c r="E656" s="1" t="s">
        <v>4775</v>
      </c>
      <c r="F656" s="1" t="s">
        <v>4774</v>
      </c>
      <c r="G656" s="1" t="s">
        <v>4776</v>
      </c>
      <c r="H656" s="1" t="s">
        <v>4774</v>
      </c>
      <c r="I656" s="1" t="s">
        <v>12630</v>
      </c>
      <c r="J656" s="1" t="s">
        <v>4371</v>
      </c>
      <c r="K656" s="1">
        <v>12</v>
      </c>
      <c r="L656" s="1" t="s">
        <v>4264</v>
      </c>
      <c r="M656" s="1">
        <v>15</v>
      </c>
      <c r="N656" s="1" t="s">
        <v>4365</v>
      </c>
    </row>
    <row r="657" spans="1:14" x14ac:dyDescent="0.15">
      <c r="A657" s="1">
        <v>153</v>
      </c>
      <c r="B657" s="1" t="s">
        <v>4774</v>
      </c>
      <c r="C657" s="1" t="s">
        <v>4775</v>
      </c>
      <c r="D657" s="1" t="s">
        <v>4774</v>
      </c>
      <c r="E657" s="1" t="s">
        <v>4775</v>
      </c>
      <c r="F657" s="1" t="s">
        <v>4774</v>
      </c>
      <c r="G657" s="1" t="s">
        <v>4776</v>
      </c>
      <c r="H657" s="1" t="s">
        <v>4774</v>
      </c>
      <c r="I657" s="1" t="s">
        <v>10452</v>
      </c>
      <c r="J657" s="1" t="s">
        <v>4373</v>
      </c>
      <c r="K657" s="1">
        <v>12</v>
      </c>
      <c r="L657" s="1" t="s">
        <v>4264</v>
      </c>
      <c r="M657" s="1">
        <v>15</v>
      </c>
      <c r="N657" s="1" t="s">
        <v>4365</v>
      </c>
    </row>
    <row r="658" spans="1:14" x14ac:dyDescent="0.15">
      <c r="A658" s="1">
        <v>153</v>
      </c>
      <c r="B658" s="1" t="s">
        <v>4774</v>
      </c>
      <c r="C658" s="1" t="s">
        <v>4775</v>
      </c>
      <c r="D658" s="1" t="s">
        <v>4774</v>
      </c>
      <c r="E658" s="1" t="s">
        <v>4775</v>
      </c>
      <c r="F658" s="1" t="s">
        <v>4774</v>
      </c>
      <c r="G658" s="1" t="s">
        <v>4776</v>
      </c>
      <c r="H658" s="1" t="s">
        <v>4774</v>
      </c>
      <c r="I658" s="1" t="s">
        <v>10462</v>
      </c>
      <c r="J658" s="1" t="s">
        <v>4374</v>
      </c>
      <c r="K658" s="1">
        <v>12</v>
      </c>
      <c r="L658" s="1" t="s">
        <v>4264</v>
      </c>
      <c r="M658" s="1">
        <v>15</v>
      </c>
      <c r="N658" s="1" t="s">
        <v>4365</v>
      </c>
    </row>
    <row r="659" spans="1:14" x14ac:dyDescent="0.15">
      <c r="A659" s="1">
        <v>153</v>
      </c>
      <c r="B659" s="1" t="s">
        <v>4774</v>
      </c>
      <c r="C659" s="1" t="s">
        <v>4775</v>
      </c>
      <c r="D659" s="1" t="s">
        <v>4774</v>
      </c>
      <c r="E659" s="1" t="s">
        <v>4775</v>
      </c>
      <c r="F659" s="1" t="s">
        <v>4774</v>
      </c>
      <c r="G659" s="1" t="s">
        <v>4776</v>
      </c>
      <c r="H659" s="1" t="s">
        <v>4774</v>
      </c>
      <c r="I659" s="1" t="s">
        <v>10553</v>
      </c>
      <c r="J659" s="1" t="s">
        <v>4375</v>
      </c>
      <c r="K659" s="1">
        <v>12</v>
      </c>
      <c r="L659" s="1" t="s">
        <v>4264</v>
      </c>
      <c r="M659" s="1">
        <v>15</v>
      </c>
      <c r="N659" s="1" t="s">
        <v>4365</v>
      </c>
    </row>
    <row r="660" spans="1:14" x14ac:dyDescent="0.15">
      <c r="A660" s="1">
        <v>153</v>
      </c>
      <c r="B660" s="1" t="s">
        <v>4774</v>
      </c>
      <c r="C660" s="1" t="s">
        <v>4775</v>
      </c>
      <c r="D660" s="1" t="s">
        <v>4774</v>
      </c>
      <c r="E660" s="1" t="s">
        <v>4775</v>
      </c>
      <c r="F660" s="1" t="s">
        <v>4774</v>
      </c>
      <c r="G660" s="1" t="s">
        <v>4776</v>
      </c>
      <c r="H660" s="1" t="s">
        <v>4774</v>
      </c>
      <c r="I660" s="1" t="s">
        <v>16335</v>
      </c>
      <c r="J660" s="1" t="s">
        <v>16332</v>
      </c>
      <c r="K660" s="1">
        <v>12</v>
      </c>
      <c r="L660" s="1" t="s">
        <v>4264</v>
      </c>
      <c r="M660" s="1">
        <v>15</v>
      </c>
      <c r="N660" s="1" t="s">
        <v>4365</v>
      </c>
    </row>
    <row r="661" spans="1:14" x14ac:dyDescent="0.15">
      <c r="A661" s="1">
        <v>153</v>
      </c>
      <c r="B661" s="1" t="s">
        <v>4774</v>
      </c>
      <c r="C661" s="1" t="s">
        <v>4775</v>
      </c>
      <c r="D661" s="1" t="s">
        <v>4774</v>
      </c>
      <c r="E661" s="1" t="s">
        <v>4775</v>
      </c>
      <c r="F661" s="1" t="s">
        <v>4774</v>
      </c>
      <c r="G661" s="1" t="s">
        <v>4776</v>
      </c>
      <c r="H661" s="1" t="s">
        <v>4774</v>
      </c>
      <c r="I661" s="1" t="s">
        <v>7973</v>
      </c>
      <c r="J661" s="1" t="s">
        <v>4777</v>
      </c>
      <c r="K661" s="1">
        <v>12</v>
      </c>
      <c r="L661" s="1" t="s">
        <v>4264</v>
      </c>
      <c r="M661" s="1">
        <v>15</v>
      </c>
      <c r="N661" s="1" t="s">
        <v>4365</v>
      </c>
    </row>
    <row r="662" spans="1:14" x14ac:dyDescent="0.15">
      <c r="A662" s="1">
        <v>154</v>
      </c>
      <c r="B662" s="1" t="s">
        <v>4778</v>
      </c>
      <c r="C662" s="1" t="s">
        <v>4779</v>
      </c>
      <c r="D662" s="1" t="s">
        <v>4778</v>
      </c>
      <c r="E662" s="1" t="s">
        <v>4779</v>
      </c>
      <c r="F662" s="1" t="s">
        <v>4778</v>
      </c>
      <c r="G662" s="1" t="s">
        <v>4780</v>
      </c>
      <c r="H662" s="1" t="s">
        <v>4778</v>
      </c>
      <c r="I662" s="1" t="s">
        <v>11879</v>
      </c>
      <c r="J662" s="1" t="s">
        <v>4278</v>
      </c>
      <c r="K662" s="1">
        <v>12</v>
      </c>
      <c r="L662" s="1" t="s">
        <v>4264</v>
      </c>
      <c r="M662" s="1">
        <v>2</v>
      </c>
      <c r="N662" s="1" t="s">
        <v>4283</v>
      </c>
    </row>
    <row r="663" spans="1:14" x14ac:dyDescent="0.15">
      <c r="A663" s="1">
        <v>154</v>
      </c>
      <c r="B663" s="1" t="s">
        <v>4778</v>
      </c>
      <c r="C663" s="1" t="s">
        <v>4781</v>
      </c>
      <c r="D663" s="1" t="s">
        <v>4782</v>
      </c>
      <c r="E663" s="1" t="s">
        <v>4781</v>
      </c>
      <c r="F663" s="1" t="s">
        <v>4782</v>
      </c>
      <c r="G663" s="1" t="s">
        <v>4783</v>
      </c>
      <c r="H663" s="1" t="s">
        <v>4782</v>
      </c>
      <c r="I663" s="1" t="s">
        <v>11548</v>
      </c>
      <c r="J663" s="1" t="s">
        <v>4784</v>
      </c>
      <c r="K663" s="1">
        <v>12</v>
      </c>
      <c r="L663" s="1" t="s">
        <v>4264</v>
      </c>
      <c r="M663" s="1">
        <v>2</v>
      </c>
      <c r="N663" s="1" t="s">
        <v>4283</v>
      </c>
    </row>
    <row r="664" spans="1:14" x14ac:dyDescent="0.15">
      <c r="A664" s="1">
        <v>154</v>
      </c>
      <c r="B664" s="1" t="s">
        <v>4778</v>
      </c>
      <c r="C664" s="1" t="s">
        <v>4781</v>
      </c>
      <c r="D664" s="1" t="s">
        <v>4782</v>
      </c>
      <c r="E664" s="1" t="s">
        <v>4781</v>
      </c>
      <c r="F664" s="1" t="s">
        <v>4782</v>
      </c>
      <c r="G664" s="1" t="s">
        <v>4783</v>
      </c>
      <c r="H664" s="1" t="s">
        <v>4782</v>
      </c>
      <c r="I664" s="1" t="s">
        <v>10150</v>
      </c>
      <c r="J664" s="1" t="s">
        <v>4785</v>
      </c>
      <c r="K664" s="1">
        <v>12</v>
      </c>
      <c r="L664" s="1" t="s">
        <v>4264</v>
      </c>
      <c r="M664" s="1">
        <v>2</v>
      </c>
      <c r="N664" s="1" t="s">
        <v>4283</v>
      </c>
    </row>
    <row r="665" spans="1:14" x14ac:dyDescent="0.15">
      <c r="A665" s="1">
        <v>154</v>
      </c>
      <c r="B665" s="1" t="s">
        <v>4778</v>
      </c>
      <c r="C665" s="1" t="s">
        <v>4781</v>
      </c>
      <c r="D665" s="1" t="s">
        <v>4782</v>
      </c>
      <c r="E665" s="1" t="s">
        <v>4781</v>
      </c>
      <c r="F665" s="1" t="s">
        <v>4782</v>
      </c>
      <c r="G665" s="1" t="s">
        <v>4783</v>
      </c>
      <c r="H665" s="1" t="s">
        <v>4782</v>
      </c>
      <c r="I665" s="1" t="s">
        <v>10153</v>
      </c>
      <c r="J665" s="1" t="s">
        <v>4786</v>
      </c>
      <c r="K665" s="1">
        <v>12</v>
      </c>
      <c r="L665" s="1" t="s">
        <v>4264</v>
      </c>
      <c r="M665" s="1">
        <v>2</v>
      </c>
      <c r="N665" s="1" t="s">
        <v>4283</v>
      </c>
    </row>
    <row r="666" spans="1:14" x14ac:dyDescent="0.15">
      <c r="A666" s="1">
        <v>154</v>
      </c>
      <c r="B666" s="1" t="s">
        <v>4778</v>
      </c>
      <c r="C666" s="1" t="s">
        <v>4781</v>
      </c>
      <c r="D666" s="1" t="s">
        <v>4782</v>
      </c>
      <c r="E666" s="1" t="s">
        <v>4781</v>
      </c>
      <c r="F666" s="1" t="s">
        <v>4782</v>
      </c>
      <c r="G666" s="1" t="s">
        <v>4783</v>
      </c>
      <c r="H666" s="1" t="s">
        <v>4782</v>
      </c>
      <c r="I666" s="1" t="s">
        <v>12664</v>
      </c>
      <c r="J666" s="1" t="s">
        <v>4787</v>
      </c>
      <c r="K666" s="1">
        <v>12</v>
      </c>
      <c r="L666" s="1" t="s">
        <v>4264</v>
      </c>
      <c r="M666" s="1">
        <v>2</v>
      </c>
      <c r="N666" s="1" t="s">
        <v>4283</v>
      </c>
    </row>
    <row r="667" spans="1:14" x14ac:dyDescent="0.15">
      <c r="A667" s="1">
        <v>154</v>
      </c>
      <c r="B667" s="1" t="s">
        <v>4778</v>
      </c>
      <c r="C667" s="1" t="s">
        <v>4781</v>
      </c>
      <c r="D667" s="1" t="s">
        <v>4782</v>
      </c>
      <c r="E667" s="1" t="s">
        <v>4781</v>
      </c>
      <c r="F667" s="1" t="s">
        <v>4782</v>
      </c>
      <c r="G667" s="1" t="s">
        <v>4783</v>
      </c>
      <c r="H667" s="1" t="s">
        <v>4782</v>
      </c>
      <c r="I667" s="1" t="s">
        <v>10158</v>
      </c>
      <c r="J667" s="1" t="s">
        <v>4788</v>
      </c>
      <c r="K667" s="1">
        <v>12</v>
      </c>
      <c r="L667" s="1" t="s">
        <v>4264</v>
      </c>
      <c r="M667" s="1">
        <v>2</v>
      </c>
      <c r="N667" s="1" t="s">
        <v>4283</v>
      </c>
    </row>
    <row r="668" spans="1:14" x14ac:dyDescent="0.15">
      <c r="A668" s="1">
        <v>154</v>
      </c>
      <c r="B668" s="1" t="s">
        <v>4778</v>
      </c>
      <c r="C668" s="1" t="s">
        <v>4781</v>
      </c>
      <c r="D668" s="1" t="s">
        <v>4782</v>
      </c>
      <c r="E668" s="1" t="s">
        <v>4781</v>
      </c>
      <c r="F668" s="1" t="s">
        <v>4782</v>
      </c>
      <c r="G668" s="1" t="s">
        <v>4783</v>
      </c>
      <c r="H668" s="1" t="s">
        <v>4782</v>
      </c>
      <c r="I668" s="1" t="s">
        <v>11548</v>
      </c>
      <c r="J668" s="1" t="s">
        <v>4784</v>
      </c>
      <c r="K668" s="1">
        <v>12</v>
      </c>
      <c r="L668" s="1" t="s">
        <v>4264</v>
      </c>
      <c r="M668" s="1">
        <v>2</v>
      </c>
      <c r="N668" s="1" t="s">
        <v>4283</v>
      </c>
    </row>
    <row r="669" spans="1:14" x14ac:dyDescent="0.15">
      <c r="A669" s="1">
        <v>154</v>
      </c>
      <c r="B669" s="1" t="s">
        <v>4778</v>
      </c>
      <c r="C669" s="1" t="s">
        <v>4781</v>
      </c>
      <c r="D669" s="1" t="s">
        <v>4782</v>
      </c>
      <c r="E669" s="1" t="s">
        <v>4781</v>
      </c>
      <c r="F669" s="1" t="s">
        <v>4782</v>
      </c>
      <c r="G669" s="1" t="s">
        <v>4783</v>
      </c>
      <c r="H669" s="1" t="s">
        <v>4782</v>
      </c>
      <c r="I669" s="1" t="s">
        <v>10150</v>
      </c>
      <c r="J669" s="1" t="s">
        <v>4785</v>
      </c>
      <c r="K669" s="1">
        <v>12</v>
      </c>
      <c r="L669" s="1" t="s">
        <v>4264</v>
      </c>
      <c r="M669" s="1">
        <v>2</v>
      </c>
      <c r="N669" s="1" t="s">
        <v>4283</v>
      </c>
    </row>
    <row r="670" spans="1:14" x14ac:dyDescent="0.15">
      <c r="A670" s="1">
        <v>154</v>
      </c>
      <c r="B670" s="1" t="s">
        <v>4778</v>
      </c>
      <c r="C670" s="1" t="s">
        <v>4781</v>
      </c>
      <c r="D670" s="1" t="s">
        <v>4782</v>
      </c>
      <c r="E670" s="1" t="s">
        <v>4781</v>
      </c>
      <c r="F670" s="1" t="s">
        <v>4782</v>
      </c>
      <c r="G670" s="1" t="s">
        <v>4783</v>
      </c>
      <c r="H670" s="1" t="s">
        <v>4782</v>
      </c>
      <c r="I670" s="1" t="s">
        <v>10153</v>
      </c>
      <c r="J670" s="1" t="s">
        <v>4786</v>
      </c>
      <c r="K670" s="1">
        <v>12</v>
      </c>
      <c r="L670" s="1" t="s">
        <v>4264</v>
      </c>
      <c r="M670" s="1">
        <v>2</v>
      </c>
      <c r="N670" s="1" t="s">
        <v>4283</v>
      </c>
    </row>
    <row r="671" spans="1:14" x14ac:dyDescent="0.15">
      <c r="A671" s="1">
        <v>154</v>
      </c>
      <c r="B671" s="1" t="s">
        <v>4778</v>
      </c>
      <c r="C671" s="1" t="s">
        <v>4781</v>
      </c>
      <c r="D671" s="1" t="s">
        <v>4782</v>
      </c>
      <c r="E671" s="1" t="s">
        <v>4781</v>
      </c>
      <c r="F671" s="1" t="s">
        <v>4782</v>
      </c>
      <c r="G671" s="1" t="s">
        <v>4783</v>
      </c>
      <c r="H671" s="1" t="s">
        <v>4782</v>
      </c>
      <c r="I671" s="1" t="s">
        <v>12664</v>
      </c>
      <c r="J671" s="1" t="s">
        <v>4787</v>
      </c>
      <c r="K671" s="1">
        <v>12</v>
      </c>
      <c r="L671" s="1" t="s">
        <v>4264</v>
      </c>
      <c r="M671" s="1">
        <v>2</v>
      </c>
      <c r="N671" s="1" t="s">
        <v>4283</v>
      </c>
    </row>
    <row r="672" spans="1:14" x14ac:dyDescent="0.15">
      <c r="A672" s="1">
        <v>154</v>
      </c>
      <c r="B672" s="1" t="s">
        <v>4778</v>
      </c>
      <c r="C672" s="1" t="s">
        <v>4781</v>
      </c>
      <c r="D672" s="1" t="s">
        <v>4782</v>
      </c>
      <c r="E672" s="1" t="s">
        <v>4781</v>
      </c>
      <c r="F672" s="1" t="s">
        <v>4782</v>
      </c>
      <c r="G672" s="1" t="s">
        <v>4783</v>
      </c>
      <c r="H672" s="1" t="s">
        <v>4782</v>
      </c>
      <c r="I672" s="1" t="s">
        <v>10158</v>
      </c>
      <c r="J672" s="1" t="s">
        <v>4788</v>
      </c>
      <c r="K672" s="1">
        <v>12</v>
      </c>
      <c r="L672" s="1" t="s">
        <v>4264</v>
      </c>
      <c r="M672" s="1">
        <v>2</v>
      </c>
      <c r="N672" s="1" t="s">
        <v>4283</v>
      </c>
    </row>
    <row r="673" spans="1:14" x14ac:dyDescent="0.15">
      <c r="A673" s="1">
        <v>154</v>
      </c>
      <c r="B673" s="1" t="s">
        <v>4778</v>
      </c>
      <c r="C673" s="1" t="s">
        <v>4781</v>
      </c>
      <c r="D673" s="1" t="s">
        <v>4782</v>
      </c>
      <c r="E673" s="1" t="s">
        <v>4781</v>
      </c>
      <c r="F673" s="1" t="s">
        <v>4782</v>
      </c>
      <c r="G673" s="1" t="s">
        <v>4783</v>
      </c>
      <c r="H673" s="1" t="s">
        <v>4782</v>
      </c>
      <c r="I673" s="1" t="s">
        <v>11548</v>
      </c>
      <c r="J673" s="1" t="s">
        <v>4784</v>
      </c>
      <c r="K673" s="1">
        <v>12</v>
      </c>
      <c r="L673" s="1" t="s">
        <v>4264</v>
      </c>
      <c r="M673" s="1">
        <v>2</v>
      </c>
      <c r="N673" s="1" t="s">
        <v>4283</v>
      </c>
    </row>
    <row r="674" spans="1:14" x14ac:dyDescent="0.15">
      <c r="A674" s="1">
        <v>154</v>
      </c>
      <c r="B674" s="1" t="s">
        <v>4778</v>
      </c>
      <c r="C674" s="1" t="s">
        <v>4781</v>
      </c>
      <c r="D674" s="1" t="s">
        <v>4782</v>
      </c>
      <c r="E674" s="1" t="s">
        <v>4781</v>
      </c>
      <c r="F674" s="1" t="s">
        <v>4782</v>
      </c>
      <c r="G674" s="1" t="s">
        <v>4783</v>
      </c>
      <c r="H674" s="1" t="s">
        <v>4782</v>
      </c>
      <c r="I674" s="1" t="s">
        <v>10150</v>
      </c>
      <c r="J674" s="1" t="s">
        <v>4785</v>
      </c>
      <c r="K674" s="1">
        <v>12</v>
      </c>
      <c r="L674" s="1" t="s">
        <v>4264</v>
      </c>
      <c r="M674" s="1">
        <v>2</v>
      </c>
      <c r="N674" s="1" t="s">
        <v>4283</v>
      </c>
    </row>
    <row r="675" spans="1:14" x14ac:dyDescent="0.15">
      <c r="A675" s="1">
        <v>154</v>
      </c>
      <c r="B675" s="1" t="s">
        <v>4778</v>
      </c>
      <c r="C675" s="1" t="s">
        <v>4781</v>
      </c>
      <c r="D675" s="1" t="s">
        <v>4782</v>
      </c>
      <c r="E675" s="1" t="s">
        <v>4781</v>
      </c>
      <c r="F675" s="1" t="s">
        <v>4782</v>
      </c>
      <c r="G675" s="1" t="s">
        <v>4783</v>
      </c>
      <c r="H675" s="1" t="s">
        <v>4782</v>
      </c>
      <c r="I675" s="1" t="s">
        <v>10153</v>
      </c>
      <c r="J675" s="1" t="s">
        <v>4786</v>
      </c>
      <c r="K675" s="1">
        <v>12</v>
      </c>
      <c r="L675" s="1" t="s">
        <v>4264</v>
      </c>
      <c r="M675" s="1">
        <v>2</v>
      </c>
      <c r="N675" s="1" t="s">
        <v>4283</v>
      </c>
    </row>
    <row r="676" spans="1:14" x14ac:dyDescent="0.15">
      <c r="A676" s="1">
        <v>154</v>
      </c>
      <c r="B676" s="1" t="s">
        <v>4778</v>
      </c>
      <c r="C676" s="1" t="s">
        <v>4781</v>
      </c>
      <c r="D676" s="1" t="s">
        <v>4782</v>
      </c>
      <c r="E676" s="1" t="s">
        <v>4781</v>
      </c>
      <c r="F676" s="1" t="s">
        <v>4782</v>
      </c>
      <c r="G676" s="1" t="s">
        <v>4783</v>
      </c>
      <c r="H676" s="1" t="s">
        <v>4782</v>
      </c>
      <c r="I676" s="1" t="s">
        <v>12664</v>
      </c>
      <c r="J676" s="1" t="s">
        <v>4787</v>
      </c>
      <c r="K676" s="1">
        <v>12</v>
      </c>
      <c r="L676" s="1" t="s">
        <v>4264</v>
      </c>
      <c r="M676" s="1">
        <v>2</v>
      </c>
      <c r="N676" s="1" t="s">
        <v>4283</v>
      </c>
    </row>
    <row r="677" spans="1:14" x14ac:dyDescent="0.15">
      <c r="A677" s="1">
        <v>154</v>
      </c>
      <c r="B677" s="1" t="s">
        <v>4778</v>
      </c>
      <c r="C677" s="1" t="s">
        <v>4781</v>
      </c>
      <c r="D677" s="1" t="s">
        <v>4782</v>
      </c>
      <c r="E677" s="1" t="s">
        <v>4781</v>
      </c>
      <c r="F677" s="1" t="s">
        <v>4782</v>
      </c>
      <c r="G677" s="1" t="s">
        <v>4783</v>
      </c>
      <c r="H677" s="1" t="s">
        <v>4782</v>
      </c>
      <c r="I677" s="1" t="s">
        <v>10158</v>
      </c>
      <c r="J677" s="1" t="s">
        <v>4788</v>
      </c>
      <c r="K677" s="1">
        <v>12</v>
      </c>
      <c r="L677" s="1" t="s">
        <v>4264</v>
      </c>
      <c r="M677" s="1">
        <v>2</v>
      </c>
      <c r="N677" s="1" t="s">
        <v>4283</v>
      </c>
    </row>
    <row r="678" spans="1:14" x14ac:dyDescent="0.15">
      <c r="A678" s="1">
        <v>154</v>
      </c>
      <c r="B678" s="1" t="s">
        <v>4778</v>
      </c>
      <c r="C678" s="1" t="s">
        <v>4781</v>
      </c>
      <c r="D678" s="1" t="s">
        <v>4782</v>
      </c>
      <c r="E678" s="1" t="s">
        <v>4781</v>
      </c>
      <c r="F678" s="1" t="s">
        <v>4782</v>
      </c>
      <c r="G678" s="1" t="s">
        <v>4789</v>
      </c>
      <c r="H678" s="1" t="s">
        <v>4790</v>
      </c>
      <c r="I678" s="1" t="s">
        <v>11548</v>
      </c>
      <c r="J678" s="1" t="s">
        <v>4784</v>
      </c>
      <c r="K678" s="1">
        <v>12</v>
      </c>
      <c r="L678" s="1" t="s">
        <v>4264</v>
      </c>
      <c r="M678" s="1">
        <v>2</v>
      </c>
      <c r="N678" s="1" t="s">
        <v>4283</v>
      </c>
    </row>
    <row r="679" spans="1:14" x14ac:dyDescent="0.15">
      <c r="A679" s="1">
        <v>154</v>
      </c>
      <c r="B679" s="1" t="s">
        <v>4778</v>
      </c>
      <c r="C679" s="1" t="s">
        <v>4781</v>
      </c>
      <c r="D679" s="1" t="s">
        <v>4782</v>
      </c>
      <c r="E679" s="1" t="s">
        <v>4781</v>
      </c>
      <c r="F679" s="1" t="s">
        <v>4782</v>
      </c>
      <c r="G679" s="1" t="s">
        <v>4789</v>
      </c>
      <c r="H679" s="1" t="s">
        <v>4790</v>
      </c>
      <c r="I679" s="1" t="s">
        <v>10150</v>
      </c>
      <c r="J679" s="1" t="s">
        <v>4785</v>
      </c>
      <c r="K679" s="1">
        <v>12</v>
      </c>
      <c r="L679" s="1" t="s">
        <v>4264</v>
      </c>
      <c r="M679" s="1">
        <v>2</v>
      </c>
      <c r="N679" s="1" t="s">
        <v>4283</v>
      </c>
    </row>
    <row r="680" spans="1:14" x14ac:dyDescent="0.15">
      <c r="A680" s="1">
        <v>154</v>
      </c>
      <c r="B680" s="1" t="s">
        <v>4778</v>
      </c>
      <c r="C680" s="1" t="s">
        <v>4781</v>
      </c>
      <c r="D680" s="1" t="s">
        <v>4782</v>
      </c>
      <c r="E680" s="1" t="s">
        <v>4781</v>
      </c>
      <c r="F680" s="1" t="s">
        <v>4782</v>
      </c>
      <c r="G680" s="1" t="s">
        <v>4789</v>
      </c>
      <c r="H680" s="1" t="s">
        <v>4790</v>
      </c>
      <c r="I680" s="1" t="s">
        <v>10153</v>
      </c>
      <c r="J680" s="1" t="s">
        <v>4786</v>
      </c>
      <c r="K680" s="1">
        <v>12</v>
      </c>
      <c r="L680" s="1" t="s">
        <v>4264</v>
      </c>
      <c r="M680" s="1">
        <v>2</v>
      </c>
      <c r="N680" s="1" t="s">
        <v>4283</v>
      </c>
    </row>
    <row r="681" spans="1:14" x14ac:dyDescent="0.15">
      <c r="A681" s="1">
        <v>154</v>
      </c>
      <c r="B681" s="1" t="s">
        <v>4778</v>
      </c>
      <c r="C681" s="1" t="s">
        <v>4781</v>
      </c>
      <c r="D681" s="1" t="s">
        <v>4782</v>
      </c>
      <c r="E681" s="1" t="s">
        <v>4781</v>
      </c>
      <c r="F681" s="1" t="s">
        <v>4782</v>
      </c>
      <c r="G681" s="1" t="s">
        <v>4789</v>
      </c>
      <c r="H681" s="1" t="s">
        <v>4790</v>
      </c>
      <c r="I681" s="1" t="s">
        <v>12664</v>
      </c>
      <c r="J681" s="1" t="s">
        <v>4787</v>
      </c>
      <c r="K681" s="1">
        <v>12</v>
      </c>
      <c r="L681" s="1" t="s">
        <v>4264</v>
      </c>
      <c r="M681" s="1">
        <v>2</v>
      </c>
      <c r="N681" s="1" t="s">
        <v>4283</v>
      </c>
    </row>
    <row r="682" spans="1:14" x14ac:dyDescent="0.15">
      <c r="A682" s="1">
        <v>154</v>
      </c>
      <c r="B682" s="1" t="s">
        <v>4778</v>
      </c>
      <c r="C682" s="1" t="s">
        <v>4781</v>
      </c>
      <c r="D682" s="1" t="s">
        <v>4782</v>
      </c>
      <c r="E682" s="1" t="s">
        <v>4781</v>
      </c>
      <c r="F682" s="1" t="s">
        <v>4782</v>
      </c>
      <c r="G682" s="1" t="s">
        <v>4789</v>
      </c>
      <c r="H682" s="1" t="s">
        <v>4790</v>
      </c>
      <c r="I682" s="1" t="s">
        <v>10158</v>
      </c>
      <c r="J682" s="1" t="s">
        <v>4788</v>
      </c>
      <c r="K682" s="1">
        <v>12</v>
      </c>
      <c r="L682" s="1" t="s">
        <v>4264</v>
      </c>
      <c r="M682" s="1">
        <v>2</v>
      </c>
      <c r="N682" s="1" t="s">
        <v>4283</v>
      </c>
    </row>
    <row r="683" spans="1:14" x14ac:dyDescent="0.15">
      <c r="A683" s="1">
        <v>154</v>
      </c>
      <c r="B683" s="1" t="s">
        <v>4778</v>
      </c>
      <c r="C683" s="1" t="s">
        <v>4781</v>
      </c>
      <c r="D683" s="1" t="s">
        <v>4782</v>
      </c>
      <c r="E683" s="1" t="s">
        <v>4781</v>
      </c>
      <c r="F683" s="1" t="s">
        <v>4782</v>
      </c>
      <c r="G683" s="1" t="s">
        <v>4789</v>
      </c>
      <c r="H683" s="1" t="s">
        <v>4790</v>
      </c>
      <c r="I683" s="1" t="s">
        <v>11548</v>
      </c>
      <c r="J683" s="1" t="s">
        <v>4784</v>
      </c>
      <c r="K683" s="1">
        <v>12</v>
      </c>
      <c r="L683" s="1" t="s">
        <v>4264</v>
      </c>
      <c r="M683" s="1">
        <v>2</v>
      </c>
      <c r="N683" s="1" t="s">
        <v>4283</v>
      </c>
    </row>
    <row r="684" spans="1:14" x14ac:dyDescent="0.15">
      <c r="A684" s="1">
        <v>154</v>
      </c>
      <c r="B684" s="1" t="s">
        <v>4778</v>
      </c>
      <c r="C684" s="1" t="s">
        <v>4781</v>
      </c>
      <c r="D684" s="1" t="s">
        <v>4782</v>
      </c>
      <c r="E684" s="1" t="s">
        <v>4781</v>
      </c>
      <c r="F684" s="1" t="s">
        <v>4782</v>
      </c>
      <c r="G684" s="1" t="s">
        <v>4789</v>
      </c>
      <c r="H684" s="1" t="s">
        <v>4790</v>
      </c>
      <c r="I684" s="1" t="s">
        <v>10150</v>
      </c>
      <c r="J684" s="1" t="s">
        <v>4785</v>
      </c>
      <c r="K684" s="1">
        <v>12</v>
      </c>
      <c r="L684" s="1" t="s">
        <v>4264</v>
      </c>
      <c r="M684" s="1">
        <v>2</v>
      </c>
      <c r="N684" s="1" t="s">
        <v>4283</v>
      </c>
    </row>
    <row r="685" spans="1:14" x14ac:dyDescent="0.15">
      <c r="A685" s="1">
        <v>154</v>
      </c>
      <c r="B685" s="1" t="s">
        <v>4778</v>
      </c>
      <c r="C685" s="1" t="s">
        <v>4781</v>
      </c>
      <c r="D685" s="1" t="s">
        <v>4782</v>
      </c>
      <c r="E685" s="1" t="s">
        <v>4781</v>
      </c>
      <c r="F685" s="1" t="s">
        <v>4782</v>
      </c>
      <c r="G685" s="1" t="s">
        <v>4789</v>
      </c>
      <c r="H685" s="1" t="s">
        <v>4790</v>
      </c>
      <c r="I685" s="1" t="s">
        <v>10153</v>
      </c>
      <c r="J685" s="1" t="s">
        <v>4786</v>
      </c>
      <c r="K685" s="1">
        <v>12</v>
      </c>
      <c r="L685" s="1" t="s">
        <v>4264</v>
      </c>
      <c r="M685" s="1">
        <v>2</v>
      </c>
      <c r="N685" s="1" t="s">
        <v>4283</v>
      </c>
    </row>
    <row r="686" spans="1:14" x14ac:dyDescent="0.15">
      <c r="A686" s="1">
        <v>154</v>
      </c>
      <c r="B686" s="1" t="s">
        <v>4778</v>
      </c>
      <c r="C686" s="1" t="s">
        <v>4781</v>
      </c>
      <c r="D686" s="1" t="s">
        <v>4782</v>
      </c>
      <c r="E686" s="1" t="s">
        <v>4781</v>
      </c>
      <c r="F686" s="1" t="s">
        <v>4782</v>
      </c>
      <c r="G686" s="1" t="s">
        <v>4789</v>
      </c>
      <c r="H686" s="1" t="s">
        <v>4790</v>
      </c>
      <c r="I686" s="1" t="s">
        <v>12664</v>
      </c>
      <c r="J686" s="1" t="s">
        <v>4787</v>
      </c>
      <c r="K686" s="1">
        <v>12</v>
      </c>
      <c r="L686" s="1" t="s">
        <v>4264</v>
      </c>
      <c r="M686" s="1">
        <v>2</v>
      </c>
      <c r="N686" s="1" t="s">
        <v>4283</v>
      </c>
    </row>
    <row r="687" spans="1:14" x14ac:dyDescent="0.15">
      <c r="A687" s="1">
        <v>154</v>
      </c>
      <c r="B687" s="1" t="s">
        <v>4778</v>
      </c>
      <c r="C687" s="1" t="s">
        <v>4781</v>
      </c>
      <c r="D687" s="1" t="s">
        <v>4782</v>
      </c>
      <c r="E687" s="1" t="s">
        <v>4781</v>
      </c>
      <c r="F687" s="1" t="s">
        <v>4782</v>
      </c>
      <c r="G687" s="1" t="s">
        <v>4789</v>
      </c>
      <c r="H687" s="1" t="s">
        <v>4790</v>
      </c>
      <c r="I687" s="1" t="s">
        <v>10158</v>
      </c>
      <c r="J687" s="1" t="s">
        <v>4788</v>
      </c>
      <c r="K687" s="1">
        <v>12</v>
      </c>
      <c r="L687" s="1" t="s">
        <v>4264</v>
      </c>
      <c r="M687" s="1">
        <v>2</v>
      </c>
      <c r="N687" s="1" t="s">
        <v>4283</v>
      </c>
    </row>
    <row r="688" spans="1:14" x14ac:dyDescent="0.15">
      <c r="A688" s="1">
        <v>154</v>
      </c>
      <c r="B688" s="1" t="s">
        <v>4778</v>
      </c>
      <c r="C688" s="1" t="s">
        <v>4781</v>
      </c>
      <c r="D688" s="1" t="s">
        <v>4782</v>
      </c>
      <c r="E688" s="1" t="s">
        <v>4781</v>
      </c>
      <c r="F688" s="1" t="s">
        <v>4782</v>
      </c>
      <c r="G688" s="1" t="s">
        <v>4789</v>
      </c>
      <c r="H688" s="1" t="s">
        <v>4790</v>
      </c>
      <c r="I688" s="1" t="s">
        <v>11548</v>
      </c>
      <c r="J688" s="1" t="s">
        <v>4784</v>
      </c>
      <c r="K688" s="1">
        <v>12</v>
      </c>
      <c r="L688" s="1" t="s">
        <v>4264</v>
      </c>
      <c r="M688" s="1">
        <v>2</v>
      </c>
      <c r="N688" s="1" t="s">
        <v>4283</v>
      </c>
    </row>
    <row r="689" spans="1:14" x14ac:dyDescent="0.15">
      <c r="A689" s="1">
        <v>154</v>
      </c>
      <c r="B689" s="1" t="s">
        <v>4778</v>
      </c>
      <c r="C689" s="1" t="s">
        <v>4781</v>
      </c>
      <c r="D689" s="1" t="s">
        <v>4782</v>
      </c>
      <c r="E689" s="1" t="s">
        <v>4781</v>
      </c>
      <c r="F689" s="1" t="s">
        <v>4782</v>
      </c>
      <c r="G689" s="1" t="s">
        <v>4789</v>
      </c>
      <c r="H689" s="1" t="s">
        <v>4790</v>
      </c>
      <c r="I689" s="1" t="s">
        <v>10150</v>
      </c>
      <c r="J689" s="1" t="s">
        <v>4785</v>
      </c>
      <c r="K689" s="1">
        <v>12</v>
      </c>
      <c r="L689" s="1" t="s">
        <v>4264</v>
      </c>
      <c r="M689" s="1">
        <v>2</v>
      </c>
      <c r="N689" s="1" t="s">
        <v>4283</v>
      </c>
    </row>
    <row r="690" spans="1:14" x14ac:dyDescent="0.15">
      <c r="A690" s="1">
        <v>154</v>
      </c>
      <c r="B690" s="1" t="s">
        <v>4778</v>
      </c>
      <c r="C690" s="1" t="s">
        <v>4781</v>
      </c>
      <c r="D690" s="1" t="s">
        <v>4782</v>
      </c>
      <c r="E690" s="1" t="s">
        <v>4781</v>
      </c>
      <c r="F690" s="1" t="s">
        <v>4782</v>
      </c>
      <c r="G690" s="1" t="s">
        <v>4789</v>
      </c>
      <c r="H690" s="1" t="s">
        <v>4790</v>
      </c>
      <c r="I690" s="1" t="s">
        <v>10153</v>
      </c>
      <c r="J690" s="1" t="s">
        <v>4786</v>
      </c>
      <c r="K690" s="1">
        <v>12</v>
      </c>
      <c r="L690" s="1" t="s">
        <v>4264</v>
      </c>
      <c r="M690" s="1">
        <v>2</v>
      </c>
      <c r="N690" s="1" t="s">
        <v>4283</v>
      </c>
    </row>
    <row r="691" spans="1:14" x14ac:dyDescent="0.15">
      <c r="A691" s="1">
        <v>154</v>
      </c>
      <c r="B691" s="1" t="s">
        <v>4778</v>
      </c>
      <c r="C691" s="1" t="s">
        <v>4781</v>
      </c>
      <c r="D691" s="1" t="s">
        <v>4782</v>
      </c>
      <c r="E691" s="1" t="s">
        <v>4781</v>
      </c>
      <c r="F691" s="1" t="s">
        <v>4782</v>
      </c>
      <c r="G691" s="1" t="s">
        <v>4789</v>
      </c>
      <c r="H691" s="1" t="s">
        <v>4790</v>
      </c>
      <c r="I691" s="1" t="s">
        <v>12664</v>
      </c>
      <c r="J691" s="1" t="s">
        <v>4787</v>
      </c>
      <c r="K691" s="1">
        <v>12</v>
      </c>
      <c r="L691" s="1" t="s">
        <v>4264</v>
      </c>
      <c r="M691" s="1">
        <v>2</v>
      </c>
      <c r="N691" s="1" t="s">
        <v>4283</v>
      </c>
    </row>
    <row r="692" spans="1:14" x14ac:dyDescent="0.15">
      <c r="A692" s="1">
        <v>154</v>
      </c>
      <c r="B692" s="1" t="s">
        <v>4778</v>
      </c>
      <c r="C692" s="1" t="s">
        <v>4781</v>
      </c>
      <c r="D692" s="1" t="s">
        <v>4782</v>
      </c>
      <c r="E692" s="1" t="s">
        <v>4781</v>
      </c>
      <c r="F692" s="1" t="s">
        <v>4782</v>
      </c>
      <c r="G692" s="1" t="s">
        <v>4789</v>
      </c>
      <c r="H692" s="1" t="s">
        <v>4790</v>
      </c>
      <c r="I692" s="1" t="s">
        <v>10158</v>
      </c>
      <c r="J692" s="1" t="s">
        <v>4788</v>
      </c>
      <c r="K692" s="1">
        <v>12</v>
      </c>
      <c r="L692" s="1" t="s">
        <v>4264</v>
      </c>
      <c r="M692" s="1">
        <v>2</v>
      </c>
      <c r="N692" s="1" t="s">
        <v>4283</v>
      </c>
    </row>
    <row r="693" spans="1:14" x14ac:dyDescent="0.15">
      <c r="A693" s="1">
        <v>154</v>
      </c>
      <c r="B693" s="1" t="s">
        <v>4778</v>
      </c>
      <c r="C693" s="1" t="s">
        <v>4781</v>
      </c>
      <c r="D693" s="1" t="s">
        <v>4782</v>
      </c>
      <c r="E693" s="1" t="s">
        <v>4781</v>
      </c>
      <c r="F693" s="1" t="s">
        <v>4782</v>
      </c>
      <c r="G693" s="1" t="s">
        <v>4791</v>
      </c>
      <c r="H693" s="1" t="s">
        <v>4792</v>
      </c>
      <c r="I693" s="1" t="s">
        <v>11548</v>
      </c>
      <c r="J693" s="1" t="s">
        <v>4784</v>
      </c>
      <c r="K693" s="1">
        <v>12</v>
      </c>
      <c r="L693" s="1" t="s">
        <v>4264</v>
      </c>
      <c r="M693" s="1">
        <v>2</v>
      </c>
      <c r="N693" s="1" t="s">
        <v>4283</v>
      </c>
    </row>
    <row r="694" spans="1:14" x14ac:dyDescent="0.15">
      <c r="A694" s="1">
        <v>154</v>
      </c>
      <c r="B694" s="1" t="s">
        <v>4778</v>
      </c>
      <c r="C694" s="1" t="s">
        <v>4781</v>
      </c>
      <c r="D694" s="1" t="s">
        <v>4782</v>
      </c>
      <c r="E694" s="1" t="s">
        <v>4781</v>
      </c>
      <c r="F694" s="1" t="s">
        <v>4782</v>
      </c>
      <c r="G694" s="1" t="s">
        <v>4791</v>
      </c>
      <c r="H694" s="1" t="s">
        <v>4792</v>
      </c>
      <c r="I694" s="1" t="s">
        <v>10150</v>
      </c>
      <c r="J694" s="1" t="s">
        <v>4785</v>
      </c>
      <c r="K694" s="1">
        <v>12</v>
      </c>
      <c r="L694" s="1" t="s">
        <v>4264</v>
      </c>
      <c r="M694" s="1">
        <v>2</v>
      </c>
      <c r="N694" s="1" t="s">
        <v>4283</v>
      </c>
    </row>
    <row r="695" spans="1:14" x14ac:dyDescent="0.15">
      <c r="A695" s="1">
        <v>154</v>
      </c>
      <c r="B695" s="1" t="s">
        <v>4778</v>
      </c>
      <c r="C695" s="1" t="s">
        <v>4781</v>
      </c>
      <c r="D695" s="1" t="s">
        <v>4782</v>
      </c>
      <c r="E695" s="1" t="s">
        <v>4781</v>
      </c>
      <c r="F695" s="1" t="s">
        <v>4782</v>
      </c>
      <c r="G695" s="1" t="s">
        <v>4791</v>
      </c>
      <c r="H695" s="1" t="s">
        <v>4792</v>
      </c>
      <c r="I695" s="1" t="s">
        <v>10153</v>
      </c>
      <c r="J695" s="1" t="s">
        <v>4786</v>
      </c>
      <c r="K695" s="1">
        <v>12</v>
      </c>
      <c r="L695" s="1" t="s">
        <v>4264</v>
      </c>
      <c r="M695" s="1">
        <v>2</v>
      </c>
      <c r="N695" s="1" t="s">
        <v>4283</v>
      </c>
    </row>
    <row r="696" spans="1:14" x14ac:dyDescent="0.15">
      <c r="A696" s="1">
        <v>154</v>
      </c>
      <c r="B696" s="1" t="s">
        <v>4778</v>
      </c>
      <c r="C696" s="1" t="s">
        <v>4781</v>
      </c>
      <c r="D696" s="1" t="s">
        <v>4782</v>
      </c>
      <c r="E696" s="1" t="s">
        <v>4781</v>
      </c>
      <c r="F696" s="1" t="s">
        <v>4782</v>
      </c>
      <c r="G696" s="1" t="s">
        <v>4791</v>
      </c>
      <c r="H696" s="1" t="s">
        <v>4792</v>
      </c>
      <c r="I696" s="1" t="s">
        <v>12664</v>
      </c>
      <c r="J696" s="1" t="s">
        <v>4787</v>
      </c>
      <c r="K696" s="1">
        <v>12</v>
      </c>
      <c r="L696" s="1" t="s">
        <v>4264</v>
      </c>
      <c r="M696" s="1">
        <v>2</v>
      </c>
      <c r="N696" s="1" t="s">
        <v>4283</v>
      </c>
    </row>
    <row r="697" spans="1:14" x14ac:dyDescent="0.15">
      <c r="A697" s="1">
        <v>154</v>
      </c>
      <c r="B697" s="1" t="s">
        <v>4778</v>
      </c>
      <c r="C697" s="1" t="s">
        <v>4781</v>
      </c>
      <c r="D697" s="1" t="s">
        <v>4782</v>
      </c>
      <c r="E697" s="1" t="s">
        <v>4781</v>
      </c>
      <c r="F697" s="1" t="s">
        <v>4782</v>
      </c>
      <c r="G697" s="1" t="s">
        <v>4791</v>
      </c>
      <c r="H697" s="1" t="s">
        <v>4792</v>
      </c>
      <c r="I697" s="1" t="s">
        <v>10158</v>
      </c>
      <c r="J697" s="1" t="s">
        <v>4788</v>
      </c>
      <c r="K697" s="1">
        <v>12</v>
      </c>
      <c r="L697" s="1" t="s">
        <v>4264</v>
      </c>
      <c r="M697" s="1">
        <v>2</v>
      </c>
      <c r="N697" s="1" t="s">
        <v>4283</v>
      </c>
    </row>
    <row r="698" spans="1:14" x14ac:dyDescent="0.15">
      <c r="A698" s="1">
        <v>154</v>
      </c>
      <c r="B698" s="1" t="s">
        <v>4778</v>
      </c>
      <c r="C698" s="1" t="s">
        <v>4781</v>
      </c>
      <c r="D698" s="1" t="s">
        <v>4782</v>
      </c>
      <c r="E698" s="1" t="s">
        <v>4781</v>
      </c>
      <c r="F698" s="1" t="s">
        <v>4782</v>
      </c>
      <c r="G698" s="1" t="s">
        <v>4791</v>
      </c>
      <c r="H698" s="1" t="s">
        <v>4792</v>
      </c>
      <c r="I698" s="1" t="s">
        <v>11548</v>
      </c>
      <c r="J698" s="1" t="s">
        <v>4784</v>
      </c>
      <c r="K698" s="1">
        <v>12</v>
      </c>
      <c r="L698" s="1" t="s">
        <v>4264</v>
      </c>
      <c r="M698" s="1">
        <v>2</v>
      </c>
      <c r="N698" s="1" t="s">
        <v>4283</v>
      </c>
    </row>
    <row r="699" spans="1:14" x14ac:dyDescent="0.15">
      <c r="A699" s="1">
        <v>154</v>
      </c>
      <c r="B699" s="1" t="s">
        <v>4778</v>
      </c>
      <c r="C699" s="1" t="s">
        <v>4781</v>
      </c>
      <c r="D699" s="1" t="s">
        <v>4782</v>
      </c>
      <c r="E699" s="1" t="s">
        <v>4781</v>
      </c>
      <c r="F699" s="1" t="s">
        <v>4782</v>
      </c>
      <c r="G699" s="1" t="s">
        <v>4791</v>
      </c>
      <c r="H699" s="1" t="s">
        <v>4792</v>
      </c>
      <c r="I699" s="1" t="s">
        <v>10150</v>
      </c>
      <c r="J699" s="1" t="s">
        <v>4785</v>
      </c>
      <c r="K699" s="1">
        <v>12</v>
      </c>
      <c r="L699" s="1" t="s">
        <v>4264</v>
      </c>
      <c r="M699" s="1">
        <v>2</v>
      </c>
      <c r="N699" s="1" t="s">
        <v>4283</v>
      </c>
    </row>
    <row r="700" spans="1:14" x14ac:dyDescent="0.15">
      <c r="A700" s="1">
        <v>154</v>
      </c>
      <c r="B700" s="1" t="s">
        <v>4778</v>
      </c>
      <c r="C700" s="1" t="s">
        <v>4781</v>
      </c>
      <c r="D700" s="1" t="s">
        <v>4782</v>
      </c>
      <c r="E700" s="1" t="s">
        <v>4781</v>
      </c>
      <c r="F700" s="1" t="s">
        <v>4782</v>
      </c>
      <c r="G700" s="1" t="s">
        <v>4791</v>
      </c>
      <c r="H700" s="1" t="s">
        <v>4792</v>
      </c>
      <c r="I700" s="1" t="s">
        <v>10153</v>
      </c>
      <c r="J700" s="1" t="s">
        <v>4786</v>
      </c>
      <c r="K700" s="1">
        <v>12</v>
      </c>
      <c r="L700" s="1" t="s">
        <v>4264</v>
      </c>
      <c r="M700" s="1">
        <v>2</v>
      </c>
      <c r="N700" s="1" t="s">
        <v>4283</v>
      </c>
    </row>
    <row r="701" spans="1:14" x14ac:dyDescent="0.15">
      <c r="A701" s="1">
        <v>154</v>
      </c>
      <c r="B701" s="1" t="s">
        <v>4778</v>
      </c>
      <c r="C701" s="1" t="s">
        <v>4781</v>
      </c>
      <c r="D701" s="1" t="s">
        <v>4782</v>
      </c>
      <c r="E701" s="1" t="s">
        <v>4781</v>
      </c>
      <c r="F701" s="1" t="s">
        <v>4782</v>
      </c>
      <c r="G701" s="1" t="s">
        <v>4791</v>
      </c>
      <c r="H701" s="1" t="s">
        <v>4792</v>
      </c>
      <c r="I701" s="1" t="s">
        <v>12664</v>
      </c>
      <c r="J701" s="1" t="s">
        <v>4787</v>
      </c>
      <c r="K701" s="1">
        <v>12</v>
      </c>
      <c r="L701" s="1" t="s">
        <v>4264</v>
      </c>
      <c r="M701" s="1">
        <v>2</v>
      </c>
      <c r="N701" s="1" t="s">
        <v>4283</v>
      </c>
    </row>
    <row r="702" spans="1:14" x14ac:dyDescent="0.15">
      <c r="A702" s="1">
        <v>154</v>
      </c>
      <c r="B702" s="1" t="s">
        <v>4778</v>
      </c>
      <c r="C702" s="1" t="s">
        <v>4781</v>
      </c>
      <c r="D702" s="1" t="s">
        <v>4782</v>
      </c>
      <c r="E702" s="1" t="s">
        <v>4781</v>
      </c>
      <c r="F702" s="1" t="s">
        <v>4782</v>
      </c>
      <c r="G702" s="1" t="s">
        <v>4791</v>
      </c>
      <c r="H702" s="1" t="s">
        <v>4792</v>
      </c>
      <c r="I702" s="1" t="s">
        <v>10158</v>
      </c>
      <c r="J702" s="1" t="s">
        <v>4788</v>
      </c>
      <c r="K702" s="1">
        <v>12</v>
      </c>
      <c r="L702" s="1" t="s">
        <v>4264</v>
      </c>
      <c r="M702" s="1">
        <v>2</v>
      </c>
      <c r="N702" s="1" t="s">
        <v>4283</v>
      </c>
    </row>
    <row r="703" spans="1:14" x14ac:dyDescent="0.15">
      <c r="A703" s="1">
        <v>154</v>
      </c>
      <c r="B703" s="1" t="s">
        <v>4778</v>
      </c>
      <c r="C703" s="1" t="s">
        <v>4781</v>
      </c>
      <c r="D703" s="1" t="s">
        <v>4782</v>
      </c>
      <c r="E703" s="1" t="s">
        <v>4781</v>
      </c>
      <c r="F703" s="1" t="s">
        <v>4782</v>
      </c>
      <c r="G703" s="1" t="s">
        <v>4791</v>
      </c>
      <c r="H703" s="1" t="s">
        <v>4792</v>
      </c>
      <c r="I703" s="1" t="s">
        <v>11548</v>
      </c>
      <c r="J703" s="1" t="s">
        <v>4784</v>
      </c>
      <c r="K703" s="1">
        <v>12</v>
      </c>
      <c r="L703" s="1" t="s">
        <v>4264</v>
      </c>
      <c r="M703" s="1">
        <v>2</v>
      </c>
      <c r="N703" s="1" t="s">
        <v>4283</v>
      </c>
    </row>
    <row r="704" spans="1:14" x14ac:dyDescent="0.15">
      <c r="A704" s="1">
        <v>154</v>
      </c>
      <c r="B704" s="1" t="s">
        <v>4778</v>
      </c>
      <c r="C704" s="1" t="s">
        <v>4781</v>
      </c>
      <c r="D704" s="1" t="s">
        <v>4782</v>
      </c>
      <c r="E704" s="1" t="s">
        <v>4781</v>
      </c>
      <c r="F704" s="1" t="s">
        <v>4782</v>
      </c>
      <c r="G704" s="1" t="s">
        <v>4791</v>
      </c>
      <c r="H704" s="1" t="s">
        <v>4792</v>
      </c>
      <c r="I704" s="1" t="s">
        <v>10150</v>
      </c>
      <c r="J704" s="1" t="s">
        <v>4785</v>
      </c>
      <c r="K704" s="1">
        <v>12</v>
      </c>
      <c r="L704" s="1" t="s">
        <v>4264</v>
      </c>
      <c r="M704" s="1">
        <v>2</v>
      </c>
      <c r="N704" s="1" t="s">
        <v>4283</v>
      </c>
    </row>
    <row r="705" spans="1:14" x14ac:dyDescent="0.15">
      <c r="A705" s="1">
        <v>154</v>
      </c>
      <c r="B705" s="1" t="s">
        <v>4778</v>
      </c>
      <c r="C705" s="1" t="s">
        <v>4781</v>
      </c>
      <c r="D705" s="1" t="s">
        <v>4782</v>
      </c>
      <c r="E705" s="1" t="s">
        <v>4781</v>
      </c>
      <c r="F705" s="1" t="s">
        <v>4782</v>
      </c>
      <c r="G705" s="1" t="s">
        <v>4791</v>
      </c>
      <c r="H705" s="1" t="s">
        <v>4792</v>
      </c>
      <c r="I705" s="1" t="s">
        <v>10153</v>
      </c>
      <c r="J705" s="1" t="s">
        <v>4786</v>
      </c>
      <c r="K705" s="1">
        <v>12</v>
      </c>
      <c r="L705" s="1" t="s">
        <v>4264</v>
      </c>
      <c r="M705" s="1">
        <v>2</v>
      </c>
      <c r="N705" s="1" t="s">
        <v>4283</v>
      </c>
    </row>
    <row r="706" spans="1:14" x14ac:dyDescent="0.15">
      <c r="A706" s="1">
        <v>154</v>
      </c>
      <c r="B706" s="1" t="s">
        <v>4778</v>
      </c>
      <c r="C706" s="1" t="s">
        <v>4781</v>
      </c>
      <c r="D706" s="1" t="s">
        <v>4782</v>
      </c>
      <c r="E706" s="1" t="s">
        <v>4781</v>
      </c>
      <c r="F706" s="1" t="s">
        <v>4782</v>
      </c>
      <c r="G706" s="1" t="s">
        <v>4791</v>
      </c>
      <c r="H706" s="1" t="s">
        <v>4792</v>
      </c>
      <c r="I706" s="1" t="s">
        <v>12664</v>
      </c>
      <c r="J706" s="1" t="s">
        <v>4787</v>
      </c>
      <c r="K706" s="1">
        <v>12</v>
      </c>
      <c r="L706" s="1" t="s">
        <v>4264</v>
      </c>
      <c r="M706" s="1">
        <v>2</v>
      </c>
      <c r="N706" s="1" t="s">
        <v>4283</v>
      </c>
    </row>
    <row r="707" spans="1:14" x14ac:dyDescent="0.15">
      <c r="A707" s="1">
        <v>154</v>
      </c>
      <c r="B707" s="1" t="s">
        <v>4778</v>
      </c>
      <c r="C707" s="1" t="s">
        <v>4781</v>
      </c>
      <c r="D707" s="1" t="s">
        <v>4782</v>
      </c>
      <c r="E707" s="1" t="s">
        <v>4781</v>
      </c>
      <c r="F707" s="1" t="s">
        <v>4782</v>
      </c>
      <c r="G707" s="1" t="s">
        <v>4791</v>
      </c>
      <c r="H707" s="1" t="s">
        <v>4792</v>
      </c>
      <c r="I707" s="1" t="s">
        <v>10158</v>
      </c>
      <c r="J707" s="1" t="s">
        <v>4788</v>
      </c>
      <c r="K707" s="1">
        <v>12</v>
      </c>
      <c r="L707" s="1" t="s">
        <v>4264</v>
      </c>
      <c r="M707" s="1">
        <v>2</v>
      </c>
      <c r="N707" s="1" t="s">
        <v>4283</v>
      </c>
    </row>
    <row r="708" spans="1:14" x14ac:dyDescent="0.15">
      <c r="A708" s="1">
        <v>154</v>
      </c>
      <c r="B708" s="1" t="s">
        <v>4778</v>
      </c>
      <c r="C708" s="1" t="s">
        <v>4793</v>
      </c>
      <c r="D708" s="1" t="s">
        <v>4794</v>
      </c>
      <c r="E708" s="1" t="s">
        <v>4793</v>
      </c>
      <c r="F708" s="1" t="s">
        <v>4794</v>
      </c>
      <c r="G708" s="1" t="s">
        <v>4795</v>
      </c>
      <c r="H708" s="1" t="s">
        <v>4794</v>
      </c>
      <c r="I708" s="1" t="s">
        <v>10161</v>
      </c>
      <c r="J708" s="1" t="s">
        <v>4796</v>
      </c>
      <c r="K708" s="1">
        <v>12</v>
      </c>
      <c r="L708" s="1" t="s">
        <v>4264</v>
      </c>
      <c r="M708" s="1">
        <v>2</v>
      </c>
      <c r="N708" s="1" t="s">
        <v>4283</v>
      </c>
    </row>
    <row r="709" spans="1:14" x14ac:dyDescent="0.15">
      <c r="A709" s="1">
        <v>154</v>
      </c>
      <c r="B709" s="1" t="s">
        <v>4778</v>
      </c>
      <c r="C709" s="1" t="s">
        <v>4793</v>
      </c>
      <c r="D709" s="1" t="s">
        <v>4794</v>
      </c>
      <c r="E709" s="1" t="s">
        <v>4793</v>
      </c>
      <c r="F709" s="1" t="s">
        <v>4794</v>
      </c>
      <c r="G709" s="1" t="s">
        <v>4797</v>
      </c>
      <c r="H709" s="1" t="s">
        <v>4798</v>
      </c>
      <c r="I709" s="1" t="s">
        <v>10161</v>
      </c>
      <c r="J709" s="1" t="s">
        <v>4796</v>
      </c>
      <c r="K709" s="1">
        <v>12</v>
      </c>
      <c r="L709" s="1" t="s">
        <v>4264</v>
      </c>
      <c r="M709" s="1">
        <v>2</v>
      </c>
      <c r="N709" s="1" t="s">
        <v>4283</v>
      </c>
    </row>
    <row r="710" spans="1:14" x14ac:dyDescent="0.15">
      <c r="A710" s="1">
        <v>154</v>
      </c>
      <c r="B710" s="1" t="s">
        <v>4778</v>
      </c>
      <c r="C710" s="1" t="s">
        <v>4793</v>
      </c>
      <c r="D710" s="1" t="s">
        <v>4794</v>
      </c>
      <c r="E710" s="1" t="s">
        <v>4793</v>
      </c>
      <c r="F710" s="1" t="s">
        <v>4794</v>
      </c>
      <c r="G710" s="1" t="s">
        <v>4799</v>
      </c>
      <c r="H710" s="1" t="s">
        <v>4800</v>
      </c>
      <c r="I710" s="1" t="s">
        <v>10161</v>
      </c>
      <c r="J710" s="1" t="s">
        <v>4796</v>
      </c>
      <c r="K710" s="1">
        <v>12</v>
      </c>
      <c r="L710" s="1" t="s">
        <v>4264</v>
      </c>
      <c r="M710" s="1">
        <v>2</v>
      </c>
      <c r="N710" s="1" t="s">
        <v>4283</v>
      </c>
    </row>
    <row r="711" spans="1:14" x14ac:dyDescent="0.15">
      <c r="A711" s="1">
        <v>154</v>
      </c>
      <c r="B711" s="1" t="s">
        <v>4778</v>
      </c>
      <c r="C711" s="1" t="s">
        <v>4801</v>
      </c>
      <c r="D711" s="1" t="s">
        <v>4802</v>
      </c>
      <c r="E711" s="1" t="s">
        <v>4801</v>
      </c>
      <c r="F711" s="1" t="s">
        <v>4802</v>
      </c>
      <c r="G711" s="1" t="s">
        <v>4803</v>
      </c>
      <c r="H711" s="1" t="s">
        <v>4802</v>
      </c>
      <c r="I711" s="1" t="s">
        <v>10164</v>
      </c>
      <c r="J711" s="1" t="s">
        <v>4804</v>
      </c>
      <c r="K711" s="1">
        <v>12</v>
      </c>
      <c r="L711" s="1" t="s">
        <v>4264</v>
      </c>
      <c r="M711" s="1">
        <v>2</v>
      </c>
      <c r="N711" s="1" t="s">
        <v>4283</v>
      </c>
    </row>
    <row r="712" spans="1:14" x14ac:dyDescent="0.15">
      <c r="A712" s="1">
        <v>154</v>
      </c>
      <c r="B712" s="1" t="s">
        <v>4778</v>
      </c>
      <c r="C712" s="1" t="s">
        <v>4805</v>
      </c>
      <c r="D712" s="1" t="s">
        <v>4806</v>
      </c>
      <c r="E712" s="1" t="s">
        <v>4805</v>
      </c>
      <c r="F712" s="1" t="s">
        <v>4806</v>
      </c>
      <c r="G712" s="1" t="s">
        <v>4807</v>
      </c>
      <c r="H712" s="1" t="s">
        <v>4806</v>
      </c>
      <c r="I712" s="1" t="s">
        <v>10150</v>
      </c>
      <c r="J712" s="1" t="s">
        <v>4785</v>
      </c>
      <c r="K712" s="1">
        <v>12</v>
      </c>
      <c r="L712" s="1" t="s">
        <v>4264</v>
      </c>
      <c r="M712" s="1">
        <v>2</v>
      </c>
      <c r="N712" s="1" t="s">
        <v>4283</v>
      </c>
    </row>
    <row r="713" spans="1:14" x14ac:dyDescent="0.15">
      <c r="A713" s="1">
        <v>154</v>
      </c>
      <c r="B713" s="1" t="s">
        <v>4778</v>
      </c>
      <c r="C713" s="1" t="s">
        <v>4805</v>
      </c>
      <c r="D713" s="1" t="s">
        <v>4806</v>
      </c>
      <c r="E713" s="1" t="s">
        <v>4805</v>
      </c>
      <c r="F713" s="1" t="s">
        <v>4806</v>
      </c>
      <c r="G713" s="1" t="s">
        <v>4807</v>
      </c>
      <c r="H713" s="1" t="s">
        <v>4806</v>
      </c>
      <c r="I713" s="1" t="s">
        <v>10167</v>
      </c>
      <c r="J713" s="1" t="s">
        <v>4808</v>
      </c>
      <c r="K713" s="1">
        <v>12</v>
      </c>
      <c r="L713" s="1" t="s">
        <v>4264</v>
      </c>
      <c r="M713" s="1">
        <v>2</v>
      </c>
      <c r="N713" s="1" t="s">
        <v>4283</v>
      </c>
    </row>
    <row r="714" spans="1:14" x14ac:dyDescent="0.15">
      <c r="A714" s="1">
        <v>155</v>
      </c>
      <c r="B714" s="1" t="s">
        <v>4809</v>
      </c>
      <c r="C714" s="1" t="s">
        <v>4810</v>
      </c>
      <c r="D714" s="1" t="s">
        <v>4809</v>
      </c>
      <c r="E714" s="1" t="s">
        <v>4810</v>
      </c>
      <c r="F714" s="1" t="s">
        <v>4809</v>
      </c>
      <c r="G714" s="1" t="s">
        <v>4811</v>
      </c>
      <c r="H714" s="1" t="s">
        <v>4809</v>
      </c>
      <c r="I714" s="1" t="s">
        <v>11879</v>
      </c>
      <c r="J714" s="1" t="s">
        <v>4278</v>
      </c>
      <c r="K714" s="1">
        <v>7</v>
      </c>
      <c r="L714" s="1" t="s">
        <v>4299</v>
      </c>
      <c r="N714" s="1" t="s">
        <v>4812</v>
      </c>
    </row>
    <row r="715" spans="1:14" x14ac:dyDescent="0.15">
      <c r="A715" s="1">
        <v>155</v>
      </c>
      <c r="B715" s="1" t="s">
        <v>4809</v>
      </c>
      <c r="C715" s="1" t="s">
        <v>4813</v>
      </c>
      <c r="D715" s="1" t="s">
        <v>4814</v>
      </c>
      <c r="E715" s="1" t="s">
        <v>4813</v>
      </c>
      <c r="F715" s="1" t="s">
        <v>4814</v>
      </c>
      <c r="G715" s="1" t="s">
        <v>4815</v>
      </c>
      <c r="H715" s="1" t="s">
        <v>4814</v>
      </c>
      <c r="I715" s="1" t="s">
        <v>16475</v>
      </c>
      <c r="J715" s="1" t="s">
        <v>5750</v>
      </c>
      <c r="K715" s="1">
        <v>7</v>
      </c>
      <c r="L715" s="1" t="s">
        <v>4299</v>
      </c>
      <c r="M715" s="1">
        <v>16</v>
      </c>
      <c r="N715" s="1" t="s">
        <v>4308</v>
      </c>
    </row>
    <row r="716" spans="1:14" x14ac:dyDescent="0.15">
      <c r="A716" s="1">
        <v>155</v>
      </c>
      <c r="B716" s="1" t="s">
        <v>4809</v>
      </c>
      <c r="C716" s="1" t="s">
        <v>4816</v>
      </c>
      <c r="D716" s="1" t="s">
        <v>4817</v>
      </c>
      <c r="E716" s="1" t="s">
        <v>4816</v>
      </c>
      <c r="F716" s="1" t="s">
        <v>4817</v>
      </c>
      <c r="G716" s="1" t="s">
        <v>4818</v>
      </c>
      <c r="H716" s="1" t="s">
        <v>4817</v>
      </c>
      <c r="I716" s="1" t="s">
        <v>16355</v>
      </c>
      <c r="J716" s="1" t="s">
        <v>7005</v>
      </c>
      <c r="K716" s="1">
        <v>7</v>
      </c>
      <c r="L716" s="1" t="s">
        <v>4299</v>
      </c>
      <c r="M716" s="1">
        <v>13</v>
      </c>
      <c r="N716" s="1" t="s">
        <v>4300</v>
      </c>
    </row>
    <row r="717" spans="1:14" x14ac:dyDescent="0.15">
      <c r="A717" s="1">
        <v>155</v>
      </c>
      <c r="B717" s="1" t="s">
        <v>4809</v>
      </c>
      <c r="C717" s="1" t="s">
        <v>4816</v>
      </c>
      <c r="D717" s="1" t="s">
        <v>4817</v>
      </c>
      <c r="E717" s="1" t="s">
        <v>4816</v>
      </c>
      <c r="F717" s="1" t="s">
        <v>4817</v>
      </c>
      <c r="G717" s="1" t="s">
        <v>4818</v>
      </c>
      <c r="H717" s="1" t="s">
        <v>4817</v>
      </c>
      <c r="I717" s="1" t="s">
        <v>15934</v>
      </c>
      <c r="J717" s="1" t="s">
        <v>5759</v>
      </c>
      <c r="K717" s="1">
        <v>7</v>
      </c>
      <c r="L717" s="1" t="s">
        <v>4299</v>
      </c>
      <c r="M717" s="1">
        <v>13</v>
      </c>
      <c r="N717" s="1" t="s">
        <v>4300</v>
      </c>
    </row>
    <row r="718" spans="1:14" x14ac:dyDescent="0.15">
      <c r="A718" s="1">
        <v>155</v>
      </c>
      <c r="B718" s="1" t="s">
        <v>4809</v>
      </c>
      <c r="C718" s="1" t="s">
        <v>4819</v>
      </c>
      <c r="D718" s="1" t="s">
        <v>4820</v>
      </c>
      <c r="E718" s="1" t="s">
        <v>4819</v>
      </c>
      <c r="F718" s="1" t="s">
        <v>4820</v>
      </c>
      <c r="G718" s="1" t="s">
        <v>4821</v>
      </c>
      <c r="H718" s="1" t="s">
        <v>4820</v>
      </c>
      <c r="I718" s="1" t="s">
        <v>16367</v>
      </c>
      <c r="J718" s="1" t="s">
        <v>4822</v>
      </c>
      <c r="K718" s="1">
        <v>7</v>
      </c>
      <c r="L718" s="1" t="s">
        <v>4299</v>
      </c>
      <c r="M718" s="1">
        <v>13</v>
      </c>
      <c r="N718" s="1" t="s">
        <v>4300</v>
      </c>
    </row>
    <row r="719" spans="1:14" x14ac:dyDescent="0.15">
      <c r="A719" s="1">
        <v>155</v>
      </c>
      <c r="B719" s="1" t="s">
        <v>4809</v>
      </c>
      <c r="C719" s="1" t="s">
        <v>4819</v>
      </c>
      <c r="D719" s="1" t="s">
        <v>4820</v>
      </c>
      <c r="E719" s="1" t="s">
        <v>4819</v>
      </c>
      <c r="F719" s="1" t="s">
        <v>4820</v>
      </c>
      <c r="G719" s="1" t="s">
        <v>4821</v>
      </c>
      <c r="H719" s="1" t="s">
        <v>4820</v>
      </c>
      <c r="I719" s="1" t="s">
        <v>10982</v>
      </c>
      <c r="J719" s="1" t="s">
        <v>4823</v>
      </c>
      <c r="K719" s="1">
        <v>7</v>
      </c>
      <c r="L719" s="1" t="s">
        <v>4299</v>
      </c>
      <c r="M719" s="1">
        <v>13</v>
      </c>
      <c r="N719" s="1" t="s">
        <v>4300</v>
      </c>
    </row>
    <row r="720" spans="1:14" x14ac:dyDescent="0.15">
      <c r="A720" s="1">
        <v>155</v>
      </c>
      <c r="B720" s="1" t="s">
        <v>4809</v>
      </c>
      <c r="C720" s="1" t="s">
        <v>4819</v>
      </c>
      <c r="D720" s="1" t="s">
        <v>4820</v>
      </c>
      <c r="E720" s="1" t="s">
        <v>4819</v>
      </c>
      <c r="F720" s="1" t="s">
        <v>4820</v>
      </c>
      <c r="G720" s="1" t="s">
        <v>4821</v>
      </c>
      <c r="H720" s="1" t="s">
        <v>4820</v>
      </c>
      <c r="I720" s="1" t="s">
        <v>16375</v>
      </c>
      <c r="J720" s="1" t="s">
        <v>4824</v>
      </c>
      <c r="K720" s="1">
        <v>7</v>
      </c>
      <c r="L720" s="1" t="s">
        <v>4299</v>
      </c>
      <c r="M720" s="1">
        <v>13</v>
      </c>
      <c r="N720" s="1" t="s">
        <v>4300</v>
      </c>
    </row>
    <row r="721" spans="1:14" x14ac:dyDescent="0.15">
      <c r="A721" s="1">
        <v>155</v>
      </c>
      <c r="B721" s="1" t="s">
        <v>4809</v>
      </c>
      <c r="C721" s="1" t="s">
        <v>4819</v>
      </c>
      <c r="D721" s="1" t="s">
        <v>4820</v>
      </c>
      <c r="E721" s="1" t="s">
        <v>4819</v>
      </c>
      <c r="F721" s="1" t="s">
        <v>4820</v>
      </c>
      <c r="G721" s="1" t="s">
        <v>4821</v>
      </c>
      <c r="H721" s="1" t="s">
        <v>4820</v>
      </c>
      <c r="I721" s="1" t="s">
        <v>11222</v>
      </c>
      <c r="J721" s="1" t="s">
        <v>16364</v>
      </c>
      <c r="K721" s="1">
        <v>7</v>
      </c>
      <c r="L721" s="1" t="s">
        <v>4299</v>
      </c>
      <c r="M721" s="1">
        <v>13</v>
      </c>
      <c r="N721" s="1" t="s">
        <v>4300</v>
      </c>
    </row>
    <row r="722" spans="1:14" x14ac:dyDescent="0.15">
      <c r="A722" s="1">
        <v>155</v>
      </c>
      <c r="B722" s="1" t="s">
        <v>4809</v>
      </c>
      <c r="C722" s="1" t="s">
        <v>4819</v>
      </c>
      <c r="D722" s="1" t="s">
        <v>4820</v>
      </c>
      <c r="E722" s="1" t="s">
        <v>4819</v>
      </c>
      <c r="F722" s="1" t="s">
        <v>4820</v>
      </c>
      <c r="G722" s="1" t="s">
        <v>4825</v>
      </c>
      <c r="H722" s="1" t="s">
        <v>4826</v>
      </c>
      <c r="I722" s="1" t="s">
        <v>16367</v>
      </c>
      <c r="J722" s="1" t="s">
        <v>4822</v>
      </c>
      <c r="K722" s="1">
        <v>7</v>
      </c>
      <c r="L722" s="1" t="s">
        <v>4299</v>
      </c>
      <c r="M722" s="1">
        <v>13</v>
      </c>
      <c r="N722" s="1" t="s">
        <v>4300</v>
      </c>
    </row>
    <row r="723" spans="1:14" x14ac:dyDescent="0.15">
      <c r="A723" s="1">
        <v>155</v>
      </c>
      <c r="B723" s="1" t="s">
        <v>4809</v>
      </c>
      <c r="C723" s="1" t="s">
        <v>4819</v>
      </c>
      <c r="D723" s="1" t="s">
        <v>4820</v>
      </c>
      <c r="E723" s="1" t="s">
        <v>4819</v>
      </c>
      <c r="F723" s="1" t="s">
        <v>4820</v>
      </c>
      <c r="G723" s="1" t="s">
        <v>4825</v>
      </c>
      <c r="H723" s="1" t="s">
        <v>4826</v>
      </c>
      <c r="I723" s="1" t="s">
        <v>10982</v>
      </c>
      <c r="J723" s="1" t="s">
        <v>4823</v>
      </c>
      <c r="K723" s="1">
        <v>7</v>
      </c>
      <c r="L723" s="1" t="s">
        <v>4299</v>
      </c>
      <c r="M723" s="1">
        <v>13</v>
      </c>
      <c r="N723" s="1" t="s">
        <v>4300</v>
      </c>
    </row>
    <row r="724" spans="1:14" x14ac:dyDescent="0.15">
      <c r="A724" s="1">
        <v>155</v>
      </c>
      <c r="B724" s="1" t="s">
        <v>4809</v>
      </c>
      <c r="C724" s="1" t="s">
        <v>4819</v>
      </c>
      <c r="D724" s="1" t="s">
        <v>4820</v>
      </c>
      <c r="E724" s="1" t="s">
        <v>4819</v>
      </c>
      <c r="F724" s="1" t="s">
        <v>4820</v>
      </c>
      <c r="G724" s="1" t="s">
        <v>4825</v>
      </c>
      <c r="H724" s="1" t="s">
        <v>4826</v>
      </c>
      <c r="I724" s="1" t="s">
        <v>16375</v>
      </c>
      <c r="J724" s="1" t="s">
        <v>4824</v>
      </c>
      <c r="K724" s="1">
        <v>7</v>
      </c>
      <c r="L724" s="1" t="s">
        <v>4299</v>
      </c>
      <c r="M724" s="1">
        <v>13</v>
      </c>
      <c r="N724" s="1" t="s">
        <v>4300</v>
      </c>
    </row>
    <row r="725" spans="1:14" x14ac:dyDescent="0.15">
      <c r="A725" s="1">
        <v>155</v>
      </c>
      <c r="B725" s="1" t="s">
        <v>4809</v>
      </c>
      <c r="C725" s="1" t="s">
        <v>4819</v>
      </c>
      <c r="D725" s="1" t="s">
        <v>4820</v>
      </c>
      <c r="E725" s="1" t="s">
        <v>4819</v>
      </c>
      <c r="F725" s="1" t="s">
        <v>4820</v>
      </c>
      <c r="G725" s="1" t="s">
        <v>4825</v>
      </c>
      <c r="H725" s="1" t="s">
        <v>4826</v>
      </c>
      <c r="I725" s="1" t="s">
        <v>11222</v>
      </c>
      <c r="J725" s="1" t="s">
        <v>16364</v>
      </c>
      <c r="K725" s="1">
        <v>7</v>
      </c>
      <c r="L725" s="1" t="s">
        <v>4299</v>
      </c>
      <c r="M725" s="1">
        <v>13</v>
      </c>
      <c r="N725" s="1" t="s">
        <v>4300</v>
      </c>
    </row>
    <row r="726" spans="1:14" x14ac:dyDescent="0.15">
      <c r="A726" s="1">
        <v>155</v>
      </c>
      <c r="B726" s="1" t="s">
        <v>4809</v>
      </c>
      <c r="C726" s="1" t="s">
        <v>4819</v>
      </c>
      <c r="D726" s="1" t="s">
        <v>4820</v>
      </c>
      <c r="E726" s="1" t="s">
        <v>4819</v>
      </c>
      <c r="F726" s="1" t="s">
        <v>4820</v>
      </c>
      <c r="G726" s="1" t="s">
        <v>4827</v>
      </c>
      <c r="H726" s="1" t="s">
        <v>4828</v>
      </c>
      <c r="I726" s="1" t="s">
        <v>16367</v>
      </c>
      <c r="J726" s="1" t="s">
        <v>4822</v>
      </c>
      <c r="K726" s="1">
        <v>7</v>
      </c>
      <c r="L726" s="1" t="s">
        <v>4299</v>
      </c>
      <c r="M726" s="1">
        <v>13</v>
      </c>
      <c r="N726" s="1" t="s">
        <v>4300</v>
      </c>
    </row>
    <row r="727" spans="1:14" x14ac:dyDescent="0.15">
      <c r="A727" s="1">
        <v>155</v>
      </c>
      <c r="B727" s="1" t="s">
        <v>4809</v>
      </c>
      <c r="C727" s="1" t="s">
        <v>4819</v>
      </c>
      <c r="D727" s="1" t="s">
        <v>4820</v>
      </c>
      <c r="E727" s="1" t="s">
        <v>4819</v>
      </c>
      <c r="F727" s="1" t="s">
        <v>4820</v>
      </c>
      <c r="G727" s="1" t="s">
        <v>4827</v>
      </c>
      <c r="H727" s="1" t="s">
        <v>4828</v>
      </c>
      <c r="I727" s="1" t="s">
        <v>10982</v>
      </c>
      <c r="J727" s="1" t="s">
        <v>4823</v>
      </c>
      <c r="K727" s="1">
        <v>7</v>
      </c>
      <c r="L727" s="1" t="s">
        <v>4299</v>
      </c>
      <c r="M727" s="1">
        <v>13</v>
      </c>
      <c r="N727" s="1" t="s">
        <v>4300</v>
      </c>
    </row>
    <row r="728" spans="1:14" x14ac:dyDescent="0.15">
      <c r="A728" s="1">
        <v>155</v>
      </c>
      <c r="B728" s="1" t="s">
        <v>4809</v>
      </c>
      <c r="C728" s="1" t="s">
        <v>4819</v>
      </c>
      <c r="D728" s="1" t="s">
        <v>4820</v>
      </c>
      <c r="E728" s="1" t="s">
        <v>4819</v>
      </c>
      <c r="F728" s="1" t="s">
        <v>4820</v>
      </c>
      <c r="G728" s="1" t="s">
        <v>4827</v>
      </c>
      <c r="H728" s="1" t="s">
        <v>4828</v>
      </c>
      <c r="I728" s="1" t="s">
        <v>16375</v>
      </c>
      <c r="J728" s="1" t="s">
        <v>4824</v>
      </c>
      <c r="K728" s="1">
        <v>7</v>
      </c>
      <c r="L728" s="1" t="s">
        <v>4299</v>
      </c>
      <c r="M728" s="1">
        <v>13</v>
      </c>
      <c r="N728" s="1" t="s">
        <v>4300</v>
      </c>
    </row>
    <row r="729" spans="1:14" x14ac:dyDescent="0.15">
      <c r="A729" s="1">
        <v>155</v>
      </c>
      <c r="B729" s="1" t="s">
        <v>4809</v>
      </c>
      <c r="C729" s="1" t="s">
        <v>4819</v>
      </c>
      <c r="D729" s="1" t="s">
        <v>4820</v>
      </c>
      <c r="E729" s="1" t="s">
        <v>4819</v>
      </c>
      <c r="F729" s="1" t="s">
        <v>4820</v>
      </c>
      <c r="G729" s="1" t="s">
        <v>4827</v>
      </c>
      <c r="H729" s="1" t="s">
        <v>4828</v>
      </c>
      <c r="I729" s="1" t="s">
        <v>11222</v>
      </c>
      <c r="J729" s="1" t="s">
        <v>16364</v>
      </c>
      <c r="K729" s="1">
        <v>7</v>
      </c>
      <c r="L729" s="1" t="s">
        <v>4299</v>
      </c>
      <c r="M729" s="1">
        <v>13</v>
      </c>
      <c r="N729" s="1" t="s">
        <v>4300</v>
      </c>
    </row>
    <row r="730" spans="1:14" x14ac:dyDescent="0.15">
      <c r="A730" s="1">
        <v>155</v>
      </c>
      <c r="B730" s="1" t="s">
        <v>4809</v>
      </c>
      <c r="C730" s="1" t="s">
        <v>4819</v>
      </c>
      <c r="D730" s="1" t="s">
        <v>4820</v>
      </c>
      <c r="E730" s="1" t="s">
        <v>4819</v>
      </c>
      <c r="F730" s="1" t="s">
        <v>4820</v>
      </c>
      <c r="G730" s="1" t="s">
        <v>4829</v>
      </c>
      <c r="H730" s="1" t="s">
        <v>4830</v>
      </c>
      <c r="I730" s="1" t="s">
        <v>16367</v>
      </c>
      <c r="J730" s="1" t="s">
        <v>4822</v>
      </c>
      <c r="K730" s="1">
        <v>7</v>
      </c>
      <c r="L730" s="1" t="s">
        <v>4299</v>
      </c>
      <c r="M730" s="1">
        <v>13</v>
      </c>
      <c r="N730" s="1" t="s">
        <v>4300</v>
      </c>
    </row>
    <row r="731" spans="1:14" x14ac:dyDescent="0.15">
      <c r="A731" s="1">
        <v>155</v>
      </c>
      <c r="B731" s="1" t="s">
        <v>4809</v>
      </c>
      <c r="C731" s="1" t="s">
        <v>4819</v>
      </c>
      <c r="D731" s="1" t="s">
        <v>4820</v>
      </c>
      <c r="E731" s="1" t="s">
        <v>4819</v>
      </c>
      <c r="F731" s="1" t="s">
        <v>4820</v>
      </c>
      <c r="G731" s="1" t="s">
        <v>4829</v>
      </c>
      <c r="H731" s="1" t="s">
        <v>4830</v>
      </c>
      <c r="I731" s="1" t="s">
        <v>10982</v>
      </c>
      <c r="J731" s="1" t="s">
        <v>4823</v>
      </c>
      <c r="K731" s="1">
        <v>7</v>
      </c>
      <c r="L731" s="1" t="s">
        <v>4299</v>
      </c>
      <c r="M731" s="1">
        <v>13</v>
      </c>
      <c r="N731" s="1" t="s">
        <v>4300</v>
      </c>
    </row>
    <row r="732" spans="1:14" x14ac:dyDescent="0.15">
      <c r="A732" s="1">
        <v>155</v>
      </c>
      <c r="B732" s="1" t="s">
        <v>4809</v>
      </c>
      <c r="C732" s="1" t="s">
        <v>4819</v>
      </c>
      <c r="D732" s="1" t="s">
        <v>4820</v>
      </c>
      <c r="E732" s="1" t="s">
        <v>4819</v>
      </c>
      <c r="F732" s="1" t="s">
        <v>4820</v>
      </c>
      <c r="G732" s="1" t="s">
        <v>4829</v>
      </c>
      <c r="H732" s="1" t="s">
        <v>4830</v>
      </c>
      <c r="I732" s="1" t="s">
        <v>16375</v>
      </c>
      <c r="J732" s="1" t="s">
        <v>4824</v>
      </c>
      <c r="K732" s="1">
        <v>7</v>
      </c>
      <c r="L732" s="1" t="s">
        <v>4299</v>
      </c>
      <c r="M732" s="1">
        <v>13</v>
      </c>
      <c r="N732" s="1" t="s">
        <v>4300</v>
      </c>
    </row>
    <row r="733" spans="1:14" x14ac:dyDescent="0.15">
      <c r="A733" s="1">
        <v>155</v>
      </c>
      <c r="B733" s="1" t="s">
        <v>4809</v>
      </c>
      <c r="C733" s="1" t="s">
        <v>4819</v>
      </c>
      <c r="D733" s="1" t="s">
        <v>4820</v>
      </c>
      <c r="E733" s="1" t="s">
        <v>4819</v>
      </c>
      <c r="F733" s="1" t="s">
        <v>4820</v>
      </c>
      <c r="G733" s="1" t="s">
        <v>4829</v>
      </c>
      <c r="H733" s="1" t="s">
        <v>4830</v>
      </c>
      <c r="I733" s="1" t="s">
        <v>11222</v>
      </c>
      <c r="J733" s="1" t="s">
        <v>16364</v>
      </c>
      <c r="K733" s="1">
        <v>7</v>
      </c>
      <c r="L733" s="1" t="s">
        <v>4299</v>
      </c>
      <c r="M733" s="1">
        <v>13</v>
      </c>
      <c r="N733" s="1" t="s">
        <v>4300</v>
      </c>
    </row>
    <row r="734" spans="1:14" x14ac:dyDescent="0.15">
      <c r="A734" s="1">
        <v>155</v>
      </c>
      <c r="B734" s="1" t="s">
        <v>4809</v>
      </c>
      <c r="C734" s="1" t="s">
        <v>4819</v>
      </c>
      <c r="D734" s="1" t="s">
        <v>4820</v>
      </c>
      <c r="E734" s="1" t="s">
        <v>4819</v>
      </c>
      <c r="F734" s="1" t="s">
        <v>4820</v>
      </c>
      <c r="G734" s="1" t="s">
        <v>4829</v>
      </c>
      <c r="H734" s="1" t="s">
        <v>4830</v>
      </c>
      <c r="I734" s="1" t="s">
        <v>10338</v>
      </c>
      <c r="J734" s="1" t="s">
        <v>4831</v>
      </c>
      <c r="K734" s="1">
        <v>7</v>
      </c>
      <c r="L734" s="1" t="s">
        <v>4299</v>
      </c>
      <c r="M734" s="1">
        <v>13</v>
      </c>
      <c r="N734" s="1" t="s">
        <v>4300</v>
      </c>
    </row>
    <row r="735" spans="1:14" x14ac:dyDescent="0.15">
      <c r="A735" s="1">
        <v>155</v>
      </c>
      <c r="B735" s="1" t="s">
        <v>4809</v>
      </c>
      <c r="C735" s="1" t="s">
        <v>4832</v>
      </c>
      <c r="D735" s="1" t="s">
        <v>4833</v>
      </c>
      <c r="E735" s="1" t="s">
        <v>4832</v>
      </c>
      <c r="F735" s="1" t="s">
        <v>4833</v>
      </c>
      <c r="G735" s="1" t="s">
        <v>4834</v>
      </c>
      <c r="H735" s="1" t="s">
        <v>4833</v>
      </c>
      <c r="I735" s="1" t="s">
        <v>15958</v>
      </c>
      <c r="J735" s="1" t="s">
        <v>4835</v>
      </c>
      <c r="K735" s="1">
        <v>7</v>
      </c>
      <c r="L735" s="1" t="s">
        <v>4299</v>
      </c>
      <c r="M735" s="1">
        <v>13</v>
      </c>
      <c r="N735" s="1" t="s">
        <v>4300</v>
      </c>
    </row>
    <row r="736" spans="1:14" x14ac:dyDescent="0.15">
      <c r="A736" s="1">
        <v>155</v>
      </c>
      <c r="B736" s="1" t="s">
        <v>4809</v>
      </c>
      <c r="C736" s="1" t="s">
        <v>4836</v>
      </c>
      <c r="D736" s="1" t="s">
        <v>4837</v>
      </c>
      <c r="E736" s="1" t="s">
        <v>4836</v>
      </c>
      <c r="F736" s="1" t="s">
        <v>4837</v>
      </c>
      <c r="G736" s="1" t="s">
        <v>4838</v>
      </c>
      <c r="H736" s="1" t="s">
        <v>4837</v>
      </c>
      <c r="I736" s="1" t="s">
        <v>16427</v>
      </c>
      <c r="J736" s="1" t="s">
        <v>5734</v>
      </c>
      <c r="K736" s="1">
        <v>12</v>
      </c>
      <c r="L736" s="1" t="s">
        <v>4264</v>
      </c>
      <c r="M736" s="1">
        <v>1</v>
      </c>
      <c r="N736" s="1" t="s">
        <v>4318</v>
      </c>
    </row>
    <row r="737" spans="1:14" x14ac:dyDescent="0.15">
      <c r="A737" s="1">
        <v>155</v>
      </c>
      <c r="B737" s="1" t="s">
        <v>4809</v>
      </c>
      <c r="C737" s="1" t="s">
        <v>4836</v>
      </c>
      <c r="D737" s="1" t="s">
        <v>4837</v>
      </c>
      <c r="E737" s="1" t="s">
        <v>4836</v>
      </c>
      <c r="F737" s="1" t="s">
        <v>4837</v>
      </c>
      <c r="G737" s="1" t="s">
        <v>4838</v>
      </c>
      <c r="H737" s="1" t="s">
        <v>4837</v>
      </c>
      <c r="I737" s="1" t="s">
        <v>10096</v>
      </c>
      <c r="J737" s="1" t="s">
        <v>4839</v>
      </c>
      <c r="K737" s="1">
        <v>12</v>
      </c>
      <c r="L737" s="1" t="s">
        <v>4264</v>
      </c>
      <c r="M737" s="1">
        <v>1</v>
      </c>
      <c r="N737" s="1" t="s">
        <v>4318</v>
      </c>
    </row>
    <row r="738" spans="1:14" x14ac:dyDescent="0.15">
      <c r="A738" s="1">
        <v>155</v>
      </c>
      <c r="B738" s="1" t="s">
        <v>4809</v>
      </c>
      <c r="C738" s="1" t="s">
        <v>4840</v>
      </c>
      <c r="D738" s="1" t="s">
        <v>4841</v>
      </c>
      <c r="E738" s="1" t="s">
        <v>4840</v>
      </c>
      <c r="F738" s="1" t="s">
        <v>4841</v>
      </c>
      <c r="G738" s="1" t="s">
        <v>4842</v>
      </c>
      <c r="H738" s="1" t="s">
        <v>4841</v>
      </c>
      <c r="I738" s="1" t="s">
        <v>10503</v>
      </c>
      <c r="J738" s="1" t="s">
        <v>4843</v>
      </c>
      <c r="K738" s="1">
        <v>7</v>
      </c>
      <c r="L738" s="1" t="s">
        <v>4299</v>
      </c>
      <c r="M738" s="1">
        <v>13</v>
      </c>
      <c r="N738" s="1" t="s">
        <v>4300</v>
      </c>
    </row>
    <row r="739" spans="1:14" x14ac:dyDescent="0.15">
      <c r="A739" s="1">
        <v>155</v>
      </c>
      <c r="B739" s="1" t="s">
        <v>4809</v>
      </c>
      <c r="C739" s="1" t="s">
        <v>4840</v>
      </c>
      <c r="D739" s="1" t="s">
        <v>4841</v>
      </c>
      <c r="E739" s="1" t="s">
        <v>4840</v>
      </c>
      <c r="F739" s="1" t="s">
        <v>4841</v>
      </c>
      <c r="G739" s="1" t="s">
        <v>4842</v>
      </c>
      <c r="H739" s="1" t="s">
        <v>4841</v>
      </c>
      <c r="I739" s="1" t="s">
        <v>16451</v>
      </c>
      <c r="J739" s="1" t="s">
        <v>16452</v>
      </c>
      <c r="K739" s="1">
        <v>7</v>
      </c>
      <c r="L739" s="1" t="s">
        <v>4299</v>
      </c>
      <c r="M739" s="1">
        <v>13</v>
      </c>
      <c r="N739" s="1" t="s">
        <v>4300</v>
      </c>
    </row>
    <row r="740" spans="1:14" x14ac:dyDescent="0.15">
      <c r="A740" s="1">
        <v>155</v>
      </c>
      <c r="B740" s="1" t="s">
        <v>4809</v>
      </c>
      <c r="C740" s="1" t="s">
        <v>4840</v>
      </c>
      <c r="D740" s="1" t="s">
        <v>4841</v>
      </c>
      <c r="E740" s="1" t="s">
        <v>4840</v>
      </c>
      <c r="F740" s="1" t="s">
        <v>4841</v>
      </c>
      <c r="G740" s="1" t="s">
        <v>4842</v>
      </c>
      <c r="H740" s="1" t="s">
        <v>4841</v>
      </c>
      <c r="I740" s="1" t="s">
        <v>10179</v>
      </c>
      <c r="J740" s="1" t="s">
        <v>4844</v>
      </c>
      <c r="K740" s="1">
        <v>7</v>
      </c>
      <c r="L740" s="1" t="s">
        <v>4299</v>
      </c>
      <c r="M740" s="1">
        <v>13</v>
      </c>
      <c r="N740" s="1" t="s">
        <v>4300</v>
      </c>
    </row>
    <row r="741" spans="1:14" x14ac:dyDescent="0.15">
      <c r="A741" s="1">
        <v>155</v>
      </c>
      <c r="B741" s="1" t="s">
        <v>4809</v>
      </c>
      <c r="C741" s="1" t="s">
        <v>4845</v>
      </c>
      <c r="D741" s="1" t="s">
        <v>4846</v>
      </c>
      <c r="E741" s="1" t="s">
        <v>4845</v>
      </c>
      <c r="F741" s="1" t="s">
        <v>4846</v>
      </c>
      <c r="G741" s="1" t="s">
        <v>4847</v>
      </c>
      <c r="H741" s="1" t="s">
        <v>4846</v>
      </c>
      <c r="I741" s="1" t="s">
        <v>16483</v>
      </c>
      <c r="J741" s="1" t="s">
        <v>16484</v>
      </c>
      <c r="K741" s="1">
        <v>7</v>
      </c>
      <c r="L741" s="1" t="s">
        <v>4299</v>
      </c>
      <c r="M741" s="1">
        <v>13</v>
      </c>
      <c r="N741" s="1" t="s">
        <v>4300</v>
      </c>
    </row>
    <row r="742" spans="1:14" x14ac:dyDescent="0.15">
      <c r="A742" s="1">
        <v>155</v>
      </c>
      <c r="B742" s="1" t="s">
        <v>4809</v>
      </c>
      <c r="C742" s="1" t="s">
        <v>4845</v>
      </c>
      <c r="D742" s="1" t="s">
        <v>4846</v>
      </c>
      <c r="E742" s="1" t="s">
        <v>4845</v>
      </c>
      <c r="F742" s="1" t="s">
        <v>4846</v>
      </c>
      <c r="G742" s="1" t="s">
        <v>4847</v>
      </c>
      <c r="H742" s="1" t="s">
        <v>4846</v>
      </c>
      <c r="I742" s="1" t="s">
        <v>16487</v>
      </c>
      <c r="J742" s="1" t="s">
        <v>4848</v>
      </c>
      <c r="K742" s="1">
        <v>7</v>
      </c>
      <c r="L742" s="1" t="s">
        <v>4299</v>
      </c>
      <c r="M742" s="1">
        <v>13</v>
      </c>
      <c r="N742" s="1" t="s">
        <v>4300</v>
      </c>
    </row>
    <row r="743" spans="1:14" x14ac:dyDescent="0.15">
      <c r="A743" s="1">
        <v>155</v>
      </c>
      <c r="B743" s="1" t="s">
        <v>4809</v>
      </c>
      <c r="C743" s="1" t="s">
        <v>4849</v>
      </c>
      <c r="D743" s="1" t="s">
        <v>4850</v>
      </c>
      <c r="E743" s="1" t="s">
        <v>4849</v>
      </c>
      <c r="F743" s="1" t="s">
        <v>4850</v>
      </c>
      <c r="G743" s="1" t="s">
        <v>4851</v>
      </c>
      <c r="H743" s="1" t="s">
        <v>4850</v>
      </c>
      <c r="I743" s="1" t="s">
        <v>16347</v>
      </c>
      <c r="J743" s="1" t="s">
        <v>16348</v>
      </c>
      <c r="K743" s="1">
        <v>7</v>
      </c>
      <c r="L743" s="1" t="s">
        <v>4299</v>
      </c>
      <c r="M743" s="1">
        <v>13</v>
      </c>
      <c r="N743" s="1" t="s">
        <v>4300</v>
      </c>
    </row>
    <row r="744" spans="1:14" x14ac:dyDescent="0.15">
      <c r="A744" s="1">
        <v>155</v>
      </c>
      <c r="B744" s="1" t="s">
        <v>4809</v>
      </c>
      <c r="C744" s="1" t="s">
        <v>4849</v>
      </c>
      <c r="D744" s="1" t="s">
        <v>4850</v>
      </c>
      <c r="E744" s="1" t="s">
        <v>4849</v>
      </c>
      <c r="F744" s="1" t="s">
        <v>4850</v>
      </c>
      <c r="G744" s="1" t="s">
        <v>4851</v>
      </c>
      <c r="H744" s="1" t="s">
        <v>4850</v>
      </c>
      <c r="I744" s="1" t="s">
        <v>16371</v>
      </c>
      <c r="J744" s="1" t="s">
        <v>16372</v>
      </c>
      <c r="K744" s="1">
        <v>7</v>
      </c>
      <c r="L744" s="1" t="s">
        <v>4299</v>
      </c>
      <c r="M744" s="1">
        <v>13</v>
      </c>
      <c r="N744" s="1" t="s">
        <v>4300</v>
      </c>
    </row>
    <row r="745" spans="1:14" x14ac:dyDescent="0.15">
      <c r="A745" s="1">
        <v>155</v>
      </c>
      <c r="B745" s="1" t="s">
        <v>4809</v>
      </c>
      <c r="C745" s="1" t="s">
        <v>4849</v>
      </c>
      <c r="D745" s="1" t="s">
        <v>4850</v>
      </c>
      <c r="E745" s="1" t="s">
        <v>4849</v>
      </c>
      <c r="F745" s="1" t="s">
        <v>4850</v>
      </c>
      <c r="G745" s="1" t="s">
        <v>4851</v>
      </c>
      <c r="H745" s="1" t="s">
        <v>4850</v>
      </c>
      <c r="I745" s="1" t="s">
        <v>16415</v>
      </c>
      <c r="J745" s="1" t="s">
        <v>16416</v>
      </c>
      <c r="K745" s="1">
        <v>7</v>
      </c>
      <c r="L745" s="1" t="s">
        <v>4299</v>
      </c>
      <c r="M745" s="1">
        <v>13</v>
      </c>
      <c r="N745" s="1" t="s">
        <v>4300</v>
      </c>
    </row>
    <row r="746" spans="1:14" x14ac:dyDescent="0.15">
      <c r="A746" s="1">
        <v>155</v>
      </c>
      <c r="B746" s="1" t="s">
        <v>4809</v>
      </c>
      <c r="C746" s="1" t="s">
        <v>4849</v>
      </c>
      <c r="D746" s="1" t="s">
        <v>4850</v>
      </c>
      <c r="E746" s="1" t="s">
        <v>4849</v>
      </c>
      <c r="F746" s="1" t="s">
        <v>4850</v>
      </c>
      <c r="G746" s="1" t="s">
        <v>4851</v>
      </c>
      <c r="H746" s="1" t="s">
        <v>4850</v>
      </c>
      <c r="I746" s="1" t="s">
        <v>16419</v>
      </c>
      <c r="J746" s="1" t="s">
        <v>7018</v>
      </c>
      <c r="K746" s="1">
        <v>7</v>
      </c>
      <c r="L746" s="1" t="s">
        <v>4299</v>
      </c>
      <c r="M746" s="1">
        <v>13</v>
      </c>
      <c r="N746" s="1" t="s">
        <v>4300</v>
      </c>
    </row>
    <row r="747" spans="1:14" x14ac:dyDescent="0.15">
      <c r="A747" s="1">
        <v>155</v>
      </c>
      <c r="B747" s="1" t="s">
        <v>4809</v>
      </c>
      <c r="C747" s="1" t="s">
        <v>4849</v>
      </c>
      <c r="D747" s="1" t="s">
        <v>4850</v>
      </c>
      <c r="E747" s="1" t="s">
        <v>4849</v>
      </c>
      <c r="F747" s="1" t="s">
        <v>4850</v>
      </c>
      <c r="G747" s="1" t="s">
        <v>4851</v>
      </c>
      <c r="H747" s="1" t="s">
        <v>4850</v>
      </c>
      <c r="I747" s="1" t="s">
        <v>16431</v>
      </c>
      <c r="J747" s="1" t="s">
        <v>16432</v>
      </c>
      <c r="K747" s="1">
        <v>7</v>
      </c>
      <c r="L747" s="1" t="s">
        <v>4299</v>
      </c>
      <c r="M747" s="1">
        <v>13</v>
      </c>
      <c r="N747" s="1" t="s">
        <v>4300</v>
      </c>
    </row>
    <row r="748" spans="1:14" x14ac:dyDescent="0.15">
      <c r="A748" s="1">
        <v>155</v>
      </c>
      <c r="B748" s="1" t="s">
        <v>4809</v>
      </c>
      <c r="C748" s="1" t="s">
        <v>4849</v>
      </c>
      <c r="D748" s="1" t="s">
        <v>4850</v>
      </c>
      <c r="E748" s="1" t="s">
        <v>4849</v>
      </c>
      <c r="F748" s="1" t="s">
        <v>4850</v>
      </c>
      <c r="G748" s="1" t="s">
        <v>4851</v>
      </c>
      <c r="H748" s="1" t="s">
        <v>4850</v>
      </c>
      <c r="I748" s="1" t="s">
        <v>16443</v>
      </c>
      <c r="J748" s="1" t="s">
        <v>5722</v>
      </c>
      <c r="K748" s="1">
        <v>7</v>
      </c>
      <c r="L748" s="1" t="s">
        <v>4299</v>
      </c>
      <c r="M748" s="1">
        <v>13</v>
      </c>
      <c r="N748" s="1" t="s">
        <v>4300</v>
      </c>
    </row>
    <row r="749" spans="1:14" x14ac:dyDescent="0.15">
      <c r="A749" s="1">
        <v>155</v>
      </c>
      <c r="B749" s="1" t="s">
        <v>4809</v>
      </c>
      <c r="C749" s="1" t="s">
        <v>4849</v>
      </c>
      <c r="D749" s="1" t="s">
        <v>4850</v>
      </c>
      <c r="E749" s="1" t="s">
        <v>4849</v>
      </c>
      <c r="F749" s="1" t="s">
        <v>4850</v>
      </c>
      <c r="G749" s="1" t="s">
        <v>4851</v>
      </c>
      <c r="H749" s="1" t="s">
        <v>4850</v>
      </c>
      <c r="I749" s="1" t="s">
        <v>16447</v>
      </c>
      <c r="J749" s="1" t="s">
        <v>16448</v>
      </c>
      <c r="K749" s="1">
        <v>7</v>
      </c>
      <c r="L749" s="1" t="s">
        <v>4299</v>
      </c>
      <c r="M749" s="1">
        <v>13</v>
      </c>
      <c r="N749" s="1" t="s">
        <v>4300</v>
      </c>
    </row>
    <row r="750" spans="1:14" x14ac:dyDescent="0.15">
      <c r="A750" s="1">
        <v>155</v>
      </c>
      <c r="B750" s="1" t="s">
        <v>4809</v>
      </c>
      <c r="C750" s="1" t="s">
        <v>4840</v>
      </c>
      <c r="D750" s="1" t="s">
        <v>4841</v>
      </c>
      <c r="E750" s="1" t="s">
        <v>4840</v>
      </c>
      <c r="F750" s="1" t="s">
        <v>4841</v>
      </c>
      <c r="G750" s="1" t="s">
        <v>4842</v>
      </c>
      <c r="H750" s="1" t="s">
        <v>4841</v>
      </c>
      <c r="I750" s="1" t="s">
        <v>10447</v>
      </c>
      <c r="J750" s="1" t="s">
        <v>4852</v>
      </c>
      <c r="K750" s="1">
        <v>7</v>
      </c>
      <c r="L750" s="1" t="s">
        <v>4299</v>
      </c>
      <c r="M750" s="1">
        <v>13</v>
      </c>
      <c r="N750" s="1" t="s">
        <v>4300</v>
      </c>
    </row>
    <row r="751" spans="1:14" x14ac:dyDescent="0.15">
      <c r="A751" s="1">
        <v>155</v>
      </c>
      <c r="B751" s="1" t="s">
        <v>4809</v>
      </c>
      <c r="C751" s="1" t="s">
        <v>4849</v>
      </c>
      <c r="D751" s="1" t="s">
        <v>4850</v>
      </c>
      <c r="E751" s="1" t="s">
        <v>4849</v>
      </c>
      <c r="F751" s="1" t="s">
        <v>4850</v>
      </c>
      <c r="G751" s="1" t="s">
        <v>4851</v>
      </c>
      <c r="H751" s="1" t="s">
        <v>4850</v>
      </c>
      <c r="I751" s="1" t="s">
        <v>15918</v>
      </c>
      <c r="J751" s="1" t="s">
        <v>15919</v>
      </c>
      <c r="K751" s="1">
        <v>7</v>
      </c>
      <c r="L751" s="1" t="s">
        <v>4299</v>
      </c>
      <c r="M751" s="1">
        <v>13</v>
      </c>
      <c r="N751" s="1" t="s">
        <v>4300</v>
      </c>
    </row>
    <row r="752" spans="1:14" x14ac:dyDescent="0.15">
      <c r="A752" s="1">
        <v>155</v>
      </c>
      <c r="B752" s="1" t="s">
        <v>4809</v>
      </c>
      <c r="C752" s="1" t="s">
        <v>4849</v>
      </c>
      <c r="D752" s="1" t="s">
        <v>4850</v>
      </c>
      <c r="E752" s="1" t="s">
        <v>4849</v>
      </c>
      <c r="F752" s="1" t="s">
        <v>4850</v>
      </c>
      <c r="G752" s="1" t="s">
        <v>4851</v>
      </c>
      <c r="H752" s="1" t="s">
        <v>4850</v>
      </c>
      <c r="I752" s="1" t="s">
        <v>15926</v>
      </c>
      <c r="J752" s="1" t="s">
        <v>15927</v>
      </c>
      <c r="K752" s="1">
        <v>7</v>
      </c>
      <c r="L752" s="1" t="s">
        <v>4299</v>
      </c>
      <c r="M752" s="1">
        <v>13</v>
      </c>
      <c r="N752" s="1" t="s">
        <v>4300</v>
      </c>
    </row>
    <row r="753" spans="1:14" x14ac:dyDescent="0.15">
      <c r="A753" s="1">
        <v>155</v>
      </c>
      <c r="B753" s="1" t="s">
        <v>4809</v>
      </c>
      <c r="C753" s="1" t="s">
        <v>4849</v>
      </c>
      <c r="D753" s="1" t="s">
        <v>4850</v>
      </c>
      <c r="E753" s="1" t="s">
        <v>4849</v>
      </c>
      <c r="F753" s="1" t="s">
        <v>4850</v>
      </c>
      <c r="G753" s="1" t="s">
        <v>4851</v>
      </c>
      <c r="H753" s="1" t="s">
        <v>4850</v>
      </c>
      <c r="I753" s="1" t="s">
        <v>15950</v>
      </c>
      <c r="J753" s="1" t="s">
        <v>4853</v>
      </c>
      <c r="K753" s="1">
        <v>7</v>
      </c>
      <c r="L753" s="1" t="s">
        <v>4299</v>
      </c>
      <c r="M753" s="1">
        <v>13</v>
      </c>
      <c r="N753" s="1" t="s">
        <v>4300</v>
      </c>
    </row>
    <row r="754" spans="1:14" x14ac:dyDescent="0.15">
      <c r="A754" s="1">
        <v>155</v>
      </c>
      <c r="B754" s="1" t="s">
        <v>4809</v>
      </c>
      <c r="C754" s="1" t="s">
        <v>4849</v>
      </c>
      <c r="D754" s="1" t="s">
        <v>4850</v>
      </c>
      <c r="E754" s="1" t="s">
        <v>4849</v>
      </c>
      <c r="F754" s="1" t="s">
        <v>4850</v>
      </c>
      <c r="G754" s="1" t="s">
        <v>4851</v>
      </c>
      <c r="H754" s="1" t="s">
        <v>4850</v>
      </c>
      <c r="I754" s="1" t="s">
        <v>15958</v>
      </c>
      <c r="J754" s="1" t="s">
        <v>4835</v>
      </c>
      <c r="K754" s="1">
        <v>7</v>
      </c>
      <c r="L754" s="1" t="s">
        <v>4299</v>
      </c>
      <c r="M754" s="1">
        <v>13</v>
      </c>
      <c r="N754" s="1" t="s">
        <v>4300</v>
      </c>
    </row>
    <row r="755" spans="1:14" x14ac:dyDescent="0.15">
      <c r="A755" s="1">
        <v>156</v>
      </c>
      <c r="B755" s="1" t="s">
        <v>4854</v>
      </c>
      <c r="C755" s="1" t="s">
        <v>4855</v>
      </c>
      <c r="D755" s="1" t="s">
        <v>4854</v>
      </c>
      <c r="E755" s="1" t="s">
        <v>4855</v>
      </c>
      <c r="F755" s="1" t="s">
        <v>4854</v>
      </c>
      <c r="G755" s="1" t="s">
        <v>4856</v>
      </c>
      <c r="H755" s="1" t="s">
        <v>4854</v>
      </c>
      <c r="I755" s="1" t="s">
        <v>15946</v>
      </c>
      <c r="J755" s="1" t="s">
        <v>4703</v>
      </c>
      <c r="K755" s="1">
        <v>12</v>
      </c>
      <c r="L755" s="1" t="s">
        <v>4264</v>
      </c>
      <c r="M755" s="1">
        <v>15</v>
      </c>
      <c r="N755" s="1" t="s">
        <v>4365</v>
      </c>
    </row>
    <row r="756" spans="1:14" x14ac:dyDescent="0.15">
      <c r="A756" s="1">
        <v>156</v>
      </c>
      <c r="B756" s="1" t="s">
        <v>4854</v>
      </c>
      <c r="C756" s="1" t="s">
        <v>4855</v>
      </c>
      <c r="D756" s="1" t="s">
        <v>4854</v>
      </c>
      <c r="E756" s="1" t="s">
        <v>4855</v>
      </c>
      <c r="F756" s="1" t="s">
        <v>4854</v>
      </c>
      <c r="G756" s="1" t="s">
        <v>4856</v>
      </c>
      <c r="H756" s="1" t="s">
        <v>4854</v>
      </c>
      <c r="I756" s="1" t="s">
        <v>14756</v>
      </c>
      <c r="J756" s="1" t="s">
        <v>14757</v>
      </c>
      <c r="K756" s="1">
        <v>12</v>
      </c>
      <c r="L756" s="1" t="s">
        <v>4264</v>
      </c>
      <c r="M756" s="1">
        <v>15</v>
      </c>
      <c r="N756" s="1" t="s">
        <v>4365</v>
      </c>
    </row>
    <row r="757" spans="1:14" x14ac:dyDescent="0.15">
      <c r="A757" s="1">
        <v>156</v>
      </c>
      <c r="B757" s="1" t="s">
        <v>4854</v>
      </c>
      <c r="C757" s="1" t="s">
        <v>4855</v>
      </c>
      <c r="D757" s="1" t="s">
        <v>4854</v>
      </c>
      <c r="E757" s="1" t="s">
        <v>4855</v>
      </c>
      <c r="F757" s="1" t="s">
        <v>4854</v>
      </c>
      <c r="G757" s="1" t="s">
        <v>4857</v>
      </c>
      <c r="H757" s="1" t="s">
        <v>4858</v>
      </c>
      <c r="I757" s="1" t="s">
        <v>15946</v>
      </c>
      <c r="J757" s="1" t="s">
        <v>4703</v>
      </c>
      <c r="K757" s="1">
        <v>12</v>
      </c>
      <c r="L757" s="1" t="s">
        <v>4264</v>
      </c>
      <c r="M757" s="1">
        <v>15</v>
      </c>
      <c r="N757" s="1" t="s">
        <v>4365</v>
      </c>
    </row>
    <row r="758" spans="1:14" x14ac:dyDescent="0.15">
      <c r="A758" s="1">
        <v>156</v>
      </c>
      <c r="B758" s="1" t="s">
        <v>4854</v>
      </c>
      <c r="C758" s="1" t="s">
        <v>4855</v>
      </c>
      <c r="D758" s="1" t="s">
        <v>4854</v>
      </c>
      <c r="E758" s="1" t="s">
        <v>4855</v>
      </c>
      <c r="F758" s="1" t="s">
        <v>4854</v>
      </c>
      <c r="G758" s="1" t="s">
        <v>4857</v>
      </c>
      <c r="H758" s="1" t="s">
        <v>4858</v>
      </c>
      <c r="I758" s="1" t="s">
        <v>14756</v>
      </c>
      <c r="J758" s="1" t="s">
        <v>14757</v>
      </c>
      <c r="K758" s="1">
        <v>12</v>
      </c>
      <c r="L758" s="1" t="s">
        <v>4264</v>
      </c>
      <c r="M758" s="1">
        <v>15</v>
      </c>
      <c r="N758" s="1" t="s">
        <v>4365</v>
      </c>
    </row>
    <row r="759" spans="1:14" x14ac:dyDescent="0.15">
      <c r="A759" s="1">
        <v>156</v>
      </c>
      <c r="B759" s="1" t="s">
        <v>4854</v>
      </c>
      <c r="C759" s="1" t="s">
        <v>4855</v>
      </c>
      <c r="D759" s="1" t="s">
        <v>4854</v>
      </c>
      <c r="E759" s="1" t="s">
        <v>4855</v>
      </c>
      <c r="F759" s="1" t="s">
        <v>4854</v>
      </c>
      <c r="G759" s="1" t="s">
        <v>4859</v>
      </c>
      <c r="H759" s="1" t="s">
        <v>4860</v>
      </c>
      <c r="I759" s="1" t="s">
        <v>15946</v>
      </c>
      <c r="J759" s="1" t="s">
        <v>4703</v>
      </c>
      <c r="K759" s="1">
        <v>12</v>
      </c>
      <c r="L759" s="1" t="s">
        <v>4264</v>
      </c>
      <c r="M759" s="1">
        <v>15</v>
      </c>
      <c r="N759" s="1" t="s">
        <v>4365</v>
      </c>
    </row>
    <row r="760" spans="1:14" x14ac:dyDescent="0.15">
      <c r="A760" s="1">
        <v>156</v>
      </c>
      <c r="B760" s="1" t="s">
        <v>4854</v>
      </c>
      <c r="C760" s="1" t="s">
        <v>4855</v>
      </c>
      <c r="D760" s="1" t="s">
        <v>4854</v>
      </c>
      <c r="E760" s="1" t="s">
        <v>4855</v>
      </c>
      <c r="F760" s="1" t="s">
        <v>4854</v>
      </c>
      <c r="G760" s="1" t="s">
        <v>4859</v>
      </c>
      <c r="H760" s="1" t="s">
        <v>4860</v>
      </c>
      <c r="I760" s="1" t="s">
        <v>14756</v>
      </c>
      <c r="J760" s="1" t="s">
        <v>14757</v>
      </c>
      <c r="K760" s="1">
        <v>12</v>
      </c>
      <c r="L760" s="1" t="s">
        <v>4264</v>
      </c>
      <c r="M760" s="1">
        <v>15</v>
      </c>
      <c r="N760" s="1" t="s">
        <v>4365</v>
      </c>
    </row>
    <row r="761" spans="1:14" x14ac:dyDescent="0.15">
      <c r="A761" s="1">
        <v>160</v>
      </c>
      <c r="B761" s="1" t="s">
        <v>2462</v>
      </c>
      <c r="C761" s="1" t="s">
        <v>2463</v>
      </c>
      <c r="D761" s="1" t="s">
        <v>2462</v>
      </c>
      <c r="E761" s="1" t="s">
        <v>2463</v>
      </c>
      <c r="F761" s="1" t="s">
        <v>2462</v>
      </c>
      <c r="G761" s="1" t="s">
        <v>2464</v>
      </c>
      <c r="H761" s="1" t="s">
        <v>2462</v>
      </c>
      <c r="I761" s="1" t="s">
        <v>11879</v>
      </c>
      <c r="J761" s="1" t="s">
        <v>4278</v>
      </c>
      <c r="K761" s="1">
        <v>12</v>
      </c>
      <c r="L761" s="1" t="s">
        <v>4264</v>
      </c>
      <c r="M761" s="1">
        <v>1</v>
      </c>
      <c r="N761" s="1" t="s">
        <v>4318</v>
      </c>
    </row>
    <row r="762" spans="1:14" x14ac:dyDescent="0.15">
      <c r="A762" s="1">
        <v>160</v>
      </c>
      <c r="B762" s="1" t="s">
        <v>2462</v>
      </c>
      <c r="C762" s="1" t="s">
        <v>2463</v>
      </c>
      <c r="D762" s="1" t="s">
        <v>2462</v>
      </c>
      <c r="E762" s="1" t="s">
        <v>2465</v>
      </c>
      <c r="F762" s="1" t="s">
        <v>2466</v>
      </c>
      <c r="G762" s="1" t="s">
        <v>2467</v>
      </c>
      <c r="H762" s="1" t="s">
        <v>2466</v>
      </c>
      <c r="I762" s="1" t="s">
        <v>2468</v>
      </c>
      <c r="J762" s="1" t="s">
        <v>6588</v>
      </c>
      <c r="K762" s="1">
        <v>12</v>
      </c>
      <c r="L762" s="1" t="s">
        <v>4264</v>
      </c>
      <c r="M762" s="1">
        <v>1</v>
      </c>
      <c r="N762" s="1" t="s">
        <v>4318</v>
      </c>
    </row>
    <row r="763" spans="1:14" x14ac:dyDescent="0.15">
      <c r="A763" s="1">
        <v>160</v>
      </c>
      <c r="B763" s="1" t="s">
        <v>2462</v>
      </c>
      <c r="C763" s="1" t="s">
        <v>2463</v>
      </c>
      <c r="D763" s="1" t="s">
        <v>2462</v>
      </c>
      <c r="E763" s="1" t="s">
        <v>2465</v>
      </c>
      <c r="F763" s="1" t="s">
        <v>2466</v>
      </c>
      <c r="G763" s="1" t="s">
        <v>2467</v>
      </c>
      <c r="H763" s="1" t="s">
        <v>2466</v>
      </c>
      <c r="I763" s="1" t="s">
        <v>11710</v>
      </c>
      <c r="J763" s="1" t="s">
        <v>18011</v>
      </c>
      <c r="K763" s="1">
        <v>12</v>
      </c>
      <c r="L763" s="1" t="s">
        <v>4264</v>
      </c>
      <c r="M763" s="1">
        <v>1</v>
      </c>
      <c r="N763" s="1" t="s">
        <v>4318</v>
      </c>
    </row>
    <row r="764" spans="1:14" x14ac:dyDescent="0.15">
      <c r="A764" s="1">
        <v>160</v>
      </c>
      <c r="B764" s="1" t="s">
        <v>2462</v>
      </c>
      <c r="C764" s="1" t="s">
        <v>2463</v>
      </c>
      <c r="D764" s="1" t="s">
        <v>2462</v>
      </c>
      <c r="E764" s="1" t="s">
        <v>2465</v>
      </c>
      <c r="F764" s="1" t="s">
        <v>2466</v>
      </c>
      <c r="G764" s="1" t="s">
        <v>2467</v>
      </c>
      <c r="H764" s="1" t="s">
        <v>2466</v>
      </c>
      <c r="I764" s="1" t="s">
        <v>11722</v>
      </c>
      <c r="J764" s="1" t="s">
        <v>6593</v>
      </c>
      <c r="K764" s="1">
        <v>12</v>
      </c>
      <c r="L764" s="1" t="s">
        <v>4264</v>
      </c>
      <c r="M764" s="1">
        <v>1</v>
      </c>
      <c r="N764" s="1" t="s">
        <v>4318</v>
      </c>
    </row>
    <row r="765" spans="1:14" x14ac:dyDescent="0.15">
      <c r="A765" s="1">
        <v>160</v>
      </c>
      <c r="B765" s="1" t="s">
        <v>2462</v>
      </c>
      <c r="C765" s="1" t="s">
        <v>2463</v>
      </c>
      <c r="D765" s="1" t="s">
        <v>2462</v>
      </c>
      <c r="E765" s="1" t="s">
        <v>2465</v>
      </c>
      <c r="F765" s="1" t="s">
        <v>2466</v>
      </c>
      <c r="G765" s="1" t="s">
        <v>2467</v>
      </c>
      <c r="H765" s="1" t="s">
        <v>2466</v>
      </c>
      <c r="I765" s="1" t="s">
        <v>11729</v>
      </c>
      <c r="J765" s="1" t="s">
        <v>6594</v>
      </c>
      <c r="K765" s="1">
        <v>12</v>
      </c>
      <c r="L765" s="1" t="s">
        <v>4264</v>
      </c>
      <c r="M765" s="1">
        <v>1</v>
      </c>
      <c r="N765" s="1" t="s">
        <v>4318</v>
      </c>
    </row>
    <row r="766" spans="1:14" x14ac:dyDescent="0.15">
      <c r="A766" s="1">
        <v>160</v>
      </c>
      <c r="B766" s="1" t="s">
        <v>2462</v>
      </c>
      <c r="C766" s="1" t="s">
        <v>2463</v>
      </c>
      <c r="D766" s="1" t="s">
        <v>2462</v>
      </c>
      <c r="E766" s="1" t="s">
        <v>2465</v>
      </c>
      <c r="F766" s="1" t="s">
        <v>2466</v>
      </c>
      <c r="G766" s="1" t="s">
        <v>2467</v>
      </c>
      <c r="H766" s="1" t="s">
        <v>2466</v>
      </c>
      <c r="I766" s="1" t="s">
        <v>11739</v>
      </c>
      <c r="J766" s="1" t="s">
        <v>6595</v>
      </c>
      <c r="K766" s="1">
        <v>12</v>
      </c>
      <c r="L766" s="1" t="s">
        <v>4264</v>
      </c>
      <c r="M766" s="1">
        <v>1</v>
      </c>
      <c r="N766" s="1" t="s">
        <v>4318</v>
      </c>
    </row>
    <row r="767" spans="1:14" x14ac:dyDescent="0.15">
      <c r="A767" s="1">
        <v>160</v>
      </c>
      <c r="B767" s="1" t="s">
        <v>2462</v>
      </c>
      <c r="C767" s="1" t="s">
        <v>2463</v>
      </c>
      <c r="D767" s="1" t="s">
        <v>2462</v>
      </c>
      <c r="E767" s="1" t="s">
        <v>2465</v>
      </c>
      <c r="F767" s="1" t="s">
        <v>2466</v>
      </c>
      <c r="G767" s="1" t="s">
        <v>2467</v>
      </c>
      <c r="H767" s="1" t="s">
        <v>2466</v>
      </c>
      <c r="I767" s="1" t="s">
        <v>11748</v>
      </c>
      <c r="J767" s="1" t="s">
        <v>18031</v>
      </c>
      <c r="K767" s="1">
        <v>12</v>
      </c>
      <c r="L767" s="1" t="s">
        <v>4264</v>
      </c>
      <c r="M767" s="1">
        <v>1</v>
      </c>
      <c r="N767" s="1" t="s">
        <v>4318</v>
      </c>
    </row>
    <row r="768" spans="1:14" x14ac:dyDescent="0.15">
      <c r="A768" s="1">
        <v>160</v>
      </c>
      <c r="B768" s="1" t="s">
        <v>2462</v>
      </c>
      <c r="C768" s="1" t="s">
        <v>2463</v>
      </c>
      <c r="D768" s="1" t="s">
        <v>2462</v>
      </c>
      <c r="E768" s="1" t="s">
        <v>2465</v>
      </c>
      <c r="F768" s="1" t="s">
        <v>2466</v>
      </c>
      <c r="G768" s="1" t="s">
        <v>2467</v>
      </c>
      <c r="H768" s="1" t="s">
        <v>2466</v>
      </c>
      <c r="I768" s="1" t="s">
        <v>11754</v>
      </c>
      <c r="J768" s="1" t="s">
        <v>4325</v>
      </c>
      <c r="K768" s="1">
        <v>12</v>
      </c>
      <c r="L768" s="1" t="s">
        <v>4264</v>
      </c>
      <c r="M768" s="1">
        <v>1</v>
      </c>
      <c r="N768" s="1" t="s">
        <v>4318</v>
      </c>
    </row>
    <row r="769" spans="1:14" x14ac:dyDescent="0.15">
      <c r="A769" s="1">
        <v>160</v>
      </c>
      <c r="B769" s="1" t="s">
        <v>2462</v>
      </c>
      <c r="C769" s="1" t="s">
        <v>2463</v>
      </c>
      <c r="D769" s="1" t="s">
        <v>2462</v>
      </c>
      <c r="E769" s="1" t="s">
        <v>2465</v>
      </c>
      <c r="F769" s="1" t="s">
        <v>2466</v>
      </c>
      <c r="G769" s="1" t="s">
        <v>2467</v>
      </c>
      <c r="H769" s="1" t="s">
        <v>2466</v>
      </c>
      <c r="I769" s="1" t="s">
        <v>11758</v>
      </c>
      <c r="J769" s="1" t="s">
        <v>18039</v>
      </c>
      <c r="K769" s="1">
        <v>12</v>
      </c>
      <c r="L769" s="1" t="s">
        <v>4264</v>
      </c>
      <c r="M769" s="1">
        <v>1</v>
      </c>
      <c r="N769" s="1" t="s">
        <v>4318</v>
      </c>
    </row>
    <row r="770" spans="1:14" x14ac:dyDescent="0.15">
      <c r="A770" s="1">
        <v>160</v>
      </c>
      <c r="B770" s="1" t="s">
        <v>2462</v>
      </c>
      <c r="C770" s="1" t="s">
        <v>2463</v>
      </c>
      <c r="D770" s="1" t="s">
        <v>2462</v>
      </c>
      <c r="E770" s="1" t="s">
        <v>2465</v>
      </c>
      <c r="F770" s="1" t="s">
        <v>2466</v>
      </c>
      <c r="G770" s="1" t="s">
        <v>2467</v>
      </c>
      <c r="H770" s="1" t="s">
        <v>2466</v>
      </c>
      <c r="I770" s="1" t="s">
        <v>12607</v>
      </c>
      <c r="J770" s="1" t="s">
        <v>18082</v>
      </c>
      <c r="K770" s="1">
        <v>12</v>
      </c>
      <c r="L770" s="1" t="s">
        <v>4264</v>
      </c>
      <c r="M770" s="1">
        <v>1</v>
      </c>
      <c r="N770" s="1" t="s">
        <v>4318</v>
      </c>
    </row>
    <row r="771" spans="1:14" x14ac:dyDescent="0.15">
      <c r="A771" s="1">
        <v>160</v>
      </c>
      <c r="B771" s="1" t="s">
        <v>2462</v>
      </c>
      <c r="C771" s="1" t="s">
        <v>2463</v>
      </c>
      <c r="D771" s="1" t="s">
        <v>2462</v>
      </c>
      <c r="E771" s="1" t="s">
        <v>2469</v>
      </c>
      <c r="F771" s="1" t="s">
        <v>2470</v>
      </c>
      <c r="G771" s="1" t="s">
        <v>2471</v>
      </c>
      <c r="H771" s="1" t="s">
        <v>2470</v>
      </c>
      <c r="I771" s="1" t="s">
        <v>2468</v>
      </c>
      <c r="J771" s="1" t="s">
        <v>6588</v>
      </c>
      <c r="K771" s="1">
        <v>12</v>
      </c>
      <c r="L771" s="1" t="s">
        <v>4264</v>
      </c>
      <c r="M771" s="1">
        <v>1</v>
      </c>
      <c r="N771" s="1" t="s">
        <v>4318</v>
      </c>
    </row>
    <row r="772" spans="1:14" x14ac:dyDescent="0.15">
      <c r="A772" s="1">
        <v>160</v>
      </c>
      <c r="B772" s="1" t="s">
        <v>2462</v>
      </c>
      <c r="C772" s="1" t="s">
        <v>2463</v>
      </c>
      <c r="D772" s="1" t="s">
        <v>2462</v>
      </c>
      <c r="E772" s="1" t="s">
        <v>2469</v>
      </c>
      <c r="F772" s="1" t="s">
        <v>2470</v>
      </c>
      <c r="G772" s="1" t="s">
        <v>2471</v>
      </c>
      <c r="H772" s="1" t="s">
        <v>2470</v>
      </c>
      <c r="I772" s="1" t="s">
        <v>17980</v>
      </c>
      <c r="J772" s="1" t="s">
        <v>17977</v>
      </c>
      <c r="K772" s="1">
        <v>12</v>
      </c>
      <c r="L772" s="1" t="s">
        <v>4264</v>
      </c>
      <c r="M772" s="1">
        <v>1</v>
      </c>
      <c r="N772" s="1" t="s">
        <v>4318</v>
      </c>
    </row>
    <row r="773" spans="1:14" x14ac:dyDescent="0.15">
      <c r="A773" s="1">
        <v>160</v>
      </c>
      <c r="B773" s="1" t="s">
        <v>2462</v>
      </c>
      <c r="C773" s="1" t="s">
        <v>2463</v>
      </c>
      <c r="D773" s="1" t="s">
        <v>2462</v>
      </c>
      <c r="E773" s="1" t="s">
        <v>2469</v>
      </c>
      <c r="F773" s="1" t="s">
        <v>2470</v>
      </c>
      <c r="G773" s="1" t="s">
        <v>2471</v>
      </c>
      <c r="H773" s="1" t="s">
        <v>2470</v>
      </c>
      <c r="I773" s="1" t="s">
        <v>11763</v>
      </c>
      <c r="J773" s="1" t="s">
        <v>2472</v>
      </c>
      <c r="K773" s="1">
        <v>12</v>
      </c>
      <c r="L773" s="1" t="s">
        <v>4264</v>
      </c>
      <c r="M773" s="1">
        <v>1</v>
      </c>
      <c r="N773" s="1" t="s">
        <v>4318</v>
      </c>
    </row>
    <row r="774" spans="1:14" x14ac:dyDescent="0.15">
      <c r="A774" s="1">
        <v>160</v>
      </c>
      <c r="B774" s="1" t="s">
        <v>2462</v>
      </c>
      <c r="C774" s="1" t="s">
        <v>2463</v>
      </c>
      <c r="D774" s="1" t="s">
        <v>2462</v>
      </c>
      <c r="E774" s="1" t="s">
        <v>2469</v>
      </c>
      <c r="F774" s="1" t="s">
        <v>2470</v>
      </c>
      <c r="G774" s="1" t="s">
        <v>2471</v>
      </c>
      <c r="H774" s="1" t="s">
        <v>2470</v>
      </c>
      <c r="I774" s="1" t="s">
        <v>11766</v>
      </c>
      <c r="J774" s="1" t="s">
        <v>2473</v>
      </c>
      <c r="K774" s="1">
        <v>12</v>
      </c>
      <c r="L774" s="1" t="s">
        <v>4264</v>
      </c>
      <c r="M774" s="1">
        <v>1</v>
      </c>
      <c r="N774" s="1" t="s">
        <v>4318</v>
      </c>
    </row>
    <row r="775" spans="1:14" x14ac:dyDescent="0.15">
      <c r="A775" s="1">
        <v>160</v>
      </c>
      <c r="B775" s="1" t="s">
        <v>2462</v>
      </c>
      <c r="C775" s="1" t="s">
        <v>2463</v>
      </c>
      <c r="D775" s="1" t="s">
        <v>2462</v>
      </c>
      <c r="E775" s="1" t="s">
        <v>2474</v>
      </c>
      <c r="F775" s="1" t="s">
        <v>2475</v>
      </c>
      <c r="G775" s="1" t="s">
        <v>2476</v>
      </c>
      <c r="H775" s="1" t="s">
        <v>2475</v>
      </c>
      <c r="I775" s="1" t="s">
        <v>2468</v>
      </c>
      <c r="J775" s="1" t="s">
        <v>6588</v>
      </c>
      <c r="K775" s="1">
        <v>12</v>
      </c>
      <c r="L775" s="1" t="s">
        <v>4264</v>
      </c>
      <c r="M775" s="1">
        <v>1</v>
      </c>
      <c r="N775" s="1" t="s">
        <v>4318</v>
      </c>
    </row>
    <row r="776" spans="1:14" x14ac:dyDescent="0.15">
      <c r="A776" s="1">
        <v>160</v>
      </c>
      <c r="B776" s="1" t="s">
        <v>2462</v>
      </c>
      <c r="C776" s="1" t="s">
        <v>2463</v>
      </c>
      <c r="D776" s="1" t="s">
        <v>2462</v>
      </c>
      <c r="E776" s="1" t="s">
        <v>2474</v>
      </c>
      <c r="F776" s="1" t="s">
        <v>2475</v>
      </c>
      <c r="G776" s="1" t="s">
        <v>2476</v>
      </c>
      <c r="H776" s="1" t="s">
        <v>2475</v>
      </c>
      <c r="I776" s="1" t="s">
        <v>11773</v>
      </c>
      <c r="J776" s="1" t="s">
        <v>18054</v>
      </c>
      <c r="K776" s="1">
        <v>12</v>
      </c>
      <c r="L776" s="1" t="s">
        <v>4264</v>
      </c>
      <c r="M776" s="1">
        <v>1</v>
      </c>
      <c r="N776" s="1" t="s">
        <v>4318</v>
      </c>
    </row>
    <row r="777" spans="1:14" x14ac:dyDescent="0.15">
      <c r="A777" s="1">
        <v>160</v>
      </c>
      <c r="B777" s="1" t="s">
        <v>2462</v>
      </c>
      <c r="C777" s="1" t="s">
        <v>2463</v>
      </c>
      <c r="D777" s="1" t="s">
        <v>2462</v>
      </c>
      <c r="E777" s="1" t="s">
        <v>2474</v>
      </c>
      <c r="F777" s="1" t="s">
        <v>2475</v>
      </c>
      <c r="G777" s="1" t="s">
        <v>2476</v>
      </c>
      <c r="H777" s="1" t="s">
        <v>2475</v>
      </c>
      <c r="I777" s="1" t="s">
        <v>11227</v>
      </c>
      <c r="J777" s="1" t="s">
        <v>18058</v>
      </c>
      <c r="K777" s="1">
        <v>12</v>
      </c>
      <c r="L777" s="1" t="s">
        <v>4264</v>
      </c>
      <c r="M777" s="1">
        <v>1</v>
      </c>
      <c r="N777" s="1" t="s">
        <v>4318</v>
      </c>
    </row>
    <row r="778" spans="1:14" x14ac:dyDescent="0.15">
      <c r="A778" s="1">
        <v>160</v>
      </c>
      <c r="B778" s="1" t="s">
        <v>2462</v>
      </c>
      <c r="C778" s="1" t="s">
        <v>2463</v>
      </c>
      <c r="D778" s="1" t="s">
        <v>2462</v>
      </c>
      <c r="E778" s="1" t="s">
        <v>2474</v>
      </c>
      <c r="F778" s="1" t="s">
        <v>2475</v>
      </c>
      <c r="G778" s="1" t="s">
        <v>2476</v>
      </c>
      <c r="H778" s="1" t="s">
        <v>2475</v>
      </c>
      <c r="I778" s="1" t="s">
        <v>11230</v>
      </c>
      <c r="J778" s="1" t="s">
        <v>6606</v>
      </c>
      <c r="K778" s="1">
        <v>12</v>
      </c>
      <c r="L778" s="1" t="s">
        <v>4264</v>
      </c>
      <c r="M778" s="1">
        <v>1</v>
      </c>
      <c r="N778" s="1" t="s">
        <v>4318</v>
      </c>
    </row>
    <row r="779" spans="1:14" x14ac:dyDescent="0.15">
      <c r="A779" s="1">
        <v>160</v>
      </c>
      <c r="B779" s="1" t="s">
        <v>2462</v>
      </c>
      <c r="C779" s="1" t="s">
        <v>2463</v>
      </c>
      <c r="D779" s="1" t="s">
        <v>2462</v>
      </c>
      <c r="E779" s="1" t="s">
        <v>2474</v>
      </c>
      <c r="F779" s="1" t="s">
        <v>2475</v>
      </c>
      <c r="G779" s="1" t="s">
        <v>2476</v>
      </c>
      <c r="H779" s="1" t="s">
        <v>2475</v>
      </c>
      <c r="I779" s="1" t="s">
        <v>11233</v>
      </c>
      <c r="J779" s="1" t="s">
        <v>2477</v>
      </c>
      <c r="K779" s="1">
        <v>12</v>
      </c>
      <c r="L779" s="1" t="s">
        <v>4264</v>
      </c>
      <c r="M779" s="1">
        <v>1</v>
      </c>
      <c r="N779" s="1" t="s">
        <v>4318</v>
      </c>
    </row>
    <row r="780" spans="1:14" x14ac:dyDescent="0.15">
      <c r="A780" s="1">
        <v>160</v>
      </c>
      <c r="B780" s="1" t="s">
        <v>2462</v>
      </c>
      <c r="C780" s="1" t="s">
        <v>2463</v>
      </c>
      <c r="D780" s="1" t="s">
        <v>2462</v>
      </c>
      <c r="E780" s="1" t="s">
        <v>2474</v>
      </c>
      <c r="F780" s="1" t="s">
        <v>2475</v>
      </c>
      <c r="G780" s="1" t="s">
        <v>2476</v>
      </c>
      <c r="H780" s="1" t="s">
        <v>2475</v>
      </c>
      <c r="I780" s="1" t="s">
        <v>11244</v>
      </c>
      <c r="J780" s="1" t="s">
        <v>6610</v>
      </c>
      <c r="K780" s="1">
        <v>12</v>
      </c>
      <c r="L780" s="1" t="s">
        <v>4264</v>
      </c>
      <c r="M780" s="1">
        <v>1</v>
      </c>
      <c r="N780" s="1" t="s">
        <v>4318</v>
      </c>
    </row>
    <row r="781" spans="1:14" x14ac:dyDescent="0.15">
      <c r="A781" s="1">
        <v>160</v>
      </c>
      <c r="B781" s="1" t="s">
        <v>2462</v>
      </c>
      <c r="C781" s="1" t="s">
        <v>2463</v>
      </c>
      <c r="D781" s="1" t="s">
        <v>2462</v>
      </c>
      <c r="E781" s="1" t="s">
        <v>2474</v>
      </c>
      <c r="F781" s="1" t="s">
        <v>2475</v>
      </c>
      <c r="G781" s="1" t="s">
        <v>2476</v>
      </c>
      <c r="H781" s="1" t="s">
        <v>2475</v>
      </c>
      <c r="I781" s="1" t="s">
        <v>12607</v>
      </c>
      <c r="J781" s="1" t="s">
        <v>18082</v>
      </c>
      <c r="K781" s="1">
        <v>12</v>
      </c>
      <c r="L781" s="1" t="s">
        <v>4264</v>
      </c>
      <c r="M781" s="1">
        <v>1</v>
      </c>
      <c r="N781" s="1" t="s">
        <v>4318</v>
      </c>
    </row>
    <row r="782" spans="1:14" x14ac:dyDescent="0.15">
      <c r="A782" s="1">
        <v>160</v>
      </c>
      <c r="B782" s="1" t="s">
        <v>2462</v>
      </c>
      <c r="C782" s="1" t="s">
        <v>2463</v>
      </c>
      <c r="D782" s="1" t="s">
        <v>2462</v>
      </c>
      <c r="E782" s="1" t="s">
        <v>2474</v>
      </c>
      <c r="F782" s="1" t="s">
        <v>2475</v>
      </c>
      <c r="G782" s="1" t="s">
        <v>2476</v>
      </c>
      <c r="H782" s="1" t="s">
        <v>2475</v>
      </c>
      <c r="I782" s="1" t="s">
        <v>11248</v>
      </c>
      <c r="J782" s="1" t="s">
        <v>18086</v>
      </c>
      <c r="K782" s="1">
        <v>12</v>
      </c>
      <c r="L782" s="1" t="s">
        <v>4264</v>
      </c>
      <c r="M782" s="1">
        <v>1</v>
      </c>
      <c r="N782" s="1" t="s">
        <v>4318</v>
      </c>
    </row>
    <row r="783" spans="1:14" x14ac:dyDescent="0.15">
      <c r="A783" s="1">
        <v>160</v>
      </c>
      <c r="B783" s="1" t="s">
        <v>2462</v>
      </c>
      <c r="C783" s="1" t="s">
        <v>2463</v>
      </c>
      <c r="D783" s="1" t="s">
        <v>2462</v>
      </c>
      <c r="E783" s="1" t="s">
        <v>2474</v>
      </c>
      <c r="F783" s="1" t="s">
        <v>2475</v>
      </c>
      <c r="G783" s="1" t="s">
        <v>2476</v>
      </c>
      <c r="H783" s="1" t="s">
        <v>2475</v>
      </c>
      <c r="I783" s="1" t="s">
        <v>11251</v>
      </c>
      <c r="J783" s="1" t="s">
        <v>2478</v>
      </c>
      <c r="K783" s="1">
        <v>12</v>
      </c>
      <c r="L783" s="1" t="s">
        <v>4264</v>
      </c>
      <c r="M783" s="1">
        <v>1</v>
      </c>
      <c r="N783" s="1" t="s">
        <v>4318</v>
      </c>
    </row>
    <row r="784" spans="1:14" x14ac:dyDescent="0.15">
      <c r="A784" s="1">
        <v>160</v>
      </c>
      <c r="B784" s="1" t="s">
        <v>2462</v>
      </c>
      <c r="C784" s="1" t="s">
        <v>2463</v>
      </c>
      <c r="D784" s="1" t="s">
        <v>2462</v>
      </c>
      <c r="E784" s="1" t="s">
        <v>2474</v>
      </c>
      <c r="F784" s="1" t="s">
        <v>2475</v>
      </c>
      <c r="G784" s="1" t="s">
        <v>2476</v>
      </c>
      <c r="H784" s="1" t="s">
        <v>2475</v>
      </c>
      <c r="I784" s="1" t="s">
        <v>11255</v>
      </c>
      <c r="J784" s="1" t="s">
        <v>2479</v>
      </c>
      <c r="K784" s="1">
        <v>12</v>
      </c>
      <c r="L784" s="1" t="s">
        <v>4264</v>
      </c>
      <c r="M784" s="1">
        <v>1</v>
      </c>
      <c r="N784" s="1" t="s">
        <v>4318</v>
      </c>
    </row>
    <row r="785" spans="1:14" x14ac:dyDescent="0.15">
      <c r="A785" s="1">
        <v>160</v>
      </c>
      <c r="B785" s="1" t="s">
        <v>2462</v>
      </c>
      <c r="C785" s="1" t="s">
        <v>2463</v>
      </c>
      <c r="D785" s="1" t="s">
        <v>2462</v>
      </c>
      <c r="E785" s="1" t="s">
        <v>2474</v>
      </c>
      <c r="F785" s="1" t="s">
        <v>2475</v>
      </c>
      <c r="G785" s="1" t="s">
        <v>2476</v>
      </c>
      <c r="H785" s="1" t="s">
        <v>2475</v>
      </c>
      <c r="I785" s="1" t="s">
        <v>11260</v>
      </c>
      <c r="J785" s="1" t="s">
        <v>2480</v>
      </c>
      <c r="K785" s="1">
        <v>12</v>
      </c>
      <c r="L785" s="1" t="s">
        <v>4264</v>
      </c>
      <c r="M785" s="1">
        <v>1</v>
      </c>
      <c r="N785" s="1" t="s">
        <v>4318</v>
      </c>
    </row>
    <row r="786" spans="1:14" x14ac:dyDescent="0.15">
      <c r="A786" s="1">
        <v>160</v>
      </c>
      <c r="B786" s="1" t="s">
        <v>2462</v>
      </c>
      <c r="C786" s="1" t="s">
        <v>2463</v>
      </c>
      <c r="D786" s="1" t="s">
        <v>2462</v>
      </c>
      <c r="E786" s="1" t="s">
        <v>2474</v>
      </c>
      <c r="F786" s="1" t="s">
        <v>2475</v>
      </c>
      <c r="G786" s="1" t="s">
        <v>2481</v>
      </c>
      <c r="H786" s="1" t="s">
        <v>2482</v>
      </c>
      <c r="I786" s="1" t="s">
        <v>2468</v>
      </c>
      <c r="J786" s="1" t="s">
        <v>6588</v>
      </c>
      <c r="K786" s="1">
        <v>12</v>
      </c>
      <c r="L786" s="1" t="s">
        <v>4264</v>
      </c>
      <c r="M786" s="1">
        <v>1</v>
      </c>
      <c r="N786" s="1" t="s">
        <v>4318</v>
      </c>
    </row>
    <row r="787" spans="1:14" x14ac:dyDescent="0.15">
      <c r="A787" s="1">
        <v>160</v>
      </c>
      <c r="B787" s="1" t="s">
        <v>2462</v>
      </c>
      <c r="C787" s="1" t="s">
        <v>2463</v>
      </c>
      <c r="D787" s="1" t="s">
        <v>2462</v>
      </c>
      <c r="E787" s="1" t="s">
        <v>2474</v>
      </c>
      <c r="F787" s="1" t="s">
        <v>2475</v>
      </c>
      <c r="G787" s="1" t="s">
        <v>2481</v>
      </c>
      <c r="H787" s="1" t="s">
        <v>2482</v>
      </c>
      <c r="I787" s="1" t="s">
        <v>11773</v>
      </c>
      <c r="J787" s="1" t="s">
        <v>18054</v>
      </c>
      <c r="K787" s="1">
        <v>12</v>
      </c>
      <c r="L787" s="1" t="s">
        <v>4264</v>
      </c>
      <c r="M787" s="1">
        <v>1</v>
      </c>
      <c r="N787" s="1" t="s">
        <v>4318</v>
      </c>
    </row>
    <row r="788" spans="1:14" x14ac:dyDescent="0.15">
      <c r="A788" s="1">
        <v>160</v>
      </c>
      <c r="B788" s="1" t="s">
        <v>2462</v>
      </c>
      <c r="C788" s="1" t="s">
        <v>2463</v>
      </c>
      <c r="D788" s="1" t="s">
        <v>2462</v>
      </c>
      <c r="E788" s="1" t="s">
        <v>2474</v>
      </c>
      <c r="F788" s="1" t="s">
        <v>2475</v>
      </c>
      <c r="G788" s="1" t="s">
        <v>2481</v>
      </c>
      <c r="H788" s="1" t="s">
        <v>2482</v>
      </c>
      <c r="I788" s="1" t="s">
        <v>11227</v>
      </c>
      <c r="J788" s="1" t="s">
        <v>18058</v>
      </c>
      <c r="K788" s="1">
        <v>12</v>
      </c>
      <c r="L788" s="1" t="s">
        <v>4264</v>
      </c>
      <c r="M788" s="1">
        <v>1</v>
      </c>
      <c r="N788" s="1" t="s">
        <v>4318</v>
      </c>
    </row>
    <row r="789" spans="1:14" x14ac:dyDescent="0.15">
      <c r="A789" s="1">
        <v>160</v>
      </c>
      <c r="B789" s="1" t="s">
        <v>2462</v>
      </c>
      <c r="C789" s="1" t="s">
        <v>2463</v>
      </c>
      <c r="D789" s="1" t="s">
        <v>2462</v>
      </c>
      <c r="E789" s="1" t="s">
        <v>2474</v>
      </c>
      <c r="F789" s="1" t="s">
        <v>2475</v>
      </c>
      <c r="G789" s="1" t="s">
        <v>2481</v>
      </c>
      <c r="H789" s="1" t="s">
        <v>2482</v>
      </c>
      <c r="I789" s="1" t="s">
        <v>11230</v>
      </c>
      <c r="J789" s="1" t="s">
        <v>6606</v>
      </c>
      <c r="K789" s="1">
        <v>12</v>
      </c>
      <c r="L789" s="1" t="s">
        <v>4264</v>
      </c>
      <c r="M789" s="1">
        <v>1</v>
      </c>
      <c r="N789" s="1" t="s">
        <v>4318</v>
      </c>
    </row>
    <row r="790" spans="1:14" x14ac:dyDescent="0.15">
      <c r="A790" s="1">
        <v>160</v>
      </c>
      <c r="B790" s="1" t="s">
        <v>2462</v>
      </c>
      <c r="C790" s="1" t="s">
        <v>2463</v>
      </c>
      <c r="D790" s="1" t="s">
        <v>2462</v>
      </c>
      <c r="E790" s="1" t="s">
        <v>2474</v>
      </c>
      <c r="F790" s="1" t="s">
        <v>2475</v>
      </c>
      <c r="G790" s="1" t="s">
        <v>2481</v>
      </c>
      <c r="H790" s="1" t="s">
        <v>2482</v>
      </c>
      <c r="I790" s="1" t="s">
        <v>11233</v>
      </c>
      <c r="J790" s="1" t="s">
        <v>2477</v>
      </c>
      <c r="K790" s="1">
        <v>12</v>
      </c>
      <c r="L790" s="1" t="s">
        <v>4264</v>
      </c>
      <c r="M790" s="1">
        <v>1</v>
      </c>
      <c r="N790" s="1" t="s">
        <v>4318</v>
      </c>
    </row>
    <row r="791" spans="1:14" x14ac:dyDescent="0.15">
      <c r="A791" s="1">
        <v>160</v>
      </c>
      <c r="B791" s="1" t="s">
        <v>2462</v>
      </c>
      <c r="C791" s="1" t="s">
        <v>2463</v>
      </c>
      <c r="D791" s="1" t="s">
        <v>2462</v>
      </c>
      <c r="E791" s="1" t="s">
        <v>2474</v>
      </c>
      <c r="F791" s="1" t="s">
        <v>2475</v>
      </c>
      <c r="G791" s="1" t="s">
        <v>2481</v>
      </c>
      <c r="H791" s="1" t="s">
        <v>2482</v>
      </c>
      <c r="I791" s="1" t="s">
        <v>11244</v>
      </c>
      <c r="J791" s="1" t="s">
        <v>6610</v>
      </c>
      <c r="K791" s="1">
        <v>12</v>
      </c>
      <c r="L791" s="1" t="s">
        <v>4264</v>
      </c>
      <c r="M791" s="1">
        <v>1</v>
      </c>
      <c r="N791" s="1" t="s">
        <v>4318</v>
      </c>
    </row>
    <row r="792" spans="1:14" x14ac:dyDescent="0.15">
      <c r="A792" s="1">
        <v>160</v>
      </c>
      <c r="B792" s="1" t="s">
        <v>2462</v>
      </c>
      <c r="C792" s="1" t="s">
        <v>2463</v>
      </c>
      <c r="D792" s="1" t="s">
        <v>2462</v>
      </c>
      <c r="E792" s="1" t="s">
        <v>2474</v>
      </c>
      <c r="F792" s="1" t="s">
        <v>2475</v>
      </c>
      <c r="G792" s="1" t="s">
        <v>2481</v>
      </c>
      <c r="H792" s="1" t="s">
        <v>2482</v>
      </c>
      <c r="I792" s="1" t="s">
        <v>12607</v>
      </c>
      <c r="J792" s="1" t="s">
        <v>18082</v>
      </c>
      <c r="K792" s="1">
        <v>12</v>
      </c>
      <c r="L792" s="1" t="s">
        <v>4264</v>
      </c>
      <c r="M792" s="1">
        <v>1</v>
      </c>
      <c r="N792" s="1" t="s">
        <v>4318</v>
      </c>
    </row>
    <row r="793" spans="1:14" x14ac:dyDescent="0.15">
      <c r="A793" s="1">
        <v>160</v>
      </c>
      <c r="B793" s="1" t="s">
        <v>2462</v>
      </c>
      <c r="C793" s="1" t="s">
        <v>2463</v>
      </c>
      <c r="D793" s="1" t="s">
        <v>2462</v>
      </c>
      <c r="E793" s="1" t="s">
        <v>2474</v>
      </c>
      <c r="F793" s="1" t="s">
        <v>2475</v>
      </c>
      <c r="G793" s="1" t="s">
        <v>2481</v>
      </c>
      <c r="H793" s="1" t="s">
        <v>2482</v>
      </c>
      <c r="I793" s="1" t="s">
        <v>11248</v>
      </c>
      <c r="J793" s="1" t="s">
        <v>18086</v>
      </c>
      <c r="K793" s="1">
        <v>12</v>
      </c>
      <c r="L793" s="1" t="s">
        <v>4264</v>
      </c>
      <c r="M793" s="1">
        <v>1</v>
      </c>
      <c r="N793" s="1" t="s">
        <v>4318</v>
      </c>
    </row>
    <row r="794" spans="1:14" x14ac:dyDescent="0.15">
      <c r="A794" s="1">
        <v>160</v>
      </c>
      <c r="B794" s="1" t="s">
        <v>2462</v>
      </c>
      <c r="C794" s="1" t="s">
        <v>2463</v>
      </c>
      <c r="D794" s="1" t="s">
        <v>2462</v>
      </c>
      <c r="E794" s="1" t="s">
        <v>2474</v>
      </c>
      <c r="F794" s="1" t="s">
        <v>2475</v>
      </c>
      <c r="G794" s="1" t="s">
        <v>2483</v>
      </c>
      <c r="H794" s="1" t="s">
        <v>2484</v>
      </c>
      <c r="I794" s="1" t="s">
        <v>11251</v>
      </c>
      <c r="J794" s="1" t="s">
        <v>2478</v>
      </c>
      <c r="K794" s="1">
        <v>12</v>
      </c>
      <c r="L794" s="1" t="s">
        <v>4264</v>
      </c>
      <c r="M794" s="1">
        <v>1</v>
      </c>
      <c r="N794" s="1" t="s">
        <v>4318</v>
      </c>
    </row>
    <row r="795" spans="1:14" x14ac:dyDescent="0.15">
      <c r="A795" s="1">
        <v>160</v>
      </c>
      <c r="B795" s="1" t="s">
        <v>2462</v>
      </c>
      <c r="C795" s="1" t="s">
        <v>2463</v>
      </c>
      <c r="D795" s="1" t="s">
        <v>2462</v>
      </c>
      <c r="E795" s="1" t="s">
        <v>2474</v>
      </c>
      <c r="F795" s="1" t="s">
        <v>2475</v>
      </c>
      <c r="G795" s="1" t="s">
        <v>2483</v>
      </c>
      <c r="H795" s="1" t="s">
        <v>2484</v>
      </c>
      <c r="I795" s="1" t="s">
        <v>11255</v>
      </c>
      <c r="J795" s="1" t="s">
        <v>2479</v>
      </c>
      <c r="K795" s="1">
        <v>12</v>
      </c>
      <c r="L795" s="1" t="s">
        <v>4264</v>
      </c>
      <c r="M795" s="1">
        <v>1</v>
      </c>
      <c r="N795" s="1" t="s">
        <v>4318</v>
      </c>
    </row>
    <row r="796" spans="1:14" x14ac:dyDescent="0.15">
      <c r="A796" s="1">
        <v>160</v>
      </c>
      <c r="B796" s="1" t="s">
        <v>2462</v>
      </c>
      <c r="C796" s="1" t="s">
        <v>2463</v>
      </c>
      <c r="D796" s="1" t="s">
        <v>2462</v>
      </c>
      <c r="E796" s="1" t="s">
        <v>2474</v>
      </c>
      <c r="F796" s="1" t="s">
        <v>2475</v>
      </c>
      <c r="G796" s="1" t="s">
        <v>2483</v>
      </c>
      <c r="H796" s="1" t="s">
        <v>2484</v>
      </c>
      <c r="I796" s="1" t="s">
        <v>11260</v>
      </c>
      <c r="J796" s="1" t="s">
        <v>2480</v>
      </c>
      <c r="K796" s="1">
        <v>12</v>
      </c>
      <c r="L796" s="1" t="s">
        <v>4264</v>
      </c>
      <c r="M796" s="1">
        <v>1</v>
      </c>
      <c r="N796" s="1" t="s">
        <v>4318</v>
      </c>
    </row>
    <row r="797" spans="1:14" x14ac:dyDescent="0.15">
      <c r="A797" s="1">
        <v>161</v>
      </c>
      <c r="B797" s="1" t="s">
        <v>2485</v>
      </c>
      <c r="C797" s="1" t="s">
        <v>2486</v>
      </c>
      <c r="D797" s="1" t="s">
        <v>2485</v>
      </c>
      <c r="E797" s="1" t="s">
        <v>2486</v>
      </c>
      <c r="F797" s="1" t="s">
        <v>2485</v>
      </c>
      <c r="G797" s="1" t="s">
        <v>2487</v>
      </c>
      <c r="H797" s="1" t="s">
        <v>2485</v>
      </c>
      <c r="I797" s="1" t="s">
        <v>11879</v>
      </c>
      <c r="J797" s="1" t="s">
        <v>4278</v>
      </c>
      <c r="K797" s="1">
        <v>12</v>
      </c>
      <c r="L797" s="1" t="s">
        <v>4264</v>
      </c>
      <c r="M797" s="1">
        <v>15</v>
      </c>
      <c r="N797" s="1" t="s">
        <v>4365</v>
      </c>
    </row>
    <row r="798" spans="1:14" x14ac:dyDescent="0.15">
      <c r="A798" s="1">
        <v>161</v>
      </c>
      <c r="B798" s="1" t="s">
        <v>2485</v>
      </c>
      <c r="C798" s="1" t="s">
        <v>2488</v>
      </c>
      <c r="D798" s="1" t="s">
        <v>2489</v>
      </c>
      <c r="E798" s="1" t="s">
        <v>2488</v>
      </c>
      <c r="F798" s="1" t="s">
        <v>2489</v>
      </c>
      <c r="G798" s="1" t="s">
        <v>2490</v>
      </c>
      <c r="H798" s="1" t="s">
        <v>2489</v>
      </c>
      <c r="I798" s="1" t="s">
        <v>11255</v>
      </c>
      <c r="J798" s="1" t="s">
        <v>2479</v>
      </c>
      <c r="K798" s="1">
        <v>12</v>
      </c>
      <c r="L798" s="1" t="s">
        <v>4264</v>
      </c>
      <c r="M798" s="1">
        <v>15</v>
      </c>
      <c r="N798" s="1" t="s">
        <v>4365</v>
      </c>
    </row>
    <row r="799" spans="1:14" x14ac:dyDescent="0.15">
      <c r="A799" s="1">
        <v>161</v>
      </c>
      <c r="B799" s="1" t="s">
        <v>2485</v>
      </c>
      <c r="C799" s="1" t="s">
        <v>2488</v>
      </c>
      <c r="D799" s="1" t="s">
        <v>2489</v>
      </c>
      <c r="E799" s="1" t="s">
        <v>2488</v>
      </c>
      <c r="F799" s="1" t="s">
        <v>2489</v>
      </c>
      <c r="G799" s="1" t="s">
        <v>2490</v>
      </c>
      <c r="H799" s="1" t="s">
        <v>2489</v>
      </c>
      <c r="I799" s="1" t="s">
        <v>15819</v>
      </c>
      <c r="J799" s="1" t="s">
        <v>15820</v>
      </c>
      <c r="K799" s="1">
        <v>12</v>
      </c>
      <c r="L799" s="1" t="s">
        <v>4264</v>
      </c>
      <c r="M799" s="1">
        <v>15</v>
      </c>
      <c r="N799" s="1" t="s">
        <v>4365</v>
      </c>
    </row>
    <row r="800" spans="1:14" x14ac:dyDescent="0.15">
      <c r="A800" s="1">
        <v>161</v>
      </c>
      <c r="B800" s="1" t="s">
        <v>2485</v>
      </c>
      <c r="C800" s="1" t="s">
        <v>2488</v>
      </c>
      <c r="D800" s="1" t="s">
        <v>2489</v>
      </c>
      <c r="E800" s="1" t="s">
        <v>2488</v>
      </c>
      <c r="F800" s="1" t="s">
        <v>2489</v>
      </c>
      <c r="G800" s="1" t="s">
        <v>2490</v>
      </c>
      <c r="H800" s="1" t="s">
        <v>2489</v>
      </c>
      <c r="I800" s="1" t="s">
        <v>15823</v>
      </c>
      <c r="J800" s="1" t="s">
        <v>15824</v>
      </c>
      <c r="K800" s="1">
        <v>12</v>
      </c>
      <c r="L800" s="1" t="s">
        <v>4264</v>
      </c>
      <c r="M800" s="1">
        <v>15</v>
      </c>
      <c r="N800" s="1" t="s">
        <v>4365</v>
      </c>
    </row>
    <row r="801" spans="1:14" x14ac:dyDescent="0.15">
      <c r="A801" s="1">
        <v>161</v>
      </c>
      <c r="B801" s="1" t="s">
        <v>2485</v>
      </c>
      <c r="C801" s="1" t="s">
        <v>2488</v>
      </c>
      <c r="D801" s="1" t="s">
        <v>2489</v>
      </c>
      <c r="E801" s="1" t="s">
        <v>2488</v>
      </c>
      <c r="F801" s="1" t="s">
        <v>2489</v>
      </c>
      <c r="G801" s="1" t="s">
        <v>2490</v>
      </c>
      <c r="H801" s="1" t="s">
        <v>2489</v>
      </c>
      <c r="I801" s="1" t="s">
        <v>9772</v>
      </c>
      <c r="J801" s="1" t="s">
        <v>2491</v>
      </c>
      <c r="K801" s="1">
        <v>12</v>
      </c>
      <c r="L801" s="1" t="s">
        <v>4264</v>
      </c>
      <c r="M801" s="1">
        <v>15</v>
      </c>
      <c r="N801" s="1" t="s">
        <v>4365</v>
      </c>
    </row>
    <row r="802" spans="1:14" x14ac:dyDescent="0.15">
      <c r="A802" s="1">
        <v>161</v>
      </c>
      <c r="B802" s="1" t="s">
        <v>2485</v>
      </c>
      <c r="C802" s="1" t="s">
        <v>2488</v>
      </c>
      <c r="D802" s="1" t="s">
        <v>2489</v>
      </c>
      <c r="E802" s="1" t="s">
        <v>2488</v>
      </c>
      <c r="F802" s="1" t="s">
        <v>2489</v>
      </c>
      <c r="G802" s="1" t="s">
        <v>2490</v>
      </c>
      <c r="H802" s="1" t="s">
        <v>2489</v>
      </c>
      <c r="I802" s="1" t="s">
        <v>9775</v>
      </c>
      <c r="J802" s="1" t="s">
        <v>2492</v>
      </c>
      <c r="K802" s="1">
        <v>12</v>
      </c>
      <c r="L802" s="1" t="s">
        <v>4264</v>
      </c>
      <c r="M802" s="1">
        <v>15</v>
      </c>
      <c r="N802" s="1" t="s">
        <v>4365</v>
      </c>
    </row>
    <row r="803" spans="1:14" x14ac:dyDescent="0.15">
      <c r="A803" s="1">
        <v>161</v>
      </c>
      <c r="B803" s="1" t="s">
        <v>2485</v>
      </c>
      <c r="C803" s="1" t="s">
        <v>2488</v>
      </c>
      <c r="D803" s="1" t="s">
        <v>2489</v>
      </c>
      <c r="E803" s="1" t="s">
        <v>2488</v>
      </c>
      <c r="F803" s="1" t="s">
        <v>2489</v>
      </c>
      <c r="G803" s="1" t="s">
        <v>2490</v>
      </c>
      <c r="H803" s="1" t="s">
        <v>2489</v>
      </c>
      <c r="I803" s="1" t="s">
        <v>9787</v>
      </c>
      <c r="J803" s="1" t="s">
        <v>2493</v>
      </c>
      <c r="K803" s="1">
        <v>12</v>
      </c>
      <c r="L803" s="1" t="s">
        <v>4264</v>
      </c>
      <c r="M803" s="1">
        <v>15</v>
      </c>
      <c r="N803" s="1" t="s">
        <v>4365</v>
      </c>
    </row>
    <row r="804" spans="1:14" x14ac:dyDescent="0.15">
      <c r="A804" s="1">
        <v>161</v>
      </c>
      <c r="B804" s="1" t="s">
        <v>2485</v>
      </c>
      <c r="C804" s="1" t="s">
        <v>2488</v>
      </c>
      <c r="D804" s="1" t="s">
        <v>2489</v>
      </c>
      <c r="E804" s="1" t="s">
        <v>2488</v>
      </c>
      <c r="F804" s="1" t="s">
        <v>2489</v>
      </c>
      <c r="G804" s="1" t="s">
        <v>2490</v>
      </c>
      <c r="H804" s="1" t="s">
        <v>2489</v>
      </c>
      <c r="I804" s="1" t="s">
        <v>15859</v>
      </c>
      <c r="J804" s="1" t="s">
        <v>4408</v>
      </c>
      <c r="K804" s="1">
        <v>12</v>
      </c>
      <c r="L804" s="1" t="s">
        <v>4264</v>
      </c>
      <c r="M804" s="1">
        <v>15</v>
      </c>
      <c r="N804" s="1" t="s">
        <v>4365</v>
      </c>
    </row>
    <row r="805" spans="1:14" x14ac:dyDescent="0.15">
      <c r="A805" s="1">
        <v>161</v>
      </c>
      <c r="B805" s="1" t="s">
        <v>2485</v>
      </c>
      <c r="C805" s="1" t="s">
        <v>2488</v>
      </c>
      <c r="D805" s="1" t="s">
        <v>2489</v>
      </c>
      <c r="E805" s="1" t="s">
        <v>2488</v>
      </c>
      <c r="F805" s="1" t="s">
        <v>2489</v>
      </c>
      <c r="G805" s="1" t="s">
        <v>2494</v>
      </c>
      <c r="H805" s="1" t="s">
        <v>2495</v>
      </c>
      <c r="I805" s="1" t="s">
        <v>11260</v>
      </c>
      <c r="J805" s="1" t="s">
        <v>2480</v>
      </c>
      <c r="K805" s="1">
        <v>12</v>
      </c>
      <c r="L805" s="1" t="s">
        <v>4264</v>
      </c>
      <c r="M805" s="1">
        <v>15</v>
      </c>
      <c r="N805" s="1" t="s">
        <v>4365</v>
      </c>
    </row>
    <row r="806" spans="1:14" x14ac:dyDescent="0.15">
      <c r="A806" s="1">
        <v>161</v>
      </c>
      <c r="B806" s="1" t="s">
        <v>2485</v>
      </c>
      <c r="C806" s="1" t="s">
        <v>2488</v>
      </c>
      <c r="D806" s="1" t="s">
        <v>2489</v>
      </c>
      <c r="E806" s="1" t="s">
        <v>2488</v>
      </c>
      <c r="F806" s="1" t="s">
        <v>2489</v>
      </c>
      <c r="G806" s="1" t="s">
        <v>2494</v>
      </c>
      <c r="H806" s="1" t="s">
        <v>2495</v>
      </c>
      <c r="I806" s="1" t="s">
        <v>15819</v>
      </c>
      <c r="J806" s="1" t="s">
        <v>15820</v>
      </c>
      <c r="K806" s="1">
        <v>12</v>
      </c>
      <c r="L806" s="1" t="s">
        <v>4264</v>
      </c>
      <c r="M806" s="1">
        <v>15</v>
      </c>
      <c r="N806" s="1" t="s">
        <v>4365</v>
      </c>
    </row>
    <row r="807" spans="1:14" x14ac:dyDescent="0.15">
      <c r="A807" s="1">
        <v>161</v>
      </c>
      <c r="B807" s="1" t="s">
        <v>2485</v>
      </c>
      <c r="C807" s="1" t="s">
        <v>2488</v>
      </c>
      <c r="D807" s="1" t="s">
        <v>2489</v>
      </c>
      <c r="E807" s="1" t="s">
        <v>2488</v>
      </c>
      <c r="F807" s="1" t="s">
        <v>2489</v>
      </c>
      <c r="G807" s="1" t="s">
        <v>2494</v>
      </c>
      <c r="H807" s="1" t="s">
        <v>2495</v>
      </c>
      <c r="I807" s="1" t="s">
        <v>9772</v>
      </c>
      <c r="J807" s="1" t="s">
        <v>2491</v>
      </c>
      <c r="K807" s="1">
        <v>12</v>
      </c>
      <c r="L807" s="1" t="s">
        <v>4264</v>
      </c>
      <c r="M807" s="1">
        <v>15</v>
      </c>
      <c r="N807" s="1" t="s">
        <v>4365</v>
      </c>
    </row>
    <row r="808" spans="1:14" x14ac:dyDescent="0.15">
      <c r="A808" s="1">
        <v>161</v>
      </c>
      <c r="B808" s="1" t="s">
        <v>2485</v>
      </c>
      <c r="C808" s="1" t="s">
        <v>2488</v>
      </c>
      <c r="D808" s="1" t="s">
        <v>2489</v>
      </c>
      <c r="E808" s="1" t="s">
        <v>2488</v>
      </c>
      <c r="F808" s="1" t="s">
        <v>2489</v>
      </c>
      <c r="G808" s="1" t="s">
        <v>2494</v>
      </c>
      <c r="H808" s="1" t="s">
        <v>2495</v>
      </c>
      <c r="I808" s="1" t="s">
        <v>9787</v>
      </c>
      <c r="J808" s="1" t="s">
        <v>2493</v>
      </c>
      <c r="K808" s="1">
        <v>12</v>
      </c>
      <c r="L808" s="1" t="s">
        <v>4264</v>
      </c>
      <c r="M808" s="1">
        <v>15</v>
      </c>
      <c r="N808" s="1" t="s">
        <v>4365</v>
      </c>
    </row>
    <row r="809" spans="1:14" x14ac:dyDescent="0.15">
      <c r="A809" s="1">
        <v>161</v>
      </c>
      <c r="B809" s="1" t="s">
        <v>2485</v>
      </c>
      <c r="C809" s="1" t="s">
        <v>2488</v>
      </c>
      <c r="D809" s="1" t="s">
        <v>2489</v>
      </c>
      <c r="E809" s="1" t="s">
        <v>2488</v>
      </c>
      <c r="F809" s="1" t="s">
        <v>2489</v>
      </c>
      <c r="G809" s="1" t="s">
        <v>2494</v>
      </c>
      <c r="H809" s="1" t="s">
        <v>2495</v>
      </c>
      <c r="I809" s="1" t="s">
        <v>15859</v>
      </c>
      <c r="J809" s="1" t="s">
        <v>4408</v>
      </c>
      <c r="K809" s="1">
        <v>12</v>
      </c>
      <c r="L809" s="1" t="s">
        <v>4264</v>
      </c>
      <c r="M809" s="1">
        <v>15</v>
      </c>
      <c r="N809" s="1" t="s">
        <v>4365</v>
      </c>
    </row>
    <row r="810" spans="1:14" x14ac:dyDescent="0.15">
      <c r="A810" s="1">
        <v>161</v>
      </c>
      <c r="B810" s="1" t="s">
        <v>2485</v>
      </c>
      <c r="C810" s="1" t="s">
        <v>2488</v>
      </c>
      <c r="D810" s="1" t="s">
        <v>2489</v>
      </c>
      <c r="E810" s="1" t="s">
        <v>2488</v>
      </c>
      <c r="F810" s="1" t="s">
        <v>2489</v>
      </c>
      <c r="G810" s="1" t="s">
        <v>2496</v>
      </c>
      <c r="H810" s="1" t="s">
        <v>2497</v>
      </c>
      <c r="I810" s="1" t="s">
        <v>11260</v>
      </c>
      <c r="J810" s="1" t="s">
        <v>2480</v>
      </c>
      <c r="K810" s="1">
        <v>12</v>
      </c>
      <c r="L810" s="1" t="s">
        <v>4264</v>
      </c>
      <c r="M810" s="1">
        <v>15</v>
      </c>
      <c r="N810" s="1" t="s">
        <v>4365</v>
      </c>
    </row>
    <row r="811" spans="1:14" x14ac:dyDescent="0.15">
      <c r="A811" s="1">
        <v>161</v>
      </c>
      <c r="B811" s="1" t="s">
        <v>2485</v>
      </c>
      <c r="C811" s="1" t="s">
        <v>2488</v>
      </c>
      <c r="D811" s="1" t="s">
        <v>2489</v>
      </c>
      <c r="E811" s="1" t="s">
        <v>2488</v>
      </c>
      <c r="F811" s="1" t="s">
        <v>2489</v>
      </c>
      <c r="G811" s="1" t="s">
        <v>2496</v>
      </c>
      <c r="H811" s="1" t="s">
        <v>2497</v>
      </c>
      <c r="I811" s="1" t="s">
        <v>15823</v>
      </c>
      <c r="J811" s="1" t="s">
        <v>15824</v>
      </c>
      <c r="K811" s="1">
        <v>12</v>
      </c>
      <c r="L811" s="1" t="s">
        <v>4264</v>
      </c>
      <c r="M811" s="1">
        <v>15</v>
      </c>
      <c r="N811" s="1" t="s">
        <v>4365</v>
      </c>
    </row>
    <row r="812" spans="1:14" x14ac:dyDescent="0.15">
      <c r="A812" s="1">
        <v>161</v>
      </c>
      <c r="B812" s="1" t="s">
        <v>2485</v>
      </c>
      <c r="C812" s="1" t="s">
        <v>2488</v>
      </c>
      <c r="D812" s="1" t="s">
        <v>2489</v>
      </c>
      <c r="E812" s="1" t="s">
        <v>2488</v>
      </c>
      <c r="F812" s="1" t="s">
        <v>2489</v>
      </c>
      <c r="G812" s="1" t="s">
        <v>2496</v>
      </c>
      <c r="H812" s="1" t="s">
        <v>2497</v>
      </c>
      <c r="I812" s="1" t="s">
        <v>9775</v>
      </c>
      <c r="J812" s="1" t="s">
        <v>2492</v>
      </c>
      <c r="K812" s="1">
        <v>12</v>
      </c>
      <c r="L812" s="1" t="s">
        <v>4264</v>
      </c>
      <c r="M812" s="1">
        <v>15</v>
      </c>
      <c r="N812" s="1" t="s">
        <v>4365</v>
      </c>
    </row>
    <row r="813" spans="1:14" x14ac:dyDescent="0.15">
      <c r="A813" s="1">
        <v>161</v>
      </c>
      <c r="B813" s="1" t="s">
        <v>2485</v>
      </c>
      <c r="C813" s="1" t="s">
        <v>2488</v>
      </c>
      <c r="D813" s="1" t="s">
        <v>2489</v>
      </c>
      <c r="E813" s="1" t="s">
        <v>2488</v>
      </c>
      <c r="F813" s="1" t="s">
        <v>2489</v>
      </c>
      <c r="G813" s="1" t="s">
        <v>2496</v>
      </c>
      <c r="H813" s="1" t="s">
        <v>2497</v>
      </c>
      <c r="I813" s="1" t="s">
        <v>9787</v>
      </c>
      <c r="J813" s="1" t="s">
        <v>2493</v>
      </c>
      <c r="K813" s="1">
        <v>12</v>
      </c>
      <c r="L813" s="1" t="s">
        <v>4264</v>
      </c>
      <c r="M813" s="1">
        <v>15</v>
      </c>
      <c r="N813" s="1" t="s">
        <v>4365</v>
      </c>
    </row>
    <row r="814" spans="1:14" x14ac:dyDescent="0.15">
      <c r="A814" s="1">
        <v>161</v>
      </c>
      <c r="B814" s="1" t="s">
        <v>2485</v>
      </c>
      <c r="C814" s="1" t="s">
        <v>2488</v>
      </c>
      <c r="D814" s="1" t="s">
        <v>2489</v>
      </c>
      <c r="E814" s="1" t="s">
        <v>2488</v>
      </c>
      <c r="F814" s="1" t="s">
        <v>2489</v>
      </c>
      <c r="G814" s="1" t="s">
        <v>2496</v>
      </c>
      <c r="H814" s="1" t="s">
        <v>2497</v>
      </c>
      <c r="I814" s="1" t="s">
        <v>15859</v>
      </c>
      <c r="J814" s="1" t="s">
        <v>4408</v>
      </c>
      <c r="K814" s="1">
        <v>12</v>
      </c>
      <c r="L814" s="1" t="s">
        <v>4264</v>
      </c>
      <c r="M814" s="1">
        <v>15</v>
      </c>
      <c r="N814" s="1" t="s">
        <v>4365</v>
      </c>
    </row>
    <row r="815" spans="1:14" x14ac:dyDescent="0.15">
      <c r="A815" s="1">
        <v>161</v>
      </c>
      <c r="B815" s="1" t="s">
        <v>2485</v>
      </c>
      <c r="C815" s="1" t="s">
        <v>2498</v>
      </c>
      <c r="D815" s="1" t="s">
        <v>2499</v>
      </c>
      <c r="E815" s="1" t="s">
        <v>2498</v>
      </c>
      <c r="F815" s="1" t="s">
        <v>2499</v>
      </c>
      <c r="G815" s="1" t="s">
        <v>2500</v>
      </c>
      <c r="H815" s="1" t="s">
        <v>2499</v>
      </c>
      <c r="I815" s="1" t="s">
        <v>11260</v>
      </c>
      <c r="J815" s="1" t="s">
        <v>2480</v>
      </c>
      <c r="K815" s="1">
        <v>12</v>
      </c>
      <c r="L815" s="1" t="s">
        <v>4264</v>
      </c>
      <c r="M815" s="1">
        <v>15</v>
      </c>
      <c r="N815" s="1" t="s">
        <v>4365</v>
      </c>
    </row>
    <row r="816" spans="1:14" x14ac:dyDescent="0.15">
      <c r="A816" s="1">
        <v>161</v>
      </c>
      <c r="B816" s="1" t="s">
        <v>2485</v>
      </c>
      <c r="C816" s="1" t="s">
        <v>2498</v>
      </c>
      <c r="D816" s="1" t="s">
        <v>2499</v>
      </c>
      <c r="E816" s="1" t="s">
        <v>2498</v>
      </c>
      <c r="F816" s="1" t="s">
        <v>2499</v>
      </c>
      <c r="G816" s="1" t="s">
        <v>2500</v>
      </c>
      <c r="H816" s="1" t="s">
        <v>2499</v>
      </c>
      <c r="I816" s="1" t="s">
        <v>9778</v>
      </c>
      <c r="J816" s="1" t="s">
        <v>2501</v>
      </c>
      <c r="K816" s="1">
        <v>12</v>
      </c>
      <c r="L816" s="1" t="s">
        <v>4264</v>
      </c>
      <c r="M816" s="1">
        <v>15</v>
      </c>
      <c r="N816" s="1" t="s">
        <v>4365</v>
      </c>
    </row>
    <row r="817" spans="1:14" x14ac:dyDescent="0.15">
      <c r="A817" s="1">
        <v>161</v>
      </c>
      <c r="B817" s="1" t="s">
        <v>2485</v>
      </c>
      <c r="C817" s="1" t="s">
        <v>2498</v>
      </c>
      <c r="D817" s="1" t="s">
        <v>2499</v>
      </c>
      <c r="E817" s="1" t="s">
        <v>2498</v>
      </c>
      <c r="F817" s="1" t="s">
        <v>2499</v>
      </c>
      <c r="G817" s="1" t="s">
        <v>2500</v>
      </c>
      <c r="H817" s="1" t="s">
        <v>2499</v>
      </c>
      <c r="I817" s="1" t="s">
        <v>9787</v>
      </c>
      <c r="J817" s="1" t="s">
        <v>2493</v>
      </c>
      <c r="K817" s="1">
        <v>12</v>
      </c>
      <c r="L817" s="1" t="s">
        <v>4264</v>
      </c>
      <c r="M817" s="1">
        <v>15</v>
      </c>
      <c r="N817" s="1" t="s">
        <v>4365</v>
      </c>
    </row>
    <row r="818" spans="1:14" x14ac:dyDescent="0.15">
      <c r="A818" s="1">
        <v>161</v>
      </c>
      <c r="B818" s="1" t="s">
        <v>2485</v>
      </c>
      <c r="C818" s="1" t="s">
        <v>2498</v>
      </c>
      <c r="D818" s="1" t="s">
        <v>2499</v>
      </c>
      <c r="E818" s="1" t="s">
        <v>2498</v>
      </c>
      <c r="F818" s="1" t="s">
        <v>2499</v>
      </c>
      <c r="G818" s="1" t="s">
        <v>2500</v>
      </c>
      <c r="H818" s="1" t="s">
        <v>2499</v>
      </c>
      <c r="I818" s="1" t="s">
        <v>9815</v>
      </c>
      <c r="J818" s="1" t="s">
        <v>2502</v>
      </c>
      <c r="K818" s="1">
        <v>12</v>
      </c>
      <c r="L818" s="1" t="s">
        <v>4264</v>
      </c>
      <c r="M818" s="1">
        <v>15</v>
      </c>
      <c r="N818" s="1" t="s">
        <v>4365</v>
      </c>
    </row>
    <row r="819" spans="1:14" x14ac:dyDescent="0.15">
      <c r="A819" s="1">
        <v>161</v>
      </c>
      <c r="B819" s="1" t="s">
        <v>2485</v>
      </c>
      <c r="C819" s="1" t="s">
        <v>2498</v>
      </c>
      <c r="D819" s="1" t="s">
        <v>2499</v>
      </c>
      <c r="E819" s="1" t="s">
        <v>2498</v>
      </c>
      <c r="F819" s="1" t="s">
        <v>2499</v>
      </c>
      <c r="G819" s="1" t="s">
        <v>2500</v>
      </c>
      <c r="H819" s="1" t="s">
        <v>2499</v>
      </c>
      <c r="I819" s="1" t="s">
        <v>15859</v>
      </c>
      <c r="J819" s="1" t="s">
        <v>4408</v>
      </c>
      <c r="K819" s="1">
        <v>12</v>
      </c>
      <c r="L819" s="1" t="s">
        <v>4264</v>
      </c>
      <c r="M819" s="1">
        <v>15</v>
      </c>
      <c r="N819" s="1" t="s">
        <v>4365</v>
      </c>
    </row>
    <row r="820" spans="1:14" x14ac:dyDescent="0.15">
      <c r="A820" s="1">
        <v>161</v>
      </c>
      <c r="B820" s="1" t="s">
        <v>2485</v>
      </c>
      <c r="C820" s="1" t="s">
        <v>2498</v>
      </c>
      <c r="D820" s="1" t="s">
        <v>2499</v>
      </c>
      <c r="E820" s="1" t="s">
        <v>2498</v>
      </c>
      <c r="F820" s="1" t="s">
        <v>2499</v>
      </c>
      <c r="G820" s="1" t="s">
        <v>2500</v>
      </c>
      <c r="H820" s="1" t="s">
        <v>2499</v>
      </c>
      <c r="I820" s="1" t="s">
        <v>9829</v>
      </c>
      <c r="J820" s="1" t="s">
        <v>4409</v>
      </c>
      <c r="K820" s="1">
        <v>12</v>
      </c>
      <c r="L820" s="1" t="s">
        <v>4264</v>
      </c>
      <c r="M820" s="1">
        <v>15</v>
      </c>
      <c r="N820" s="1" t="s">
        <v>4365</v>
      </c>
    </row>
    <row r="821" spans="1:14" x14ac:dyDescent="0.15">
      <c r="A821" s="1">
        <v>161</v>
      </c>
      <c r="B821" s="1" t="s">
        <v>2485</v>
      </c>
      <c r="C821" s="1" t="s">
        <v>2503</v>
      </c>
      <c r="D821" s="1" t="s">
        <v>2504</v>
      </c>
      <c r="E821" s="1" t="s">
        <v>2503</v>
      </c>
      <c r="F821" s="1" t="s">
        <v>2504</v>
      </c>
      <c r="G821" s="1" t="s">
        <v>2505</v>
      </c>
      <c r="H821" s="1" t="s">
        <v>2504</v>
      </c>
      <c r="I821" s="1" t="s">
        <v>18190</v>
      </c>
      <c r="J821" s="1" t="s">
        <v>2506</v>
      </c>
      <c r="K821" s="1">
        <v>12</v>
      </c>
      <c r="L821" s="1" t="s">
        <v>4264</v>
      </c>
      <c r="M821" s="1">
        <v>1</v>
      </c>
      <c r="N821" s="1" t="s">
        <v>4318</v>
      </c>
    </row>
    <row r="822" spans="1:14" x14ac:dyDescent="0.15">
      <c r="A822" s="1">
        <v>161</v>
      </c>
      <c r="B822" s="1" t="s">
        <v>2485</v>
      </c>
      <c r="C822" s="1" t="s">
        <v>2503</v>
      </c>
      <c r="D822" s="1" t="s">
        <v>2504</v>
      </c>
      <c r="E822" s="1" t="s">
        <v>2503</v>
      </c>
      <c r="F822" s="1" t="s">
        <v>2504</v>
      </c>
      <c r="G822" s="1" t="s">
        <v>2505</v>
      </c>
      <c r="H822" s="1" t="s">
        <v>2504</v>
      </c>
      <c r="I822" s="1" t="s">
        <v>15859</v>
      </c>
      <c r="J822" s="1" t="s">
        <v>4408</v>
      </c>
      <c r="K822" s="1">
        <v>12</v>
      </c>
      <c r="L822" s="1" t="s">
        <v>4264</v>
      </c>
      <c r="M822" s="1">
        <v>1</v>
      </c>
      <c r="N822" s="1" t="s">
        <v>4318</v>
      </c>
    </row>
    <row r="823" spans="1:14" x14ac:dyDescent="0.15">
      <c r="A823" s="1">
        <v>161</v>
      </c>
      <c r="B823" s="1" t="s">
        <v>2485</v>
      </c>
      <c r="C823" s="1" t="s">
        <v>2503</v>
      </c>
      <c r="D823" s="1" t="s">
        <v>2504</v>
      </c>
      <c r="E823" s="1" t="s">
        <v>2503</v>
      </c>
      <c r="F823" s="1" t="s">
        <v>2504</v>
      </c>
      <c r="G823" s="1" t="s">
        <v>2505</v>
      </c>
      <c r="H823" s="1" t="s">
        <v>2504</v>
      </c>
      <c r="I823" s="1" t="s">
        <v>12616</v>
      </c>
      <c r="J823" s="1" t="s">
        <v>15879</v>
      </c>
      <c r="K823" s="1">
        <v>12</v>
      </c>
      <c r="L823" s="1" t="s">
        <v>4264</v>
      </c>
      <c r="M823" s="1">
        <v>1</v>
      </c>
      <c r="N823" s="1" t="s">
        <v>4318</v>
      </c>
    </row>
    <row r="824" spans="1:14" x14ac:dyDescent="0.15">
      <c r="A824" s="1">
        <v>161</v>
      </c>
      <c r="B824" s="1" t="s">
        <v>2485</v>
      </c>
      <c r="C824" s="1" t="s">
        <v>2503</v>
      </c>
      <c r="D824" s="1" t="s">
        <v>2504</v>
      </c>
      <c r="E824" s="1" t="s">
        <v>2503</v>
      </c>
      <c r="F824" s="1" t="s">
        <v>2504</v>
      </c>
      <c r="G824" s="1" t="s">
        <v>2505</v>
      </c>
      <c r="H824" s="1" t="s">
        <v>2504</v>
      </c>
      <c r="I824" s="1" t="s">
        <v>15169</v>
      </c>
      <c r="J824" s="1" t="s">
        <v>6047</v>
      </c>
      <c r="K824" s="1">
        <v>12</v>
      </c>
      <c r="L824" s="1" t="s">
        <v>4264</v>
      </c>
      <c r="M824" s="1">
        <v>1</v>
      </c>
      <c r="N824" s="1" t="s">
        <v>4318</v>
      </c>
    </row>
    <row r="825" spans="1:14" x14ac:dyDescent="0.15">
      <c r="A825" s="1">
        <v>161</v>
      </c>
      <c r="B825" s="1" t="s">
        <v>2485</v>
      </c>
      <c r="C825" s="1" t="s">
        <v>2503</v>
      </c>
      <c r="D825" s="1" t="s">
        <v>2504</v>
      </c>
      <c r="E825" s="1" t="s">
        <v>2503</v>
      </c>
      <c r="F825" s="1" t="s">
        <v>2504</v>
      </c>
      <c r="G825" s="1" t="s">
        <v>2505</v>
      </c>
      <c r="H825" s="1" t="s">
        <v>2504</v>
      </c>
      <c r="I825" s="1" t="s">
        <v>15173</v>
      </c>
      <c r="J825" s="1" t="s">
        <v>15174</v>
      </c>
      <c r="K825" s="1">
        <v>12</v>
      </c>
      <c r="L825" s="1" t="s">
        <v>4264</v>
      </c>
      <c r="M825" s="1">
        <v>1</v>
      </c>
      <c r="N825" s="1" t="s">
        <v>4318</v>
      </c>
    </row>
    <row r="826" spans="1:14" x14ac:dyDescent="0.15">
      <c r="A826" s="1">
        <v>161</v>
      </c>
      <c r="B826" s="1" t="s">
        <v>2485</v>
      </c>
      <c r="C826" s="1" t="s">
        <v>2503</v>
      </c>
      <c r="D826" s="1" t="s">
        <v>2504</v>
      </c>
      <c r="E826" s="1" t="s">
        <v>2503</v>
      </c>
      <c r="F826" s="1" t="s">
        <v>2504</v>
      </c>
      <c r="G826" s="1" t="s">
        <v>2505</v>
      </c>
      <c r="H826" s="1" t="s">
        <v>2504</v>
      </c>
      <c r="I826" s="1" t="s">
        <v>11746</v>
      </c>
      <c r="J826" s="1" t="s">
        <v>6596</v>
      </c>
      <c r="K826" s="1">
        <v>12</v>
      </c>
      <c r="L826" s="1" t="s">
        <v>4264</v>
      </c>
      <c r="M826" s="1">
        <v>1</v>
      </c>
      <c r="N826" s="1" t="s">
        <v>4318</v>
      </c>
    </row>
    <row r="827" spans="1:14" x14ac:dyDescent="0.15">
      <c r="A827" s="1">
        <v>161</v>
      </c>
      <c r="B827" s="1" t="s">
        <v>2485</v>
      </c>
      <c r="C827" s="1" t="s">
        <v>2503</v>
      </c>
      <c r="D827" s="1" t="s">
        <v>2504</v>
      </c>
      <c r="E827" s="1" t="s">
        <v>2503</v>
      </c>
      <c r="F827" s="1" t="s">
        <v>2504</v>
      </c>
      <c r="G827" s="1" t="s">
        <v>2505</v>
      </c>
      <c r="H827" s="1" t="s">
        <v>2504</v>
      </c>
      <c r="I827" s="1" t="s">
        <v>9459</v>
      </c>
      <c r="J827" s="1" t="s">
        <v>2507</v>
      </c>
      <c r="K827" s="1">
        <v>12</v>
      </c>
      <c r="L827" s="1" t="s">
        <v>4264</v>
      </c>
      <c r="M827" s="1">
        <v>1</v>
      </c>
      <c r="N827" s="1" t="s">
        <v>4318</v>
      </c>
    </row>
    <row r="828" spans="1:14" x14ac:dyDescent="0.15">
      <c r="A828" s="1">
        <v>161</v>
      </c>
      <c r="B828" s="1" t="s">
        <v>2485</v>
      </c>
      <c r="C828" s="1" t="s">
        <v>2503</v>
      </c>
      <c r="D828" s="1" t="s">
        <v>2504</v>
      </c>
      <c r="E828" s="1" t="s">
        <v>2503</v>
      </c>
      <c r="F828" s="1" t="s">
        <v>2504</v>
      </c>
      <c r="G828" s="1" t="s">
        <v>2505</v>
      </c>
      <c r="H828" s="1" t="s">
        <v>2504</v>
      </c>
      <c r="I828" s="1" t="s">
        <v>12645</v>
      </c>
      <c r="J828" s="1" t="s">
        <v>2508</v>
      </c>
      <c r="K828" s="1">
        <v>12</v>
      </c>
      <c r="L828" s="1" t="s">
        <v>4264</v>
      </c>
      <c r="M828" s="1">
        <v>1</v>
      </c>
      <c r="N828" s="1" t="s">
        <v>4318</v>
      </c>
    </row>
    <row r="829" spans="1:14" x14ac:dyDescent="0.15">
      <c r="A829" s="1">
        <v>161</v>
      </c>
      <c r="B829" s="1" t="s">
        <v>2485</v>
      </c>
      <c r="C829" s="1" t="s">
        <v>2503</v>
      </c>
      <c r="D829" s="1" t="s">
        <v>2504</v>
      </c>
      <c r="E829" s="1" t="s">
        <v>2503</v>
      </c>
      <c r="F829" s="1" t="s">
        <v>2504</v>
      </c>
      <c r="G829" s="1" t="s">
        <v>2505</v>
      </c>
      <c r="H829" s="1" t="s">
        <v>2504</v>
      </c>
      <c r="I829" s="1" t="s">
        <v>15189</v>
      </c>
      <c r="J829" s="1" t="s">
        <v>6056</v>
      </c>
      <c r="K829" s="1">
        <v>12</v>
      </c>
      <c r="L829" s="1" t="s">
        <v>4264</v>
      </c>
      <c r="M829" s="1">
        <v>1</v>
      </c>
      <c r="N829" s="1" t="s">
        <v>4318</v>
      </c>
    </row>
    <row r="830" spans="1:14" x14ac:dyDescent="0.15">
      <c r="A830" s="1">
        <v>161</v>
      </c>
      <c r="B830" s="1" t="s">
        <v>2485</v>
      </c>
      <c r="C830" s="1" t="s">
        <v>2509</v>
      </c>
      <c r="D830" s="1" t="s">
        <v>2510</v>
      </c>
      <c r="E830" s="1" t="s">
        <v>2509</v>
      </c>
      <c r="F830" s="1" t="s">
        <v>2510</v>
      </c>
      <c r="G830" s="1" t="s">
        <v>2511</v>
      </c>
      <c r="H830" s="1" t="s">
        <v>2510</v>
      </c>
      <c r="I830" s="1" t="s">
        <v>15812</v>
      </c>
      <c r="J830" s="1" t="s">
        <v>6011</v>
      </c>
      <c r="K830" s="1">
        <v>12</v>
      </c>
      <c r="L830" s="1" t="s">
        <v>4264</v>
      </c>
      <c r="M830" s="1">
        <v>15</v>
      </c>
      <c r="N830" s="1" t="s">
        <v>4365</v>
      </c>
    </row>
    <row r="831" spans="1:14" x14ac:dyDescent="0.15">
      <c r="A831" s="1">
        <v>161</v>
      </c>
      <c r="B831" s="1" t="s">
        <v>2485</v>
      </c>
      <c r="C831" s="1" t="s">
        <v>2509</v>
      </c>
      <c r="D831" s="1" t="s">
        <v>2510</v>
      </c>
      <c r="E831" s="1" t="s">
        <v>2509</v>
      </c>
      <c r="F831" s="1" t="s">
        <v>2510</v>
      </c>
      <c r="G831" s="1" t="s">
        <v>2511</v>
      </c>
      <c r="H831" s="1" t="s">
        <v>2510</v>
      </c>
      <c r="I831" s="1" t="s">
        <v>9769</v>
      </c>
      <c r="J831" s="1" t="s">
        <v>15856</v>
      </c>
      <c r="K831" s="1">
        <v>12</v>
      </c>
      <c r="L831" s="1" t="s">
        <v>4264</v>
      </c>
      <c r="M831" s="1">
        <v>15</v>
      </c>
      <c r="N831" s="1" t="s">
        <v>4365</v>
      </c>
    </row>
    <row r="832" spans="1:14" x14ac:dyDescent="0.15">
      <c r="A832" s="1">
        <v>161</v>
      </c>
      <c r="B832" s="1" t="s">
        <v>2485</v>
      </c>
      <c r="C832" s="1" t="s">
        <v>2509</v>
      </c>
      <c r="D832" s="1" t="s">
        <v>2510</v>
      </c>
      <c r="E832" s="1" t="s">
        <v>2509</v>
      </c>
      <c r="F832" s="1" t="s">
        <v>2510</v>
      </c>
      <c r="G832" s="1" t="s">
        <v>2511</v>
      </c>
      <c r="H832" s="1" t="s">
        <v>2510</v>
      </c>
      <c r="I832" s="1" t="s">
        <v>9781</v>
      </c>
      <c r="J832" s="1" t="s">
        <v>2512</v>
      </c>
      <c r="K832" s="1">
        <v>12</v>
      </c>
      <c r="L832" s="1" t="s">
        <v>4264</v>
      </c>
      <c r="M832" s="1">
        <v>15</v>
      </c>
      <c r="N832" s="1" t="s">
        <v>4365</v>
      </c>
    </row>
    <row r="833" spans="1:14" x14ac:dyDescent="0.15">
      <c r="A833" s="1">
        <v>161</v>
      </c>
      <c r="B833" s="1" t="s">
        <v>2485</v>
      </c>
      <c r="C833" s="1" t="s">
        <v>2509</v>
      </c>
      <c r="D833" s="1" t="s">
        <v>2510</v>
      </c>
      <c r="E833" s="1" t="s">
        <v>2509</v>
      </c>
      <c r="F833" s="1" t="s">
        <v>2510</v>
      </c>
      <c r="G833" s="1" t="s">
        <v>2511</v>
      </c>
      <c r="H833" s="1" t="s">
        <v>2510</v>
      </c>
      <c r="I833" s="1" t="s">
        <v>9784</v>
      </c>
      <c r="J833" s="1" t="s">
        <v>15899</v>
      </c>
      <c r="K833" s="1">
        <v>12</v>
      </c>
      <c r="L833" s="1" t="s">
        <v>4264</v>
      </c>
      <c r="M833" s="1">
        <v>15</v>
      </c>
      <c r="N833" s="1" t="s">
        <v>4365</v>
      </c>
    </row>
    <row r="834" spans="1:14" x14ac:dyDescent="0.15">
      <c r="A834" s="1">
        <v>161</v>
      </c>
      <c r="B834" s="1" t="s">
        <v>2485</v>
      </c>
      <c r="C834" s="1" t="s">
        <v>2509</v>
      </c>
      <c r="D834" s="1" t="s">
        <v>2510</v>
      </c>
      <c r="E834" s="1" t="s">
        <v>2509</v>
      </c>
      <c r="F834" s="1" t="s">
        <v>2510</v>
      </c>
      <c r="G834" s="1" t="s">
        <v>2511</v>
      </c>
      <c r="H834" s="1" t="s">
        <v>2510</v>
      </c>
      <c r="I834" s="1" t="s">
        <v>15831</v>
      </c>
      <c r="J834" s="1" t="s">
        <v>6021</v>
      </c>
      <c r="K834" s="1">
        <v>12</v>
      </c>
      <c r="L834" s="1" t="s">
        <v>4264</v>
      </c>
      <c r="M834" s="1">
        <v>15</v>
      </c>
      <c r="N834" s="1" t="s">
        <v>4365</v>
      </c>
    </row>
    <row r="835" spans="1:14" x14ac:dyDescent="0.15">
      <c r="A835" s="1">
        <v>161</v>
      </c>
      <c r="B835" s="1" t="s">
        <v>2485</v>
      </c>
      <c r="C835" s="1" t="s">
        <v>2509</v>
      </c>
      <c r="D835" s="1" t="s">
        <v>2510</v>
      </c>
      <c r="E835" s="1" t="s">
        <v>2509</v>
      </c>
      <c r="F835" s="1" t="s">
        <v>2510</v>
      </c>
      <c r="G835" s="1" t="s">
        <v>2511</v>
      </c>
      <c r="H835" s="1" t="s">
        <v>2510</v>
      </c>
      <c r="I835" s="1" t="s">
        <v>15835</v>
      </c>
      <c r="J835" s="1" t="s">
        <v>6609</v>
      </c>
      <c r="K835" s="1">
        <v>12</v>
      </c>
      <c r="L835" s="1" t="s">
        <v>4264</v>
      </c>
      <c r="M835" s="1">
        <v>15</v>
      </c>
      <c r="N835" s="1" t="s">
        <v>4365</v>
      </c>
    </row>
    <row r="836" spans="1:14" x14ac:dyDescent="0.15">
      <c r="A836" s="1">
        <v>161</v>
      </c>
      <c r="B836" s="1" t="s">
        <v>2485</v>
      </c>
      <c r="C836" s="1" t="s">
        <v>2509</v>
      </c>
      <c r="D836" s="1" t="s">
        <v>2510</v>
      </c>
      <c r="E836" s="1" t="s">
        <v>2509</v>
      </c>
      <c r="F836" s="1" t="s">
        <v>2510</v>
      </c>
      <c r="G836" s="1" t="s">
        <v>2511</v>
      </c>
      <c r="H836" s="1" t="s">
        <v>2510</v>
      </c>
      <c r="I836" s="1" t="s">
        <v>15839</v>
      </c>
      <c r="J836" s="1" t="s">
        <v>15840</v>
      </c>
      <c r="K836" s="1">
        <v>12</v>
      </c>
      <c r="L836" s="1" t="s">
        <v>4264</v>
      </c>
      <c r="M836" s="1">
        <v>15</v>
      </c>
      <c r="N836" s="1" t="s">
        <v>4365</v>
      </c>
    </row>
    <row r="837" spans="1:14" x14ac:dyDescent="0.15">
      <c r="A837" s="1">
        <v>161</v>
      </c>
      <c r="B837" s="1" t="s">
        <v>2485</v>
      </c>
      <c r="C837" s="1" t="s">
        <v>2509</v>
      </c>
      <c r="D837" s="1" t="s">
        <v>2510</v>
      </c>
      <c r="E837" s="1" t="s">
        <v>2509</v>
      </c>
      <c r="F837" s="1" t="s">
        <v>2510</v>
      </c>
      <c r="G837" s="1" t="s">
        <v>2511</v>
      </c>
      <c r="H837" s="1" t="s">
        <v>2510</v>
      </c>
      <c r="I837" s="1" t="s">
        <v>9799</v>
      </c>
      <c r="J837" s="1" t="s">
        <v>2513</v>
      </c>
      <c r="K837" s="1">
        <v>12</v>
      </c>
      <c r="L837" s="1" t="s">
        <v>4264</v>
      </c>
      <c r="M837" s="1">
        <v>15</v>
      </c>
      <c r="N837" s="1" t="s">
        <v>4365</v>
      </c>
    </row>
    <row r="838" spans="1:14" x14ac:dyDescent="0.15">
      <c r="A838" s="1">
        <v>161</v>
      </c>
      <c r="B838" s="1" t="s">
        <v>2485</v>
      </c>
      <c r="C838" s="1" t="s">
        <v>2509</v>
      </c>
      <c r="D838" s="1" t="s">
        <v>2510</v>
      </c>
      <c r="E838" s="1" t="s">
        <v>2509</v>
      </c>
      <c r="F838" s="1" t="s">
        <v>2510</v>
      </c>
      <c r="G838" s="1" t="s">
        <v>2511</v>
      </c>
      <c r="H838" s="1" t="s">
        <v>2510</v>
      </c>
      <c r="I838" s="1" t="s">
        <v>15843</v>
      </c>
      <c r="J838" s="1" t="s">
        <v>6023</v>
      </c>
      <c r="K838" s="1">
        <v>12</v>
      </c>
      <c r="L838" s="1" t="s">
        <v>4264</v>
      </c>
      <c r="M838" s="1">
        <v>15</v>
      </c>
      <c r="N838" s="1" t="s">
        <v>4365</v>
      </c>
    </row>
    <row r="839" spans="1:14" x14ac:dyDescent="0.15">
      <c r="A839" s="1">
        <v>161</v>
      </c>
      <c r="B839" s="1" t="s">
        <v>2485</v>
      </c>
      <c r="C839" s="1" t="s">
        <v>2509</v>
      </c>
      <c r="D839" s="1" t="s">
        <v>2510</v>
      </c>
      <c r="E839" s="1" t="s">
        <v>2509</v>
      </c>
      <c r="F839" s="1" t="s">
        <v>2510</v>
      </c>
      <c r="G839" s="1" t="s">
        <v>2511</v>
      </c>
      <c r="H839" s="1" t="s">
        <v>2510</v>
      </c>
      <c r="I839" s="1" t="s">
        <v>15851</v>
      </c>
      <c r="J839" s="1" t="s">
        <v>4407</v>
      </c>
      <c r="K839" s="1">
        <v>12</v>
      </c>
      <c r="L839" s="1" t="s">
        <v>4264</v>
      </c>
      <c r="M839" s="1">
        <v>15</v>
      </c>
      <c r="N839" s="1" t="s">
        <v>4365</v>
      </c>
    </row>
    <row r="840" spans="1:14" x14ac:dyDescent="0.15">
      <c r="A840" s="1">
        <v>161</v>
      </c>
      <c r="B840" s="1" t="s">
        <v>2485</v>
      </c>
      <c r="C840" s="1" t="s">
        <v>2509</v>
      </c>
      <c r="D840" s="1" t="s">
        <v>2510</v>
      </c>
      <c r="E840" s="1" t="s">
        <v>2509</v>
      </c>
      <c r="F840" s="1" t="s">
        <v>2510</v>
      </c>
      <c r="G840" s="1" t="s">
        <v>2511</v>
      </c>
      <c r="H840" s="1" t="s">
        <v>2510</v>
      </c>
      <c r="I840" s="1" t="s">
        <v>9809</v>
      </c>
      <c r="J840" s="1" t="s">
        <v>15875</v>
      </c>
      <c r="K840" s="1">
        <v>12</v>
      </c>
      <c r="L840" s="1" t="s">
        <v>4264</v>
      </c>
      <c r="M840" s="1">
        <v>15</v>
      </c>
      <c r="N840" s="1" t="s">
        <v>4365</v>
      </c>
    </row>
    <row r="841" spans="1:14" x14ac:dyDescent="0.15">
      <c r="A841" s="1">
        <v>161</v>
      </c>
      <c r="B841" s="1" t="s">
        <v>2485</v>
      </c>
      <c r="C841" s="1" t="s">
        <v>2509</v>
      </c>
      <c r="D841" s="1" t="s">
        <v>2510</v>
      </c>
      <c r="E841" s="1" t="s">
        <v>2509</v>
      </c>
      <c r="F841" s="1" t="s">
        <v>2510</v>
      </c>
      <c r="G841" s="1" t="s">
        <v>2511</v>
      </c>
      <c r="H841" s="1" t="s">
        <v>2510</v>
      </c>
      <c r="I841" s="1" t="s">
        <v>9812</v>
      </c>
      <c r="J841" s="1" t="s">
        <v>2514</v>
      </c>
      <c r="K841" s="1">
        <v>12</v>
      </c>
      <c r="L841" s="1" t="s">
        <v>4264</v>
      </c>
      <c r="M841" s="1">
        <v>15</v>
      </c>
      <c r="N841" s="1" t="s">
        <v>4365</v>
      </c>
    </row>
    <row r="842" spans="1:14" x14ac:dyDescent="0.15">
      <c r="A842" s="1">
        <v>161</v>
      </c>
      <c r="B842" s="1" t="s">
        <v>2485</v>
      </c>
      <c r="C842" s="1" t="s">
        <v>2509</v>
      </c>
      <c r="D842" s="1" t="s">
        <v>2510</v>
      </c>
      <c r="E842" s="1" t="s">
        <v>2509</v>
      </c>
      <c r="F842" s="1" t="s">
        <v>2510</v>
      </c>
      <c r="G842" s="1" t="s">
        <v>2511</v>
      </c>
      <c r="H842" s="1" t="s">
        <v>2510</v>
      </c>
      <c r="I842" s="1" t="s">
        <v>9815</v>
      </c>
      <c r="J842" s="1" t="s">
        <v>2502</v>
      </c>
      <c r="K842" s="1">
        <v>12</v>
      </c>
      <c r="L842" s="1" t="s">
        <v>4264</v>
      </c>
      <c r="M842" s="1">
        <v>15</v>
      </c>
      <c r="N842" s="1" t="s">
        <v>4365</v>
      </c>
    </row>
    <row r="843" spans="1:14" x14ac:dyDescent="0.15">
      <c r="A843" s="1">
        <v>161</v>
      </c>
      <c r="B843" s="1" t="s">
        <v>2485</v>
      </c>
      <c r="C843" s="1" t="s">
        <v>2509</v>
      </c>
      <c r="D843" s="1" t="s">
        <v>2510</v>
      </c>
      <c r="E843" s="1" t="s">
        <v>2509</v>
      </c>
      <c r="F843" s="1" t="s">
        <v>2510</v>
      </c>
      <c r="G843" s="1" t="s">
        <v>2511</v>
      </c>
      <c r="H843" s="1" t="s">
        <v>2510</v>
      </c>
      <c r="I843" s="1" t="s">
        <v>9818</v>
      </c>
      <c r="J843" s="1" t="s">
        <v>2515</v>
      </c>
      <c r="K843" s="1">
        <v>12</v>
      </c>
      <c r="L843" s="1" t="s">
        <v>4264</v>
      </c>
      <c r="M843" s="1">
        <v>15</v>
      </c>
      <c r="N843" s="1" t="s">
        <v>4365</v>
      </c>
    </row>
    <row r="844" spans="1:14" x14ac:dyDescent="0.15">
      <c r="A844" s="1">
        <v>161</v>
      </c>
      <c r="B844" s="1" t="s">
        <v>2485</v>
      </c>
      <c r="C844" s="1" t="s">
        <v>2509</v>
      </c>
      <c r="D844" s="1" t="s">
        <v>2510</v>
      </c>
      <c r="E844" s="1" t="s">
        <v>2509</v>
      </c>
      <c r="F844" s="1" t="s">
        <v>2510</v>
      </c>
      <c r="G844" s="1" t="s">
        <v>2511</v>
      </c>
      <c r="H844" s="1" t="s">
        <v>2510</v>
      </c>
      <c r="I844" s="1" t="s">
        <v>9821</v>
      </c>
      <c r="J844" s="1" t="s">
        <v>2516</v>
      </c>
      <c r="K844" s="1">
        <v>12</v>
      </c>
      <c r="L844" s="1" t="s">
        <v>4264</v>
      </c>
      <c r="M844" s="1">
        <v>15</v>
      </c>
      <c r="N844" s="1" t="s">
        <v>4365</v>
      </c>
    </row>
    <row r="845" spans="1:14" x14ac:dyDescent="0.15">
      <c r="A845" s="1">
        <v>161</v>
      </c>
      <c r="B845" s="1" t="s">
        <v>2485</v>
      </c>
      <c r="C845" s="1" t="s">
        <v>2509</v>
      </c>
      <c r="D845" s="1" t="s">
        <v>2510</v>
      </c>
      <c r="E845" s="1" t="s">
        <v>2509</v>
      </c>
      <c r="F845" s="1" t="s">
        <v>2510</v>
      </c>
      <c r="G845" s="1" t="s">
        <v>2511</v>
      </c>
      <c r="H845" s="1" t="s">
        <v>2510</v>
      </c>
      <c r="I845" s="1" t="s">
        <v>15859</v>
      </c>
      <c r="J845" s="1" t="s">
        <v>4408</v>
      </c>
      <c r="K845" s="1">
        <v>12</v>
      </c>
      <c r="L845" s="1" t="s">
        <v>4264</v>
      </c>
      <c r="M845" s="1">
        <v>15</v>
      </c>
      <c r="N845" s="1" t="s">
        <v>4365</v>
      </c>
    </row>
    <row r="846" spans="1:14" x14ac:dyDescent="0.15">
      <c r="A846" s="1">
        <v>161</v>
      </c>
      <c r="B846" s="1" t="s">
        <v>2485</v>
      </c>
      <c r="C846" s="1" t="s">
        <v>2509</v>
      </c>
      <c r="D846" s="1" t="s">
        <v>2510</v>
      </c>
      <c r="E846" s="1" t="s">
        <v>2509</v>
      </c>
      <c r="F846" s="1" t="s">
        <v>2510</v>
      </c>
      <c r="G846" s="1" t="s">
        <v>2511</v>
      </c>
      <c r="H846" s="1" t="s">
        <v>2510</v>
      </c>
      <c r="I846" s="1" t="s">
        <v>9832</v>
      </c>
      <c r="J846" s="1" t="s">
        <v>4410</v>
      </c>
      <c r="K846" s="1">
        <v>12</v>
      </c>
      <c r="L846" s="1" t="s">
        <v>4264</v>
      </c>
      <c r="M846" s="1">
        <v>15</v>
      </c>
      <c r="N846" s="1" t="s">
        <v>4365</v>
      </c>
    </row>
    <row r="847" spans="1:14" x14ac:dyDescent="0.15">
      <c r="A847" s="1">
        <v>161</v>
      </c>
      <c r="B847" s="1" t="s">
        <v>2485</v>
      </c>
      <c r="C847" s="1" t="s">
        <v>2509</v>
      </c>
      <c r="D847" s="1" t="s">
        <v>2510</v>
      </c>
      <c r="E847" s="1" t="s">
        <v>2509</v>
      </c>
      <c r="F847" s="1" t="s">
        <v>2510</v>
      </c>
      <c r="G847" s="1" t="s">
        <v>2511</v>
      </c>
      <c r="H847" s="1" t="s">
        <v>2510</v>
      </c>
      <c r="I847" s="1" t="s">
        <v>9835</v>
      </c>
      <c r="J847" s="1" t="s">
        <v>15158</v>
      </c>
      <c r="K847" s="1">
        <v>12</v>
      </c>
      <c r="L847" s="1" t="s">
        <v>4264</v>
      </c>
      <c r="M847" s="1">
        <v>15</v>
      </c>
      <c r="N847" s="1" t="s">
        <v>4365</v>
      </c>
    </row>
    <row r="848" spans="1:14" x14ac:dyDescent="0.15">
      <c r="A848" s="1">
        <v>161</v>
      </c>
      <c r="B848" s="1" t="s">
        <v>2485</v>
      </c>
      <c r="C848" s="1" t="s">
        <v>2509</v>
      </c>
      <c r="D848" s="1" t="s">
        <v>2510</v>
      </c>
      <c r="E848" s="1" t="s">
        <v>2509</v>
      </c>
      <c r="F848" s="1" t="s">
        <v>2510</v>
      </c>
      <c r="G848" s="1" t="s">
        <v>2511</v>
      </c>
      <c r="H848" s="1" t="s">
        <v>2510</v>
      </c>
      <c r="I848" s="1" t="s">
        <v>9838</v>
      </c>
      <c r="J848" s="1" t="s">
        <v>15895</v>
      </c>
      <c r="K848" s="1">
        <v>12</v>
      </c>
      <c r="L848" s="1" t="s">
        <v>4264</v>
      </c>
      <c r="M848" s="1">
        <v>15</v>
      </c>
      <c r="N848" s="1" t="s">
        <v>4365</v>
      </c>
    </row>
    <row r="849" spans="1:14" x14ac:dyDescent="0.15">
      <c r="A849" s="1">
        <v>161</v>
      </c>
      <c r="B849" s="1" t="s">
        <v>2485</v>
      </c>
      <c r="C849" s="1" t="s">
        <v>2509</v>
      </c>
      <c r="D849" s="1" t="s">
        <v>2510</v>
      </c>
      <c r="E849" s="1" t="s">
        <v>2509</v>
      </c>
      <c r="F849" s="1" t="s">
        <v>2510</v>
      </c>
      <c r="G849" s="1" t="s">
        <v>2511</v>
      </c>
      <c r="H849" s="1" t="s">
        <v>2510</v>
      </c>
      <c r="I849" s="1" t="s">
        <v>9841</v>
      </c>
      <c r="J849" s="1" t="s">
        <v>2517</v>
      </c>
      <c r="K849" s="1">
        <v>12</v>
      </c>
      <c r="L849" s="1" t="s">
        <v>4264</v>
      </c>
      <c r="M849" s="1">
        <v>15</v>
      </c>
      <c r="N849" s="1" t="s">
        <v>4365</v>
      </c>
    </row>
    <row r="850" spans="1:14" x14ac:dyDescent="0.15">
      <c r="A850" s="1">
        <v>161</v>
      </c>
      <c r="B850" s="1" t="s">
        <v>2485</v>
      </c>
      <c r="C850" s="1" t="s">
        <v>2509</v>
      </c>
      <c r="D850" s="1" t="s">
        <v>2510</v>
      </c>
      <c r="E850" s="1" t="s">
        <v>2509</v>
      </c>
      <c r="F850" s="1" t="s">
        <v>2510</v>
      </c>
      <c r="G850" s="1" t="s">
        <v>2511</v>
      </c>
      <c r="H850" s="1" t="s">
        <v>2510</v>
      </c>
      <c r="I850" s="1" t="s">
        <v>9415</v>
      </c>
      <c r="J850" s="1" t="s">
        <v>6046</v>
      </c>
      <c r="K850" s="1">
        <v>12</v>
      </c>
      <c r="L850" s="1" t="s">
        <v>4264</v>
      </c>
      <c r="M850" s="1">
        <v>15</v>
      </c>
      <c r="N850" s="1" t="s">
        <v>4365</v>
      </c>
    </row>
    <row r="851" spans="1:14" x14ac:dyDescent="0.15">
      <c r="A851" s="1">
        <v>161</v>
      </c>
      <c r="B851" s="1" t="s">
        <v>2485</v>
      </c>
      <c r="C851" s="1" t="s">
        <v>2509</v>
      </c>
      <c r="D851" s="1" t="s">
        <v>2510</v>
      </c>
      <c r="E851" s="1" t="s">
        <v>2509</v>
      </c>
      <c r="F851" s="1" t="s">
        <v>2510</v>
      </c>
      <c r="G851" s="1" t="s">
        <v>2511</v>
      </c>
      <c r="H851" s="1" t="s">
        <v>2510</v>
      </c>
      <c r="I851" s="1" t="s">
        <v>12616</v>
      </c>
      <c r="J851" s="1" t="s">
        <v>15879</v>
      </c>
      <c r="K851" s="1">
        <v>12</v>
      </c>
      <c r="L851" s="1" t="s">
        <v>4264</v>
      </c>
      <c r="M851" s="1">
        <v>15</v>
      </c>
      <c r="N851" s="1" t="s">
        <v>4365</v>
      </c>
    </row>
    <row r="852" spans="1:14" x14ac:dyDescent="0.15">
      <c r="A852" s="1">
        <v>161</v>
      </c>
      <c r="B852" s="1" t="s">
        <v>2485</v>
      </c>
      <c r="C852" s="1" t="s">
        <v>2509</v>
      </c>
      <c r="D852" s="1" t="s">
        <v>2510</v>
      </c>
      <c r="E852" s="1" t="s">
        <v>2509</v>
      </c>
      <c r="F852" s="1" t="s">
        <v>2510</v>
      </c>
      <c r="G852" s="1" t="s">
        <v>2511</v>
      </c>
      <c r="H852" s="1" t="s">
        <v>2510</v>
      </c>
      <c r="I852" s="1" t="s">
        <v>12587</v>
      </c>
      <c r="J852" s="1" t="s">
        <v>4411</v>
      </c>
      <c r="K852" s="1">
        <v>12</v>
      </c>
      <c r="L852" s="1" t="s">
        <v>4264</v>
      </c>
      <c r="M852" s="1">
        <v>15</v>
      </c>
      <c r="N852" s="1" t="s">
        <v>4365</v>
      </c>
    </row>
    <row r="853" spans="1:14" x14ac:dyDescent="0.15">
      <c r="A853" s="1">
        <v>161</v>
      </c>
      <c r="B853" s="1" t="s">
        <v>2485</v>
      </c>
      <c r="C853" s="1" t="s">
        <v>2509</v>
      </c>
      <c r="D853" s="1" t="s">
        <v>2510</v>
      </c>
      <c r="E853" s="1" t="s">
        <v>2509</v>
      </c>
      <c r="F853" s="1" t="s">
        <v>2510</v>
      </c>
      <c r="G853" s="1" t="s">
        <v>2511</v>
      </c>
      <c r="H853" s="1" t="s">
        <v>2510</v>
      </c>
      <c r="I853" s="1" t="s">
        <v>9562</v>
      </c>
      <c r="J853" s="1" t="s">
        <v>15150</v>
      </c>
      <c r="K853" s="1">
        <v>12</v>
      </c>
      <c r="L853" s="1" t="s">
        <v>4264</v>
      </c>
      <c r="M853" s="1">
        <v>15</v>
      </c>
      <c r="N853" s="1" t="s">
        <v>4365</v>
      </c>
    </row>
    <row r="854" spans="1:14" x14ac:dyDescent="0.15">
      <c r="A854" s="1">
        <v>161</v>
      </c>
      <c r="B854" s="1" t="s">
        <v>2485</v>
      </c>
      <c r="C854" s="1" t="s">
        <v>2509</v>
      </c>
      <c r="D854" s="1" t="s">
        <v>2510</v>
      </c>
      <c r="E854" s="1" t="s">
        <v>2509</v>
      </c>
      <c r="F854" s="1" t="s">
        <v>2510</v>
      </c>
      <c r="G854" s="1" t="s">
        <v>2511</v>
      </c>
      <c r="H854" s="1" t="s">
        <v>2510</v>
      </c>
      <c r="I854" s="1" t="s">
        <v>12589</v>
      </c>
      <c r="J854" s="1" t="s">
        <v>2518</v>
      </c>
      <c r="K854" s="1">
        <v>12</v>
      </c>
      <c r="L854" s="1" t="s">
        <v>4264</v>
      </c>
      <c r="M854" s="1">
        <v>15</v>
      </c>
      <c r="N854" s="1" t="s">
        <v>4365</v>
      </c>
    </row>
    <row r="855" spans="1:14" x14ac:dyDescent="0.15">
      <c r="A855" s="1">
        <v>161</v>
      </c>
      <c r="B855" s="1" t="s">
        <v>2485</v>
      </c>
      <c r="C855" s="1" t="s">
        <v>2509</v>
      </c>
      <c r="D855" s="1" t="s">
        <v>2510</v>
      </c>
      <c r="E855" s="1" t="s">
        <v>2509</v>
      </c>
      <c r="F855" s="1" t="s">
        <v>2510</v>
      </c>
      <c r="G855" s="1" t="s">
        <v>2511</v>
      </c>
      <c r="H855" s="1" t="s">
        <v>2510</v>
      </c>
      <c r="I855" s="1" t="s">
        <v>11290</v>
      </c>
      <c r="J855" s="1" t="s">
        <v>2519</v>
      </c>
      <c r="K855" s="1">
        <v>12</v>
      </c>
      <c r="L855" s="1" t="s">
        <v>4264</v>
      </c>
      <c r="M855" s="1">
        <v>15</v>
      </c>
      <c r="N855" s="1" t="s">
        <v>4365</v>
      </c>
    </row>
    <row r="856" spans="1:14" x14ac:dyDescent="0.15">
      <c r="A856" s="1">
        <v>161</v>
      </c>
      <c r="B856" s="1" t="s">
        <v>2485</v>
      </c>
      <c r="C856" s="1" t="s">
        <v>2509</v>
      </c>
      <c r="D856" s="1" t="s">
        <v>2510</v>
      </c>
      <c r="E856" s="1" t="s">
        <v>2509</v>
      </c>
      <c r="F856" s="1" t="s">
        <v>2510</v>
      </c>
      <c r="G856" s="1" t="s">
        <v>2511</v>
      </c>
      <c r="H856" s="1" t="s">
        <v>2510</v>
      </c>
      <c r="I856" s="1" t="s">
        <v>9566</v>
      </c>
      <c r="J856" s="1" t="s">
        <v>2520</v>
      </c>
      <c r="K856" s="1">
        <v>12</v>
      </c>
      <c r="L856" s="1" t="s">
        <v>4264</v>
      </c>
      <c r="M856" s="1">
        <v>15</v>
      </c>
      <c r="N856" s="1" t="s">
        <v>4365</v>
      </c>
    </row>
    <row r="857" spans="1:14" x14ac:dyDescent="0.15">
      <c r="A857" s="1">
        <v>161</v>
      </c>
      <c r="B857" s="1" t="s">
        <v>2485</v>
      </c>
      <c r="C857" s="1" t="s">
        <v>2509</v>
      </c>
      <c r="D857" s="1" t="s">
        <v>2510</v>
      </c>
      <c r="E857" s="1" t="s">
        <v>2509</v>
      </c>
      <c r="F857" s="1" t="s">
        <v>2510</v>
      </c>
      <c r="G857" s="1" t="s">
        <v>2511</v>
      </c>
      <c r="H857" s="1" t="s">
        <v>2510</v>
      </c>
      <c r="I857" s="1" t="s">
        <v>11288</v>
      </c>
      <c r="J857" s="1" t="s">
        <v>2521</v>
      </c>
      <c r="K857" s="1">
        <v>12</v>
      </c>
      <c r="L857" s="1" t="s">
        <v>4264</v>
      </c>
      <c r="M857" s="1">
        <v>15</v>
      </c>
      <c r="N857" s="1" t="s">
        <v>4365</v>
      </c>
    </row>
    <row r="858" spans="1:14" x14ac:dyDescent="0.15">
      <c r="A858" s="1">
        <v>161</v>
      </c>
      <c r="B858" s="1" t="s">
        <v>2485</v>
      </c>
      <c r="C858" s="1" t="s">
        <v>2509</v>
      </c>
      <c r="D858" s="1" t="s">
        <v>2510</v>
      </c>
      <c r="E858" s="1" t="s">
        <v>2509</v>
      </c>
      <c r="F858" s="1" t="s">
        <v>2510</v>
      </c>
      <c r="G858" s="1" t="s">
        <v>2511</v>
      </c>
      <c r="H858" s="1" t="s">
        <v>2510</v>
      </c>
      <c r="I858" s="1" t="s">
        <v>9570</v>
      </c>
      <c r="J858" s="1" t="s">
        <v>2522</v>
      </c>
      <c r="K858" s="1">
        <v>12</v>
      </c>
      <c r="L858" s="1" t="s">
        <v>4264</v>
      </c>
      <c r="M858" s="1">
        <v>15</v>
      </c>
      <c r="N858" s="1" t="s">
        <v>4365</v>
      </c>
    </row>
    <row r="859" spans="1:14" x14ac:dyDescent="0.15">
      <c r="A859" s="1">
        <v>161</v>
      </c>
      <c r="B859" s="1" t="s">
        <v>2485</v>
      </c>
      <c r="C859" s="1" t="s">
        <v>2509</v>
      </c>
      <c r="D859" s="1" t="s">
        <v>2510</v>
      </c>
      <c r="E859" s="1" t="s">
        <v>2509</v>
      </c>
      <c r="F859" s="1" t="s">
        <v>2510</v>
      </c>
      <c r="G859" s="1" t="s">
        <v>2511</v>
      </c>
      <c r="H859" s="1" t="s">
        <v>2510</v>
      </c>
      <c r="I859" s="1" t="s">
        <v>9576</v>
      </c>
      <c r="J859" s="1" t="s">
        <v>4412</v>
      </c>
      <c r="K859" s="1">
        <v>12</v>
      </c>
      <c r="L859" s="1" t="s">
        <v>4264</v>
      </c>
      <c r="M859" s="1">
        <v>15</v>
      </c>
      <c r="N859" s="1" t="s">
        <v>4365</v>
      </c>
    </row>
    <row r="860" spans="1:14" x14ac:dyDescent="0.15">
      <c r="A860" s="1">
        <v>161</v>
      </c>
      <c r="B860" s="1" t="s">
        <v>2485</v>
      </c>
      <c r="C860" s="1" t="s">
        <v>2509</v>
      </c>
      <c r="D860" s="1" t="s">
        <v>2510</v>
      </c>
      <c r="E860" s="1" t="s">
        <v>2509</v>
      </c>
      <c r="F860" s="1" t="s">
        <v>2510</v>
      </c>
      <c r="G860" s="1" t="s">
        <v>2511</v>
      </c>
      <c r="H860" s="1" t="s">
        <v>2510</v>
      </c>
      <c r="I860" s="1" t="s">
        <v>15173</v>
      </c>
      <c r="J860" s="1" t="s">
        <v>15174</v>
      </c>
      <c r="K860" s="1">
        <v>12</v>
      </c>
      <c r="L860" s="1" t="s">
        <v>4264</v>
      </c>
      <c r="M860" s="1">
        <v>15</v>
      </c>
      <c r="N860" s="1" t="s">
        <v>4365</v>
      </c>
    </row>
    <row r="861" spans="1:14" x14ac:dyDescent="0.15">
      <c r="A861" s="1">
        <v>161</v>
      </c>
      <c r="B861" s="1" t="s">
        <v>2485</v>
      </c>
      <c r="C861" s="1" t="s">
        <v>2509</v>
      </c>
      <c r="D861" s="1" t="s">
        <v>2510</v>
      </c>
      <c r="E861" s="1" t="s">
        <v>2509</v>
      </c>
      <c r="F861" s="1" t="s">
        <v>2510</v>
      </c>
      <c r="G861" s="1" t="s">
        <v>2511</v>
      </c>
      <c r="H861" s="1" t="s">
        <v>2510</v>
      </c>
      <c r="I861" s="1" t="s">
        <v>11746</v>
      </c>
      <c r="J861" s="1" t="s">
        <v>6596</v>
      </c>
      <c r="K861" s="1">
        <v>12</v>
      </c>
      <c r="L861" s="1" t="s">
        <v>4264</v>
      </c>
      <c r="M861" s="1">
        <v>15</v>
      </c>
      <c r="N861" s="1" t="s">
        <v>4365</v>
      </c>
    </row>
    <row r="862" spans="1:14" x14ac:dyDescent="0.15">
      <c r="A862" s="1">
        <v>161</v>
      </c>
      <c r="B862" s="1" t="s">
        <v>2485</v>
      </c>
      <c r="C862" s="1" t="s">
        <v>2509</v>
      </c>
      <c r="D862" s="1" t="s">
        <v>2510</v>
      </c>
      <c r="E862" s="1" t="s">
        <v>2509</v>
      </c>
      <c r="F862" s="1" t="s">
        <v>2510</v>
      </c>
      <c r="G862" s="1" t="s">
        <v>2511</v>
      </c>
      <c r="H862" s="1" t="s">
        <v>2510</v>
      </c>
      <c r="I862" s="1" t="s">
        <v>9466</v>
      </c>
      <c r="J862" s="1" t="s">
        <v>2523</v>
      </c>
      <c r="K862" s="1">
        <v>12</v>
      </c>
      <c r="L862" s="1" t="s">
        <v>4264</v>
      </c>
      <c r="M862" s="1">
        <v>15</v>
      </c>
      <c r="N862" s="1" t="s">
        <v>4365</v>
      </c>
    </row>
    <row r="863" spans="1:14" x14ac:dyDescent="0.15">
      <c r="A863" s="1">
        <v>161</v>
      </c>
      <c r="B863" s="1" t="s">
        <v>2485</v>
      </c>
      <c r="C863" s="1" t="s">
        <v>2509</v>
      </c>
      <c r="D863" s="1" t="s">
        <v>2510</v>
      </c>
      <c r="E863" s="1" t="s">
        <v>2509</v>
      </c>
      <c r="F863" s="1" t="s">
        <v>2510</v>
      </c>
      <c r="G863" s="1" t="s">
        <v>2511</v>
      </c>
      <c r="H863" s="1" t="s">
        <v>2510</v>
      </c>
      <c r="I863" s="1" t="s">
        <v>9469</v>
      </c>
      <c r="J863" s="1" t="s">
        <v>2524</v>
      </c>
      <c r="K863" s="1">
        <v>12</v>
      </c>
      <c r="L863" s="1" t="s">
        <v>4264</v>
      </c>
      <c r="M863" s="1">
        <v>15</v>
      </c>
      <c r="N863" s="1" t="s">
        <v>4365</v>
      </c>
    </row>
    <row r="864" spans="1:14" x14ac:dyDescent="0.15">
      <c r="A864" s="1">
        <v>161</v>
      </c>
      <c r="B864" s="1" t="s">
        <v>2485</v>
      </c>
      <c r="C864" s="1" t="s">
        <v>2509</v>
      </c>
      <c r="D864" s="1" t="s">
        <v>2510</v>
      </c>
      <c r="E864" s="1" t="s">
        <v>2509</v>
      </c>
      <c r="F864" s="1" t="s">
        <v>2510</v>
      </c>
      <c r="G864" s="1" t="s">
        <v>2511</v>
      </c>
      <c r="H864" s="1" t="s">
        <v>2510</v>
      </c>
      <c r="I864" s="1" t="s">
        <v>9472</v>
      </c>
      <c r="J864" s="1" t="s">
        <v>2525</v>
      </c>
      <c r="K864" s="1">
        <v>12</v>
      </c>
      <c r="L864" s="1" t="s">
        <v>4264</v>
      </c>
      <c r="M864" s="1">
        <v>15</v>
      </c>
      <c r="N864" s="1" t="s">
        <v>4365</v>
      </c>
    </row>
    <row r="865" spans="1:14" x14ac:dyDescent="0.15">
      <c r="A865" s="1">
        <v>161</v>
      </c>
      <c r="B865" s="1" t="s">
        <v>2485</v>
      </c>
      <c r="C865" s="1" t="s">
        <v>2509</v>
      </c>
      <c r="D865" s="1" t="s">
        <v>2510</v>
      </c>
      <c r="E865" s="1" t="s">
        <v>2509</v>
      </c>
      <c r="F865" s="1" t="s">
        <v>2510</v>
      </c>
      <c r="G865" s="1" t="s">
        <v>2511</v>
      </c>
      <c r="H865" s="1" t="s">
        <v>2510</v>
      </c>
      <c r="I865" s="1" t="s">
        <v>11725</v>
      </c>
      <c r="J865" s="1" t="s">
        <v>4413</v>
      </c>
      <c r="K865" s="1">
        <v>12</v>
      </c>
      <c r="L865" s="1" t="s">
        <v>4264</v>
      </c>
      <c r="M865" s="1">
        <v>15</v>
      </c>
      <c r="N865" s="1" t="s">
        <v>4365</v>
      </c>
    </row>
    <row r="866" spans="1:14" x14ac:dyDescent="0.15">
      <c r="A866" s="1">
        <v>161</v>
      </c>
      <c r="B866" s="1" t="s">
        <v>2485</v>
      </c>
      <c r="C866" s="1" t="s">
        <v>2509</v>
      </c>
      <c r="D866" s="1" t="s">
        <v>2510</v>
      </c>
      <c r="E866" s="1" t="s">
        <v>2509</v>
      </c>
      <c r="F866" s="1" t="s">
        <v>2510</v>
      </c>
      <c r="G866" s="1" t="s">
        <v>2511</v>
      </c>
      <c r="H866" s="1" t="s">
        <v>2510</v>
      </c>
      <c r="I866" s="1" t="s">
        <v>11236</v>
      </c>
      <c r="J866" s="1" t="s">
        <v>4414</v>
      </c>
      <c r="K866" s="1">
        <v>12</v>
      </c>
      <c r="L866" s="1" t="s">
        <v>4264</v>
      </c>
      <c r="M866" s="1">
        <v>15</v>
      </c>
      <c r="N866" s="1" t="s">
        <v>4365</v>
      </c>
    </row>
    <row r="867" spans="1:14" x14ac:dyDescent="0.15">
      <c r="A867" s="1">
        <v>161</v>
      </c>
      <c r="B867" s="1" t="s">
        <v>2485</v>
      </c>
      <c r="C867" s="1" t="s">
        <v>2509</v>
      </c>
      <c r="D867" s="1" t="s">
        <v>2510</v>
      </c>
      <c r="E867" s="1" t="s">
        <v>2509</v>
      </c>
      <c r="F867" s="1" t="s">
        <v>2510</v>
      </c>
      <c r="G867" s="1" t="s">
        <v>2511</v>
      </c>
      <c r="H867" s="1" t="s">
        <v>2510</v>
      </c>
      <c r="I867" s="1" t="s">
        <v>9485</v>
      </c>
      <c r="J867" s="1" t="s">
        <v>2526</v>
      </c>
      <c r="K867" s="1">
        <v>12</v>
      </c>
      <c r="L867" s="1" t="s">
        <v>4264</v>
      </c>
      <c r="M867" s="1">
        <v>15</v>
      </c>
      <c r="N867" s="1" t="s">
        <v>4365</v>
      </c>
    </row>
    <row r="868" spans="1:14" x14ac:dyDescent="0.15">
      <c r="A868" s="1">
        <v>161</v>
      </c>
      <c r="B868" s="1" t="s">
        <v>2485</v>
      </c>
      <c r="C868" s="1" t="s">
        <v>2509</v>
      </c>
      <c r="D868" s="1" t="s">
        <v>2510</v>
      </c>
      <c r="E868" s="1" t="s">
        <v>2509</v>
      </c>
      <c r="F868" s="1" t="s">
        <v>2510</v>
      </c>
      <c r="G868" s="1" t="s">
        <v>2511</v>
      </c>
      <c r="H868" s="1" t="s">
        <v>2510</v>
      </c>
      <c r="I868" s="1" t="s">
        <v>9514</v>
      </c>
      <c r="J868" s="1" t="s">
        <v>4415</v>
      </c>
      <c r="K868" s="1">
        <v>12</v>
      </c>
      <c r="L868" s="1" t="s">
        <v>4264</v>
      </c>
      <c r="M868" s="1">
        <v>15</v>
      </c>
      <c r="N868" s="1" t="s">
        <v>4365</v>
      </c>
    </row>
    <row r="869" spans="1:14" x14ac:dyDescent="0.15">
      <c r="A869" s="1">
        <v>161</v>
      </c>
      <c r="B869" s="1" t="s">
        <v>2485</v>
      </c>
      <c r="C869" s="1" t="s">
        <v>2509</v>
      </c>
      <c r="D869" s="1" t="s">
        <v>2510</v>
      </c>
      <c r="E869" s="1" t="s">
        <v>2509</v>
      </c>
      <c r="F869" s="1" t="s">
        <v>2510</v>
      </c>
      <c r="G869" s="1" t="s">
        <v>2511</v>
      </c>
      <c r="H869" s="1" t="s">
        <v>2510</v>
      </c>
      <c r="I869" s="1" t="s">
        <v>9523</v>
      </c>
      <c r="J869" s="1" t="s">
        <v>6051</v>
      </c>
      <c r="K869" s="1">
        <v>12</v>
      </c>
      <c r="L869" s="1" t="s">
        <v>4264</v>
      </c>
      <c r="M869" s="1">
        <v>15</v>
      </c>
      <c r="N869" s="1" t="s">
        <v>4365</v>
      </c>
    </row>
    <row r="870" spans="1:14" x14ac:dyDescent="0.15">
      <c r="A870" s="1">
        <v>161</v>
      </c>
      <c r="B870" s="1" t="s">
        <v>2485</v>
      </c>
      <c r="C870" s="1" t="s">
        <v>2509</v>
      </c>
      <c r="D870" s="1" t="s">
        <v>2510</v>
      </c>
      <c r="E870" s="1" t="s">
        <v>2509</v>
      </c>
      <c r="F870" s="1" t="s">
        <v>2510</v>
      </c>
      <c r="G870" s="1" t="s">
        <v>2511</v>
      </c>
      <c r="H870" s="1" t="s">
        <v>2510</v>
      </c>
      <c r="I870" s="1" t="s">
        <v>9532</v>
      </c>
      <c r="J870" s="1" t="s">
        <v>15903</v>
      </c>
      <c r="K870" s="1">
        <v>12</v>
      </c>
      <c r="L870" s="1" t="s">
        <v>4264</v>
      </c>
      <c r="M870" s="1">
        <v>15</v>
      </c>
      <c r="N870" s="1" t="s">
        <v>4365</v>
      </c>
    </row>
    <row r="871" spans="1:14" x14ac:dyDescent="0.15">
      <c r="A871" s="1">
        <v>161</v>
      </c>
      <c r="B871" s="1" t="s">
        <v>2485</v>
      </c>
      <c r="C871" s="1" t="s">
        <v>2509</v>
      </c>
      <c r="D871" s="1" t="s">
        <v>2510</v>
      </c>
      <c r="E871" s="1" t="s">
        <v>2509</v>
      </c>
      <c r="F871" s="1" t="s">
        <v>2510</v>
      </c>
      <c r="G871" s="1" t="s">
        <v>2511</v>
      </c>
      <c r="H871" s="1" t="s">
        <v>2510</v>
      </c>
      <c r="I871" s="1" t="s">
        <v>11717</v>
      </c>
      <c r="J871" s="1" t="s">
        <v>5085</v>
      </c>
      <c r="K871" s="1">
        <v>12</v>
      </c>
      <c r="L871" s="1" t="s">
        <v>4264</v>
      </c>
      <c r="M871" s="1">
        <v>15</v>
      </c>
      <c r="N871" s="1" t="s">
        <v>4365</v>
      </c>
    </row>
    <row r="872" spans="1:14" x14ac:dyDescent="0.15">
      <c r="A872" s="1">
        <v>161</v>
      </c>
      <c r="B872" s="1" t="s">
        <v>2485</v>
      </c>
      <c r="C872" s="1" t="s">
        <v>2509</v>
      </c>
      <c r="D872" s="1" t="s">
        <v>2510</v>
      </c>
      <c r="E872" s="1" t="s">
        <v>2509</v>
      </c>
      <c r="F872" s="1" t="s">
        <v>2510</v>
      </c>
      <c r="G872" s="1" t="s">
        <v>2511</v>
      </c>
      <c r="H872" s="1" t="s">
        <v>2510</v>
      </c>
      <c r="I872" s="1" t="s">
        <v>9549</v>
      </c>
      <c r="J872" s="1" t="s">
        <v>15915</v>
      </c>
      <c r="K872" s="1">
        <v>12</v>
      </c>
      <c r="L872" s="1" t="s">
        <v>4264</v>
      </c>
      <c r="M872" s="1">
        <v>15</v>
      </c>
      <c r="N872" s="1" t="s">
        <v>4365</v>
      </c>
    </row>
    <row r="873" spans="1:14" x14ac:dyDescent="0.15">
      <c r="A873" s="1">
        <v>161</v>
      </c>
      <c r="B873" s="1" t="s">
        <v>2485</v>
      </c>
      <c r="C873" s="1" t="s">
        <v>2509</v>
      </c>
      <c r="D873" s="1" t="s">
        <v>2510</v>
      </c>
      <c r="E873" s="1" t="s">
        <v>2509</v>
      </c>
      <c r="F873" s="1" t="s">
        <v>2510</v>
      </c>
      <c r="G873" s="1" t="s">
        <v>2511</v>
      </c>
      <c r="H873" s="1" t="s">
        <v>2510</v>
      </c>
      <c r="I873" s="1" t="s">
        <v>11727</v>
      </c>
      <c r="J873" s="1" t="s">
        <v>6045</v>
      </c>
      <c r="K873" s="1">
        <v>12</v>
      </c>
      <c r="L873" s="1" t="s">
        <v>4264</v>
      </c>
      <c r="M873" s="1">
        <v>15</v>
      </c>
      <c r="N873" s="1" t="s">
        <v>4365</v>
      </c>
    </row>
    <row r="874" spans="1:14" x14ac:dyDescent="0.15">
      <c r="A874" s="1">
        <v>161</v>
      </c>
      <c r="B874" s="1" t="s">
        <v>2485</v>
      </c>
      <c r="C874" s="1" t="s">
        <v>2509</v>
      </c>
      <c r="D874" s="1" t="s">
        <v>2510</v>
      </c>
      <c r="E874" s="1" t="s">
        <v>2509</v>
      </c>
      <c r="F874" s="1" t="s">
        <v>2510</v>
      </c>
      <c r="G874" s="1" t="s">
        <v>2511</v>
      </c>
      <c r="H874" s="1" t="s">
        <v>2510</v>
      </c>
      <c r="I874" s="1" t="s">
        <v>9252</v>
      </c>
      <c r="J874" s="1" t="s">
        <v>2527</v>
      </c>
      <c r="K874" s="1">
        <v>12</v>
      </c>
      <c r="L874" s="1" t="s">
        <v>4264</v>
      </c>
      <c r="M874" s="1">
        <v>15</v>
      </c>
      <c r="N874" s="1" t="s">
        <v>4365</v>
      </c>
    </row>
    <row r="875" spans="1:14" x14ac:dyDescent="0.15">
      <c r="A875" s="1">
        <v>161</v>
      </c>
      <c r="B875" s="1" t="s">
        <v>2485</v>
      </c>
      <c r="C875" s="1" t="s">
        <v>2509</v>
      </c>
      <c r="D875" s="1" t="s">
        <v>2510</v>
      </c>
      <c r="E875" s="1" t="s">
        <v>2509</v>
      </c>
      <c r="F875" s="1" t="s">
        <v>2510</v>
      </c>
      <c r="G875" s="1" t="s">
        <v>2511</v>
      </c>
      <c r="H875" s="1" t="s">
        <v>2510</v>
      </c>
      <c r="I875" s="1" t="s">
        <v>11743</v>
      </c>
      <c r="J875" s="1" t="s">
        <v>6039</v>
      </c>
      <c r="K875" s="1">
        <v>12</v>
      </c>
      <c r="L875" s="1" t="s">
        <v>4264</v>
      </c>
      <c r="M875" s="1">
        <v>15</v>
      </c>
      <c r="N875" s="1" t="s">
        <v>4365</v>
      </c>
    </row>
    <row r="876" spans="1:14" x14ac:dyDescent="0.15">
      <c r="A876" s="1">
        <v>161</v>
      </c>
      <c r="B876" s="1" t="s">
        <v>2485</v>
      </c>
      <c r="C876" s="1" t="s">
        <v>2509</v>
      </c>
      <c r="D876" s="1" t="s">
        <v>2510</v>
      </c>
      <c r="E876" s="1" t="s">
        <v>2509</v>
      </c>
      <c r="F876" s="1" t="s">
        <v>2510</v>
      </c>
      <c r="G876" s="1" t="s">
        <v>2511</v>
      </c>
      <c r="H876" s="1" t="s">
        <v>2510</v>
      </c>
      <c r="I876" s="1" t="s">
        <v>9502</v>
      </c>
      <c r="J876" s="1" t="s">
        <v>15887</v>
      </c>
      <c r="K876" s="1">
        <v>12</v>
      </c>
      <c r="L876" s="1" t="s">
        <v>4264</v>
      </c>
      <c r="M876" s="1">
        <v>15</v>
      </c>
      <c r="N876" s="1" t="s">
        <v>4365</v>
      </c>
    </row>
    <row r="877" spans="1:14" x14ac:dyDescent="0.15">
      <c r="A877" s="1">
        <v>164</v>
      </c>
      <c r="B877" s="1" t="s">
        <v>2528</v>
      </c>
      <c r="C877" s="1" t="s">
        <v>2529</v>
      </c>
      <c r="D877" s="1" t="s">
        <v>2528</v>
      </c>
      <c r="E877" s="1" t="s">
        <v>2529</v>
      </c>
      <c r="F877" s="1" t="s">
        <v>2528</v>
      </c>
      <c r="G877" s="1" t="s">
        <v>2530</v>
      </c>
      <c r="H877" s="1" t="s">
        <v>2528</v>
      </c>
      <c r="I877" s="1" t="s">
        <v>18111</v>
      </c>
      <c r="J877" s="1" t="s">
        <v>6619</v>
      </c>
      <c r="K877" s="1">
        <v>9</v>
      </c>
      <c r="L877" s="1" t="s">
        <v>4199</v>
      </c>
      <c r="M877" s="1">
        <v>1</v>
      </c>
      <c r="N877" s="1" t="s">
        <v>4318</v>
      </c>
    </row>
    <row r="878" spans="1:14" x14ac:dyDescent="0.15">
      <c r="A878" s="1">
        <v>164</v>
      </c>
      <c r="B878" s="1" t="s">
        <v>2528</v>
      </c>
      <c r="C878" s="1" t="s">
        <v>2531</v>
      </c>
      <c r="D878" s="1" t="s">
        <v>2532</v>
      </c>
      <c r="E878" s="1" t="s">
        <v>2531</v>
      </c>
      <c r="F878" s="1" t="s">
        <v>2532</v>
      </c>
      <c r="G878" s="1" t="s">
        <v>2533</v>
      </c>
      <c r="H878" s="1" t="s">
        <v>2532</v>
      </c>
      <c r="I878" s="1" t="s">
        <v>11879</v>
      </c>
      <c r="J878" s="1" t="s">
        <v>4278</v>
      </c>
      <c r="K878" s="1">
        <v>9</v>
      </c>
      <c r="L878" s="1" t="s">
        <v>4199</v>
      </c>
      <c r="M878" s="1">
        <v>1</v>
      </c>
      <c r="N878" s="1" t="s">
        <v>4318</v>
      </c>
    </row>
    <row r="879" spans="1:14" x14ac:dyDescent="0.15">
      <c r="A879" s="1">
        <v>164</v>
      </c>
      <c r="B879" s="1" t="s">
        <v>2528</v>
      </c>
      <c r="C879" s="1" t="s">
        <v>2531</v>
      </c>
      <c r="D879" s="1" t="s">
        <v>2532</v>
      </c>
      <c r="E879" s="1" t="s">
        <v>2531</v>
      </c>
      <c r="F879" s="1" t="s">
        <v>2532</v>
      </c>
      <c r="G879" s="1" t="s">
        <v>2533</v>
      </c>
      <c r="H879" s="1" t="s">
        <v>2532</v>
      </c>
      <c r="I879" s="1" t="s">
        <v>18123</v>
      </c>
      <c r="J879" s="1" t="s">
        <v>2534</v>
      </c>
      <c r="K879" s="1">
        <v>9</v>
      </c>
      <c r="L879" s="1" t="s">
        <v>4199</v>
      </c>
      <c r="M879" s="1">
        <v>1</v>
      </c>
      <c r="N879" s="1" t="s">
        <v>4318</v>
      </c>
    </row>
    <row r="880" spans="1:14" x14ac:dyDescent="0.15">
      <c r="A880" s="1">
        <v>164</v>
      </c>
      <c r="B880" s="1" t="s">
        <v>2528</v>
      </c>
      <c r="C880" s="1" t="s">
        <v>2531</v>
      </c>
      <c r="D880" s="1" t="s">
        <v>2532</v>
      </c>
      <c r="E880" s="1" t="s">
        <v>2531</v>
      </c>
      <c r="F880" s="1" t="s">
        <v>2532</v>
      </c>
      <c r="G880" s="1" t="s">
        <v>2533</v>
      </c>
      <c r="H880" s="1" t="s">
        <v>2532</v>
      </c>
      <c r="I880" s="1" t="s">
        <v>11304</v>
      </c>
      <c r="J880" s="1" t="s">
        <v>2535</v>
      </c>
      <c r="K880" s="1">
        <v>9</v>
      </c>
      <c r="L880" s="1" t="s">
        <v>4199</v>
      </c>
      <c r="M880" s="1">
        <v>1</v>
      </c>
      <c r="N880" s="1" t="s">
        <v>4318</v>
      </c>
    </row>
    <row r="881" spans="1:14" x14ac:dyDescent="0.15">
      <c r="A881" s="1">
        <v>164</v>
      </c>
      <c r="B881" s="1" t="s">
        <v>2528</v>
      </c>
      <c r="C881" s="1" t="s">
        <v>2531</v>
      </c>
      <c r="D881" s="1" t="s">
        <v>2532</v>
      </c>
      <c r="E881" s="1" t="s">
        <v>2531</v>
      </c>
      <c r="F881" s="1" t="s">
        <v>2532</v>
      </c>
      <c r="G881" s="1" t="s">
        <v>2533</v>
      </c>
      <c r="H881" s="1" t="s">
        <v>2532</v>
      </c>
      <c r="I881" s="1" t="s">
        <v>11307</v>
      </c>
      <c r="J881" s="1" t="s">
        <v>2536</v>
      </c>
      <c r="K881" s="1">
        <v>9</v>
      </c>
      <c r="L881" s="1" t="s">
        <v>4199</v>
      </c>
      <c r="M881" s="1">
        <v>1</v>
      </c>
      <c r="N881" s="1" t="s">
        <v>4318</v>
      </c>
    </row>
    <row r="882" spans="1:14" x14ac:dyDescent="0.15">
      <c r="A882" s="1">
        <v>164</v>
      </c>
      <c r="B882" s="1" t="s">
        <v>2528</v>
      </c>
      <c r="C882" s="1" t="s">
        <v>2531</v>
      </c>
      <c r="D882" s="1" t="s">
        <v>2532</v>
      </c>
      <c r="E882" s="1" t="s">
        <v>2531</v>
      </c>
      <c r="F882" s="1" t="s">
        <v>2532</v>
      </c>
      <c r="G882" s="1" t="s">
        <v>2533</v>
      </c>
      <c r="H882" s="1" t="s">
        <v>2532</v>
      </c>
      <c r="I882" s="1" t="s">
        <v>18131</v>
      </c>
      <c r="J882" s="1" t="s">
        <v>2537</v>
      </c>
      <c r="K882" s="1">
        <v>9</v>
      </c>
      <c r="L882" s="1" t="s">
        <v>4199</v>
      </c>
      <c r="M882" s="1">
        <v>1</v>
      </c>
      <c r="N882" s="1" t="s">
        <v>4318</v>
      </c>
    </row>
    <row r="883" spans="1:14" x14ac:dyDescent="0.15">
      <c r="A883" s="1">
        <v>164</v>
      </c>
      <c r="B883" s="1" t="s">
        <v>2528</v>
      </c>
      <c r="C883" s="1" t="s">
        <v>2531</v>
      </c>
      <c r="D883" s="1" t="s">
        <v>2532</v>
      </c>
      <c r="E883" s="1" t="s">
        <v>2531</v>
      </c>
      <c r="F883" s="1" t="s">
        <v>2532</v>
      </c>
      <c r="G883" s="1" t="s">
        <v>2533</v>
      </c>
      <c r="H883" s="1" t="s">
        <v>2532</v>
      </c>
      <c r="I883" s="1" t="s">
        <v>18166</v>
      </c>
      <c r="J883" s="1" t="s">
        <v>18167</v>
      </c>
      <c r="K883" s="1">
        <v>9</v>
      </c>
      <c r="L883" s="1" t="s">
        <v>4199</v>
      </c>
      <c r="M883" s="1">
        <v>1</v>
      </c>
      <c r="N883" s="1" t="s">
        <v>4318</v>
      </c>
    </row>
    <row r="884" spans="1:14" x14ac:dyDescent="0.15">
      <c r="A884" s="1">
        <v>164</v>
      </c>
      <c r="B884" s="1" t="s">
        <v>2528</v>
      </c>
      <c r="C884" s="1" t="s">
        <v>2531</v>
      </c>
      <c r="D884" s="1" t="s">
        <v>2532</v>
      </c>
      <c r="E884" s="1" t="s">
        <v>2531</v>
      </c>
      <c r="F884" s="1" t="s">
        <v>2532</v>
      </c>
      <c r="G884" s="1" t="s">
        <v>2533</v>
      </c>
      <c r="H884" s="1" t="s">
        <v>2532</v>
      </c>
      <c r="I884" s="1" t="s">
        <v>18170</v>
      </c>
      <c r="J884" s="1" t="s">
        <v>2538</v>
      </c>
      <c r="K884" s="1">
        <v>9</v>
      </c>
      <c r="L884" s="1" t="s">
        <v>4199</v>
      </c>
      <c r="M884" s="1">
        <v>1</v>
      </c>
      <c r="N884" s="1" t="s">
        <v>4318</v>
      </c>
    </row>
    <row r="885" spans="1:14" x14ac:dyDescent="0.15">
      <c r="A885" s="1">
        <v>164</v>
      </c>
      <c r="B885" s="1" t="s">
        <v>2528</v>
      </c>
      <c r="C885" s="1" t="s">
        <v>2531</v>
      </c>
      <c r="D885" s="1" t="s">
        <v>2532</v>
      </c>
      <c r="E885" s="1" t="s">
        <v>2531</v>
      </c>
      <c r="F885" s="1" t="s">
        <v>2532</v>
      </c>
      <c r="G885" s="1" t="s">
        <v>2533</v>
      </c>
      <c r="H885" s="1" t="s">
        <v>2532</v>
      </c>
      <c r="I885" s="1" t="s">
        <v>18174</v>
      </c>
      <c r="J885" s="1" t="s">
        <v>6649</v>
      </c>
      <c r="K885" s="1">
        <v>9</v>
      </c>
      <c r="L885" s="1" t="s">
        <v>4199</v>
      </c>
      <c r="M885" s="1">
        <v>1</v>
      </c>
      <c r="N885" s="1" t="s">
        <v>4318</v>
      </c>
    </row>
    <row r="886" spans="1:14" x14ac:dyDescent="0.15">
      <c r="A886" s="1">
        <v>164</v>
      </c>
      <c r="B886" s="1" t="s">
        <v>2528</v>
      </c>
      <c r="C886" s="1" t="s">
        <v>2531</v>
      </c>
      <c r="D886" s="1" t="s">
        <v>2532</v>
      </c>
      <c r="E886" s="1" t="s">
        <v>2531</v>
      </c>
      <c r="F886" s="1" t="s">
        <v>2532</v>
      </c>
      <c r="G886" s="1" t="s">
        <v>2533</v>
      </c>
      <c r="H886" s="1" t="s">
        <v>2532</v>
      </c>
      <c r="I886" s="1" t="s">
        <v>18182</v>
      </c>
      <c r="J886" s="1" t="s">
        <v>6644</v>
      </c>
      <c r="K886" s="1">
        <v>9</v>
      </c>
      <c r="L886" s="1" t="s">
        <v>4199</v>
      </c>
      <c r="M886" s="1">
        <v>1</v>
      </c>
      <c r="N886" s="1" t="s">
        <v>4318</v>
      </c>
    </row>
    <row r="887" spans="1:14" x14ac:dyDescent="0.15">
      <c r="A887" s="1">
        <v>164</v>
      </c>
      <c r="B887" s="1" t="s">
        <v>2528</v>
      </c>
      <c r="C887" s="1" t="s">
        <v>2531</v>
      </c>
      <c r="D887" s="1" t="s">
        <v>2532</v>
      </c>
      <c r="E887" s="1" t="s">
        <v>2531</v>
      </c>
      <c r="F887" s="1" t="s">
        <v>2532</v>
      </c>
      <c r="G887" s="1" t="s">
        <v>2533</v>
      </c>
      <c r="H887" s="1" t="s">
        <v>2532</v>
      </c>
      <c r="I887" s="1" t="s">
        <v>18190</v>
      </c>
      <c r="J887" s="1" t="s">
        <v>2506</v>
      </c>
      <c r="K887" s="1">
        <v>9</v>
      </c>
      <c r="L887" s="1" t="s">
        <v>4199</v>
      </c>
      <c r="M887" s="1">
        <v>1</v>
      </c>
      <c r="N887" s="1" t="s">
        <v>4318</v>
      </c>
    </row>
    <row r="888" spans="1:14" x14ac:dyDescent="0.15">
      <c r="A888" s="1">
        <v>164</v>
      </c>
      <c r="B888" s="1" t="s">
        <v>2528</v>
      </c>
      <c r="C888" s="1" t="s">
        <v>2531</v>
      </c>
      <c r="D888" s="1" t="s">
        <v>2532</v>
      </c>
      <c r="E888" s="1" t="s">
        <v>2531</v>
      </c>
      <c r="F888" s="1" t="s">
        <v>2532</v>
      </c>
      <c r="G888" s="1" t="s">
        <v>2533</v>
      </c>
      <c r="H888" s="1" t="s">
        <v>2532</v>
      </c>
      <c r="I888" s="1" t="s">
        <v>18197</v>
      </c>
      <c r="J888" s="1" t="s">
        <v>2539</v>
      </c>
      <c r="K888" s="1">
        <v>9</v>
      </c>
      <c r="L888" s="1" t="s">
        <v>4199</v>
      </c>
      <c r="M888" s="1">
        <v>1</v>
      </c>
      <c r="N888" s="1" t="s">
        <v>4318</v>
      </c>
    </row>
    <row r="889" spans="1:14" x14ac:dyDescent="0.15">
      <c r="A889" s="1">
        <v>164</v>
      </c>
      <c r="B889" s="1" t="s">
        <v>2528</v>
      </c>
      <c r="C889" s="1" t="s">
        <v>2531</v>
      </c>
      <c r="D889" s="1" t="s">
        <v>2532</v>
      </c>
      <c r="E889" s="1" t="s">
        <v>2531</v>
      </c>
      <c r="F889" s="1" t="s">
        <v>2532</v>
      </c>
      <c r="G889" s="1" t="s">
        <v>2540</v>
      </c>
      <c r="H889" s="1" t="s">
        <v>2541</v>
      </c>
      <c r="I889" s="1" t="s">
        <v>18111</v>
      </c>
      <c r="J889" s="1" t="s">
        <v>6619</v>
      </c>
      <c r="K889" s="1">
        <v>9</v>
      </c>
      <c r="L889" s="1" t="s">
        <v>4199</v>
      </c>
      <c r="M889" s="1">
        <v>1</v>
      </c>
      <c r="N889" s="1" t="s">
        <v>4318</v>
      </c>
    </row>
    <row r="890" spans="1:14" x14ac:dyDescent="0.15">
      <c r="A890" s="1">
        <v>164</v>
      </c>
      <c r="B890" s="1" t="s">
        <v>2528</v>
      </c>
      <c r="C890" s="1" t="s">
        <v>2531</v>
      </c>
      <c r="D890" s="1" t="s">
        <v>2532</v>
      </c>
      <c r="E890" s="1" t="s">
        <v>2531</v>
      </c>
      <c r="F890" s="1" t="s">
        <v>2532</v>
      </c>
      <c r="G890" s="1" t="s">
        <v>2540</v>
      </c>
      <c r="H890" s="1" t="s">
        <v>2541</v>
      </c>
      <c r="I890" s="1" t="s">
        <v>18123</v>
      </c>
      <c r="J890" s="1" t="s">
        <v>2534</v>
      </c>
      <c r="K890" s="1">
        <v>9</v>
      </c>
      <c r="L890" s="1" t="s">
        <v>4199</v>
      </c>
      <c r="M890" s="1">
        <v>1</v>
      </c>
      <c r="N890" s="1" t="s">
        <v>4318</v>
      </c>
    </row>
    <row r="891" spans="1:14" x14ac:dyDescent="0.15">
      <c r="A891" s="1">
        <v>164</v>
      </c>
      <c r="B891" s="1" t="s">
        <v>2528</v>
      </c>
      <c r="C891" s="1" t="s">
        <v>2531</v>
      </c>
      <c r="D891" s="1" t="s">
        <v>2532</v>
      </c>
      <c r="E891" s="1" t="s">
        <v>2531</v>
      </c>
      <c r="F891" s="1" t="s">
        <v>2532</v>
      </c>
      <c r="G891" s="1" t="s">
        <v>2540</v>
      </c>
      <c r="H891" s="1" t="s">
        <v>2541</v>
      </c>
      <c r="I891" s="1" t="s">
        <v>11304</v>
      </c>
      <c r="J891" s="1" t="s">
        <v>2535</v>
      </c>
      <c r="K891" s="1">
        <v>9</v>
      </c>
      <c r="L891" s="1" t="s">
        <v>4199</v>
      </c>
      <c r="M891" s="1">
        <v>1</v>
      </c>
      <c r="N891" s="1" t="s">
        <v>4318</v>
      </c>
    </row>
    <row r="892" spans="1:14" x14ac:dyDescent="0.15">
      <c r="A892" s="1">
        <v>164</v>
      </c>
      <c r="B892" s="1" t="s">
        <v>2528</v>
      </c>
      <c r="C892" s="1" t="s">
        <v>2531</v>
      </c>
      <c r="D892" s="1" t="s">
        <v>2532</v>
      </c>
      <c r="E892" s="1" t="s">
        <v>2531</v>
      </c>
      <c r="F892" s="1" t="s">
        <v>2532</v>
      </c>
      <c r="G892" s="1" t="s">
        <v>2540</v>
      </c>
      <c r="H892" s="1" t="s">
        <v>2541</v>
      </c>
      <c r="I892" s="1" t="s">
        <v>11307</v>
      </c>
      <c r="J892" s="1" t="s">
        <v>2536</v>
      </c>
      <c r="K892" s="1">
        <v>9</v>
      </c>
      <c r="L892" s="1" t="s">
        <v>4199</v>
      </c>
      <c r="M892" s="1">
        <v>1</v>
      </c>
      <c r="N892" s="1" t="s">
        <v>4318</v>
      </c>
    </row>
    <row r="893" spans="1:14" x14ac:dyDescent="0.15">
      <c r="A893" s="1">
        <v>164</v>
      </c>
      <c r="B893" s="1" t="s">
        <v>2528</v>
      </c>
      <c r="C893" s="1" t="s">
        <v>2531</v>
      </c>
      <c r="D893" s="1" t="s">
        <v>2532</v>
      </c>
      <c r="E893" s="1" t="s">
        <v>2531</v>
      </c>
      <c r="F893" s="1" t="s">
        <v>2532</v>
      </c>
      <c r="G893" s="1" t="s">
        <v>2540</v>
      </c>
      <c r="H893" s="1" t="s">
        <v>2541</v>
      </c>
      <c r="I893" s="1" t="s">
        <v>18131</v>
      </c>
      <c r="J893" s="1" t="s">
        <v>2537</v>
      </c>
      <c r="K893" s="1">
        <v>9</v>
      </c>
      <c r="L893" s="1" t="s">
        <v>4199</v>
      </c>
      <c r="M893" s="1">
        <v>1</v>
      </c>
      <c r="N893" s="1" t="s">
        <v>4318</v>
      </c>
    </row>
    <row r="894" spans="1:14" x14ac:dyDescent="0.15">
      <c r="A894" s="1">
        <v>164</v>
      </c>
      <c r="B894" s="1" t="s">
        <v>2528</v>
      </c>
      <c r="C894" s="1" t="s">
        <v>2531</v>
      </c>
      <c r="D894" s="1" t="s">
        <v>2532</v>
      </c>
      <c r="E894" s="1" t="s">
        <v>2531</v>
      </c>
      <c r="F894" s="1" t="s">
        <v>2532</v>
      </c>
      <c r="G894" s="1" t="s">
        <v>2540</v>
      </c>
      <c r="H894" s="1" t="s">
        <v>2541</v>
      </c>
      <c r="I894" s="1" t="s">
        <v>18166</v>
      </c>
      <c r="J894" s="1" t="s">
        <v>18167</v>
      </c>
      <c r="K894" s="1">
        <v>9</v>
      </c>
      <c r="L894" s="1" t="s">
        <v>4199</v>
      </c>
      <c r="M894" s="1">
        <v>1</v>
      </c>
      <c r="N894" s="1" t="s">
        <v>4318</v>
      </c>
    </row>
    <row r="895" spans="1:14" x14ac:dyDescent="0.15">
      <c r="A895" s="1">
        <v>164</v>
      </c>
      <c r="B895" s="1" t="s">
        <v>2528</v>
      </c>
      <c r="C895" s="1" t="s">
        <v>2531</v>
      </c>
      <c r="D895" s="1" t="s">
        <v>2532</v>
      </c>
      <c r="E895" s="1" t="s">
        <v>2531</v>
      </c>
      <c r="F895" s="1" t="s">
        <v>2532</v>
      </c>
      <c r="G895" s="1" t="s">
        <v>2540</v>
      </c>
      <c r="H895" s="1" t="s">
        <v>2541</v>
      </c>
      <c r="I895" s="1" t="s">
        <v>18170</v>
      </c>
      <c r="J895" s="1" t="s">
        <v>2538</v>
      </c>
      <c r="K895" s="1">
        <v>9</v>
      </c>
      <c r="L895" s="1" t="s">
        <v>4199</v>
      </c>
      <c r="M895" s="1">
        <v>1</v>
      </c>
      <c r="N895" s="1" t="s">
        <v>4318</v>
      </c>
    </row>
    <row r="896" spans="1:14" x14ac:dyDescent="0.15">
      <c r="A896" s="1">
        <v>164</v>
      </c>
      <c r="B896" s="1" t="s">
        <v>2528</v>
      </c>
      <c r="C896" s="1" t="s">
        <v>2531</v>
      </c>
      <c r="D896" s="1" t="s">
        <v>2532</v>
      </c>
      <c r="E896" s="1" t="s">
        <v>2531</v>
      </c>
      <c r="F896" s="1" t="s">
        <v>2532</v>
      </c>
      <c r="G896" s="1" t="s">
        <v>2540</v>
      </c>
      <c r="H896" s="1" t="s">
        <v>2541</v>
      </c>
      <c r="I896" s="1" t="s">
        <v>18174</v>
      </c>
      <c r="J896" s="1" t="s">
        <v>6649</v>
      </c>
      <c r="K896" s="1">
        <v>9</v>
      </c>
      <c r="L896" s="1" t="s">
        <v>4199</v>
      </c>
      <c r="M896" s="1">
        <v>1</v>
      </c>
      <c r="N896" s="1" t="s">
        <v>4318</v>
      </c>
    </row>
    <row r="897" spans="1:14" x14ac:dyDescent="0.15">
      <c r="A897" s="1">
        <v>164</v>
      </c>
      <c r="B897" s="1" t="s">
        <v>2528</v>
      </c>
      <c r="C897" s="1" t="s">
        <v>2531</v>
      </c>
      <c r="D897" s="1" t="s">
        <v>2532</v>
      </c>
      <c r="E897" s="1" t="s">
        <v>2531</v>
      </c>
      <c r="F897" s="1" t="s">
        <v>2532</v>
      </c>
      <c r="G897" s="1" t="s">
        <v>2540</v>
      </c>
      <c r="H897" s="1" t="s">
        <v>2541</v>
      </c>
      <c r="I897" s="1" t="s">
        <v>18182</v>
      </c>
      <c r="J897" s="1" t="s">
        <v>6644</v>
      </c>
      <c r="K897" s="1">
        <v>9</v>
      </c>
      <c r="L897" s="1" t="s">
        <v>4199</v>
      </c>
      <c r="M897" s="1">
        <v>1</v>
      </c>
      <c r="N897" s="1" t="s">
        <v>4318</v>
      </c>
    </row>
    <row r="898" spans="1:14" x14ac:dyDescent="0.15">
      <c r="A898" s="1">
        <v>164</v>
      </c>
      <c r="B898" s="1" t="s">
        <v>2528</v>
      </c>
      <c r="C898" s="1" t="s">
        <v>2531</v>
      </c>
      <c r="D898" s="1" t="s">
        <v>2532</v>
      </c>
      <c r="E898" s="1" t="s">
        <v>2531</v>
      </c>
      <c r="F898" s="1" t="s">
        <v>2532</v>
      </c>
      <c r="G898" s="1" t="s">
        <v>2540</v>
      </c>
      <c r="H898" s="1" t="s">
        <v>2541</v>
      </c>
      <c r="I898" s="1" t="s">
        <v>18190</v>
      </c>
      <c r="J898" s="1" t="s">
        <v>2506</v>
      </c>
      <c r="K898" s="1">
        <v>9</v>
      </c>
      <c r="L898" s="1" t="s">
        <v>4199</v>
      </c>
      <c r="M898" s="1">
        <v>1</v>
      </c>
      <c r="N898" s="1" t="s">
        <v>4318</v>
      </c>
    </row>
    <row r="899" spans="1:14" x14ac:dyDescent="0.15">
      <c r="A899" s="1">
        <v>164</v>
      </c>
      <c r="B899" s="1" t="s">
        <v>2528</v>
      </c>
      <c r="C899" s="1" t="s">
        <v>2531</v>
      </c>
      <c r="D899" s="1" t="s">
        <v>2532</v>
      </c>
      <c r="E899" s="1" t="s">
        <v>2531</v>
      </c>
      <c r="F899" s="1" t="s">
        <v>2532</v>
      </c>
      <c r="G899" s="1" t="s">
        <v>2540</v>
      </c>
      <c r="H899" s="1" t="s">
        <v>2541</v>
      </c>
      <c r="I899" s="1" t="s">
        <v>18197</v>
      </c>
      <c r="J899" s="1" t="s">
        <v>2539</v>
      </c>
      <c r="K899" s="1">
        <v>9</v>
      </c>
      <c r="L899" s="1" t="s">
        <v>4199</v>
      </c>
      <c r="M899" s="1">
        <v>1</v>
      </c>
      <c r="N899" s="1" t="s">
        <v>4318</v>
      </c>
    </row>
    <row r="900" spans="1:14" x14ac:dyDescent="0.15">
      <c r="A900" s="1">
        <v>164</v>
      </c>
      <c r="B900" s="1" t="s">
        <v>2528</v>
      </c>
      <c r="C900" s="1" t="s">
        <v>2531</v>
      </c>
      <c r="D900" s="1" t="s">
        <v>2532</v>
      </c>
      <c r="E900" s="1" t="s">
        <v>2531</v>
      </c>
      <c r="F900" s="1" t="s">
        <v>2532</v>
      </c>
      <c r="G900" s="1" t="s">
        <v>2542</v>
      </c>
      <c r="H900" s="1" t="s">
        <v>2543</v>
      </c>
      <c r="I900" s="1" t="s">
        <v>18111</v>
      </c>
      <c r="J900" s="1" t="s">
        <v>6619</v>
      </c>
      <c r="K900" s="1">
        <v>9</v>
      </c>
      <c r="L900" s="1" t="s">
        <v>4199</v>
      </c>
      <c r="M900" s="1">
        <v>1</v>
      </c>
      <c r="N900" s="1" t="s">
        <v>4318</v>
      </c>
    </row>
    <row r="901" spans="1:14" x14ac:dyDescent="0.15">
      <c r="A901" s="1">
        <v>164</v>
      </c>
      <c r="B901" s="1" t="s">
        <v>2528</v>
      </c>
      <c r="C901" s="1" t="s">
        <v>2531</v>
      </c>
      <c r="D901" s="1" t="s">
        <v>2532</v>
      </c>
      <c r="E901" s="1" t="s">
        <v>2531</v>
      </c>
      <c r="F901" s="1" t="s">
        <v>2532</v>
      </c>
      <c r="G901" s="1" t="s">
        <v>2542</v>
      </c>
      <c r="H901" s="1" t="s">
        <v>2543</v>
      </c>
      <c r="I901" s="1" t="s">
        <v>18123</v>
      </c>
      <c r="J901" s="1" t="s">
        <v>2534</v>
      </c>
      <c r="K901" s="1">
        <v>9</v>
      </c>
      <c r="L901" s="1" t="s">
        <v>4199</v>
      </c>
      <c r="M901" s="1">
        <v>1</v>
      </c>
      <c r="N901" s="1" t="s">
        <v>4318</v>
      </c>
    </row>
    <row r="902" spans="1:14" x14ac:dyDescent="0.15">
      <c r="A902" s="1">
        <v>164</v>
      </c>
      <c r="B902" s="1" t="s">
        <v>2528</v>
      </c>
      <c r="C902" s="1" t="s">
        <v>2531</v>
      </c>
      <c r="D902" s="1" t="s">
        <v>2532</v>
      </c>
      <c r="E902" s="1" t="s">
        <v>2531</v>
      </c>
      <c r="F902" s="1" t="s">
        <v>2532</v>
      </c>
      <c r="G902" s="1" t="s">
        <v>2542</v>
      </c>
      <c r="H902" s="1" t="s">
        <v>2543</v>
      </c>
      <c r="I902" s="1" t="s">
        <v>11304</v>
      </c>
      <c r="J902" s="1" t="s">
        <v>2535</v>
      </c>
      <c r="K902" s="1">
        <v>9</v>
      </c>
      <c r="L902" s="1" t="s">
        <v>4199</v>
      </c>
      <c r="M902" s="1">
        <v>1</v>
      </c>
      <c r="N902" s="1" t="s">
        <v>4318</v>
      </c>
    </row>
    <row r="903" spans="1:14" x14ac:dyDescent="0.15">
      <c r="A903" s="1">
        <v>164</v>
      </c>
      <c r="B903" s="1" t="s">
        <v>2528</v>
      </c>
      <c r="C903" s="1" t="s">
        <v>2531</v>
      </c>
      <c r="D903" s="1" t="s">
        <v>2532</v>
      </c>
      <c r="E903" s="1" t="s">
        <v>2531</v>
      </c>
      <c r="F903" s="1" t="s">
        <v>2532</v>
      </c>
      <c r="G903" s="1" t="s">
        <v>2542</v>
      </c>
      <c r="H903" s="1" t="s">
        <v>2543</v>
      </c>
      <c r="I903" s="1" t="s">
        <v>11307</v>
      </c>
      <c r="J903" s="1" t="s">
        <v>2536</v>
      </c>
      <c r="K903" s="1">
        <v>9</v>
      </c>
      <c r="L903" s="1" t="s">
        <v>4199</v>
      </c>
      <c r="M903" s="1">
        <v>1</v>
      </c>
      <c r="N903" s="1" t="s">
        <v>4318</v>
      </c>
    </row>
    <row r="904" spans="1:14" x14ac:dyDescent="0.15">
      <c r="A904" s="1">
        <v>164</v>
      </c>
      <c r="B904" s="1" t="s">
        <v>2528</v>
      </c>
      <c r="C904" s="1" t="s">
        <v>2531</v>
      </c>
      <c r="D904" s="1" t="s">
        <v>2532</v>
      </c>
      <c r="E904" s="1" t="s">
        <v>2531</v>
      </c>
      <c r="F904" s="1" t="s">
        <v>2532</v>
      </c>
      <c r="G904" s="1" t="s">
        <v>2542</v>
      </c>
      <c r="H904" s="1" t="s">
        <v>2543</v>
      </c>
      <c r="I904" s="1" t="s">
        <v>18131</v>
      </c>
      <c r="J904" s="1" t="s">
        <v>2537</v>
      </c>
      <c r="K904" s="1">
        <v>9</v>
      </c>
      <c r="L904" s="1" t="s">
        <v>4199</v>
      </c>
      <c r="M904" s="1">
        <v>1</v>
      </c>
      <c r="N904" s="1" t="s">
        <v>4318</v>
      </c>
    </row>
    <row r="905" spans="1:14" x14ac:dyDescent="0.15">
      <c r="A905" s="1">
        <v>164</v>
      </c>
      <c r="B905" s="1" t="s">
        <v>2528</v>
      </c>
      <c r="C905" s="1" t="s">
        <v>2531</v>
      </c>
      <c r="D905" s="1" t="s">
        <v>2532</v>
      </c>
      <c r="E905" s="1" t="s">
        <v>2531</v>
      </c>
      <c r="F905" s="1" t="s">
        <v>2532</v>
      </c>
      <c r="G905" s="1" t="s">
        <v>2542</v>
      </c>
      <c r="H905" s="1" t="s">
        <v>2543</v>
      </c>
      <c r="I905" s="1" t="s">
        <v>18166</v>
      </c>
      <c r="J905" s="1" t="s">
        <v>18167</v>
      </c>
      <c r="K905" s="1">
        <v>9</v>
      </c>
      <c r="L905" s="1" t="s">
        <v>4199</v>
      </c>
      <c r="M905" s="1">
        <v>1</v>
      </c>
      <c r="N905" s="1" t="s">
        <v>4318</v>
      </c>
    </row>
    <row r="906" spans="1:14" x14ac:dyDescent="0.15">
      <c r="A906" s="1">
        <v>164</v>
      </c>
      <c r="B906" s="1" t="s">
        <v>2528</v>
      </c>
      <c r="C906" s="1" t="s">
        <v>2531</v>
      </c>
      <c r="D906" s="1" t="s">
        <v>2532</v>
      </c>
      <c r="E906" s="1" t="s">
        <v>2531</v>
      </c>
      <c r="F906" s="1" t="s">
        <v>2532</v>
      </c>
      <c r="G906" s="1" t="s">
        <v>2542</v>
      </c>
      <c r="H906" s="1" t="s">
        <v>2543</v>
      </c>
      <c r="I906" s="1" t="s">
        <v>18170</v>
      </c>
      <c r="J906" s="1" t="s">
        <v>2538</v>
      </c>
      <c r="K906" s="1">
        <v>9</v>
      </c>
      <c r="L906" s="1" t="s">
        <v>4199</v>
      </c>
      <c r="M906" s="1">
        <v>1</v>
      </c>
      <c r="N906" s="1" t="s">
        <v>4318</v>
      </c>
    </row>
    <row r="907" spans="1:14" x14ac:dyDescent="0.15">
      <c r="A907" s="1">
        <v>164</v>
      </c>
      <c r="B907" s="1" t="s">
        <v>2528</v>
      </c>
      <c r="C907" s="1" t="s">
        <v>2531</v>
      </c>
      <c r="D907" s="1" t="s">
        <v>2532</v>
      </c>
      <c r="E907" s="1" t="s">
        <v>2531</v>
      </c>
      <c r="F907" s="1" t="s">
        <v>2532</v>
      </c>
      <c r="G907" s="1" t="s">
        <v>2542</v>
      </c>
      <c r="H907" s="1" t="s">
        <v>2543</v>
      </c>
      <c r="I907" s="1" t="s">
        <v>18174</v>
      </c>
      <c r="J907" s="1" t="s">
        <v>6649</v>
      </c>
      <c r="K907" s="1">
        <v>9</v>
      </c>
      <c r="L907" s="1" t="s">
        <v>4199</v>
      </c>
      <c r="M907" s="1">
        <v>1</v>
      </c>
      <c r="N907" s="1" t="s">
        <v>4318</v>
      </c>
    </row>
    <row r="908" spans="1:14" x14ac:dyDescent="0.15">
      <c r="A908" s="1">
        <v>164</v>
      </c>
      <c r="B908" s="1" t="s">
        <v>2528</v>
      </c>
      <c r="C908" s="1" t="s">
        <v>2531</v>
      </c>
      <c r="D908" s="1" t="s">
        <v>2532</v>
      </c>
      <c r="E908" s="1" t="s">
        <v>2531</v>
      </c>
      <c r="F908" s="1" t="s">
        <v>2532</v>
      </c>
      <c r="G908" s="1" t="s">
        <v>2542</v>
      </c>
      <c r="H908" s="1" t="s">
        <v>2543</v>
      </c>
      <c r="I908" s="1" t="s">
        <v>18182</v>
      </c>
      <c r="J908" s="1" t="s">
        <v>6644</v>
      </c>
      <c r="K908" s="1">
        <v>9</v>
      </c>
      <c r="L908" s="1" t="s">
        <v>4199</v>
      </c>
      <c r="M908" s="1">
        <v>1</v>
      </c>
      <c r="N908" s="1" t="s">
        <v>4318</v>
      </c>
    </row>
    <row r="909" spans="1:14" x14ac:dyDescent="0.15">
      <c r="A909" s="1">
        <v>164</v>
      </c>
      <c r="B909" s="1" t="s">
        <v>2528</v>
      </c>
      <c r="C909" s="1" t="s">
        <v>2531</v>
      </c>
      <c r="D909" s="1" t="s">
        <v>2532</v>
      </c>
      <c r="E909" s="1" t="s">
        <v>2531</v>
      </c>
      <c r="F909" s="1" t="s">
        <v>2532</v>
      </c>
      <c r="G909" s="1" t="s">
        <v>2542</v>
      </c>
      <c r="H909" s="1" t="s">
        <v>2543</v>
      </c>
      <c r="I909" s="1" t="s">
        <v>18190</v>
      </c>
      <c r="J909" s="1" t="s">
        <v>2506</v>
      </c>
      <c r="K909" s="1">
        <v>9</v>
      </c>
      <c r="L909" s="1" t="s">
        <v>4199</v>
      </c>
      <c r="M909" s="1">
        <v>1</v>
      </c>
      <c r="N909" s="1" t="s">
        <v>4318</v>
      </c>
    </row>
    <row r="910" spans="1:14" x14ac:dyDescent="0.15">
      <c r="A910" s="1">
        <v>164</v>
      </c>
      <c r="B910" s="1" t="s">
        <v>2528</v>
      </c>
      <c r="C910" s="1" t="s">
        <v>2531</v>
      </c>
      <c r="D910" s="1" t="s">
        <v>2532</v>
      </c>
      <c r="E910" s="1" t="s">
        <v>2531</v>
      </c>
      <c r="F910" s="1" t="s">
        <v>2532</v>
      </c>
      <c r="G910" s="1" t="s">
        <v>2542</v>
      </c>
      <c r="H910" s="1" t="s">
        <v>2543</v>
      </c>
      <c r="I910" s="1" t="s">
        <v>18197</v>
      </c>
      <c r="J910" s="1" t="s">
        <v>2539</v>
      </c>
      <c r="K910" s="1">
        <v>9</v>
      </c>
      <c r="L910" s="1" t="s">
        <v>4199</v>
      </c>
      <c r="M910" s="1">
        <v>1</v>
      </c>
      <c r="N910" s="1" t="s">
        <v>4318</v>
      </c>
    </row>
    <row r="911" spans="1:14" x14ac:dyDescent="0.15">
      <c r="A911" s="1">
        <v>164</v>
      </c>
      <c r="B911" s="1" t="s">
        <v>2528</v>
      </c>
      <c r="C911" s="1" t="s">
        <v>2531</v>
      </c>
      <c r="D911" s="1" t="s">
        <v>2532</v>
      </c>
      <c r="E911" s="1" t="s">
        <v>2531</v>
      </c>
      <c r="F911" s="1" t="s">
        <v>2532</v>
      </c>
      <c r="G911" s="1" t="s">
        <v>2544</v>
      </c>
      <c r="H911" s="1" t="s">
        <v>2545</v>
      </c>
      <c r="I911" s="1" t="s">
        <v>18111</v>
      </c>
      <c r="J911" s="1" t="s">
        <v>6619</v>
      </c>
      <c r="K911" s="1">
        <v>9</v>
      </c>
      <c r="L911" s="1" t="s">
        <v>4199</v>
      </c>
      <c r="M911" s="1">
        <v>1</v>
      </c>
      <c r="N911" s="1" t="s">
        <v>4318</v>
      </c>
    </row>
    <row r="912" spans="1:14" x14ac:dyDescent="0.15">
      <c r="A912" s="1">
        <v>164</v>
      </c>
      <c r="B912" s="1" t="s">
        <v>2528</v>
      </c>
      <c r="C912" s="1" t="s">
        <v>2531</v>
      </c>
      <c r="D912" s="1" t="s">
        <v>2532</v>
      </c>
      <c r="E912" s="1" t="s">
        <v>2531</v>
      </c>
      <c r="F912" s="1" t="s">
        <v>2532</v>
      </c>
      <c r="G912" s="1" t="s">
        <v>2542</v>
      </c>
      <c r="H912" s="1" t="s">
        <v>2543</v>
      </c>
      <c r="I912" s="1" t="s">
        <v>18123</v>
      </c>
      <c r="J912" s="1" t="s">
        <v>2534</v>
      </c>
      <c r="K912" s="1">
        <v>9</v>
      </c>
      <c r="L912" s="1" t="s">
        <v>4199</v>
      </c>
      <c r="M912" s="1">
        <v>1</v>
      </c>
      <c r="N912" s="1" t="s">
        <v>4318</v>
      </c>
    </row>
    <row r="913" spans="1:14" x14ac:dyDescent="0.15">
      <c r="A913" s="1">
        <v>164</v>
      </c>
      <c r="B913" s="1" t="s">
        <v>2528</v>
      </c>
      <c r="C913" s="1" t="s">
        <v>2531</v>
      </c>
      <c r="D913" s="1" t="s">
        <v>2532</v>
      </c>
      <c r="E913" s="1" t="s">
        <v>2531</v>
      </c>
      <c r="F913" s="1" t="s">
        <v>2532</v>
      </c>
      <c r="G913" s="1" t="s">
        <v>2544</v>
      </c>
      <c r="H913" s="1" t="s">
        <v>2545</v>
      </c>
      <c r="I913" s="1" t="s">
        <v>11304</v>
      </c>
      <c r="J913" s="1" t="s">
        <v>2535</v>
      </c>
      <c r="K913" s="1">
        <v>9</v>
      </c>
      <c r="L913" s="1" t="s">
        <v>4199</v>
      </c>
      <c r="M913" s="1">
        <v>1</v>
      </c>
      <c r="N913" s="1" t="s">
        <v>4318</v>
      </c>
    </row>
    <row r="914" spans="1:14" x14ac:dyDescent="0.15">
      <c r="A914" s="1">
        <v>164</v>
      </c>
      <c r="B914" s="1" t="s">
        <v>2528</v>
      </c>
      <c r="C914" s="1" t="s">
        <v>2531</v>
      </c>
      <c r="D914" s="1" t="s">
        <v>2532</v>
      </c>
      <c r="E914" s="1" t="s">
        <v>2531</v>
      </c>
      <c r="F914" s="1" t="s">
        <v>2532</v>
      </c>
      <c r="G914" s="1" t="s">
        <v>2544</v>
      </c>
      <c r="H914" s="1" t="s">
        <v>2545</v>
      </c>
      <c r="I914" s="1" t="s">
        <v>11307</v>
      </c>
      <c r="J914" s="1" t="s">
        <v>2536</v>
      </c>
      <c r="K914" s="1">
        <v>9</v>
      </c>
      <c r="L914" s="1" t="s">
        <v>4199</v>
      </c>
      <c r="M914" s="1">
        <v>1</v>
      </c>
      <c r="N914" s="1" t="s">
        <v>4318</v>
      </c>
    </row>
    <row r="915" spans="1:14" x14ac:dyDescent="0.15">
      <c r="A915" s="1">
        <v>164</v>
      </c>
      <c r="B915" s="1" t="s">
        <v>2528</v>
      </c>
      <c r="C915" s="1" t="s">
        <v>2531</v>
      </c>
      <c r="D915" s="1" t="s">
        <v>2532</v>
      </c>
      <c r="E915" s="1" t="s">
        <v>2531</v>
      </c>
      <c r="F915" s="1" t="s">
        <v>2532</v>
      </c>
      <c r="G915" s="1" t="s">
        <v>2544</v>
      </c>
      <c r="H915" s="1" t="s">
        <v>2545</v>
      </c>
      <c r="I915" s="1" t="s">
        <v>18131</v>
      </c>
      <c r="J915" s="1" t="s">
        <v>2537</v>
      </c>
      <c r="K915" s="1">
        <v>9</v>
      </c>
      <c r="L915" s="1" t="s">
        <v>4199</v>
      </c>
      <c r="M915" s="1">
        <v>1</v>
      </c>
      <c r="N915" s="1" t="s">
        <v>4318</v>
      </c>
    </row>
    <row r="916" spans="1:14" x14ac:dyDescent="0.15">
      <c r="A916" s="1">
        <v>164</v>
      </c>
      <c r="B916" s="1" t="s">
        <v>2528</v>
      </c>
      <c r="C916" s="1" t="s">
        <v>2531</v>
      </c>
      <c r="D916" s="1" t="s">
        <v>2532</v>
      </c>
      <c r="E916" s="1" t="s">
        <v>2531</v>
      </c>
      <c r="F916" s="1" t="s">
        <v>2532</v>
      </c>
      <c r="G916" s="1" t="s">
        <v>2544</v>
      </c>
      <c r="H916" s="1" t="s">
        <v>2545</v>
      </c>
      <c r="I916" s="1" t="s">
        <v>18166</v>
      </c>
      <c r="J916" s="1" t="s">
        <v>18167</v>
      </c>
      <c r="K916" s="1">
        <v>9</v>
      </c>
      <c r="L916" s="1" t="s">
        <v>4199</v>
      </c>
      <c r="M916" s="1">
        <v>1</v>
      </c>
      <c r="N916" s="1" t="s">
        <v>4318</v>
      </c>
    </row>
    <row r="917" spans="1:14" x14ac:dyDescent="0.15">
      <c r="A917" s="1">
        <v>164</v>
      </c>
      <c r="B917" s="1" t="s">
        <v>2528</v>
      </c>
      <c r="C917" s="1" t="s">
        <v>2531</v>
      </c>
      <c r="D917" s="1" t="s">
        <v>2532</v>
      </c>
      <c r="E917" s="1" t="s">
        <v>2531</v>
      </c>
      <c r="F917" s="1" t="s">
        <v>2532</v>
      </c>
      <c r="G917" s="1" t="s">
        <v>2544</v>
      </c>
      <c r="H917" s="1" t="s">
        <v>2545</v>
      </c>
      <c r="I917" s="1" t="s">
        <v>18170</v>
      </c>
      <c r="J917" s="1" t="s">
        <v>2538</v>
      </c>
      <c r="K917" s="1">
        <v>9</v>
      </c>
      <c r="L917" s="1" t="s">
        <v>4199</v>
      </c>
      <c r="M917" s="1">
        <v>1</v>
      </c>
      <c r="N917" s="1" t="s">
        <v>4318</v>
      </c>
    </row>
    <row r="918" spans="1:14" x14ac:dyDescent="0.15">
      <c r="A918" s="1">
        <v>164</v>
      </c>
      <c r="B918" s="1" t="s">
        <v>2528</v>
      </c>
      <c r="C918" s="1" t="s">
        <v>2531</v>
      </c>
      <c r="D918" s="1" t="s">
        <v>2532</v>
      </c>
      <c r="E918" s="1" t="s">
        <v>2531</v>
      </c>
      <c r="F918" s="1" t="s">
        <v>2532</v>
      </c>
      <c r="G918" s="1" t="s">
        <v>2544</v>
      </c>
      <c r="H918" s="1" t="s">
        <v>2545</v>
      </c>
      <c r="I918" s="1" t="s">
        <v>18174</v>
      </c>
      <c r="J918" s="1" t="s">
        <v>6649</v>
      </c>
      <c r="K918" s="1">
        <v>9</v>
      </c>
      <c r="L918" s="1" t="s">
        <v>4199</v>
      </c>
      <c r="M918" s="1">
        <v>1</v>
      </c>
      <c r="N918" s="1" t="s">
        <v>4318</v>
      </c>
    </row>
    <row r="919" spans="1:14" x14ac:dyDescent="0.15">
      <c r="A919" s="1">
        <v>164</v>
      </c>
      <c r="B919" s="1" t="s">
        <v>2528</v>
      </c>
      <c r="C919" s="1" t="s">
        <v>2531</v>
      </c>
      <c r="D919" s="1" t="s">
        <v>2532</v>
      </c>
      <c r="E919" s="1" t="s">
        <v>2531</v>
      </c>
      <c r="F919" s="1" t="s">
        <v>2532</v>
      </c>
      <c r="G919" s="1" t="s">
        <v>2544</v>
      </c>
      <c r="H919" s="1" t="s">
        <v>2545</v>
      </c>
      <c r="I919" s="1" t="s">
        <v>18182</v>
      </c>
      <c r="J919" s="1" t="s">
        <v>6644</v>
      </c>
      <c r="K919" s="1">
        <v>9</v>
      </c>
      <c r="L919" s="1" t="s">
        <v>4199</v>
      </c>
      <c r="M919" s="1">
        <v>1</v>
      </c>
      <c r="N919" s="1" t="s">
        <v>4318</v>
      </c>
    </row>
    <row r="920" spans="1:14" x14ac:dyDescent="0.15">
      <c r="A920" s="1">
        <v>164</v>
      </c>
      <c r="B920" s="1" t="s">
        <v>2528</v>
      </c>
      <c r="C920" s="1" t="s">
        <v>2531</v>
      </c>
      <c r="D920" s="1" t="s">
        <v>2532</v>
      </c>
      <c r="E920" s="1" t="s">
        <v>2531</v>
      </c>
      <c r="F920" s="1" t="s">
        <v>2532</v>
      </c>
      <c r="G920" s="1" t="s">
        <v>2544</v>
      </c>
      <c r="H920" s="1" t="s">
        <v>2545</v>
      </c>
      <c r="I920" s="1" t="s">
        <v>18190</v>
      </c>
      <c r="J920" s="1" t="s">
        <v>2506</v>
      </c>
      <c r="K920" s="1">
        <v>9</v>
      </c>
      <c r="L920" s="1" t="s">
        <v>4199</v>
      </c>
      <c r="M920" s="1">
        <v>1</v>
      </c>
      <c r="N920" s="1" t="s">
        <v>4318</v>
      </c>
    </row>
    <row r="921" spans="1:14" x14ac:dyDescent="0.15">
      <c r="A921" s="1">
        <v>164</v>
      </c>
      <c r="B921" s="1" t="s">
        <v>2528</v>
      </c>
      <c r="C921" s="1" t="s">
        <v>2531</v>
      </c>
      <c r="D921" s="1" t="s">
        <v>2532</v>
      </c>
      <c r="E921" s="1" t="s">
        <v>2531</v>
      </c>
      <c r="F921" s="1" t="s">
        <v>2532</v>
      </c>
      <c r="G921" s="1" t="s">
        <v>2544</v>
      </c>
      <c r="H921" s="1" t="s">
        <v>2545</v>
      </c>
      <c r="I921" s="1" t="s">
        <v>18197</v>
      </c>
      <c r="J921" s="1" t="s">
        <v>2539</v>
      </c>
      <c r="K921" s="1">
        <v>9</v>
      </c>
      <c r="L921" s="1" t="s">
        <v>4199</v>
      </c>
      <c r="M921" s="1">
        <v>1</v>
      </c>
      <c r="N921" s="1" t="s">
        <v>4318</v>
      </c>
    </row>
    <row r="922" spans="1:14" x14ac:dyDescent="0.15">
      <c r="A922" s="1">
        <v>164</v>
      </c>
      <c r="B922" s="1" t="s">
        <v>2528</v>
      </c>
      <c r="C922" s="1" t="s">
        <v>2546</v>
      </c>
      <c r="D922" s="1" t="s">
        <v>2547</v>
      </c>
      <c r="E922" s="1" t="s">
        <v>2546</v>
      </c>
      <c r="F922" s="1" t="s">
        <v>2547</v>
      </c>
      <c r="G922" s="1" t="s">
        <v>2548</v>
      </c>
      <c r="H922" s="1" t="s">
        <v>2547</v>
      </c>
      <c r="I922" s="1" t="s">
        <v>18111</v>
      </c>
      <c r="J922" s="1" t="s">
        <v>6619</v>
      </c>
      <c r="K922" s="1">
        <v>9</v>
      </c>
      <c r="L922" s="1" t="s">
        <v>4199</v>
      </c>
      <c r="M922" s="1">
        <v>1</v>
      </c>
      <c r="N922" s="1" t="s">
        <v>4318</v>
      </c>
    </row>
    <row r="923" spans="1:14" x14ac:dyDescent="0.15">
      <c r="A923" s="1">
        <v>164</v>
      </c>
      <c r="B923" s="1" t="s">
        <v>2528</v>
      </c>
      <c r="C923" s="1" t="s">
        <v>2546</v>
      </c>
      <c r="D923" s="1" t="s">
        <v>2547</v>
      </c>
      <c r="E923" s="1" t="s">
        <v>2546</v>
      </c>
      <c r="F923" s="1" t="s">
        <v>2547</v>
      </c>
      <c r="G923" s="1" t="s">
        <v>2548</v>
      </c>
      <c r="H923" s="1" t="s">
        <v>2547</v>
      </c>
      <c r="I923" s="1" t="s">
        <v>18123</v>
      </c>
      <c r="J923" s="1" t="s">
        <v>2534</v>
      </c>
      <c r="K923" s="1">
        <v>9</v>
      </c>
      <c r="L923" s="1" t="s">
        <v>4199</v>
      </c>
      <c r="M923" s="1">
        <v>1</v>
      </c>
      <c r="N923" s="1" t="s">
        <v>4318</v>
      </c>
    </row>
    <row r="924" spans="1:14" x14ac:dyDescent="0.15">
      <c r="A924" s="1">
        <v>164</v>
      </c>
      <c r="B924" s="1" t="s">
        <v>2528</v>
      </c>
      <c r="C924" s="1" t="s">
        <v>2546</v>
      </c>
      <c r="D924" s="1" t="s">
        <v>2547</v>
      </c>
      <c r="E924" s="1" t="s">
        <v>2546</v>
      </c>
      <c r="F924" s="1" t="s">
        <v>2547</v>
      </c>
      <c r="G924" s="1" t="s">
        <v>2548</v>
      </c>
      <c r="H924" s="1" t="s">
        <v>2547</v>
      </c>
      <c r="I924" s="1" t="s">
        <v>18131</v>
      </c>
      <c r="J924" s="1" t="s">
        <v>2537</v>
      </c>
      <c r="K924" s="1">
        <v>9</v>
      </c>
      <c r="L924" s="1" t="s">
        <v>4199</v>
      </c>
      <c r="M924" s="1">
        <v>1</v>
      </c>
      <c r="N924" s="1" t="s">
        <v>4318</v>
      </c>
    </row>
    <row r="925" spans="1:14" x14ac:dyDescent="0.15">
      <c r="A925" s="1">
        <v>164</v>
      </c>
      <c r="B925" s="1" t="s">
        <v>2528</v>
      </c>
      <c r="C925" s="1" t="s">
        <v>2546</v>
      </c>
      <c r="D925" s="1" t="s">
        <v>2547</v>
      </c>
      <c r="E925" s="1" t="s">
        <v>2546</v>
      </c>
      <c r="F925" s="1" t="s">
        <v>2547</v>
      </c>
      <c r="G925" s="1" t="s">
        <v>2548</v>
      </c>
      <c r="H925" s="1" t="s">
        <v>2547</v>
      </c>
      <c r="I925" s="1" t="s">
        <v>18166</v>
      </c>
      <c r="J925" s="1" t="s">
        <v>18167</v>
      </c>
      <c r="K925" s="1">
        <v>9</v>
      </c>
      <c r="L925" s="1" t="s">
        <v>4199</v>
      </c>
      <c r="M925" s="1">
        <v>1</v>
      </c>
      <c r="N925" s="1" t="s">
        <v>4318</v>
      </c>
    </row>
    <row r="926" spans="1:14" x14ac:dyDescent="0.15">
      <c r="A926" s="1">
        <v>164</v>
      </c>
      <c r="B926" s="1" t="s">
        <v>2528</v>
      </c>
      <c r="C926" s="1" t="s">
        <v>2546</v>
      </c>
      <c r="D926" s="1" t="s">
        <v>2547</v>
      </c>
      <c r="E926" s="1" t="s">
        <v>2546</v>
      </c>
      <c r="F926" s="1" t="s">
        <v>2547</v>
      </c>
      <c r="G926" s="1" t="s">
        <v>2548</v>
      </c>
      <c r="H926" s="1" t="s">
        <v>2547</v>
      </c>
      <c r="I926" s="1" t="s">
        <v>18170</v>
      </c>
      <c r="J926" s="1" t="s">
        <v>2538</v>
      </c>
      <c r="K926" s="1">
        <v>9</v>
      </c>
      <c r="L926" s="1" t="s">
        <v>4199</v>
      </c>
      <c r="M926" s="1">
        <v>1</v>
      </c>
      <c r="N926" s="1" t="s">
        <v>4318</v>
      </c>
    </row>
    <row r="927" spans="1:14" x14ac:dyDescent="0.15">
      <c r="A927" s="1">
        <v>164</v>
      </c>
      <c r="B927" s="1" t="s">
        <v>2528</v>
      </c>
      <c r="C927" s="1" t="s">
        <v>2546</v>
      </c>
      <c r="D927" s="1" t="s">
        <v>2547</v>
      </c>
      <c r="E927" s="1" t="s">
        <v>2546</v>
      </c>
      <c r="F927" s="1" t="s">
        <v>2547</v>
      </c>
      <c r="G927" s="1" t="s">
        <v>2548</v>
      </c>
      <c r="H927" s="1" t="s">
        <v>2547</v>
      </c>
      <c r="I927" s="1" t="s">
        <v>18174</v>
      </c>
      <c r="J927" s="1" t="s">
        <v>6649</v>
      </c>
      <c r="K927" s="1">
        <v>9</v>
      </c>
      <c r="L927" s="1" t="s">
        <v>4199</v>
      </c>
      <c r="M927" s="1">
        <v>1</v>
      </c>
      <c r="N927" s="1" t="s">
        <v>4318</v>
      </c>
    </row>
    <row r="928" spans="1:14" x14ac:dyDescent="0.15">
      <c r="A928" s="1">
        <v>164</v>
      </c>
      <c r="B928" s="1" t="s">
        <v>2528</v>
      </c>
      <c r="C928" s="1" t="s">
        <v>2546</v>
      </c>
      <c r="D928" s="1" t="s">
        <v>2547</v>
      </c>
      <c r="E928" s="1" t="s">
        <v>2546</v>
      </c>
      <c r="F928" s="1" t="s">
        <v>2547</v>
      </c>
      <c r="G928" s="1" t="s">
        <v>2548</v>
      </c>
      <c r="H928" s="1" t="s">
        <v>2547</v>
      </c>
      <c r="I928" s="1" t="s">
        <v>12624</v>
      </c>
      <c r="J928" s="1" t="s">
        <v>2549</v>
      </c>
      <c r="K928" s="1">
        <v>9</v>
      </c>
      <c r="L928" s="1" t="s">
        <v>4199</v>
      </c>
      <c r="M928" s="1">
        <v>1</v>
      </c>
      <c r="N928" s="1" t="s">
        <v>4318</v>
      </c>
    </row>
    <row r="929" spans="1:14" x14ac:dyDescent="0.15">
      <c r="A929" s="1">
        <v>164</v>
      </c>
      <c r="B929" s="1" t="s">
        <v>2528</v>
      </c>
      <c r="C929" s="1" t="s">
        <v>2546</v>
      </c>
      <c r="D929" s="1" t="s">
        <v>2547</v>
      </c>
      <c r="E929" s="1" t="s">
        <v>2546</v>
      </c>
      <c r="F929" s="1" t="s">
        <v>2547</v>
      </c>
      <c r="G929" s="1" t="s">
        <v>2548</v>
      </c>
      <c r="H929" s="1" t="s">
        <v>2547</v>
      </c>
      <c r="I929" s="1" t="s">
        <v>18178</v>
      </c>
      <c r="J929" s="1" t="s">
        <v>2550</v>
      </c>
      <c r="K929" s="1">
        <v>9</v>
      </c>
      <c r="L929" s="1" t="s">
        <v>4199</v>
      </c>
      <c r="M929" s="1">
        <v>1</v>
      </c>
      <c r="N929" s="1" t="s">
        <v>4318</v>
      </c>
    </row>
    <row r="930" spans="1:14" x14ac:dyDescent="0.15">
      <c r="A930" s="1">
        <v>164</v>
      </c>
      <c r="B930" s="1" t="s">
        <v>2528</v>
      </c>
      <c r="C930" s="1" t="s">
        <v>2546</v>
      </c>
      <c r="D930" s="1" t="s">
        <v>2547</v>
      </c>
      <c r="E930" s="1" t="s">
        <v>2546</v>
      </c>
      <c r="F930" s="1" t="s">
        <v>2547</v>
      </c>
      <c r="G930" s="1" t="s">
        <v>2548</v>
      </c>
      <c r="H930" s="1" t="s">
        <v>2547</v>
      </c>
      <c r="I930" s="1" t="s">
        <v>12632</v>
      </c>
      <c r="J930" s="1" t="s">
        <v>2551</v>
      </c>
      <c r="K930" s="1">
        <v>9</v>
      </c>
      <c r="L930" s="1" t="s">
        <v>4199</v>
      </c>
      <c r="M930" s="1">
        <v>1</v>
      </c>
      <c r="N930" s="1" t="s">
        <v>4318</v>
      </c>
    </row>
    <row r="931" spans="1:14" x14ac:dyDescent="0.15">
      <c r="A931" s="1">
        <v>164</v>
      </c>
      <c r="B931" s="1" t="s">
        <v>2528</v>
      </c>
      <c r="C931" s="1" t="s">
        <v>2546</v>
      </c>
      <c r="D931" s="1" t="s">
        <v>2547</v>
      </c>
      <c r="E931" s="1" t="s">
        <v>2546</v>
      </c>
      <c r="F931" s="1" t="s">
        <v>2547</v>
      </c>
      <c r="G931" s="1" t="s">
        <v>2548</v>
      </c>
      <c r="H931" s="1" t="s">
        <v>2547</v>
      </c>
      <c r="I931" s="1" t="s">
        <v>18182</v>
      </c>
      <c r="J931" s="1" t="s">
        <v>6644</v>
      </c>
      <c r="K931" s="1">
        <v>9</v>
      </c>
      <c r="L931" s="1" t="s">
        <v>4199</v>
      </c>
      <c r="M931" s="1">
        <v>1</v>
      </c>
      <c r="N931" s="1" t="s">
        <v>4318</v>
      </c>
    </row>
    <row r="932" spans="1:14" x14ac:dyDescent="0.15">
      <c r="A932" s="1">
        <v>164</v>
      </c>
      <c r="B932" s="1" t="s">
        <v>2528</v>
      </c>
      <c r="C932" s="1" t="s">
        <v>2546</v>
      </c>
      <c r="D932" s="1" t="s">
        <v>2547</v>
      </c>
      <c r="E932" s="1" t="s">
        <v>2546</v>
      </c>
      <c r="F932" s="1" t="s">
        <v>2547</v>
      </c>
      <c r="G932" s="1" t="s">
        <v>2548</v>
      </c>
      <c r="H932" s="1" t="s">
        <v>2547</v>
      </c>
      <c r="I932" s="1" t="s">
        <v>18197</v>
      </c>
      <c r="J932" s="1" t="s">
        <v>2539</v>
      </c>
      <c r="K932" s="1">
        <v>9</v>
      </c>
      <c r="L932" s="1" t="s">
        <v>4199</v>
      </c>
      <c r="M932" s="1">
        <v>1</v>
      </c>
      <c r="N932" s="1" t="s">
        <v>4318</v>
      </c>
    </row>
    <row r="933" spans="1:14" x14ac:dyDescent="0.15">
      <c r="A933" s="1">
        <v>165</v>
      </c>
      <c r="B933" s="1" t="s">
        <v>2552</v>
      </c>
      <c r="C933" s="1" t="s">
        <v>2553</v>
      </c>
      <c r="D933" s="1" t="s">
        <v>2552</v>
      </c>
      <c r="E933" s="1" t="s">
        <v>2553</v>
      </c>
      <c r="F933" s="1" t="s">
        <v>2552</v>
      </c>
      <c r="G933" s="1" t="s">
        <v>2554</v>
      </c>
      <c r="H933" s="1" t="s">
        <v>2552</v>
      </c>
      <c r="I933" s="1" t="s">
        <v>15823</v>
      </c>
      <c r="J933" s="1" t="s">
        <v>15824</v>
      </c>
      <c r="K933" s="1">
        <v>12</v>
      </c>
      <c r="L933" s="1" t="s">
        <v>4264</v>
      </c>
      <c r="M933" s="1">
        <v>15</v>
      </c>
      <c r="N933" s="1" t="s">
        <v>4365</v>
      </c>
    </row>
    <row r="934" spans="1:14" x14ac:dyDescent="0.15">
      <c r="A934" s="1">
        <v>165</v>
      </c>
      <c r="B934" s="1" t="s">
        <v>2552</v>
      </c>
      <c r="C934" s="1" t="s">
        <v>2555</v>
      </c>
      <c r="D934" s="1" t="s">
        <v>2556</v>
      </c>
      <c r="E934" s="1" t="s">
        <v>2555</v>
      </c>
      <c r="F934" s="1" t="s">
        <v>2556</v>
      </c>
      <c r="G934" s="1" t="s">
        <v>2557</v>
      </c>
      <c r="H934" s="1" t="s">
        <v>2556</v>
      </c>
      <c r="I934" s="1" t="s">
        <v>11879</v>
      </c>
      <c r="J934" s="1" t="s">
        <v>4278</v>
      </c>
      <c r="K934" s="1">
        <v>12</v>
      </c>
      <c r="L934" s="1" t="s">
        <v>4264</v>
      </c>
      <c r="M934" s="1">
        <v>15</v>
      </c>
      <c r="N934" s="1" t="s">
        <v>4365</v>
      </c>
    </row>
    <row r="935" spans="1:14" x14ac:dyDescent="0.15">
      <c r="A935" s="1">
        <v>165</v>
      </c>
      <c r="B935" s="1" t="s">
        <v>2552</v>
      </c>
      <c r="C935" s="1" t="s">
        <v>2555</v>
      </c>
      <c r="D935" s="1" t="s">
        <v>2556</v>
      </c>
      <c r="E935" s="1" t="s">
        <v>2555</v>
      </c>
      <c r="F935" s="1" t="s">
        <v>2556</v>
      </c>
      <c r="G935" s="1" t="s">
        <v>2557</v>
      </c>
      <c r="H935" s="1" t="s">
        <v>2556</v>
      </c>
      <c r="I935" s="1" t="s">
        <v>15851</v>
      </c>
      <c r="J935" s="1" t="s">
        <v>4407</v>
      </c>
      <c r="K935" s="1">
        <v>12</v>
      </c>
      <c r="L935" s="1" t="s">
        <v>4264</v>
      </c>
      <c r="M935" s="1">
        <v>15</v>
      </c>
      <c r="N935" s="1" t="s">
        <v>4365</v>
      </c>
    </row>
    <row r="936" spans="1:14" x14ac:dyDescent="0.15">
      <c r="A936" s="1">
        <v>165</v>
      </c>
      <c r="B936" s="1" t="s">
        <v>2552</v>
      </c>
      <c r="C936" s="1" t="s">
        <v>2555</v>
      </c>
      <c r="D936" s="1" t="s">
        <v>2556</v>
      </c>
      <c r="E936" s="1" t="s">
        <v>2555</v>
      </c>
      <c r="F936" s="1" t="s">
        <v>2556</v>
      </c>
      <c r="G936" s="1" t="s">
        <v>2557</v>
      </c>
      <c r="H936" s="1" t="s">
        <v>2556</v>
      </c>
      <c r="I936" s="1" t="s">
        <v>9573</v>
      </c>
      <c r="J936" s="1" t="s">
        <v>13463</v>
      </c>
      <c r="K936" s="1">
        <v>12</v>
      </c>
      <c r="L936" s="1" t="s">
        <v>4264</v>
      </c>
      <c r="M936" s="1">
        <v>15</v>
      </c>
      <c r="N936" s="1" t="s">
        <v>4365</v>
      </c>
    </row>
    <row r="937" spans="1:14" x14ac:dyDescent="0.15">
      <c r="A937" s="1">
        <v>165</v>
      </c>
      <c r="B937" s="1" t="s">
        <v>2552</v>
      </c>
      <c r="C937" s="1" t="s">
        <v>2555</v>
      </c>
      <c r="D937" s="1" t="s">
        <v>2556</v>
      </c>
      <c r="E937" s="1" t="s">
        <v>2555</v>
      </c>
      <c r="F937" s="1" t="s">
        <v>2556</v>
      </c>
      <c r="G937" s="1" t="s">
        <v>2557</v>
      </c>
      <c r="H937" s="1" t="s">
        <v>2556</v>
      </c>
      <c r="I937" s="1" t="s">
        <v>13293</v>
      </c>
      <c r="J937" s="1" t="s">
        <v>2558</v>
      </c>
      <c r="K937" s="1">
        <v>12</v>
      </c>
      <c r="L937" s="1" t="s">
        <v>4264</v>
      </c>
      <c r="M937" s="1">
        <v>15</v>
      </c>
      <c r="N937" s="1" t="s">
        <v>4365</v>
      </c>
    </row>
    <row r="938" spans="1:14" x14ac:dyDescent="0.15">
      <c r="A938" s="1">
        <v>165</v>
      </c>
      <c r="B938" s="1" t="s">
        <v>2552</v>
      </c>
      <c r="C938" s="1" t="s">
        <v>2559</v>
      </c>
      <c r="D938" s="1" t="s">
        <v>2560</v>
      </c>
      <c r="E938" s="1" t="s">
        <v>2559</v>
      </c>
      <c r="F938" s="1" t="s">
        <v>2560</v>
      </c>
      <c r="G938" s="1" t="s">
        <v>2561</v>
      </c>
      <c r="H938" s="1" t="s">
        <v>2560</v>
      </c>
      <c r="I938" s="1" t="s">
        <v>9760</v>
      </c>
      <c r="J938" s="1" t="s">
        <v>2562</v>
      </c>
      <c r="K938" s="1">
        <v>12</v>
      </c>
      <c r="L938" s="1" t="s">
        <v>4264</v>
      </c>
      <c r="M938" s="1">
        <v>15</v>
      </c>
      <c r="N938" s="1" t="s">
        <v>4365</v>
      </c>
    </row>
    <row r="939" spans="1:14" x14ac:dyDescent="0.15">
      <c r="A939" s="1">
        <v>165</v>
      </c>
      <c r="B939" s="1" t="s">
        <v>2552</v>
      </c>
      <c r="C939" s="1" t="s">
        <v>2559</v>
      </c>
      <c r="D939" s="1" t="s">
        <v>2560</v>
      </c>
      <c r="E939" s="1" t="s">
        <v>2559</v>
      </c>
      <c r="F939" s="1" t="s">
        <v>2560</v>
      </c>
      <c r="G939" s="1" t="s">
        <v>2561</v>
      </c>
      <c r="H939" s="1" t="s">
        <v>2560</v>
      </c>
      <c r="I939" s="1" t="s">
        <v>15819</v>
      </c>
      <c r="J939" s="1" t="s">
        <v>15820</v>
      </c>
      <c r="K939" s="1">
        <v>12</v>
      </c>
      <c r="L939" s="1" t="s">
        <v>4264</v>
      </c>
      <c r="M939" s="1">
        <v>15</v>
      </c>
      <c r="N939" s="1" t="s">
        <v>4365</v>
      </c>
    </row>
    <row r="940" spans="1:14" x14ac:dyDescent="0.15">
      <c r="A940" s="1">
        <v>165</v>
      </c>
      <c r="B940" s="1" t="s">
        <v>2552</v>
      </c>
      <c r="C940" s="1" t="s">
        <v>2559</v>
      </c>
      <c r="D940" s="1" t="s">
        <v>2560</v>
      </c>
      <c r="E940" s="1" t="s">
        <v>2559</v>
      </c>
      <c r="F940" s="1" t="s">
        <v>2560</v>
      </c>
      <c r="G940" s="1" t="s">
        <v>2561</v>
      </c>
      <c r="H940" s="1" t="s">
        <v>2560</v>
      </c>
      <c r="I940" s="1" t="s">
        <v>15823</v>
      </c>
      <c r="J940" s="1" t="s">
        <v>15824</v>
      </c>
      <c r="K940" s="1">
        <v>12</v>
      </c>
      <c r="L940" s="1" t="s">
        <v>4264</v>
      </c>
      <c r="M940" s="1">
        <v>15</v>
      </c>
      <c r="N940" s="1" t="s">
        <v>4365</v>
      </c>
    </row>
    <row r="941" spans="1:14" x14ac:dyDescent="0.15">
      <c r="A941" s="1">
        <v>165</v>
      </c>
      <c r="B941" s="1" t="s">
        <v>2552</v>
      </c>
      <c r="C941" s="1" t="s">
        <v>2559</v>
      </c>
      <c r="D941" s="1" t="s">
        <v>2560</v>
      </c>
      <c r="E941" s="1" t="s">
        <v>2559</v>
      </c>
      <c r="F941" s="1" t="s">
        <v>2560</v>
      </c>
      <c r="G941" s="1" t="s">
        <v>2561</v>
      </c>
      <c r="H941" s="1" t="s">
        <v>2560</v>
      </c>
      <c r="I941" s="1" t="s">
        <v>9769</v>
      </c>
      <c r="J941" s="1" t="s">
        <v>15856</v>
      </c>
      <c r="K941" s="1">
        <v>12</v>
      </c>
      <c r="L941" s="1" t="s">
        <v>4264</v>
      </c>
      <c r="M941" s="1">
        <v>15</v>
      </c>
      <c r="N941" s="1" t="s">
        <v>4365</v>
      </c>
    </row>
    <row r="942" spans="1:14" x14ac:dyDescent="0.15">
      <c r="A942" s="1">
        <v>165</v>
      </c>
      <c r="B942" s="1" t="s">
        <v>2552</v>
      </c>
      <c r="C942" s="1" t="s">
        <v>2559</v>
      </c>
      <c r="D942" s="1" t="s">
        <v>2560</v>
      </c>
      <c r="E942" s="1" t="s">
        <v>2559</v>
      </c>
      <c r="F942" s="1" t="s">
        <v>2560</v>
      </c>
      <c r="G942" s="1" t="s">
        <v>2561</v>
      </c>
      <c r="H942" s="1" t="s">
        <v>2560</v>
      </c>
      <c r="I942" s="1" t="s">
        <v>15851</v>
      </c>
      <c r="J942" s="1" t="s">
        <v>4407</v>
      </c>
      <c r="K942" s="1">
        <v>12</v>
      </c>
      <c r="L942" s="1" t="s">
        <v>4264</v>
      </c>
      <c r="M942" s="1">
        <v>15</v>
      </c>
      <c r="N942" s="1" t="s">
        <v>4365</v>
      </c>
    </row>
    <row r="943" spans="1:14" x14ac:dyDescent="0.15">
      <c r="A943" s="1">
        <v>165</v>
      </c>
      <c r="B943" s="1" t="s">
        <v>2552</v>
      </c>
      <c r="C943" s="1" t="s">
        <v>2559</v>
      </c>
      <c r="D943" s="1" t="s">
        <v>2560</v>
      </c>
      <c r="E943" s="1" t="s">
        <v>2559</v>
      </c>
      <c r="F943" s="1" t="s">
        <v>2560</v>
      </c>
      <c r="G943" s="1" t="s">
        <v>2561</v>
      </c>
      <c r="H943" s="1" t="s">
        <v>2560</v>
      </c>
      <c r="I943" s="1" t="s">
        <v>9809</v>
      </c>
      <c r="J943" s="1" t="s">
        <v>15875</v>
      </c>
      <c r="K943" s="1">
        <v>12</v>
      </c>
      <c r="L943" s="1" t="s">
        <v>4264</v>
      </c>
      <c r="M943" s="1">
        <v>15</v>
      </c>
      <c r="N943" s="1" t="s">
        <v>4365</v>
      </c>
    </row>
    <row r="944" spans="1:14" x14ac:dyDescent="0.15">
      <c r="A944" s="1">
        <v>165</v>
      </c>
      <c r="B944" s="1" t="s">
        <v>2552</v>
      </c>
      <c r="C944" s="1" t="s">
        <v>2559</v>
      </c>
      <c r="D944" s="1" t="s">
        <v>2560</v>
      </c>
      <c r="E944" s="1" t="s">
        <v>2559</v>
      </c>
      <c r="F944" s="1" t="s">
        <v>2560</v>
      </c>
      <c r="G944" s="1" t="s">
        <v>2561</v>
      </c>
      <c r="H944" s="1" t="s">
        <v>2560</v>
      </c>
      <c r="I944" s="1" t="s">
        <v>9832</v>
      </c>
      <c r="J944" s="1" t="s">
        <v>4410</v>
      </c>
      <c r="K944" s="1">
        <v>12</v>
      </c>
      <c r="L944" s="1" t="s">
        <v>4264</v>
      </c>
      <c r="M944" s="1">
        <v>15</v>
      </c>
      <c r="N944" s="1" t="s">
        <v>4365</v>
      </c>
    </row>
    <row r="945" spans="1:14" x14ac:dyDescent="0.15">
      <c r="A945" s="1">
        <v>165</v>
      </c>
      <c r="B945" s="1" t="s">
        <v>2552</v>
      </c>
      <c r="C945" s="1" t="s">
        <v>2559</v>
      </c>
      <c r="D945" s="1" t="s">
        <v>2560</v>
      </c>
      <c r="E945" s="1" t="s">
        <v>2559</v>
      </c>
      <c r="F945" s="1" t="s">
        <v>2560</v>
      </c>
      <c r="G945" s="1" t="s">
        <v>2561</v>
      </c>
      <c r="H945" s="1" t="s">
        <v>2560</v>
      </c>
      <c r="I945" s="1" t="s">
        <v>9415</v>
      </c>
      <c r="J945" s="1" t="s">
        <v>6046</v>
      </c>
      <c r="K945" s="1">
        <v>12</v>
      </c>
      <c r="L945" s="1" t="s">
        <v>4264</v>
      </c>
      <c r="M945" s="1">
        <v>15</v>
      </c>
      <c r="N945" s="1" t="s">
        <v>4365</v>
      </c>
    </row>
    <row r="946" spans="1:14" x14ac:dyDescent="0.15">
      <c r="A946" s="1">
        <v>165</v>
      </c>
      <c r="B946" s="1" t="s">
        <v>2552</v>
      </c>
      <c r="C946" s="1" t="s">
        <v>2559</v>
      </c>
      <c r="D946" s="1" t="s">
        <v>2560</v>
      </c>
      <c r="E946" s="1" t="s">
        <v>2559</v>
      </c>
      <c r="F946" s="1" t="s">
        <v>2560</v>
      </c>
      <c r="G946" s="1" t="s">
        <v>2561</v>
      </c>
      <c r="H946" s="1" t="s">
        <v>2560</v>
      </c>
      <c r="I946" s="1" t="s">
        <v>9573</v>
      </c>
      <c r="J946" s="1" t="s">
        <v>13463</v>
      </c>
      <c r="K946" s="1">
        <v>12</v>
      </c>
      <c r="L946" s="1" t="s">
        <v>4264</v>
      </c>
      <c r="M946" s="1">
        <v>15</v>
      </c>
      <c r="N946" s="1" t="s">
        <v>4365</v>
      </c>
    </row>
    <row r="947" spans="1:14" x14ac:dyDescent="0.15">
      <c r="A947" s="1">
        <v>165</v>
      </c>
      <c r="B947" s="1" t="s">
        <v>2552</v>
      </c>
      <c r="C947" s="1" t="s">
        <v>2559</v>
      </c>
      <c r="D947" s="1" t="s">
        <v>2560</v>
      </c>
      <c r="E947" s="1" t="s">
        <v>2559</v>
      </c>
      <c r="F947" s="1" t="s">
        <v>2560</v>
      </c>
      <c r="G947" s="1" t="s">
        <v>2561</v>
      </c>
      <c r="H947" s="1" t="s">
        <v>2560</v>
      </c>
      <c r="I947" s="1" t="s">
        <v>9476</v>
      </c>
      <c r="J947" s="1" t="s">
        <v>5086</v>
      </c>
      <c r="K947" s="1">
        <v>12</v>
      </c>
      <c r="L947" s="1" t="s">
        <v>4264</v>
      </c>
      <c r="M947" s="1">
        <v>15</v>
      </c>
      <c r="N947" s="1" t="s">
        <v>4365</v>
      </c>
    </row>
    <row r="948" spans="1:14" x14ac:dyDescent="0.15">
      <c r="A948" s="1">
        <v>165</v>
      </c>
      <c r="B948" s="1" t="s">
        <v>2552</v>
      </c>
      <c r="C948" s="1" t="s">
        <v>2559</v>
      </c>
      <c r="D948" s="1" t="s">
        <v>2560</v>
      </c>
      <c r="E948" s="1" t="s">
        <v>2559</v>
      </c>
      <c r="F948" s="1" t="s">
        <v>2560</v>
      </c>
      <c r="G948" s="1" t="s">
        <v>2561</v>
      </c>
      <c r="H948" s="1" t="s">
        <v>2560</v>
      </c>
      <c r="I948" s="1" t="s">
        <v>9489</v>
      </c>
      <c r="J948" s="1" t="s">
        <v>2563</v>
      </c>
      <c r="K948" s="1">
        <v>12</v>
      </c>
      <c r="L948" s="1" t="s">
        <v>4264</v>
      </c>
      <c r="M948" s="1">
        <v>15</v>
      </c>
      <c r="N948" s="1" t="s">
        <v>4365</v>
      </c>
    </row>
    <row r="949" spans="1:14" x14ac:dyDescent="0.15">
      <c r="A949" s="1">
        <v>165</v>
      </c>
      <c r="B949" s="1" t="s">
        <v>2552</v>
      </c>
      <c r="C949" s="1" t="s">
        <v>2559</v>
      </c>
      <c r="D949" s="1" t="s">
        <v>2560</v>
      </c>
      <c r="E949" s="1" t="s">
        <v>2559</v>
      </c>
      <c r="F949" s="1" t="s">
        <v>2560</v>
      </c>
      <c r="G949" s="1" t="s">
        <v>2561</v>
      </c>
      <c r="H949" s="1" t="s">
        <v>2560</v>
      </c>
      <c r="I949" s="1" t="s">
        <v>11240</v>
      </c>
      <c r="J949" s="1" t="s">
        <v>2564</v>
      </c>
      <c r="K949" s="1">
        <v>12</v>
      </c>
      <c r="L949" s="1" t="s">
        <v>4264</v>
      </c>
      <c r="M949" s="1">
        <v>15</v>
      </c>
      <c r="N949" s="1" t="s">
        <v>4365</v>
      </c>
    </row>
    <row r="950" spans="1:14" x14ac:dyDescent="0.15">
      <c r="A950" s="1">
        <v>165</v>
      </c>
      <c r="B950" s="1" t="s">
        <v>2552</v>
      </c>
      <c r="C950" s="1" t="s">
        <v>2559</v>
      </c>
      <c r="D950" s="1" t="s">
        <v>2560</v>
      </c>
      <c r="E950" s="1" t="s">
        <v>2559</v>
      </c>
      <c r="F950" s="1" t="s">
        <v>2560</v>
      </c>
      <c r="G950" s="1" t="s">
        <v>2561</v>
      </c>
      <c r="H950" s="1" t="s">
        <v>2560</v>
      </c>
      <c r="I950" s="1" t="s">
        <v>11242</v>
      </c>
      <c r="J950" s="1" t="s">
        <v>2565</v>
      </c>
      <c r="K950" s="1">
        <v>12</v>
      </c>
      <c r="L950" s="1" t="s">
        <v>4264</v>
      </c>
      <c r="M950" s="1">
        <v>15</v>
      </c>
      <c r="N950" s="1" t="s">
        <v>4365</v>
      </c>
    </row>
    <row r="951" spans="1:14" x14ac:dyDescent="0.15">
      <c r="A951" s="1">
        <v>165</v>
      </c>
      <c r="B951" s="1" t="s">
        <v>2552</v>
      </c>
      <c r="C951" s="1" t="s">
        <v>2559</v>
      </c>
      <c r="D951" s="1" t="s">
        <v>2560</v>
      </c>
      <c r="E951" s="1" t="s">
        <v>2559</v>
      </c>
      <c r="F951" s="1" t="s">
        <v>2560</v>
      </c>
      <c r="G951" s="1" t="s">
        <v>2561</v>
      </c>
      <c r="H951" s="1" t="s">
        <v>2560</v>
      </c>
      <c r="I951" s="1" t="s">
        <v>9493</v>
      </c>
      <c r="J951" s="1" t="s">
        <v>2566</v>
      </c>
      <c r="K951" s="1">
        <v>12</v>
      </c>
      <c r="L951" s="1" t="s">
        <v>4264</v>
      </c>
      <c r="M951" s="1">
        <v>15</v>
      </c>
      <c r="N951" s="1" t="s">
        <v>4365</v>
      </c>
    </row>
    <row r="952" spans="1:14" x14ac:dyDescent="0.15">
      <c r="A952" s="1">
        <v>165</v>
      </c>
      <c r="B952" s="1" t="s">
        <v>2552</v>
      </c>
      <c r="C952" s="1" t="s">
        <v>2559</v>
      </c>
      <c r="D952" s="1" t="s">
        <v>2560</v>
      </c>
      <c r="E952" s="1" t="s">
        <v>2559</v>
      </c>
      <c r="F952" s="1" t="s">
        <v>2560</v>
      </c>
      <c r="G952" s="1" t="s">
        <v>2561</v>
      </c>
      <c r="H952" s="1" t="s">
        <v>2560</v>
      </c>
      <c r="I952" s="1" t="s">
        <v>9496</v>
      </c>
      <c r="J952" s="1" t="s">
        <v>2567</v>
      </c>
      <c r="K952" s="1">
        <v>12</v>
      </c>
      <c r="L952" s="1" t="s">
        <v>4264</v>
      </c>
      <c r="M952" s="1">
        <v>15</v>
      </c>
      <c r="N952" s="1" t="s">
        <v>4365</v>
      </c>
    </row>
    <row r="953" spans="1:14" x14ac:dyDescent="0.15">
      <c r="A953" s="1">
        <v>165</v>
      </c>
      <c r="B953" s="1" t="s">
        <v>2552</v>
      </c>
      <c r="C953" s="1" t="s">
        <v>2559</v>
      </c>
      <c r="D953" s="1" t="s">
        <v>2560</v>
      </c>
      <c r="E953" s="1" t="s">
        <v>2559</v>
      </c>
      <c r="F953" s="1" t="s">
        <v>2560</v>
      </c>
      <c r="G953" s="1" t="s">
        <v>2561</v>
      </c>
      <c r="H953" s="1" t="s">
        <v>2560</v>
      </c>
      <c r="I953" s="1" t="s">
        <v>9499</v>
      </c>
      <c r="J953" s="1" t="s">
        <v>2568</v>
      </c>
      <c r="K953" s="1">
        <v>12</v>
      </c>
      <c r="L953" s="1" t="s">
        <v>4264</v>
      </c>
      <c r="M953" s="1">
        <v>15</v>
      </c>
      <c r="N953" s="1" t="s">
        <v>4365</v>
      </c>
    </row>
    <row r="954" spans="1:14" x14ac:dyDescent="0.15">
      <c r="A954" s="1">
        <v>165</v>
      </c>
      <c r="B954" s="1" t="s">
        <v>2552</v>
      </c>
      <c r="C954" s="1" t="s">
        <v>2559</v>
      </c>
      <c r="D954" s="1" t="s">
        <v>2560</v>
      </c>
      <c r="E954" s="1" t="s">
        <v>2559</v>
      </c>
      <c r="F954" s="1" t="s">
        <v>2560</v>
      </c>
      <c r="G954" s="1" t="s">
        <v>2561</v>
      </c>
      <c r="H954" s="1" t="s">
        <v>2560</v>
      </c>
      <c r="I954" s="1" t="s">
        <v>9504</v>
      </c>
      <c r="J954" s="1" t="s">
        <v>2569</v>
      </c>
      <c r="K954" s="1">
        <v>12</v>
      </c>
      <c r="L954" s="1" t="s">
        <v>4264</v>
      </c>
      <c r="M954" s="1">
        <v>15</v>
      </c>
      <c r="N954" s="1" t="s">
        <v>4365</v>
      </c>
    </row>
    <row r="955" spans="1:14" x14ac:dyDescent="0.15">
      <c r="A955" s="1">
        <v>165</v>
      </c>
      <c r="B955" s="1" t="s">
        <v>2552</v>
      </c>
      <c r="C955" s="1" t="s">
        <v>2559</v>
      </c>
      <c r="D955" s="1" t="s">
        <v>2560</v>
      </c>
      <c r="E955" s="1" t="s">
        <v>2559</v>
      </c>
      <c r="F955" s="1" t="s">
        <v>2560</v>
      </c>
      <c r="G955" s="1" t="s">
        <v>2561</v>
      </c>
      <c r="H955" s="1" t="s">
        <v>2560</v>
      </c>
      <c r="I955" s="1" t="s">
        <v>9507</v>
      </c>
      <c r="J955" s="1" t="s">
        <v>2570</v>
      </c>
      <c r="K955" s="1">
        <v>12</v>
      </c>
      <c r="L955" s="1" t="s">
        <v>4264</v>
      </c>
      <c r="M955" s="1">
        <v>15</v>
      </c>
      <c r="N955" s="1" t="s">
        <v>4365</v>
      </c>
    </row>
    <row r="956" spans="1:14" x14ac:dyDescent="0.15">
      <c r="A956" s="1">
        <v>165</v>
      </c>
      <c r="B956" s="1" t="s">
        <v>2552</v>
      </c>
      <c r="C956" s="1" t="s">
        <v>2559</v>
      </c>
      <c r="D956" s="1" t="s">
        <v>2560</v>
      </c>
      <c r="E956" s="1" t="s">
        <v>2559</v>
      </c>
      <c r="F956" s="1" t="s">
        <v>2560</v>
      </c>
      <c r="G956" s="1" t="s">
        <v>2561</v>
      </c>
      <c r="H956" s="1" t="s">
        <v>2560</v>
      </c>
      <c r="I956" s="1" t="s">
        <v>9511</v>
      </c>
      <c r="J956" s="1" t="s">
        <v>2571</v>
      </c>
      <c r="K956" s="1">
        <v>12</v>
      </c>
      <c r="L956" s="1" t="s">
        <v>4264</v>
      </c>
      <c r="M956" s="1">
        <v>15</v>
      </c>
      <c r="N956" s="1" t="s">
        <v>4365</v>
      </c>
    </row>
    <row r="957" spans="1:14" x14ac:dyDescent="0.15">
      <c r="A957" s="1">
        <v>165</v>
      </c>
      <c r="B957" s="1" t="s">
        <v>2552</v>
      </c>
      <c r="C957" s="1" t="s">
        <v>2559</v>
      </c>
      <c r="D957" s="1" t="s">
        <v>2560</v>
      </c>
      <c r="E957" s="1" t="s">
        <v>2559</v>
      </c>
      <c r="F957" s="1" t="s">
        <v>2560</v>
      </c>
      <c r="G957" s="1" t="s">
        <v>2561</v>
      </c>
      <c r="H957" s="1" t="s">
        <v>2560</v>
      </c>
      <c r="I957" s="1" t="s">
        <v>9514</v>
      </c>
      <c r="J957" s="1" t="s">
        <v>4415</v>
      </c>
      <c r="K957" s="1">
        <v>12</v>
      </c>
      <c r="L957" s="1" t="s">
        <v>4264</v>
      </c>
      <c r="M957" s="1">
        <v>15</v>
      </c>
      <c r="N957" s="1" t="s">
        <v>4365</v>
      </c>
    </row>
    <row r="958" spans="1:14" x14ac:dyDescent="0.15">
      <c r="A958" s="1">
        <v>165</v>
      </c>
      <c r="B958" s="1" t="s">
        <v>2552</v>
      </c>
      <c r="C958" s="1" t="s">
        <v>2559</v>
      </c>
      <c r="D958" s="1" t="s">
        <v>2560</v>
      </c>
      <c r="E958" s="1" t="s">
        <v>2559</v>
      </c>
      <c r="F958" s="1" t="s">
        <v>2560</v>
      </c>
      <c r="G958" s="1" t="s">
        <v>2561</v>
      </c>
      <c r="H958" s="1" t="s">
        <v>2560</v>
      </c>
      <c r="I958" s="1" t="s">
        <v>9516</v>
      </c>
      <c r="J958" s="1" t="s">
        <v>2572</v>
      </c>
      <c r="K958" s="1">
        <v>12</v>
      </c>
      <c r="L958" s="1" t="s">
        <v>4264</v>
      </c>
      <c r="M958" s="1">
        <v>15</v>
      </c>
      <c r="N958" s="1" t="s">
        <v>4365</v>
      </c>
    </row>
    <row r="959" spans="1:14" x14ac:dyDescent="0.15">
      <c r="A959" s="1">
        <v>165</v>
      </c>
      <c r="B959" s="1" t="s">
        <v>2552</v>
      </c>
      <c r="C959" s="1" t="s">
        <v>2559</v>
      </c>
      <c r="D959" s="1" t="s">
        <v>2560</v>
      </c>
      <c r="E959" s="1" t="s">
        <v>2559</v>
      </c>
      <c r="F959" s="1" t="s">
        <v>2560</v>
      </c>
      <c r="G959" s="1" t="s">
        <v>2561</v>
      </c>
      <c r="H959" s="1" t="s">
        <v>2560</v>
      </c>
      <c r="I959" s="1" t="s">
        <v>9519</v>
      </c>
      <c r="J959" s="1" t="s">
        <v>2573</v>
      </c>
      <c r="K959" s="1">
        <v>12</v>
      </c>
      <c r="L959" s="1" t="s">
        <v>4264</v>
      </c>
      <c r="M959" s="1">
        <v>15</v>
      </c>
      <c r="N959" s="1" t="s">
        <v>4365</v>
      </c>
    </row>
    <row r="960" spans="1:14" x14ac:dyDescent="0.15">
      <c r="A960" s="1">
        <v>165</v>
      </c>
      <c r="B960" s="1" t="s">
        <v>2552</v>
      </c>
      <c r="C960" s="1" t="s">
        <v>2559</v>
      </c>
      <c r="D960" s="1" t="s">
        <v>2560</v>
      </c>
      <c r="E960" s="1" t="s">
        <v>2559</v>
      </c>
      <c r="F960" s="1" t="s">
        <v>2560</v>
      </c>
      <c r="G960" s="1" t="s">
        <v>2561</v>
      </c>
      <c r="H960" s="1" t="s">
        <v>2560</v>
      </c>
      <c r="I960" s="1" t="s">
        <v>9523</v>
      </c>
      <c r="J960" s="1" t="s">
        <v>6051</v>
      </c>
      <c r="K960" s="1">
        <v>12</v>
      </c>
      <c r="L960" s="1" t="s">
        <v>4264</v>
      </c>
      <c r="M960" s="1">
        <v>15</v>
      </c>
      <c r="N960" s="1" t="s">
        <v>4365</v>
      </c>
    </row>
    <row r="961" spans="1:14" x14ac:dyDescent="0.15">
      <c r="A961" s="1">
        <v>165</v>
      </c>
      <c r="B961" s="1" t="s">
        <v>2552</v>
      </c>
      <c r="C961" s="1" t="s">
        <v>2559</v>
      </c>
      <c r="D961" s="1" t="s">
        <v>2560</v>
      </c>
      <c r="E961" s="1" t="s">
        <v>2559</v>
      </c>
      <c r="F961" s="1" t="s">
        <v>2560</v>
      </c>
      <c r="G961" s="1" t="s">
        <v>2561</v>
      </c>
      <c r="H961" s="1" t="s">
        <v>2560</v>
      </c>
      <c r="I961" s="1" t="s">
        <v>9526</v>
      </c>
      <c r="J961" s="1" t="s">
        <v>2574</v>
      </c>
      <c r="K961" s="1">
        <v>12</v>
      </c>
      <c r="L961" s="1" t="s">
        <v>4264</v>
      </c>
      <c r="M961" s="1">
        <v>15</v>
      </c>
      <c r="N961" s="1" t="s">
        <v>4365</v>
      </c>
    </row>
    <row r="962" spans="1:14" x14ac:dyDescent="0.15">
      <c r="A962" s="1">
        <v>165</v>
      </c>
      <c r="B962" s="1" t="s">
        <v>2552</v>
      </c>
      <c r="C962" s="1" t="s">
        <v>2559</v>
      </c>
      <c r="D962" s="1" t="s">
        <v>2560</v>
      </c>
      <c r="E962" s="1" t="s">
        <v>2559</v>
      </c>
      <c r="F962" s="1" t="s">
        <v>2560</v>
      </c>
      <c r="G962" s="1" t="s">
        <v>2561</v>
      </c>
      <c r="H962" s="1" t="s">
        <v>2560</v>
      </c>
      <c r="I962" s="1" t="s">
        <v>9529</v>
      </c>
      <c r="J962" s="1" t="s">
        <v>2575</v>
      </c>
      <c r="K962" s="1">
        <v>12</v>
      </c>
      <c r="L962" s="1" t="s">
        <v>4264</v>
      </c>
      <c r="M962" s="1">
        <v>15</v>
      </c>
      <c r="N962" s="1" t="s">
        <v>4365</v>
      </c>
    </row>
    <row r="963" spans="1:14" x14ac:dyDescent="0.15">
      <c r="A963" s="1">
        <v>165</v>
      </c>
      <c r="B963" s="1" t="s">
        <v>2552</v>
      </c>
      <c r="C963" s="1" t="s">
        <v>2559</v>
      </c>
      <c r="D963" s="1" t="s">
        <v>2560</v>
      </c>
      <c r="E963" s="1" t="s">
        <v>2559</v>
      </c>
      <c r="F963" s="1" t="s">
        <v>2560</v>
      </c>
      <c r="G963" s="1" t="s">
        <v>2561</v>
      </c>
      <c r="H963" s="1" t="s">
        <v>2560</v>
      </c>
      <c r="I963" s="1" t="s">
        <v>9532</v>
      </c>
      <c r="J963" s="1" t="s">
        <v>15903</v>
      </c>
      <c r="K963" s="1">
        <v>12</v>
      </c>
      <c r="L963" s="1" t="s">
        <v>4264</v>
      </c>
      <c r="M963" s="1">
        <v>15</v>
      </c>
      <c r="N963" s="1" t="s">
        <v>4365</v>
      </c>
    </row>
    <row r="964" spans="1:14" x14ac:dyDescent="0.15">
      <c r="A964" s="1">
        <v>165</v>
      </c>
      <c r="B964" s="1" t="s">
        <v>2552</v>
      </c>
      <c r="C964" s="1" t="s">
        <v>2559</v>
      </c>
      <c r="D964" s="1" t="s">
        <v>2560</v>
      </c>
      <c r="E964" s="1" t="s">
        <v>2559</v>
      </c>
      <c r="F964" s="1" t="s">
        <v>2560</v>
      </c>
      <c r="G964" s="1" t="s">
        <v>2561</v>
      </c>
      <c r="H964" s="1" t="s">
        <v>2560</v>
      </c>
      <c r="I964" s="1" t="s">
        <v>9534</v>
      </c>
      <c r="J964" s="1" t="s">
        <v>2576</v>
      </c>
      <c r="K964" s="1">
        <v>12</v>
      </c>
      <c r="L964" s="1" t="s">
        <v>4264</v>
      </c>
      <c r="M964" s="1">
        <v>15</v>
      </c>
      <c r="N964" s="1" t="s">
        <v>4365</v>
      </c>
    </row>
    <row r="965" spans="1:14" x14ac:dyDescent="0.15">
      <c r="A965" s="1">
        <v>165</v>
      </c>
      <c r="B965" s="1" t="s">
        <v>2552</v>
      </c>
      <c r="C965" s="1" t="s">
        <v>2559</v>
      </c>
      <c r="D965" s="1" t="s">
        <v>2560</v>
      </c>
      <c r="E965" s="1" t="s">
        <v>2559</v>
      </c>
      <c r="F965" s="1" t="s">
        <v>2560</v>
      </c>
      <c r="G965" s="1" t="s">
        <v>2561</v>
      </c>
      <c r="H965" s="1" t="s">
        <v>2560</v>
      </c>
      <c r="I965" s="1" t="s">
        <v>9537</v>
      </c>
      <c r="J965" s="1" t="s">
        <v>2577</v>
      </c>
      <c r="K965" s="1">
        <v>12</v>
      </c>
      <c r="L965" s="1" t="s">
        <v>4264</v>
      </c>
      <c r="M965" s="1">
        <v>15</v>
      </c>
      <c r="N965" s="1" t="s">
        <v>4365</v>
      </c>
    </row>
    <row r="966" spans="1:14" x14ac:dyDescent="0.15">
      <c r="A966" s="1">
        <v>165</v>
      </c>
      <c r="B966" s="1" t="s">
        <v>2552</v>
      </c>
      <c r="C966" s="1" t="s">
        <v>2559</v>
      </c>
      <c r="D966" s="1" t="s">
        <v>2560</v>
      </c>
      <c r="E966" s="1" t="s">
        <v>2559</v>
      </c>
      <c r="F966" s="1" t="s">
        <v>2560</v>
      </c>
      <c r="G966" s="1" t="s">
        <v>2561</v>
      </c>
      <c r="H966" s="1" t="s">
        <v>2560</v>
      </c>
      <c r="I966" s="1" t="s">
        <v>9540</v>
      </c>
      <c r="J966" s="1" t="s">
        <v>2578</v>
      </c>
      <c r="K966" s="1">
        <v>12</v>
      </c>
      <c r="L966" s="1" t="s">
        <v>4264</v>
      </c>
      <c r="M966" s="1">
        <v>15</v>
      </c>
      <c r="N966" s="1" t="s">
        <v>4365</v>
      </c>
    </row>
    <row r="967" spans="1:14" x14ac:dyDescent="0.15">
      <c r="A967" s="1">
        <v>165</v>
      </c>
      <c r="B967" s="1" t="s">
        <v>2552</v>
      </c>
      <c r="C967" s="1" t="s">
        <v>2559</v>
      </c>
      <c r="D967" s="1" t="s">
        <v>2560</v>
      </c>
      <c r="E967" s="1" t="s">
        <v>2559</v>
      </c>
      <c r="F967" s="1" t="s">
        <v>2560</v>
      </c>
      <c r="G967" s="1" t="s">
        <v>2561</v>
      </c>
      <c r="H967" s="1" t="s">
        <v>2560</v>
      </c>
      <c r="I967" s="1" t="s">
        <v>9542</v>
      </c>
      <c r="J967" s="1" t="s">
        <v>2579</v>
      </c>
      <c r="K967" s="1">
        <v>12</v>
      </c>
      <c r="L967" s="1" t="s">
        <v>4264</v>
      </c>
      <c r="M967" s="1">
        <v>15</v>
      </c>
      <c r="N967" s="1" t="s">
        <v>4365</v>
      </c>
    </row>
    <row r="968" spans="1:14" x14ac:dyDescent="0.15">
      <c r="A968" s="1">
        <v>165</v>
      </c>
      <c r="B968" s="1" t="s">
        <v>2552</v>
      </c>
      <c r="C968" s="1" t="s">
        <v>2559</v>
      </c>
      <c r="D968" s="1" t="s">
        <v>2560</v>
      </c>
      <c r="E968" s="1" t="s">
        <v>2559</v>
      </c>
      <c r="F968" s="1" t="s">
        <v>2560</v>
      </c>
      <c r="G968" s="1" t="s">
        <v>2561</v>
      </c>
      <c r="H968" s="1" t="s">
        <v>2560</v>
      </c>
      <c r="I968" s="1" t="s">
        <v>9549</v>
      </c>
      <c r="J968" s="1" t="s">
        <v>15915</v>
      </c>
      <c r="K968" s="1">
        <v>12</v>
      </c>
      <c r="L968" s="1" t="s">
        <v>4264</v>
      </c>
      <c r="M968" s="1">
        <v>15</v>
      </c>
      <c r="N968" s="1" t="s">
        <v>4365</v>
      </c>
    </row>
    <row r="969" spans="1:14" x14ac:dyDescent="0.15">
      <c r="A969" s="1">
        <v>165</v>
      </c>
      <c r="B969" s="1" t="s">
        <v>2552</v>
      </c>
      <c r="C969" s="1" t="s">
        <v>2559</v>
      </c>
      <c r="D969" s="1" t="s">
        <v>2560</v>
      </c>
      <c r="E969" s="1" t="s">
        <v>2559</v>
      </c>
      <c r="F969" s="1" t="s">
        <v>2560</v>
      </c>
      <c r="G969" s="1" t="s">
        <v>2561</v>
      </c>
      <c r="H969" s="1" t="s">
        <v>2560</v>
      </c>
      <c r="I969" s="1" t="s">
        <v>13293</v>
      </c>
      <c r="J969" s="1" t="s">
        <v>2558</v>
      </c>
      <c r="K969" s="1">
        <v>12</v>
      </c>
      <c r="L969" s="1" t="s">
        <v>4264</v>
      </c>
      <c r="M969" s="1">
        <v>15</v>
      </c>
      <c r="N969" s="1" t="s">
        <v>4365</v>
      </c>
    </row>
    <row r="970" spans="1:14" x14ac:dyDescent="0.15">
      <c r="A970" s="1">
        <v>165</v>
      </c>
      <c r="B970" s="1" t="s">
        <v>2552</v>
      </c>
      <c r="C970" s="1" t="s">
        <v>2580</v>
      </c>
      <c r="D970" s="1" t="s">
        <v>2581</v>
      </c>
      <c r="E970" s="1" t="s">
        <v>2580</v>
      </c>
      <c r="F970" s="1" t="s">
        <v>2582</v>
      </c>
      <c r="G970" s="1" t="s">
        <v>2583</v>
      </c>
      <c r="H970" s="1" t="s">
        <v>2582</v>
      </c>
      <c r="I970" s="1" t="s">
        <v>15812</v>
      </c>
      <c r="J970" s="1" t="s">
        <v>6011</v>
      </c>
      <c r="K970" s="1">
        <v>12</v>
      </c>
      <c r="L970" s="1" t="s">
        <v>4264</v>
      </c>
      <c r="M970" s="1">
        <v>15</v>
      </c>
      <c r="N970" s="1" t="s">
        <v>4365</v>
      </c>
    </row>
    <row r="971" spans="1:14" x14ac:dyDescent="0.15">
      <c r="A971" s="1">
        <v>165</v>
      </c>
      <c r="B971" s="1" t="s">
        <v>2552</v>
      </c>
      <c r="C971" s="1" t="s">
        <v>2580</v>
      </c>
      <c r="D971" s="1" t="s">
        <v>2581</v>
      </c>
      <c r="E971" s="1" t="s">
        <v>2580</v>
      </c>
      <c r="F971" s="1" t="s">
        <v>2582</v>
      </c>
      <c r="G971" s="1" t="s">
        <v>2583</v>
      </c>
      <c r="H971" s="1" t="s">
        <v>2582</v>
      </c>
      <c r="I971" s="1" t="s">
        <v>12616</v>
      </c>
      <c r="J971" s="1" t="s">
        <v>15879</v>
      </c>
      <c r="K971" s="1">
        <v>12</v>
      </c>
      <c r="L971" s="1" t="s">
        <v>4264</v>
      </c>
      <c r="M971" s="1">
        <v>15</v>
      </c>
      <c r="N971" s="1" t="s">
        <v>4365</v>
      </c>
    </row>
    <row r="972" spans="1:14" x14ac:dyDescent="0.15">
      <c r="A972" s="1">
        <v>165</v>
      </c>
      <c r="B972" s="1" t="s">
        <v>2552</v>
      </c>
      <c r="C972" s="1" t="s">
        <v>2580</v>
      </c>
      <c r="D972" s="1" t="s">
        <v>2581</v>
      </c>
      <c r="E972" s="1" t="s">
        <v>2580</v>
      </c>
      <c r="F972" s="1" t="s">
        <v>2582</v>
      </c>
      <c r="G972" s="1" t="s">
        <v>2583</v>
      </c>
      <c r="H972" s="1" t="s">
        <v>2582</v>
      </c>
      <c r="I972" s="1" t="s">
        <v>9576</v>
      </c>
      <c r="J972" s="1" t="s">
        <v>4412</v>
      </c>
      <c r="K972" s="1">
        <v>12</v>
      </c>
      <c r="L972" s="1" t="s">
        <v>4264</v>
      </c>
      <c r="M972" s="1">
        <v>15</v>
      </c>
      <c r="N972" s="1" t="s">
        <v>4365</v>
      </c>
    </row>
    <row r="973" spans="1:14" x14ac:dyDescent="0.15">
      <c r="A973" s="1">
        <v>165</v>
      </c>
      <c r="B973" s="1" t="s">
        <v>2552</v>
      </c>
      <c r="C973" s="1" t="s">
        <v>2580</v>
      </c>
      <c r="D973" s="1" t="s">
        <v>2581</v>
      </c>
      <c r="E973" s="1" t="s">
        <v>2580</v>
      </c>
      <c r="F973" s="1" t="s">
        <v>2582</v>
      </c>
      <c r="G973" s="1" t="s">
        <v>2583</v>
      </c>
      <c r="H973" s="1" t="s">
        <v>2582</v>
      </c>
      <c r="I973" s="1" t="s">
        <v>15197</v>
      </c>
      <c r="J973" s="1" t="s">
        <v>4416</v>
      </c>
      <c r="K973" s="1">
        <v>12</v>
      </c>
      <c r="L973" s="1" t="s">
        <v>4264</v>
      </c>
      <c r="M973" s="1">
        <v>15</v>
      </c>
      <c r="N973" s="1" t="s">
        <v>4365</v>
      </c>
    </row>
    <row r="974" spans="1:14" x14ac:dyDescent="0.15">
      <c r="A974" s="1">
        <v>165</v>
      </c>
      <c r="B974" s="1" t="s">
        <v>2552</v>
      </c>
      <c r="C974" s="1" t="s">
        <v>2580</v>
      </c>
      <c r="D974" s="1" t="s">
        <v>2581</v>
      </c>
      <c r="E974" s="1" t="s">
        <v>2580</v>
      </c>
      <c r="F974" s="1" t="s">
        <v>2582</v>
      </c>
      <c r="G974" s="1" t="s">
        <v>2583</v>
      </c>
      <c r="H974" s="1" t="s">
        <v>2582</v>
      </c>
      <c r="I974" s="1" t="s">
        <v>9252</v>
      </c>
      <c r="J974" s="1" t="s">
        <v>2527</v>
      </c>
      <c r="K974" s="1">
        <v>12</v>
      </c>
      <c r="L974" s="1" t="s">
        <v>4264</v>
      </c>
      <c r="M974" s="1">
        <v>15</v>
      </c>
      <c r="N974" s="1" t="s">
        <v>4365</v>
      </c>
    </row>
    <row r="975" spans="1:14" x14ac:dyDescent="0.15">
      <c r="A975" s="1">
        <v>165</v>
      </c>
      <c r="B975" s="1" t="s">
        <v>2552</v>
      </c>
      <c r="C975" s="1" t="s">
        <v>2580</v>
      </c>
      <c r="D975" s="1" t="s">
        <v>2581</v>
      </c>
      <c r="E975" s="1" t="s">
        <v>2580</v>
      </c>
      <c r="F975" s="1" t="s">
        <v>2582</v>
      </c>
      <c r="G975" s="1" t="s">
        <v>2583</v>
      </c>
      <c r="H975" s="1" t="s">
        <v>2582</v>
      </c>
      <c r="I975" s="1" t="s">
        <v>9257</v>
      </c>
      <c r="J975" s="1" t="s">
        <v>4423</v>
      </c>
      <c r="K975" s="1">
        <v>12</v>
      </c>
      <c r="L975" s="1" t="s">
        <v>4264</v>
      </c>
      <c r="M975" s="1">
        <v>15</v>
      </c>
      <c r="N975" s="1" t="s">
        <v>4365</v>
      </c>
    </row>
    <row r="976" spans="1:14" x14ac:dyDescent="0.15">
      <c r="A976" s="1">
        <v>165</v>
      </c>
      <c r="B976" s="1" t="s">
        <v>2552</v>
      </c>
      <c r="C976" s="1" t="s">
        <v>2580</v>
      </c>
      <c r="D976" s="1" t="s">
        <v>2581</v>
      </c>
      <c r="E976" s="1" t="s">
        <v>2580</v>
      </c>
      <c r="F976" s="1" t="s">
        <v>2582</v>
      </c>
      <c r="G976" s="1" t="s">
        <v>2583</v>
      </c>
      <c r="H976" s="1" t="s">
        <v>2582</v>
      </c>
      <c r="I976" s="1" t="s">
        <v>11743</v>
      </c>
      <c r="J976" s="1" t="s">
        <v>6039</v>
      </c>
      <c r="K976" s="1">
        <v>12</v>
      </c>
      <c r="L976" s="1" t="s">
        <v>4264</v>
      </c>
      <c r="M976" s="1">
        <v>15</v>
      </c>
      <c r="N976" s="1" t="s">
        <v>4365</v>
      </c>
    </row>
    <row r="977" spans="1:14" x14ac:dyDescent="0.15">
      <c r="A977" s="1">
        <v>170</v>
      </c>
      <c r="B977" s="1" t="s">
        <v>2584</v>
      </c>
      <c r="C977" s="1" t="s">
        <v>2585</v>
      </c>
      <c r="D977" s="1" t="s">
        <v>2584</v>
      </c>
      <c r="E977" s="1" t="s">
        <v>2585</v>
      </c>
      <c r="F977" s="1" t="s">
        <v>2584</v>
      </c>
      <c r="G977" s="1" t="s">
        <v>2586</v>
      </c>
      <c r="H977" s="1" t="s">
        <v>2584</v>
      </c>
      <c r="I977" s="1" t="s">
        <v>11879</v>
      </c>
      <c r="J977" s="1" t="s">
        <v>4278</v>
      </c>
      <c r="K977" s="1">
        <v>12</v>
      </c>
      <c r="L977" s="1" t="s">
        <v>4264</v>
      </c>
      <c r="M977" s="1">
        <v>15</v>
      </c>
      <c r="N977" s="1" t="s">
        <v>4365</v>
      </c>
    </row>
    <row r="978" spans="1:14" x14ac:dyDescent="0.15">
      <c r="A978" s="1">
        <v>170</v>
      </c>
      <c r="B978" s="1" t="s">
        <v>2584</v>
      </c>
      <c r="C978" s="1" t="s">
        <v>2587</v>
      </c>
      <c r="D978" s="1" t="s">
        <v>2588</v>
      </c>
      <c r="E978" s="1" t="s">
        <v>2587</v>
      </c>
      <c r="F978" s="1" t="s">
        <v>2588</v>
      </c>
      <c r="G978" s="1" t="s">
        <v>2589</v>
      </c>
      <c r="H978" s="1" t="s">
        <v>2588</v>
      </c>
      <c r="I978" s="1" t="s">
        <v>14949</v>
      </c>
      <c r="J978" s="1" t="s">
        <v>14946</v>
      </c>
      <c r="K978" s="1">
        <v>12</v>
      </c>
      <c r="L978" s="1" t="s">
        <v>4264</v>
      </c>
      <c r="M978" s="1">
        <v>15</v>
      </c>
      <c r="N978" s="1" t="s">
        <v>4365</v>
      </c>
    </row>
    <row r="979" spans="1:14" x14ac:dyDescent="0.15">
      <c r="A979" s="1">
        <v>170</v>
      </c>
      <c r="B979" s="1" t="s">
        <v>2584</v>
      </c>
      <c r="C979" s="1" t="s">
        <v>2587</v>
      </c>
      <c r="D979" s="1" t="s">
        <v>2588</v>
      </c>
      <c r="E979" s="1" t="s">
        <v>2587</v>
      </c>
      <c r="F979" s="1" t="s">
        <v>2588</v>
      </c>
      <c r="G979" s="1" t="s">
        <v>2589</v>
      </c>
      <c r="H979" s="1" t="s">
        <v>2588</v>
      </c>
      <c r="I979" s="1" t="s">
        <v>8952</v>
      </c>
      <c r="J979" s="1" t="s">
        <v>4425</v>
      </c>
      <c r="K979" s="1">
        <v>12</v>
      </c>
      <c r="L979" s="1" t="s">
        <v>4264</v>
      </c>
      <c r="M979" s="1">
        <v>15</v>
      </c>
      <c r="N979" s="1" t="s">
        <v>4365</v>
      </c>
    </row>
    <row r="980" spans="1:14" x14ac:dyDescent="0.15">
      <c r="A980" s="1">
        <v>170</v>
      </c>
      <c r="B980" s="1" t="s">
        <v>2584</v>
      </c>
      <c r="C980" s="1" t="s">
        <v>2587</v>
      </c>
      <c r="D980" s="1" t="s">
        <v>2588</v>
      </c>
      <c r="E980" s="1" t="s">
        <v>2587</v>
      </c>
      <c r="F980" s="1" t="s">
        <v>2588</v>
      </c>
      <c r="G980" s="1" t="s">
        <v>2589</v>
      </c>
      <c r="H980" s="1" t="s">
        <v>2588</v>
      </c>
      <c r="I980" s="1" t="s">
        <v>8955</v>
      </c>
      <c r="J980" s="1" t="s">
        <v>4426</v>
      </c>
      <c r="K980" s="1">
        <v>12</v>
      </c>
      <c r="L980" s="1" t="s">
        <v>4264</v>
      </c>
      <c r="M980" s="1">
        <v>15</v>
      </c>
      <c r="N980" s="1" t="s">
        <v>4365</v>
      </c>
    </row>
    <row r="981" spans="1:14" x14ac:dyDescent="0.15">
      <c r="A981" s="1">
        <v>170</v>
      </c>
      <c r="B981" s="1" t="s">
        <v>2584</v>
      </c>
      <c r="C981" s="1" t="s">
        <v>2587</v>
      </c>
      <c r="D981" s="1" t="s">
        <v>2588</v>
      </c>
      <c r="E981" s="1" t="s">
        <v>2587</v>
      </c>
      <c r="F981" s="1" t="s">
        <v>2588</v>
      </c>
      <c r="G981" s="1" t="s">
        <v>2589</v>
      </c>
      <c r="H981" s="1" t="s">
        <v>2588</v>
      </c>
      <c r="I981" s="1" t="s">
        <v>8958</v>
      </c>
      <c r="J981" s="1" t="s">
        <v>2590</v>
      </c>
      <c r="L981" s="1" t="s">
        <v>4264</v>
      </c>
      <c r="M981" s="1">
        <v>15</v>
      </c>
      <c r="N981" s="1" t="s">
        <v>4365</v>
      </c>
    </row>
    <row r="982" spans="1:14" x14ac:dyDescent="0.15">
      <c r="A982" s="1">
        <v>170</v>
      </c>
      <c r="B982" s="1" t="s">
        <v>2584</v>
      </c>
      <c r="C982" s="1" t="s">
        <v>2591</v>
      </c>
      <c r="D982" s="1" t="s">
        <v>2592</v>
      </c>
      <c r="E982" s="1" t="s">
        <v>2591</v>
      </c>
      <c r="F982" s="1" t="s">
        <v>2592</v>
      </c>
      <c r="G982" s="1" t="s">
        <v>2593</v>
      </c>
      <c r="H982" s="1" t="s">
        <v>2592</v>
      </c>
      <c r="I982" s="1" t="s">
        <v>8952</v>
      </c>
      <c r="J982" s="1" t="s">
        <v>4425</v>
      </c>
      <c r="K982" s="1">
        <v>12</v>
      </c>
      <c r="L982" s="1" t="s">
        <v>4264</v>
      </c>
      <c r="M982" s="1">
        <v>15</v>
      </c>
      <c r="N982" s="1" t="s">
        <v>4365</v>
      </c>
    </row>
    <row r="983" spans="1:14" x14ac:dyDescent="0.15">
      <c r="A983" s="1">
        <v>170</v>
      </c>
      <c r="B983" s="1" t="s">
        <v>2584</v>
      </c>
      <c r="C983" s="1" t="s">
        <v>2591</v>
      </c>
      <c r="D983" s="1" t="s">
        <v>2592</v>
      </c>
      <c r="E983" s="1" t="s">
        <v>2591</v>
      </c>
      <c r="F983" s="1" t="s">
        <v>2592</v>
      </c>
      <c r="G983" s="1" t="s">
        <v>2593</v>
      </c>
      <c r="H983" s="1" t="s">
        <v>2592</v>
      </c>
      <c r="I983" s="1" t="s">
        <v>15046</v>
      </c>
      <c r="J983" s="1" t="s">
        <v>15047</v>
      </c>
      <c r="K983" s="1">
        <v>12</v>
      </c>
      <c r="L983" s="1" t="s">
        <v>4264</v>
      </c>
      <c r="M983" s="1">
        <v>15</v>
      </c>
      <c r="N983" s="1" t="s">
        <v>4365</v>
      </c>
    </row>
    <row r="984" spans="1:14" x14ac:dyDescent="0.15">
      <c r="A984" s="1">
        <v>170</v>
      </c>
      <c r="B984" s="1" t="s">
        <v>2584</v>
      </c>
      <c r="C984" s="1" t="s">
        <v>2591</v>
      </c>
      <c r="D984" s="1" t="s">
        <v>2592</v>
      </c>
      <c r="E984" s="1" t="s">
        <v>2591</v>
      </c>
      <c r="F984" s="1" t="s">
        <v>2592</v>
      </c>
      <c r="G984" s="1" t="s">
        <v>2593</v>
      </c>
      <c r="H984" s="1" t="s">
        <v>2592</v>
      </c>
      <c r="I984" s="1" t="s">
        <v>15050</v>
      </c>
      <c r="J984" s="1" t="s">
        <v>6205</v>
      </c>
      <c r="K984" s="1">
        <v>12</v>
      </c>
      <c r="L984" s="1" t="s">
        <v>4264</v>
      </c>
      <c r="M984" s="1">
        <v>15</v>
      </c>
      <c r="N984" s="1" t="s">
        <v>4365</v>
      </c>
    </row>
    <row r="985" spans="1:14" x14ac:dyDescent="0.15">
      <c r="A985" s="1">
        <v>170</v>
      </c>
      <c r="B985" s="1" t="s">
        <v>2584</v>
      </c>
      <c r="C985" s="1" t="s">
        <v>2591</v>
      </c>
      <c r="D985" s="1" t="s">
        <v>2592</v>
      </c>
      <c r="E985" s="1" t="s">
        <v>2591</v>
      </c>
      <c r="F985" s="1" t="s">
        <v>2592</v>
      </c>
      <c r="G985" s="1" t="s">
        <v>2593</v>
      </c>
      <c r="H985" s="1" t="s">
        <v>2592</v>
      </c>
      <c r="I985" s="1" t="s">
        <v>15054</v>
      </c>
      <c r="J985" s="1" t="s">
        <v>15055</v>
      </c>
      <c r="K985" s="1">
        <v>12</v>
      </c>
      <c r="L985" s="1" t="s">
        <v>4264</v>
      </c>
      <c r="M985" s="1">
        <v>15</v>
      </c>
      <c r="N985" s="1" t="s">
        <v>4365</v>
      </c>
    </row>
    <row r="986" spans="1:14" x14ac:dyDescent="0.15">
      <c r="A986" s="1">
        <v>170</v>
      </c>
      <c r="B986" s="1" t="s">
        <v>2584</v>
      </c>
      <c r="C986" s="1" t="s">
        <v>2591</v>
      </c>
      <c r="D986" s="1" t="s">
        <v>2592</v>
      </c>
      <c r="E986" s="1" t="s">
        <v>2591</v>
      </c>
      <c r="F986" s="1" t="s">
        <v>2592</v>
      </c>
      <c r="G986" s="1" t="s">
        <v>2593</v>
      </c>
      <c r="H986" s="1" t="s">
        <v>2592</v>
      </c>
      <c r="I986" s="1" t="s">
        <v>15058</v>
      </c>
      <c r="J986" s="1" t="s">
        <v>15059</v>
      </c>
      <c r="K986" s="1">
        <v>12</v>
      </c>
      <c r="L986" s="1" t="s">
        <v>4264</v>
      </c>
      <c r="M986" s="1">
        <v>15</v>
      </c>
      <c r="N986" s="1" t="s">
        <v>4365</v>
      </c>
    </row>
    <row r="987" spans="1:14" x14ac:dyDescent="0.15">
      <c r="A987" s="1">
        <v>170</v>
      </c>
      <c r="B987" s="1" t="s">
        <v>2584</v>
      </c>
      <c r="C987" s="1" t="s">
        <v>2591</v>
      </c>
      <c r="D987" s="1" t="s">
        <v>2592</v>
      </c>
      <c r="E987" s="1" t="s">
        <v>2591</v>
      </c>
      <c r="F987" s="1" t="s">
        <v>2592</v>
      </c>
      <c r="G987" s="1" t="s">
        <v>2593</v>
      </c>
      <c r="H987" s="1" t="s">
        <v>2592</v>
      </c>
      <c r="I987" s="1" t="s">
        <v>15062</v>
      </c>
      <c r="J987" s="1" t="s">
        <v>15063</v>
      </c>
      <c r="K987" s="1">
        <v>12</v>
      </c>
      <c r="L987" s="1" t="s">
        <v>4264</v>
      </c>
      <c r="M987" s="1">
        <v>15</v>
      </c>
      <c r="N987" s="1" t="s">
        <v>4365</v>
      </c>
    </row>
    <row r="988" spans="1:14" x14ac:dyDescent="0.15">
      <c r="A988" s="1">
        <v>170</v>
      </c>
      <c r="B988" s="1" t="s">
        <v>2584</v>
      </c>
      <c r="C988" s="1" t="s">
        <v>2591</v>
      </c>
      <c r="D988" s="1" t="s">
        <v>2592</v>
      </c>
      <c r="E988" s="1" t="s">
        <v>2591</v>
      </c>
      <c r="F988" s="1" t="s">
        <v>2592</v>
      </c>
      <c r="G988" s="1" t="s">
        <v>2593</v>
      </c>
      <c r="H988" s="1" t="s">
        <v>2592</v>
      </c>
      <c r="I988" s="1" t="s">
        <v>15066</v>
      </c>
      <c r="J988" s="1" t="s">
        <v>6207</v>
      </c>
      <c r="K988" s="1">
        <v>12</v>
      </c>
      <c r="L988" s="1" t="s">
        <v>4264</v>
      </c>
      <c r="M988" s="1">
        <v>15</v>
      </c>
      <c r="N988" s="1" t="s">
        <v>4365</v>
      </c>
    </row>
    <row r="989" spans="1:14" x14ac:dyDescent="0.15">
      <c r="A989" s="1">
        <v>170</v>
      </c>
      <c r="B989" s="1" t="s">
        <v>2584</v>
      </c>
      <c r="C989" s="1" t="s">
        <v>2591</v>
      </c>
      <c r="D989" s="1" t="s">
        <v>2592</v>
      </c>
      <c r="E989" s="1" t="s">
        <v>2591</v>
      </c>
      <c r="F989" s="1" t="s">
        <v>2592</v>
      </c>
      <c r="G989" s="1" t="s">
        <v>2593</v>
      </c>
      <c r="H989" s="1" t="s">
        <v>2592</v>
      </c>
      <c r="I989" s="1" t="s">
        <v>15070</v>
      </c>
      <c r="J989" s="1" t="s">
        <v>15071</v>
      </c>
      <c r="K989" s="1">
        <v>12</v>
      </c>
      <c r="L989" s="1" t="s">
        <v>4264</v>
      </c>
      <c r="M989" s="1">
        <v>15</v>
      </c>
      <c r="N989" s="1" t="s">
        <v>4365</v>
      </c>
    </row>
    <row r="990" spans="1:14" x14ac:dyDescent="0.15">
      <c r="A990" s="1">
        <v>170</v>
      </c>
      <c r="B990" s="1" t="s">
        <v>2584</v>
      </c>
      <c r="C990" s="1" t="s">
        <v>2591</v>
      </c>
      <c r="D990" s="1" t="s">
        <v>2592</v>
      </c>
      <c r="E990" s="1" t="s">
        <v>2591</v>
      </c>
      <c r="F990" s="1" t="s">
        <v>2592</v>
      </c>
      <c r="G990" s="1" t="s">
        <v>2593</v>
      </c>
      <c r="H990" s="1" t="s">
        <v>2592</v>
      </c>
      <c r="I990" s="1" t="s">
        <v>15074</v>
      </c>
      <c r="J990" s="1" t="s">
        <v>15075</v>
      </c>
      <c r="K990" s="1">
        <v>12</v>
      </c>
      <c r="L990" s="1" t="s">
        <v>4264</v>
      </c>
      <c r="M990" s="1">
        <v>15</v>
      </c>
      <c r="N990" s="1" t="s">
        <v>4365</v>
      </c>
    </row>
    <row r="991" spans="1:14" x14ac:dyDescent="0.15">
      <c r="A991" s="1">
        <v>170</v>
      </c>
      <c r="B991" s="1" t="s">
        <v>2584</v>
      </c>
      <c r="C991" s="1" t="s">
        <v>2591</v>
      </c>
      <c r="D991" s="1" t="s">
        <v>2592</v>
      </c>
      <c r="E991" s="1" t="s">
        <v>2591</v>
      </c>
      <c r="F991" s="1" t="s">
        <v>2592</v>
      </c>
      <c r="G991" s="1" t="s">
        <v>2593</v>
      </c>
      <c r="H991" s="1" t="s">
        <v>2592</v>
      </c>
      <c r="I991" s="1" t="s">
        <v>15078</v>
      </c>
      <c r="J991" s="1" t="s">
        <v>15079</v>
      </c>
      <c r="K991" s="1">
        <v>12</v>
      </c>
      <c r="L991" s="1" t="s">
        <v>4264</v>
      </c>
      <c r="M991" s="1">
        <v>15</v>
      </c>
      <c r="N991" s="1" t="s">
        <v>4365</v>
      </c>
    </row>
    <row r="992" spans="1:14" x14ac:dyDescent="0.15">
      <c r="A992" s="1">
        <v>170</v>
      </c>
      <c r="B992" s="1" t="s">
        <v>2584</v>
      </c>
      <c r="C992" s="1" t="s">
        <v>2591</v>
      </c>
      <c r="D992" s="1" t="s">
        <v>2592</v>
      </c>
      <c r="E992" s="1" t="s">
        <v>2591</v>
      </c>
      <c r="F992" s="1" t="s">
        <v>2592</v>
      </c>
      <c r="G992" s="1" t="s">
        <v>2593</v>
      </c>
      <c r="H992" s="1" t="s">
        <v>2592</v>
      </c>
      <c r="I992" s="1" t="s">
        <v>15082</v>
      </c>
      <c r="J992" s="1" t="s">
        <v>15083</v>
      </c>
      <c r="K992" s="1">
        <v>12</v>
      </c>
      <c r="L992" s="1" t="s">
        <v>4264</v>
      </c>
      <c r="M992" s="1">
        <v>15</v>
      </c>
      <c r="N992" s="1" t="s">
        <v>4365</v>
      </c>
    </row>
    <row r="993" spans="1:14" x14ac:dyDescent="0.15">
      <c r="A993" s="1">
        <v>170</v>
      </c>
      <c r="B993" s="1" t="s">
        <v>2584</v>
      </c>
      <c r="C993" s="1" t="s">
        <v>2591</v>
      </c>
      <c r="D993" s="1" t="s">
        <v>2592</v>
      </c>
      <c r="E993" s="1" t="s">
        <v>2591</v>
      </c>
      <c r="F993" s="1" t="s">
        <v>2592</v>
      </c>
      <c r="G993" s="1" t="s">
        <v>2593</v>
      </c>
      <c r="H993" s="1" t="s">
        <v>2592</v>
      </c>
      <c r="I993" s="1" t="s">
        <v>13470</v>
      </c>
      <c r="J993" s="1" t="s">
        <v>2594</v>
      </c>
      <c r="K993" s="1">
        <v>12</v>
      </c>
      <c r="L993" s="1" t="s">
        <v>4264</v>
      </c>
      <c r="M993" s="1">
        <v>15</v>
      </c>
      <c r="N993" s="1" t="s">
        <v>4365</v>
      </c>
    </row>
    <row r="994" spans="1:14" x14ac:dyDescent="0.15">
      <c r="A994" s="1">
        <v>171</v>
      </c>
      <c r="B994" s="1" t="s">
        <v>2595</v>
      </c>
      <c r="C994" s="1" t="s">
        <v>2596</v>
      </c>
      <c r="D994" s="1" t="s">
        <v>2595</v>
      </c>
      <c r="E994" s="1" t="s">
        <v>2596</v>
      </c>
      <c r="F994" s="1" t="s">
        <v>2595</v>
      </c>
      <c r="G994" s="1" t="s">
        <v>2597</v>
      </c>
      <c r="H994" s="1" t="s">
        <v>2595</v>
      </c>
      <c r="I994" s="1" t="s">
        <v>14963</v>
      </c>
      <c r="J994" s="1" t="s">
        <v>4427</v>
      </c>
      <c r="K994" s="1">
        <v>12</v>
      </c>
      <c r="L994" s="1" t="s">
        <v>4264</v>
      </c>
      <c r="M994" s="1">
        <v>15</v>
      </c>
      <c r="N994" s="1" t="s">
        <v>4365</v>
      </c>
    </row>
    <row r="995" spans="1:14" x14ac:dyDescent="0.15">
      <c r="A995" s="1">
        <v>171</v>
      </c>
      <c r="B995" s="1" t="s">
        <v>2595</v>
      </c>
      <c r="C995" s="1" t="s">
        <v>2596</v>
      </c>
      <c r="D995" s="1" t="s">
        <v>2595</v>
      </c>
      <c r="E995" s="1" t="s">
        <v>2596</v>
      </c>
      <c r="F995" s="1" t="s">
        <v>2595</v>
      </c>
      <c r="G995" s="1" t="s">
        <v>2597</v>
      </c>
      <c r="H995" s="1" t="s">
        <v>2595</v>
      </c>
      <c r="I995" s="1" t="s">
        <v>8968</v>
      </c>
      <c r="J995" s="1" t="s">
        <v>4428</v>
      </c>
      <c r="K995" s="1">
        <v>12</v>
      </c>
      <c r="L995" s="1" t="s">
        <v>4264</v>
      </c>
      <c r="M995" s="1">
        <v>15</v>
      </c>
      <c r="N995" s="1" t="s">
        <v>4365</v>
      </c>
    </row>
    <row r="996" spans="1:14" x14ac:dyDescent="0.15">
      <c r="A996" s="1">
        <v>171</v>
      </c>
      <c r="B996" s="1" t="s">
        <v>2595</v>
      </c>
      <c r="C996" s="1" t="s">
        <v>2596</v>
      </c>
      <c r="D996" s="1" t="s">
        <v>2595</v>
      </c>
      <c r="E996" s="1" t="s">
        <v>2596</v>
      </c>
      <c r="F996" s="1" t="s">
        <v>2595</v>
      </c>
      <c r="G996" s="1" t="s">
        <v>2597</v>
      </c>
      <c r="H996" s="1" t="s">
        <v>2595</v>
      </c>
      <c r="I996" s="1" t="s">
        <v>8971</v>
      </c>
      <c r="J996" s="1" t="s">
        <v>4429</v>
      </c>
      <c r="K996" s="1">
        <v>12</v>
      </c>
      <c r="L996" s="1" t="s">
        <v>4264</v>
      </c>
      <c r="M996" s="1">
        <v>15</v>
      </c>
      <c r="N996" s="1" t="s">
        <v>4365</v>
      </c>
    </row>
    <row r="997" spans="1:14" x14ac:dyDescent="0.15">
      <c r="A997" s="1">
        <v>171</v>
      </c>
      <c r="B997" s="1" t="s">
        <v>2595</v>
      </c>
      <c r="C997" s="1" t="s">
        <v>2596</v>
      </c>
      <c r="D997" s="1" t="s">
        <v>2595</v>
      </c>
      <c r="E997" s="1" t="s">
        <v>2596</v>
      </c>
      <c r="F997" s="1" t="s">
        <v>2595</v>
      </c>
      <c r="G997" s="1" t="s">
        <v>2597</v>
      </c>
      <c r="H997" s="1" t="s">
        <v>2595</v>
      </c>
      <c r="I997" s="1" t="s">
        <v>8974</v>
      </c>
      <c r="J997" s="1" t="s">
        <v>4430</v>
      </c>
      <c r="K997" s="1">
        <v>12</v>
      </c>
      <c r="L997" s="1" t="s">
        <v>4264</v>
      </c>
      <c r="M997" s="1">
        <v>15</v>
      </c>
      <c r="N997" s="1" t="s">
        <v>4365</v>
      </c>
    </row>
    <row r="998" spans="1:14" x14ac:dyDescent="0.15">
      <c r="A998" s="1">
        <v>171</v>
      </c>
      <c r="B998" s="1" t="s">
        <v>2595</v>
      </c>
      <c r="C998" s="1" t="s">
        <v>2596</v>
      </c>
      <c r="D998" s="1" t="s">
        <v>2595</v>
      </c>
      <c r="E998" s="1" t="s">
        <v>2596</v>
      </c>
      <c r="F998" s="1" t="s">
        <v>2595</v>
      </c>
      <c r="G998" s="1" t="s">
        <v>2597</v>
      </c>
      <c r="H998" s="1" t="s">
        <v>2595</v>
      </c>
      <c r="I998" s="1" t="s">
        <v>8977</v>
      </c>
      <c r="J998" s="1" t="s">
        <v>4431</v>
      </c>
      <c r="K998" s="1">
        <v>12</v>
      </c>
      <c r="L998" s="1" t="s">
        <v>4264</v>
      </c>
      <c r="M998" s="1">
        <v>15</v>
      </c>
      <c r="N998" s="1" t="s">
        <v>4365</v>
      </c>
    </row>
    <row r="999" spans="1:14" x14ac:dyDescent="0.15">
      <c r="A999" s="1">
        <v>172</v>
      </c>
      <c r="B999" s="1" t="s">
        <v>2598</v>
      </c>
      <c r="C999" s="1" t="s">
        <v>2599</v>
      </c>
      <c r="D999" s="1" t="s">
        <v>2598</v>
      </c>
      <c r="E999" s="1" t="s">
        <v>2599</v>
      </c>
      <c r="F999" s="1" t="s">
        <v>2598</v>
      </c>
      <c r="G999" s="1" t="s">
        <v>2600</v>
      </c>
      <c r="H999" s="1" t="s">
        <v>2598</v>
      </c>
      <c r="I999" s="1" t="s">
        <v>11879</v>
      </c>
      <c r="J999" s="1" t="s">
        <v>4278</v>
      </c>
      <c r="K999" s="1">
        <v>12</v>
      </c>
      <c r="L999" s="1" t="s">
        <v>4264</v>
      </c>
      <c r="M999" s="1">
        <v>15</v>
      </c>
      <c r="N999" s="1" t="s">
        <v>4365</v>
      </c>
    </row>
    <row r="1000" spans="1:14" x14ac:dyDescent="0.15">
      <c r="A1000" s="1">
        <v>172</v>
      </c>
      <c r="B1000" s="1" t="s">
        <v>2598</v>
      </c>
      <c r="C1000" s="1" t="s">
        <v>2601</v>
      </c>
      <c r="D1000" s="1" t="s">
        <v>2602</v>
      </c>
      <c r="E1000" s="1" t="s">
        <v>2601</v>
      </c>
      <c r="F1000" s="1" t="s">
        <v>2602</v>
      </c>
      <c r="G1000" s="1" t="s">
        <v>2603</v>
      </c>
      <c r="H1000" s="1" t="s">
        <v>2602</v>
      </c>
      <c r="I1000" s="1" t="s">
        <v>14970</v>
      </c>
      <c r="J1000" s="1" t="s">
        <v>14971</v>
      </c>
      <c r="K1000" s="1">
        <v>12</v>
      </c>
      <c r="L1000" s="1" t="s">
        <v>4264</v>
      </c>
      <c r="M1000" s="1">
        <v>15</v>
      </c>
      <c r="N1000" s="1" t="s">
        <v>4365</v>
      </c>
    </row>
    <row r="1001" spans="1:14" x14ac:dyDescent="0.15">
      <c r="A1001" s="1">
        <v>172</v>
      </c>
      <c r="B1001" s="1" t="s">
        <v>2598</v>
      </c>
      <c r="C1001" s="1" t="s">
        <v>2601</v>
      </c>
      <c r="D1001" s="1" t="s">
        <v>2602</v>
      </c>
      <c r="E1001" s="1" t="s">
        <v>2601</v>
      </c>
      <c r="F1001" s="1" t="s">
        <v>2602</v>
      </c>
      <c r="G1001" s="1" t="s">
        <v>2603</v>
      </c>
      <c r="H1001" s="1" t="s">
        <v>2602</v>
      </c>
      <c r="I1001" s="1" t="s">
        <v>14974</v>
      </c>
      <c r="J1001" s="1" t="s">
        <v>14975</v>
      </c>
      <c r="K1001" s="1">
        <v>12</v>
      </c>
      <c r="L1001" s="1" t="s">
        <v>4264</v>
      </c>
      <c r="M1001" s="1">
        <v>15</v>
      </c>
      <c r="N1001" s="1" t="s">
        <v>4365</v>
      </c>
    </row>
    <row r="1002" spans="1:14" x14ac:dyDescent="0.15">
      <c r="A1002" s="1">
        <v>172</v>
      </c>
      <c r="B1002" s="1" t="s">
        <v>2598</v>
      </c>
      <c r="C1002" s="1" t="s">
        <v>2601</v>
      </c>
      <c r="D1002" s="1" t="s">
        <v>2602</v>
      </c>
      <c r="E1002" s="1" t="s">
        <v>2601</v>
      </c>
      <c r="F1002" s="1" t="s">
        <v>2602</v>
      </c>
      <c r="G1002" s="1" t="s">
        <v>2603</v>
      </c>
      <c r="H1002" s="1" t="s">
        <v>2602</v>
      </c>
      <c r="I1002" s="1" t="s">
        <v>14978</v>
      </c>
      <c r="J1002" s="1" t="s">
        <v>14979</v>
      </c>
      <c r="K1002" s="1">
        <v>12</v>
      </c>
      <c r="L1002" s="1" t="s">
        <v>4264</v>
      </c>
      <c r="M1002" s="1">
        <v>15</v>
      </c>
      <c r="N1002" s="1" t="s">
        <v>4365</v>
      </c>
    </row>
    <row r="1003" spans="1:14" x14ac:dyDescent="0.15">
      <c r="A1003" s="1">
        <v>172</v>
      </c>
      <c r="B1003" s="1" t="s">
        <v>2598</v>
      </c>
      <c r="C1003" s="1" t="s">
        <v>2601</v>
      </c>
      <c r="D1003" s="1" t="s">
        <v>2602</v>
      </c>
      <c r="E1003" s="1" t="s">
        <v>2601</v>
      </c>
      <c r="F1003" s="1" t="s">
        <v>2602</v>
      </c>
      <c r="G1003" s="1" t="s">
        <v>2603</v>
      </c>
      <c r="H1003" s="1" t="s">
        <v>2602</v>
      </c>
      <c r="I1003" s="1" t="s">
        <v>14982</v>
      </c>
      <c r="J1003" s="1" t="s">
        <v>14983</v>
      </c>
      <c r="K1003" s="1">
        <v>12</v>
      </c>
      <c r="L1003" s="1" t="s">
        <v>4264</v>
      </c>
      <c r="M1003" s="1">
        <v>15</v>
      </c>
      <c r="N1003" s="1" t="s">
        <v>4365</v>
      </c>
    </row>
    <row r="1004" spans="1:14" x14ac:dyDescent="0.15">
      <c r="A1004" s="1">
        <v>172</v>
      </c>
      <c r="B1004" s="1" t="s">
        <v>2598</v>
      </c>
      <c r="C1004" s="1" t="s">
        <v>2601</v>
      </c>
      <c r="D1004" s="1" t="s">
        <v>2602</v>
      </c>
      <c r="E1004" s="1" t="s">
        <v>2601</v>
      </c>
      <c r="F1004" s="1" t="s">
        <v>2602</v>
      </c>
      <c r="G1004" s="1" t="s">
        <v>2603</v>
      </c>
      <c r="H1004" s="1" t="s">
        <v>2602</v>
      </c>
      <c r="I1004" s="1" t="s">
        <v>14990</v>
      </c>
      <c r="J1004" s="1" t="s">
        <v>14991</v>
      </c>
      <c r="K1004" s="1">
        <v>12</v>
      </c>
      <c r="L1004" s="1" t="s">
        <v>4264</v>
      </c>
      <c r="M1004" s="1">
        <v>15</v>
      </c>
      <c r="N1004" s="1" t="s">
        <v>4365</v>
      </c>
    </row>
    <row r="1005" spans="1:14" x14ac:dyDescent="0.15">
      <c r="A1005" s="1">
        <v>172</v>
      </c>
      <c r="B1005" s="1" t="s">
        <v>2598</v>
      </c>
      <c r="C1005" s="1" t="s">
        <v>2601</v>
      </c>
      <c r="D1005" s="1" t="s">
        <v>2602</v>
      </c>
      <c r="E1005" s="1" t="s">
        <v>2601</v>
      </c>
      <c r="F1005" s="1" t="s">
        <v>2602</v>
      </c>
      <c r="G1005" s="1" t="s">
        <v>2603</v>
      </c>
      <c r="H1005" s="1" t="s">
        <v>2602</v>
      </c>
      <c r="I1005" s="1" t="s">
        <v>14994</v>
      </c>
      <c r="J1005" s="1" t="s">
        <v>14995</v>
      </c>
      <c r="K1005" s="1">
        <v>12</v>
      </c>
      <c r="L1005" s="1" t="s">
        <v>4264</v>
      </c>
      <c r="M1005" s="1">
        <v>15</v>
      </c>
      <c r="N1005" s="1" t="s">
        <v>4365</v>
      </c>
    </row>
    <row r="1006" spans="1:14" x14ac:dyDescent="0.15">
      <c r="A1006" s="1">
        <v>172</v>
      </c>
      <c r="B1006" s="1" t="s">
        <v>2598</v>
      </c>
      <c r="C1006" s="1" t="s">
        <v>2601</v>
      </c>
      <c r="D1006" s="1" t="s">
        <v>2602</v>
      </c>
      <c r="E1006" s="1" t="s">
        <v>2601</v>
      </c>
      <c r="F1006" s="1" t="s">
        <v>2602</v>
      </c>
      <c r="G1006" s="1" t="s">
        <v>2603</v>
      </c>
      <c r="H1006" s="1" t="s">
        <v>2602</v>
      </c>
      <c r="I1006" s="1" t="s">
        <v>8993</v>
      </c>
      <c r="J1006" s="1" t="s">
        <v>4432</v>
      </c>
      <c r="K1006" s="1">
        <v>12</v>
      </c>
      <c r="L1006" s="1" t="s">
        <v>4264</v>
      </c>
      <c r="M1006" s="1">
        <v>15</v>
      </c>
      <c r="N1006" s="1" t="s">
        <v>4365</v>
      </c>
    </row>
    <row r="1007" spans="1:14" x14ac:dyDescent="0.15">
      <c r="A1007" s="1">
        <v>172</v>
      </c>
      <c r="B1007" s="1" t="s">
        <v>2598</v>
      </c>
      <c r="C1007" s="1" t="s">
        <v>2601</v>
      </c>
      <c r="D1007" s="1" t="s">
        <v>2602</v>
      </c>
      <c r="E1007" s="1" t="s">
        <v>2601</v>
      </c>
      <c r="F1007" s="1" t="s">
        <v>2602</v>
      </c>
      <c r="G1007" s="1" t="s">
        <v>2603</v>
      </c>
      <c r="H1007" s="1" t="s">
        <v>2602</v>
      </c>
      <c r="I1007" s="1" t="s">
        <v>14998</v>
      </c>
      <c r="J1007" s="1" t="s">
        <v>14999</v>
      </c>
      <c r="K1007" s="1">
        <v>12</v>
      </c>
      <c r="L1007" s="1" t="s">
        <v>4264</v>
      </c>
      <c r="M1007" s="1">
        <v>15</v>
      </c>
      <c r="N1007" s="1" t="s">
        <v>4365</v>
      </c>
    </row>
    <row r="1008" spans="1:14" x14ac:dyDescent="0.15">
      <c r="A1008" s="1">
        <v>172</v>
      </c>
      <c r="B1008" s="1" t="s">
        <v>2598</v>
      </c>
      <c r="C1008" s="1" t="s">
        <v>2604</v>
      </c>
      <c r="D1008" s="1" t="s">
        <v>2605</v>
      </c>
      <c r="E1008" s="1" t="s">
        <v>2604</v>
      </c>
      <c r="F1008" s="1" t="s">
        <v>2605</v>
      </c>
      <c r="G1008" s="1" t="s">
        <v>2606</v>
      </c>
      <c r="H1008" s="1" t="s">
        <v>2605</v>
      </c>
      <c r="I1008" s="1" t="s">
        <v>16321</v>
      </c>
      <c r="J1008" s="1" t="s">
        <v>16318</v>
      </c>
      <c r="K1008" s="1">
        <v>12</v>
      </c>
      <c r="L1008" s="1" t="s">
        <v>4264</v>
      </c>
      <c r="M1008" s="1">
        <v>15</v>
      </c>
      <c r="N1008" s="1" t="s">
        <v>4365</v>
      </c>
    </row>
    <row r="1009" spans="1:14" x14ac:dyDescent="0.15">
      <c r="A1009" s="1">
        <v>174</v>
      </c>
      <c r="B1009" s="1" t="s">
        <v>2607</v>
      </c>
      <c r="C1009" s="1" t="s">
        <v>2608</v>
      </c>
      <c r="D1009" s="1" t="s">
        <v>2607</v>
      </c>
      <c r="E1009" s="1" t="s">
        <v>2608</v>
      </c>
      <c r="F1009" s="1" t="s">
        <v>2607</v>
      </c>
      <c r="G1009" s="1" t="s">
        <v>2609</v>
      </c>
      <c r="H1009" s="1" t="s">
        <v>2607</v>
      </c>
      <c r="I1009" s="1" t="s">
        <v>11879</v>
      </c>
      <c r="J1009" s="1" t="s">
        <v>4278</v>
      </c>
      <c r="K1009" s="1">
        <v>12</v>
      </c>
      <c r="L1009" s="1" t="s">
        <v>4264</v>
      </c>
      <c r="M1009" s="1">
        <v>15</v>
      </c>
      <c r="N1009" s="1" t="s">
        <v>4365</v>
      </c>
    </row>
    <row r="1010" spans="1:14" x14ac:dyDescent="0.15">
      <c r="A1010" s="1">
        <v>174</v>
      </c>
      <c r="B1010" s="1" t="s">
        <v>2607</v>
      </c>
      <c r="C1010" s="1" t="s">
        <v>2610</v>
      </c>
      <c r="D1010" s="1" t="s">
        <v>2611</v>
      </c>
      <c r="E1010" s="1" t="s">
        <v>2610</v>
      </c>
      <c r="F1010" s="1" t="s">
        <v>2611</v>
      </c>
      <c r="G1010" s="1" t="s">
        <v>2612</v>
      </c>
      <c r="H1010" s="1" t="s">
        <v>2611</v>
      </c>
      <c r="I1010" s="1" t="s">
        <v>12618</v>
      </c>
      <c r="J1010" s="1" t="s">
        <v>2613</v>
      </c>
      <c r="K1010" s="1">
        <v>12</v>
      </c>
      <c r="L1010" s="1" t="s">
        <v>4264</v>
      </c>
      <c r="M1010" s="1">
        <v>15</v>
      </c>
      <c r="N1010" s="1" t="s">
        <v>4365</v>
      </c>
    </row>
    <row r="1011" spans="1:14" x14ac:dyDescent="0.15">
      <c r="A1011" s="1">
        <v>174</v>
      </c>
      <c r="B1011" s="1" t="s">
        <v>2607</v>
      </c>
      <c r="C1011" s="1" t="s">
        <v>2610</v>
      </c>
      <c r="D1011" s="1" t="s">
        <v>2611</v>
      </c>
      <c r="E1011" s="1" t="s">
        <v>2610</v>
      </c>
      <c r="F1011" s="1" t="s">
        <v>2611</v>
      </c>
      <c r="G1011" s="1" t="s">
        <v>2612</v>
      </c>
      <c r="H1011" s="1" t="s">
        <v>2611</v>
      </c>
      <c r="I1011" s="1" t="s">
        <v>11285</v>
      </c>
      <c r="J1011" s="1" t="s">
        <v>2614</v>
      </c>
      <c r="K1011" s="1">
        <v>12</v>
      </c>
      <c r="L1011" s="1" t="s">
        <v>4264</v>
      </c>
      <c r="M1011" s="1">
        <v>15</v>
      </c>
      <c r="N1011" s="1" t="s">
        <v>4365</v>
      </c>
    </row>
    <row r="1012" spans="1:14" x14ac:dyDescent="0.15">
      <c r="A1012" s="1">
        <v>174</v>
      </c>
      <c r="B1012" s="1" t="s">
        <v>2607</v>
      </c>
      <c r="C1012" s="1" t="s">
        <v>2615</v>
      </c>
      <c r="D1012" s="1" t="s">
        <v>2616</v>
      </c>
      <c r="E1012" s="1" t="s">
        <v>2615</v>
      </c>
      <c r="F1012" s="1" t="s">
        <v>2616</v>
      </c>
      <c r="G1012" s="1" t="s">
        <v>2617</v>
      </c>
      <c r="H1012" s="1" t="s">
        <v>2616</v>
      </c>
      <c r="I1012" s="1" t="s">
        <v>15006</v>
      </c>
      <c r="J1012" s="1" t="s">
        <v>6195</v>
      </c>
      <c r="K1012" s="1">
        <v>12</v>
      </c>
      <c r="L1012" s="1" t="s">
        <v>4264</v>
      </c>
      <c r="M1012" s="1">
        <v>15</v>
      </c>
      <c r="N1012" s="1" t="s">
        <v>4365</v>
      </c>
    </row>
    <row r="1013" spans="1:14" x14ac:dyDescent="0.15">
      <c r="A1013" s="1">
        <v>174</v>
      </c>
      <c r="B1013" s="1" t="s">
        <v>2607</v>
      </c>
      <c r="C1013" s="1" t="s">
        <v>2615</v>
      </c>
      <c r="D1013" s="1" t="s">
        <v>2616</v>
      </c>
      <c r="E1013" s="1" t="s">
        <v>2615</v>
      </c>
      <c r="F1013" s="1" t="s">
        <v>2616</v>
      </c>
      <c r="G1013" s="1" t="s">
        <v>2617</v>
      </c>
      <c r="H1013" s="1" t="s">
        <v>2616</v>
      </c>
      <c r="I1013" s="1" t="s">
        <v>15010</v>
      </c>
      <c r="J1013" s="1" t="s">
        <v>15011</v>
      </c>
      <c r="K1013" s="1">
        <v>12</v>
      </c>
      <c r="L1013" s="1" t="s">
        <v>4264</v>
      </c>
      <c r="M1013" s="1">
        <v>15</v>
      </c>
      <c r="N1013" s="1" t="s">
        <v>4365</v>
      </c>
    </row>
    <row r="1014" spans="1:14" x14ac:dyDescent="0.15">
      <c r="A1014" s="1">
        <v>174</v>
      </c>
      <c r="B1014" s="1" t="s">
        <v>2607</v>
      </c>
      <c r="C1014" s="1" t="s">
        <v>2615</v>
      </c>
      <c r="D1014" s="1" t="s">
        <v>2616</v>
      </c>
      <c r="E1014" s="1" t="s">
        <v>2615</v>
      </c>
      <c r="F1014" s="1" t="s">
        <v>2616</v>
      </c>
      <c r="G1014" s="1" t="s">
        <v>2617</v>
      </c>
      <c r="H1014" s="1" t="s">
        <v>2616</v>
      </c>
      <c r="I1014" s="1" t="s">
        <v>15014</v>
      </c>
      <c r="J1014" s="1" t="s">
        <v>15015</v>
      </c>
      <c r="K1014" s="1">
        <v>12</v>
      </c>
      <c r="L1014" s="1" t="s">
        <v>4264</v>
      </c>
      <c r="M1014" s="1">
        <v>15</v>
      </c>
      <c r="N1014" s="1" t="s">
        <v>4365</v>
      </c>
    </row>
    <row r="1015" spans="1:14" x14ac:dyDescent="0.15">
      <c r="A1015" s="1">
        <v>174</v>
      </c>
      <c r="B1015" s="1" t="s">
        <v>2607</v>
      </c>
      <c r="C1015" s="1" t="s">
        <v>2615</v>
      </c>
      <c r="D1015" s="1" t="s">
        <v>2616</v>
      </c>
      <c r="E1015" s="1" t="s">
        <v>2615</v>
      </c>
      <c r="F1015" s="1" t="s">
        <v>2616</v>
      </c>
      <c r="G1015" s="1" t="s">
        <v>2617</v>
      </c>
      <c r="H1015" s="1" t="s">
        <v>2616</v>
      </c>
      <c r="I1015" s="1" t="s">
        <v>15018</v>
      </c>
      <c r="J1015" s="1" t="s">
        <v>15019</v>
      </c>
      <c r="K1015" s="1">
        <v>12</v>
      </c>
      <c r="L1015" s="1" t="s">
        <v>4264</v>
      </c>
      <c r="M1015" s="1">
        <v>15</v>
      </c>
      <c r="N1015" s="1" t="s">
        <v>4365</v>
      </c>
    </row>
    <row r="1016" spans="1:14" x14ac:dyDescent="0.15">
      <c r="A1016" s="1">
        <v>174</v>
      </c>
      <c r="B1016" s="1" t="s">
        <v>2607</v>
      </c>
      <c r="C1016" s="1" t="s">
        <v>2615</v>
      </c>
      <c r="D1016" s="1" t="s">
        <v>2616</v>
      </c>
      <c r="E1016" s="1" t="s">
        <v>2615</v>
      </c>
      <c r="F1016" s="1" t="s">
        <v>2616</v>
      </c>
      <c r="G1016" s="1" t="s">
        <v>2617</v>
      </c>
      <c r="H1016" s="1" t="s">
        <v>2616</v>
      </c>
      <c r="I1016" s="1" t="s">
        <v>9009</v>
      </c>
      <c r="J1016" s="1" t="s">
        <v>4434</v>
      </c>
      <c r="K1016" s="1">
        <v>12</v>
      </c>
      <c r="L1016" s="1" t="s">
        <v>4264</v>
      </c>
      <c r="M1016" s="1">
        <v>15</v>
      </c>
      <c r="N1016" s="1" t="s">
        <v>4365</v>
      </c>
    </row>
    <row r="1017" spans="1:14" x14ac:dyDescent="0.15">
      <c r="A1017" s="1">
        <v>174</v>
      </c>
      <c r="B1017" s="1" t="s">
        <v>2607</v>
      </c>
      <c r="C1017" s="1" t="s">
        <v>2615</v>
      </c>
      <c r="D1017" s="1" t="s">
        <v>2616</v>
      </c>
      <c r="E1017" s="1" t="s">
        <v>2615</v>
      </c>
      <c r="F1017" s="1" t="s">
        <v>2616</v>
      </c>
      <c r="G1017" s="1" t="s">
        <v>2617</v>
      </c>
      <c r="H1017" s="1" t="s">
        <v>2616</v>
      </c>
      <c r="I1017" s="1" t="s">
        <v>10408</v>
      </c>
      <c r="J1017" s="1" t="s">
        <v>4435</v>
      </c>
      <c r="K1017" s="1">
        <v>12</v>
      </c>
      <c r="L1017" s="1" t="s">
        <v>4264</v>
      </c>
      <c r="M1017" s="1">
        <v>15</v>
      </c>
      <c r="N1017" s="1" t="s">
        <v>4365</v>
      </c>
    </row>
    <row r="1018" spans="1:14" x14ac:dyDescent="0.15">
      <c r="A1018" s="1">
        <v>174</v>
      </c>
      <c r="B1018" s="1" t="s">
        <v>2607</v>
      </c>
      <c r="C1018" s="1" t="s">
        <v>2615</v>
      </c>
      <c r="D1018" s="1" t="s">
        <v>2616</v>
      </c>
      <c r="E1018" s="1" t="s">
        <v>2615</v>
      </c>
      <c r="F1018" s="1" t="s">
        <v>2616</v>
      </c>
      <c r="G1018" s="1" t="s">
        <v>2617</v>
      </c>
      <c r="H1018" s="1" t="s">
        <v>2616</v>
      </c>
      <c r="I1018" s="1" t="s">
        <v>15022</v>
      </c>
      <c r="J1018" s="1" t="s">
        <v>4436</v>
      </c>
      <c r="K1018" s="1">
        <v>12</v>
      </c>
      <c r="L1018" s="1" t="s">
        <v>4264</v>
      </c>
      <c r="M1018" s="1">
        <v>15</v>
      </c>
      <c r="N1018" s="1" t="s">
        <v>4365</v>
      </c>
    </row>
    <row r="1019" spans="1:14" x14ac:dyDescent="0.15">
      <c r="A1019" s="1">
        <v>174</v>
      </c>
      <c r="B1019" s="1" t="s">
        <v>2607</v>
      </c>
      <c r="C1019" s="1" t="s">
        <v>2615</v>
      </c>
      <c r="D1019" s="1" t="s">
        <v>2616</v>
      </c>
      <c r="E1019" s="1" t="s">
        <v>2615</v>
      </c>
      <c r="F1019" s="1" t="s">
        <v>2616</v>
      </c>
      <c r="G1019" s="1" t="s">
        <v>2618</v>
      </c>
      <c r="H1019" s="1" t="s">
        <v>2619</v>
      </c>
      <c r="I1019" s="1" t="s">
        <v>15006</v>
      </c>
      <c r="J1019" s="1" t="s">
        <v>6195</v>
      </c>
      <c r="K1019" s="1">
        <v>12</v>
      </c>
      <c r="L1019" s="1" t="s">
        <v>4264</v>
      </c>
      <c r="M1019" s="1">
        <v>15</v>
      </c>
      <c r="N1019" s="1" t="s">
        <v>4365</v>
      </c>
    </row>
    <row r="1020" spans="1:14" x14ac:dyDescent="0.15">
      <c r="A1020" s="1">
        <v>174</v>
      </c>
      <c r="B1020" s="1" t="s">
        <v>2607</v>
      </c>
      <c r="C1020" s="1" t="s">
        <v>2615</v>
      </c>
      <c r="D1020" s="1" t="s">
        <v>2616</v>
      </c>
      <c r="E1020" s="1" t="s">
        <v>2615</v>
      </c>
      <c r="F1020" s="1" t="s">
        <v>2616</v>
      </c>
      <c r="G1020" s="1" t="s">
        <v>2618</v>
      </c>
      <c r="H1020" s="1" t="s">
        <v>2619</v>
      </c>
      <c r="I1020" s="1" t="s">
        <v>15010</v>
      </c>
      <c r="J1020" s="1" t="s">
        <v>15011</v>
      </c>
      <c r="K1020" s="1">
        <v>12</v>
      </c>
      <c r="L1020" s="1" t="s">
        <v>4264</v>
      </c>
      <c r="M1020" s="1">
        <v>15</v>
      </c>
      <c r="N1020" s="1" t="s">
        <v>4365</v>
      </c>
    </row>
    <row r="1021" spans="1:14" x14ac:dyDescent="0.15">
      <c r="A1021" s="1">
        <v>174</v>
      </c>
      <c r="B1021" s="1" t="s">
        <v>2607</v>
      </c>
      <c r="C1021" s="1" t="s">
        <v>2615</v>
      </c>
      <c r="D1021" s="1" t="s">
        <v>2616</v>
      </c>
      <c r="E1021" s="1" t="s">
        <v>2615</v>
      </c>
      <c r="F1021" s="1" t="s">
        <v>2616</v>
      </c>
      <c r="G1021" s="1" t="s">
        <v>2618</v>
      </c>
      <c r="H1021" s="1" t="s">
        <v>2619</v>
      </c>
      <c r="I1021" s="1" t="s">
        <v>15014</v>
      </c>
      <c r="J1021" s="1" t="s">
        <v>15015</v>
      </c>
      <c r="K1021" s="1">
        <v>12</v>
      </c>
      <c r="L1021" s="1" t="s">
        <v>4264</v>
      </c>
      <c r="M1021" s="1">
        <v>15</v>
      </c>
      <c r="N1021" s="1" t="s">
        <v>4365</v>
      </c>
    </row>
    <row r="1022" spans="1:14" x14ac:dyDescent="0.15">
      <c r="A1022" s="1">
        <v>174</v>
      </c>
      <c r="B1022" s="1" t="s">
        <v>2607</v>
      </c>
      <c r="C1022" s="1" t="s">
        <v>2615</v>
      </c>
      <c r="D1022" s="1" t="s">
        <v>2616</v>
      </c>
      <c r="E1022" s="1" t="s">
        <v>2615</v>
      </c>
      <c r="F1022" s="1" t="s">
        <v>2616</v>
      </c>
      <c r="G1022" s="1" t="s">
        <v>2618</v>
      </c>
      <c r="H1022" s="1" t="s">
        <v>2619</v>
      </c>
      <c r="I1022" s="1" t="s">
        <v>15018</v>
      </c>
      <c r="J1022" s="1" t="s">
        <v>15019</v>
      </c>
      <c r="K1022" s="1">
        <v>12</v>
      </c>
      <c r="L1022" s="1" t="s">
        <v>4264</v>
      </c>
      <c r="M1022" s="1">
        <v>15</v>
      </c>
      <c r="N1022" s="1" t="s">
        <v>4365</v>
      </c>
    </row>
    <row r="1023" spans="1:14" x14ac:dyDescent="0.15">
      <c r="A1023" s="1">
        <v>174</v>
      </c>
      <c r="B1023" s="1" t="s">
        <v>2607</v>
      </c>
      <c r="C1023" s="1" t="s">
        <v>2615</v>
      </c>
      <c r="D1023" s="1" t="s">
        <v>2616</v>
      </c>
      <c r="E1023" s="1" t="s">
        <v>2615</v>
      </c>
      <c r="F1023" s="1" t="s">
        <v>2616</v>
      </c>
      <c r="G1023" s="1" t="s">
        <v>2618</v>
      </c>
      <c r="H1023" s="1" t="s">
        <v>2619</v>
      </c>
      <c r="I1023" s="1" t="s">
        <v>9009</v>
      </c>
      <c r="J1023" s="1" t="s">
        <v>4434</v>
      </c>
      <c r="K1023" s="1">
        <v>12</v>
      </c>
      <c r="L1023" s="1" t="s">
        <v>4264</v>
      </c>
      <c r="M1023" s="1">
        <v>15</v>
      </c>
      <c r="N1023" s="1" t="s">
        <v>4365</v>
      </c>
    </row>
    <row r="1024" spans="1:14" x14ac:dyDescent="0.15">
      <c r="A1024" s="1">
        <v>174</v>
      </c>
      <c r="B1024" s="1" t="s">
        <v>2607</v>
      </c>
      <c r="C1024" s="1" t="s">
        <v>2615</v>
      </c>
      <c r="D1024" s="1" t="s">
        <v>2616</v>
      </c>
      <c r="E1024" s="1" t="s">
        <v>2615</v>
      </c>
      <c r="F1024" s="1" t="s">
        <v>2616</v>
      </c>
      <c r="G1024" s="1" t="s">
        <v>2618</v>
      </c>
      <c r="H1024" s="1" t="s">
        <v>2619</v>
      </c>
      <c r="I1024" s="1" t="s">
        <v>10408</v>
      </c>
      <c r="J1024" s="1" t="s">
        <v>4435</v>
      </c>
      <c r="K1024" s="1">
        <v>12</v>
      </c>
      <c r="L1024" s="1" t="s">
        <v>4264</v>
      </c>
      <c r="M1024" s="1">
        <v>15</v>
      </c>
      <c r="N1024" s="1" t="s">
        <v>4365</v>
      </c>
    </row>
    <row r="1025" spans="1:14" x14ac:dyDescent="0.15">
      <c r="A1025" s="1">
        <v>174</v>
      </c>
      <c r="B1025" s="1" t="s">
        <v>2607</v>
      </c>
      <c r="C1025" s="1" t="s">
        <v>2615</v>
      </c>
      <c r="D1025" s="1" t="s">
        <v>2616</v>
      </c>
      <c r="E1025" s="1" t="s">
        <v>2615</v>
      </c>
      <c r="F1025" s="1" t="s">
        <v>2616</v>
      </c>
      <c r="G1025" s="1" t="s">
        <v>2618</v>
      </c>
      <c r="H1025" s="1" t="s">
        <v>2619</v>
      </c>
      <c r="I1025" s="1" t="s">
        <v>15022</v>
      </c>
      <c r="J1025" s="1" t="s">
        <v>4436</v>
      </c>
      <c r="K1025" s="1">
        <v>12</v>
      </c>
      <c r="L1025" s="1" t="s">
        <v>4264</v>
      </c>
      <c r="M1025" s="1">
        <v>15</v>
      </c>
      <c r="N1025" s="1" t="s">
        <v>4365</v>
      </c>
    </row>
    <row r="1026" spans="1:14" x14ac:dyDescent="0.15">
      <c r="A1026" s="1">
        <v>174</v>
      </c>
      <c r="B1026" s="1" t="s">
        <v>2607</v>
      </c>
      <c r="C1026" s="1" t="s">
        <v>2620</v>
      </c>
      <c r="D1026" s="1" t="s">
        <v>2621</v>
      </c>
      <c r="E1026" s="1" t="s">
        <v>2620</v>
      </c>
      <c r="F1026" s="1" t="s">
        <v>2621</v>
      </c>
      <c r="G1026" s="1" t="s">
        <v>2622</v>
      </c>
      <c r="H1026" s="1" t="s">
        <v>2621</v>
      </c>
      <c r="I1026" s="1" t="s">
        <v>15006</v>
      </c>
      <c r="J1026" s="1" t="s">
        <v>6195</v>
      </c>
      <c r="K1026" s="1">
        <v>12</v>
      </c>
      <c r="L1026" s="1" t="s">
        <v>4264</v>
      </c>
      <c r="M1026" s="1">
        <v>15</v>
      </c>
      <c r="N1026" s="1" t="s">
        <v>4365</v>
      </c>
    </row>
    <row r="1027" spans="1:14" x14ac:dyDescent="0.15">
      <c r="A1027" s="1">
        <v>174</v>
      </c>
      <c r="B1027" s="1" t="s">
        <v>2607</v>
      </c>
      <c r="C1027" s="1" t="s">
        <v>2620</v>
      </c>
      <c r="D1027" s="1" t="s">
        <v>2621</v>
      </c>
      <c r="E1027" s="1" t="s">
        <v>2620</v>
      </c>
      <c r="F1027" s="1" t="s">
        <v>2621</v>
      </c>
      <c r="G1027" s="1" t="s">
        <v>2622</v>
      </c>
      <c r="H1027" s="1" t="s">
        <v>2621</v>
      </c>
      <c r="I1027" s="1" t="s">
        <v>11258</v>
      </c>
      <c r="J1027" s="1" t="s">
        <v>4433</v>
      </c>
      <c r="K1027" s="1">
        <v>12</v>
      </c>
      <c r="L1027" s="1" t="s">
        <v>4264</v>
      </c>
      <c r="M1027" s="1">
        <v>15</v>
      </c>
      <c r="N1027" s="1" t="s">
        <v>4365</v>
      </c>
    </row>
    <row r="1028" spans="1:14" x14ac:dyDescent="0.15">
      <c r="A1028" s="1">
        <v>174</v>
      </c>
      <c r="B1028" s="1" t="s">
        <v>2607</v>
      </c>
      <c r="C1028" s="1" t="s">
        <v>2620</v>
      </c>
      <c r="D1028" s="1" t="s">
        <v>2621</v>
      </c>
      <c r="E1028" s="1" t="s">
        <v>2620</v>
      </c>
      <c r="F1028" s="1" t="s">
        <v>2621</v>
      </c>
      <c r="G1028" s="1" t="s">
        <v>2622</v>
      </c>
      <c r="H1028" s="1" t="s">
        <v>2621</v>
      </c>
      <c r="I1028" s="1" t="s">
        <v>10408</v>
      </c>
      <c r="J1028" s="1" t="s">
        <v>4435</v>
      </c>
      <c r="K1028" s="1">
        <v>12</v>
      </c>
      <c r="L1028" s="1" t="s">
        <v>4264</v>
      </c>
      <c r="M1028" s="1">
        <v>15</v>
      </c>
      <c r="N1028" s="1" t="s">
        <v>4365</v>
      </c>
    </row>
    <row r="1029" spans="1:14" x14ac:dyDescent="0.15">
      <c r="A1029" s="1">
        <v>176</v>
      </c>
      <c r="B1029" s="1" t="s">
        <v>2623</v>
      </c>
      <c r="C1029" s="1" t="s">
        <v>2624</v>
      </c>
      <c r="D1029" s="1" t="s">
        <v>2623</v>
      </c>
      <c r="E1029" s="1" t="s">
        <v>2624</v>
      </c>
      <c r="F1029" s="1" t="s">
        <v>2623</v>
      </c>
      <c r="G1029" s="1" t="s">
        <v>2625</v>
      </c>
      <c r="H1029" s="1" t="s">
        <v>2623</v>
      </c>
      <c r="I1029" s="1" t="s">
        <v>9257</v>
      </c>
      <c r="J1029" s="1" t="s">
        <v>4423</v>
      </c>
      <c r="K1029" s="1">
        <v>12</v>
      </c>
      <c r="L1029" s="1" t="s">
        <v>4264</v>
      </c>
      <c r="M1029" s="1">
        <v>15</v>
      </c>
      <c r="N1029" s="1" t="s">
        <v>4365</v>
      </c>
    </row>
    <row r="1030" spans="1:14" x14ac:dyDescent="0.15">
      <c r="A1030" s="1">
        <v>176</v>
      </c>
      <c r="B1030" s="1" t="s">
        <v>2623</v>
      </c>
      <c r="C1030" s="1" t="s">
        <v>2624</v>
      </c>
      <c r="D1030" s="1" t="s">
        <v>2623</v>
      </c>
      <c r="E1030" s="1" t="s">
        <v>2624</v>
      </c>
      <c r="F1030" s="1" t="s">
        <v>2623</v>
      </c>
      <c r="G1030" s="1" t="s">
        <v>2625</v>
      </c>
      <c r="H1030" s="1" t="s">
        <v>2623</v>
      </c>
      <c r="I1030" s="1" t="s">
        <v>15090</v>
      </c>
      <c r="J1030" s="1" t="s">
        <v>15087</v>
      </c>
      <c r="K1030" s="1">
        <v>12</v>
      </c>
      <c r="L1030" s="1" t="s">
        <v>4264</v>
      </c>
      <c r="M1030" s="1">
        <v>15</v>
      </c>
      <c r="N1030" s="1" t="s">
        <v>4365</v>
      </c>
    </row>
    <row r="1031" spans="1:14" x14ac:dyDescent="0.15">
      <c r="A1031" s="1">
        <v>180</v>
      </c>
      <c r="B1031" s="1" t="s">
        <v>2626</v>
      </c>
      <c r="C1031" s="1" t="s">
        <v>2627</v>
      </c>
      <c r="D1031" s="1" t="s">
        <v>2626</v>
      </c>
      <c r="E1031" s="1" t="s">
        <v>2627</v>
      </c>
      <c r="F1031" s="1" t="s">
        <v>2626</v>
      </c>
      <c r="G1031" s="1" t="s">
        <v>2628</v>
      </c>
      <c r="H1031" s="1" t="s">
        <v>2626</v>
      </c>
      <c r="I1031" s="1" t="s">
        <v>17864</v>
      </c>
      <c r="J1031" s="1" t="s">
        <v>17865</v>
      </c>
      <c r="K1031" s="1">
        <v>12</v>
      </c>
      <c r="L1031" s="1" t="s">
        <v>4264</v>
      </c>
      <c r="M1031" s="1">
        <v>6</v>
      </c>
      <c r="N1031" s="1" t="s">
        <v>4207</v>
      </c>
    </row>
    <row r="1032" spans="1:14" x14ac:dyDescent="0.15">
      <c r="A1032" s="1">
        <v>180</v>
      </c>
      <c r="B1032" s="1" t="s">
        <v>2626</v>
      </c>
      <c r="C1032" s="1" t="s">
        <v>2627</v>
      </c>
      <c r="D1032" s="1" t="s">
        <v>2626</v>
      </c>
      <c r="E1032" s="1" t="s">
        <v>2627</v>
      </c>
      <c r="F1032" s="1" t="s">
        <v>2626</v>
      </c>
      <c r="G1032" s="1" t="s">
        <v>2628</v>
      </c>
      <c r="H1032" s="1" t="s">
        <v>2626</v>
      </c>
      <c r="I1032" s="1" t="s">
        <v>14725</v>
      </c>
      <c r="J1032" s="1" t="s">
        <v>14726</v>
      </c>
      <c r="K1032" s="1">
        <v>12</v>
      </c>
      <c r="L1032" s="1" t="s">
        <v>4264</v>
      </c>
      <c r="M1032" s="1">
        <v>6</v>
      </c>
      <c r="N1032" s="1" t="s">
        <v>4207</v>
      </c>
    </row>
    <row r="1033" spans="1:14" x14ac:dyDescent="0.15">
      <c r="A1033" s="1">
        <v>180</v>
      </c>
      <c r="B1033" s="1" t="s">
        <v>2626</v>
      </c>
      <c r="C1033" s="1" t="s">
        <v>2627</v>
      </c>
      <c r="D1033" s="1" t="s">
        <v>2626</v>
      </c>
      <c r="E1033" s="1" t="s">
        <v>2627</v>
      </c>
      <c r="F1033" s="1" t="s">
        <v>2626</v>
      </c>
      <c r="G1033" s="1" t="s">
        <v>2628</v>
      </c>
      <c r="H1033" s="1" t="s">
        <v>2626</v>
      </c>
      <c r="I1033" s="1" t="s">
        <v>14729</v>
      </c>
      <c r="J1033" s="1" t="s">
        <v>6272</v>
      </c>
      <c r="K1033" s="1">
        <v>12</v>
      </c>
      <c r="L1033" s="1" t="s">
        <v>4264</v>
      </c>
      <c r="M1033" s="1">
        <v>6</v>
      </c>
      <c r="N1033" s="1" t="s">
        <v>4207</v>
      </c>
    </row>
    <row r="1034" spans="1:14" x14ac:dyDescent="0.15">
      <c r="A1034" s="1">
        <v>180</v>
      </c>
      <c r="B1034" s="1" t="s">
        <v>2626</v>
      </c>
      <c r="C1034" s="1" t="s">
        <v>2627</v>
      </c>
      <c r="D1034" s="1" t="s">
        <v>2626</v>
      </c>
      <c r="E1034" s="1" t="s">
        <v>2627</v>
      </c>
      <c r="F1034" s="1" t="s">
        <v>2626</v>
      </c>
      <c r="G1034" s="1" t="s">
        <v>2628</v>
      </c>
      <c r="H1034" s="1" t="s">
        <v>2626</v>
      </c>
      <c r="I1034" s="1" t="s">
        <v>14733</v>
      </c>
      <c r="J1034" s="1" t="s">
        <v>14734</v>
      </c>
      <c r="K1034" s="1">
        <v>12</v>
      </c>
      <c r="L1034" s="1" t="s">
        <v>4264</v>
      </c>
      <c r="M1034" s="1">
        <v>6</v>
      </c>
      <c r="N1034" s="1" t="s">
        <v>4207</v>
      </c>
    </row>
    <row r="1035" spans="1:14" x14ac:dyDescent="0.15">
      <c r="A1035" s="1">
        <v>180</v>
      </c>
      <c r="B1035" s="1" t="s">
        <v>2626</v>
      </c>
      <c r="C1035" s="1" t="s">
        <v>2627</v>
      </c>
      <c r="D1035" s="1" t="s">
        <v>2626</v>
      </c>
      <c r="E1035" s="1" t="s">
        <v>2627</v>
      </c>
      <c r="F1035" s="1" t="s">
        <v>2626</v>
      </c>
      <c r="G1035" s="1" t="s">
        <v>2628</v>
      </c>
      <c r="H1035" s="1" t="s">
        <v>2626</v>
      </c>
      <c r="I1035" s="1" t="s">
        <v>14737</v>
      </c>
      <c r="J1035" s="1" t="s">
        <v>14738</v>
      </c>
      <c r="K1035" s="1">
        <v>12</v>
      </c>
      <c r="L1035" s="1" t="s">
        <v>4264</v>
      </c>
      <c r="M1035" s="1">
        <v>6</v>
      </c>
      <c r="N1035" s="1" t="s">
        <v>4207</v>
      </c>
    </row>
    <row r="1036" spans="1:14" x14ac:dyDescent="0.15">
      <c r="A1036" s="1">
        <v>180</v>
      </c>
      <c r="B1036" s="1" t="s">
        <v>2626</v>
      </c>
      <c r="C1036" s="1" t="s">
        <v>2627</v>
      </c>
      <c r="D1036" s="1" t="s">
        <v>2626</v>
      </c>
      <c r="E1036" s="1" t="s">
        <v>2627</v>
      </c>
      <c r="F1036" s="1" t="s">
        <v>2626</v>
      </c>
      <c r="G1036" s="1" t="s">
        <v>2628</v>
      </c>
      <c r="H1036" s="1" t="s">
        <v>2626</v>
      </c>
      <c r="I1036" s="1" t="s">
        <v>14741</v>
      </c>
      <c r="J1036" s="1" t="s">
        <v>14742</v>
      </c>
      <c r="K1036" s="1">
        <v>12</v>
      </c>
      <c r="L1036" s="1" t="s">
        <v>4264</v>
      </c>
      <c r="M1036" s="1">
        <v>6</v>
      </c>
      <c r="N1036" s="1" t="s">
        <v>4207</v>
      </c>
    </row>
    <row r="1037" spans="1:14" x14ac:dyDescent="0.15">
      <c r="A1037" s="1">
        <v>180</v>
      </c>
      <c r="B1037" s="1" t="s">
        <v>2626</v>
      </c>
      <c r="C1037" s="1" t="s">
        <v>2627</v>
      </c>
      <c r="D1037" s="1" t="s">
        <v>2626</v>
      </c>
      <c r="E1037" s="1" t="s">
        <v>2627</v>
      </c>
      <c r="F1037" s="1" t="s">
        <v>2626</v>
      </c>
      <c r="G1037" s="1" t="s">
        <v>2628</v>
      </c>
      <c r="H1037" s="1" t="s">
        <v>2626</v>
      </c>
      <c r="I1037" s="1" t="s">
        <v>14745</v>
      </c>
      <c r="J1037" s="1" t="s">
        <v>14746</v>
      </c>
      <c r="K1037" s="1">
        <v>12</v>
      </c>
      <c r="L1037" s="1" t="s">
        <v>4264</v>
      </c>
      <c r="M1037" s="1">
        <v>6</v>
      </c>
      <c r="N1037" s="1" t="s">
        <v>4207</v>
      </c>
    </row>
    <row r="1038" spans="1:14" x14ac:dyDescent="0.15">
      <c r="A1038" s="1">
        <v>180</v>
      </c>
      <c r="B1038" s="1" t="s">
        <v>2626</v>
      </c>
      <c r="C1038" s="1" t="s">
        <v>2627</v>
      </c>
      <c r="D1038" s="1" t="s">
        <v>2626</v>
      </c>
      <c r="E1038" s="1" t="s">
        <v>2627</v>
      </c>
      <c r="F1038" s="1" t="s">
        <v>2626</v>
      </c>
      <c r="G1038" s="1" t="s">
        <v>2628</v>
      </c>
      <c r="H1038" s="1" t="s">
        <v>2626</v>
      </c>
      <c r="I1038" s="1" t="s">
        <v>12824</v>
      </c>
      <c r="J1038" s="1" t="s">
        <v>12821</v>
      </c>
      <c r="K1038" s="1">
        <v>12</v>
      </c>
      <c r="L1038" s="1" t="s">
        <v>4264</v>
      </c>
      <c r="M1038" s="1">
        <v>6</v>
      </c>
      <c r="N1038" s="1" t="s">
        <v>4207</v>
      </c>
    </row>
    <row r="1039" spans="1:14" x14ac:dyDescent="0.15">
      <c r="A1039" s="1">
        <v>181</v>
      </c>
      <c r="B1039" s="1" t="s">
        <v>2629</v>
      </c>
      <c r="C1039" s="1" t="s">
        <v>2630</v>
      </c>
      <c r="D1039" s="1" t="s">
        <v>2629</v>
      </c>
      <c r="E1039" s="1" t="s">
        <v>2630</v>
      </c>
      <c r="F1039" s="1" t="s">
        <v>2629</v>
      </c>
      <c r="G1039" s="1" t="s">
        <v>2631</v>
      </c>
      <c r="H1039" s="1" t="s">
        <v>2629</v>
      </c>
      <c r="I1039" s="1" t="s">
        <v>11879</v>
      </c>
      <c r="J1039" s="1" t="s">
        <v>4278</v>
      </c>
      <c r="K1039" s="1">
        <v>12</v>
      </c>
      <c r="L1039" s="1" t="s">
        <v>4264</v>
      </c>
      <c r="M1039" s="1">
        <v>6</v>
      </c>
      <c r="N1039" s="1" t="s">
        <v>4207</v>
      </c>
    </row>
    <row r="1040" spans="1:14" x14ac:dyDescent="0.15">
      <c r="A1040" s="1">
        <v>181</v>
      </c>
      <c r="B1040" s="1" t="s">
        <v>2629</v>
      </c>
      <c r="C1040" s="1" t="s">
        <v>2632</v>
      </c>
      <c r="D1040" s="1" t="s">
        <v>2633</v>
      </c>
      <c r="E1040" s="1" t="s">
        <v>2632</v>
      </c>
      <c r="F1040" s="1" t="s">
        <v>2633</v>
      </c>
      <c r="G1040" s="1" t="s">
        <v>2634</v>
      </c>
      <c r="H1040" s="1" t="s">
        <v>2633</v>
      </c>
      <c r="I1040" s="1" t="s">
        <v>14725</v>
      </c>
      <c r="J1040" s="1" t="s">
        <v>14726</v>
      </c>
      <c r="K1040" s="1">
        <v>12</v>
      </c>
      <c r="L1040" s="1" t="s">
        <v>4264</v>
      </c>
      <c r="M1040" s="1">
        <v>6</v>
      </c>
      <c r="N1040" s="1" t="s">
        <v>4207</v>
      </c>
    </row>
    <row r="1041" spans="1:14" x14ac:dyDescent="0.15">
      <c r="A1041" s="1">
        <v>181</v>
      </c>
      <c r="B1041" s="1" t="s">
        <v>2629</v>
      </c>
      <c r="C1041" s="1" t="s">
        <v>2632</v>
      </c>
      <c r="D1041" s="1" t="s">
        <v>2633</v>
      </c>
      <c r="E1041" s="1" t="s">
        <v>2632</v>
      </c>
      <c r="F1041" s="1" t="s">
        <v>2633</v>
      </c>
      <c r="G1041" s="1" t="s">
        <v>2634</v>
      </c>
      <c r="H1041" s="1" t="s">
        <v>2633</v>
      </c>
      <c r="I1041" s="1" t="s">
        <v>14729</v>
      </c>
      <c r="J1041" s="1" t="s">
        <v>6272</v>
      </c>
      <c r="K1041" s="1">
        <v>12</v>
      </c>
      <c r="L1041" s="1" t="s">
        <v>4264</v>
      </c>
      <c r="M1041" s="1">
        <v>6</v>
      </c>
      <c r="N1041" s="1" t="s">
        <v>4207</v>
      </c>
    </row>
    <row r="1042" spans="1:14" x14ac:dyDescent="0.15">
      <c r="A1042" s="1">
        <v>181</v>
      </c>
      <c r="B1042" s="1" t="s">
        <v>2629</v>
      </c>
      <c r="C1042" s="1" t="s">
        <v>2632</v>
      </c>
      <c r="D1042" s="1" t="s">
        <v>2633</v>
      </c>
      <c r="E1042" s="1" t="s">
        <v>2632</v>
      </c>
      <c r="F1042" s="1" t="s">
        <v>2633</v>
      </c>
      <c r="G1042" s="1" t="s">
        <v>2634</v>
      </c>
      <c r="H1042" s="1" t="s">
        <v>2633</v>
      </c>
      <c r="I1042" s="1" t="s">
        <v>14733</v>
      </c>
      <c r="J1042" s="1" t="s">
        <v>14734</v>
      </c>
      <c r="K1042" s="1">
        <v>12</v>
      </c>
      <c r="L1042" s="1" t="s">
        <v>4264</v>
      </c>
      <c r="M1042" s="1">
        <v>6</v>
      </c>
      <c r="N1042" s="1" t="s">
        <v>4207</v>
      </c>
    </row>
    <row r="1043" spans="1:14" x14ac:dyDescent="0.15">
      <c r="A1043" s="1">
        <v>181</v>
      </c>
      <c r="B1043" s="1" t="s">
        <v>2629</v>
      </c>
      <c r="C1043" s="1" t="s">
        <v>2632</v>
      </c>
      <c r="D1043" s="1" t="s">
        <v>2633</v>
      </c>
      <c r="E1043" s="1" t="s">
        <v>2632</v>
      </c>
      <c r="F1043" s="1" t="s">
        <v>2633</v>
      </c>
      <c r="G1043" s="1" t="s">
        <v>2634</v>
      </c>
      <c r="H1043" s="1" t="s">
        <v>2633</v>
      </c>
      <c r="I1043" s="1" t="s">
        <v>14741</v>
      </c>
      <c r="J1043" s="1" t="s">
        <v>14742</v>
      </c>
      <c r="K1043" s="1">
        <v>12</v>
      </c>
      <c r="L1043" s="1" t="s">
        <v>4264</v>
      </c>
      <c r="M1043" s="1">
        <v>6</v>
      </c>
      <c r="N1043" s="1" t="s">
        <v>4207</v>
      </c>
    </row>
    <row r="1044" spans="1:14" x14ac:dyDescent="0.15">
      <c r="A1044" s="1">
        <v>181</v>
      </c>
      <c r="B1044" s="1" t="s">
        <v>2629</v>
      </c>
      <c r="C1044" s="1" t="s">
        <v>2632</v>
      </c>
      <c r="D1044" s="1" t="s">
        <v>2633</v>
      </c>
      <c r="E1044" s="1" t="s">
        <v>2632</v>
      </c>
      <c r="F1044" s="1" t="s">
        <v>2633</v>
      </c>
      <c r="G1044" s="1" t="s">
        <v>2634</v>
      </c>
      <c r="H1044" s="1" t="s">
        <v>2633</v>
      </c>
      <c r="I1044" s="1" t="s">
        <v>12824</v>
      </c>
      <c r="J1044" s="1" t="s">
        <v>12821</v>
      </c>
      <c r="K1044" s="1">
        <v>12</v>
      </c>
      <c r="L1044" s="1" t="s">
        <v>4264</v>
      </c>
      <c r="M1044" s="1">
        <v>6</v>
      </c>
      <c r="N1044" s="1" t="s">
        <v>4207</v>
      </c>
    </row>
    <row r="1045" spans="1:14" x14ac:dyDescent="0.15">
      <c r="A1045" s="1">
        <v>181</v>
      </c>
      <c r="B1045" s="1" t="s">
        <v>2629</v>
      </c>
      <c r="C1045" s="1" t="s">
        <v>2632</v>
      </c>
      <c r="D1045" s="1" t="s">
        <v>2633</v>
      </c>
      <c r="E1045" s="1" t="s">
        <v>2632</v>
      </c>
      <c r="F1045" s="1" t="s">
        <v>2633</v>
      </c>
      <c r="G1045" s="1" t="s">
        <v>2634</v>
      </c>
      <c r="H1045" s="1" t="s">
        <v>2633</v>
      </c>
      <c r="I1045" s="1" t="s">
        <v>11797</v>
      </c>
      <c r="J1045" s="1" t="s">
        <v>11798</v>
      </c>
      <c r="K1045" s="1">
        <v>12</v>
      </c>
      <c r="L1045" s="1" t="s">
        <v>4264</v>
      </c>
      <c r="M1045" s="1">
        <v>6</v>
      </c>
      <c r="N1045" s="1" t="s">
        <v>4207</v>
      </c>
    </row>
    <row r="1046" spans="1:14" x14ac:dyDescent="0.15">
      <c r="A1046" s="1">
        <v>181</v>
      </c>
      <c r="B1046" s="1" t="s">
        <v>2629</v>
      </c>
      <c r="C1046" s="1" t="s">
        <v>2635</v>
      </c>
      <c r="D1046" s="1" t="s">
        <v>2636</v>
      </c>
      <c r="E1046" s="1" t="s">
        <v>2635</v>
      </c>
      <c r="F1046" s="1" t="s">
        <v>2636</v>
      </c>
      <c r="G1046" s="1" t="s">
        <v>2637</v>
      </c>
      <c r="H1046" s="1" t="s">
        <v>2636</v>
      </c>
      <c r="I1046" s="1" t="s">
        <v>14725</v>
      </c>
      <c r="J1046" s="1" t="s">
        <v>14726</v>
      </c>
      <c r="K1046" s="1">
        <v>12</v>
      </c>
      <c r="L1046" s="1" t="s">
        <v>4264</v>
      </c>
      <c r="M1046" s="1">
        <v>6</v>
      </c>
      <c r="N1046" s="1" t="s">
        <v>4207</v>
      </c>
    </row>
    <row r="1047" spans="1:14" x14ac:dyDescent="0.15">
      <c r="A1047" s="1">
        <v>181</v>
      </c>
      <c r="B1047" s="1" t="s">
        <v>2629</v>
      </c>
      <c r="C1047" s="1" t="s">
        <v>2635</v>
      </c>
      <c r="D1047" s="1" t="s">
        <v>2636</v>
      </c>
      <c r="E1047" s="1" t="s">
        <v>2635</v>
      </c>
      <c r="F1047" s="1" t="s">
        <v>2636</v>
      </c>
      <c r="G1047" s="1" t="s">
        <v>2637</v>
      </c>
      <c r="H1047" s="1" t="s">
        <v>2636</v>
      </c>
      <c r="I1047" s="1" t="s">
        <v>14729</v>
      </c>
      <c r="J1047" s="1" t="s">
        <v>6272</v>
      </c>
      <c r="K1047" s="1">
        <v>12</v>
      </c>
      <c r="L1047" s="1" t="s">
        <v>4264</v>
      </c>
      <c r="M1047" s="1">
        <v>6</v>
      </c>
      <c r="N1047" s="1" t="s">
        <v>4207</v>
      </c>
    </row>
    <row r="1048" spans="1:14" x14ac:dyDescent="0.15">
      <c r="A1048" s="1">
        <v>181</v>
      </c>
      <c r="B1048" s="1" t="s">
        <v>2629</v>
      </c>
      <c r="C1048" s="1" t="s">
        <v>2635</v>
      </c>
      <c r="D1048" s="1" t="s">
        <v>2636</v>
      </c>
      <c r="E1048" s="1" t="s">
        <v>2635</v>
      </c>
      <c r="F1048" s="1" t="s">
        <v>2636</v>
      </c>
      <c r="G1048" s="1" t="s">
        <v>2637</v>
      </c>
      <c r="H1048" s="1" t="s">
        <v>2636</v>
      </c>
      <c r="I1048" s="1" t="s">
        <v>12824</v>
      </c>
      <c r="J1048" s="1" t="s">
        <v>12821</v>
      </c>
      <c r="K1048" s="1">
        <v>12</v>
      </c>
      <c r="L1048" s="1" t="s">
        <v>4264</v>
      </c>
      <c r="M1048" s="1">
        <v>6</v>
      </c>
      <c r="N1048" s="1" t="s">
        <v>4207</v>
      </c>
    </row>
    <row r="1049" spans="1:14" x14ac:dyDescent="0.15">
      <c r="A1049" s="1">
        <v>181</v>
      </c>
      <c r="B1049" s="1" t="s">
        <v>2629</v>
      </c>
      <c r="C1049" s="1" t="s">
        <v>2635</v>
      </c>
      <c r="D1049" s="1" t="s">
        <v>2636</v>
      </c>
      <c r="E1049" s="1" t="s">
        <v>2635</v>
      </c>
      <c r="F1049" s="1" t="s">
        <v>2636</v>
      </c>
      <c r="G1049" s="1" t="s">
        <v>2637</v>
      </c>
      <c r="H1049" s="1" t="s">
        <v>2636</v>
      </c>
      <c r="I1049" s="1" t="s">
        <v>11797</v>
      </c>
      <c r="J1049" s="1" t="s">
        <v>11798</v>
      </c>
      <c r="K1049" s="1">
        <v>12</v>
      </c>
      <c r="L1049" s="1" t="s">
        <v>4264</v>
      </c>
      <c r="M1049" s="1">
        <v>6</v>
      </c>
      <c r="N1049" s="1" t="s">
        <v>4207</v>
      </c>
    </row>
    <row r="1050" spans="1:14" x14ac:dyDescent="0.15">
      <c r="A1050" s="1">
        <v>182</v>
      </c>
      <c r="B1050" s="1" t="s">
        <v>2638</v>
      </c>
      <c r="C1050" s="1" t="s">
        <v>2639</v>
      </c>
      <c r="D1050" s="1" t="s">
        <v>2638</v>
      </c>
      <c r="E1050" s="1" t="s">
        <v>2639</v>
      </c>
      <c r="F1050" s="1" t="s">
        <v>2638</v>
      </c>
      <c r="G1050" s="1" t="s">
        <v>2640</v>
      </c>
      <c r="H1050" s="1" t="s">
        <v>2638</v>
      </c>
      <c r="I1050" s="1" t="s">
        <v>11879</v>
      </c>
      <c r="J1050" s="1" t="s">
        <v>4278</v>
      </c>
      <c r="K1050" s="1">
        <v>6</v>
      </c>
      <c r="L1050" s="1" t="s">
        <v>4254</v>
      </c>
      <c r="M1050" s="1">
        <v>10</v>
      </c>
      <c r="N1050" s="1" t="s">
        <v>4237</v>
      </c>
    </row>
    <row r="1051" spans="1:14" x14ac:dyDescent="0.15">
      <c r="A1051" s="1">
        <v>182</v>
      </c>
      <c r="B1051" s="1" t="s">
        <v>2638</v>
      </c>
      <c r="C1051" s="1" t="s">
        <v>2641</v>
      </c>
      <c r="D1051" s="1" t="s">
        <v>2642</v>
      </c>
      <c r="E1051" s="1" t="s">
        <v>2641</v>
      </c>
      <c r="F1051" s="1" t="s">
        <v>2642</v>
      </c>
      <c r="G1051" s="1" t="s">
        <v>2643</v>
      </c>
      <c r="H1051" s="1" t="s">
        <v>2642</v>
      </c>
      <c r="I1051" s="1" t="s">
        <v>14580</v>
      </c>
      <c r="J1051" s="1" t="s">
        <v>14577</v>
      </c>
      <c r="K1051" s="1">
        <v>6</v>
      </c>
      <c r="L1051" s="1" t="s">
        <v>4254</v>
      </c>
      <c r="M1051" s="1">
        <v>10</v>
      </c>
      <c r="N1051" s="1" t="s">
        <v>4237</v>
      </c>
    </row>
    <row r="1052" spans="1:14" x14ac:dyDescent="0.15">
      <c r="A1052" s="1">
        <v>182</v>
      </c>
      <c r="B1052" s="1" t="s">
        <v>2638</v>
      </c>
      <c r="C1052" s="1" t="s">
        <v>2641</v>
      </c>
      <c r="D1052" s="1" t="s">
        <v>2642</v>
      </c>
      <c r="E1052" s="1" t="s">
        <v>2641</v>
      </c>
      <c r="F1052" s="1" t="s">
        <v>2642</v>
      </c>
      <c r="G1052" s="1" t="s">
        <v>2643</v>
      </c>
      <c r="H1052" s="1" t="s">
        <v>2642</v>
      </c>
      <c r="I1052" s="1" t="s">
        <v>14587</v>
      </c>
      <c r="J1052" s="1" t="s">
        <v>14584</v>
      </c>
      <c r="K1052" s="1">
        <v>6</v>
      </c>
      <c r="L1052" s="1" t="s">
        <v>4254</v>
      </c>
      <c r="M1052" s="1">
        <v>10</v>
      </c>
      <c r="N1052" s="1" t="s">
        <v>4237</v>
      </c>
    </row>
    <row r="1053" spans="1:14" x14ac:dyDescent="0.15">
      <c r="A1053" s="1">
        <v>182</v>
      </c>
      <c r="B1053" s="1" t="s">
        <v>2638</v>
      </c>
      <c r="C1053" s="1" t="s">
        <v>2641</v>
      </c>
      <c r="D1053" s="1" t="s">
        <v>2642</v>
      </c>
      <c r="E1053" s="1" t="s">
        <v>2641</v>
      </c>
      <c r="F1053" s="1" t="s">
        <v>2642</v>
      </c>
      <c r="G1053" s="1" t="s">
        <v>2643</v>
      </c>
      <c r="H1053" s="1" t="s">
        <v>2642</v>
      </c>
      <c r="I1053" s="1" t="s">
        <v>17322</v>
      </c>
      <c r="J1053" s="1" t="s">
        <v>17319</v>
      </c>
      <c r="K1053" s="1">
        <v>6</v>
      </c>
      <c r="L1053" s="1" t="s">
        <v>4254</v>
      </c>
      <c r="M1053" s="1">
        <v>10</v>
      </c>
      <c r="N1053" s="1" t="s">
        <v>4237</v>
      </c>
    </row>
    <row r="1054" spans="1:14" x14ac:dyDescent="0.15">
      <c r="A1054" s="1">
        <v>182</v>
      </c>
      <c r="B1054" s="1" t="s">
        <v>2638</v>
      </c>
      <c r="C1054" s="1" t="s">
        <v>2641</v>
      </c>
      <c r="D1054" s="1" t="s">
        <v>2642</v>
      </c>
      <c r="E1054" s="1" t="s">
        <v>2641</v>
      </c>
      <c r="F1054" s="1" t="s">
        <v>2642</v>
      </c>
      <c r="G1054" s="1" t="s">
        <v>2643</v>
      </c>
      <c r="H1054" s="1" t="s">
        <v>2642</v>
      </c>
      <c r="I1054" s="1" t="s">
        <v>17329</v>
      </c>
      <c r="J1054" s="1" t="s">
        <v>17326</v>
      </c>
      <c r="K1054" s="1">
        <v>6</v>
      </c>
      <c r="L1054" s="1" t="s">
        <v>4254</v>
      </c>
      <c r="M1054" s="1">
        <v>10</v>
      </c>
      <c r="N1054" s="1" t="s">
        <v>4237</v>
      </c>
    </row>
    <row r="1055" spans="1:14" x14ac:dyDescent="0.15">
      <c r="A1055" s="1">
        <v>182</v>
      </c>
      <c r="B1055" s="1" t="s">
        <v>2638</v>
      </c>
      <c r="C1055" s="1" t="s">
        <v>2641</v>
      </c>
      <c r="D1055" s="1" t="s">
        <v>2642</v>
      </c>
      <c r="E1055" s="1" t="s">
        <v>2641</v>
      </c>
      <c r="F1055" s="1" t="s">
        <v>2642</v>
      </c>
      <c r="G1055" s="1" t="s">
        <v>2643</v>
      </c>
      <c r="H1055" s="1" t="s">
        <v>2642</v>
      </c>
      <c r="I1055" s="1" t="s">
        <v>11080</v>
      </c>
      <c r="J1055" s="1" t="s">
        <v>2644</v>
      </c>
      <c r="K1055" s="1">
        <v>6</v>
      </c>
      <c r="L1055" s="1" t="s">
        <v>4254</v>
      </c>
      <c r="M1055" s="1">
        <v>10</v>
      </c>
      <c r="N1055" s="1" t="s">
        <v>4237</v>
      </c>
    </row>
    <row r="1056" spans="1:14" x14ac:dyDescent="0.15">
      <c r="A1056" s="1">
        <v>182</v>
      </c>
      <c r="B1056" s="1" t="s">
        <v>2638</v>
      </c>
      <c r="C1056" s="1" t="s">
        <v>2641</v>
      </c>
      <c r="D1056" s="1" t="s">
        <v>2642</v>
      </c>
      <c r="E1056" s="1" t="s">
        <v>2641</v>
      </c>
      <c r="F1056" s="1" t="s">
        <v>2642</v>
      </c>
      <c r="G1056" s="1" t="s">
        <v>2643</v>
      </c>
      <c r="H1056" s="1" t="s">
        <v>2642</v>
      </c>
      <c r="I1056" s="1" t="s">
        <v>17364</v>
      </c>
      <c r="J1056" s="1" t="s">
        <v>17361</v>
      </c>
      <c r="K1056" s="1">
        <v>6</v>
      </c>
      <c r="L1056" s="1" t="s">
        <v>4254</v>
      </c>
      <c r="M1056" s="1">
        <v>10</v>
      </c>
      <c r="N1056" s="1" t="s">
        <v>4237</v>
      </c>
    </row>
    <row r="1057" spans="1:14" x14ac:dyDescent="0.15">
      <c r="A1057" s="1">
        <v>182</v>
      </c>
      <c r="B1057" s="1" t="s">
        <v>2638</v>
      </c>
      <c r="C1057" s="1" t="s">
        <v>2641</v>
      </c>
      <c r="D1057" s="1" t="s">
        <v>2642</v>
      </c>
      <c r="E1057" s="1" t="s">
        <v>2641</v>
      </c>
      <c r="F1057" s="1" t="s">
        <v>2642</v>
      </c>
      <c r="G1057" s="1" t="s">
        <v>2643</v>
      </c>
      <c r="H1057" s="1" t="s">
        <v>2642</v>
      </c>
      <c r="I1057" s="1" t="s">
        <v>8123</v>
      </c>
      <c r="J1057" s="1" t="s">
        <v>2645</v>
      </c>
      <c r="K1057" s="1">
        <v>6</v>
      </c>
      <c r="L1057" s="1" t="s">
        <v>4254</v>
      </c>
      <c r="M1057" s="1">
        <v>10</v>
      </c>
      <c r="N1057" s="1" t="s">
        <v>4237</v>
      </c>
    </row>
    <row r="1058" spans="1:14" x14ac:dyDescent="0.15">
      <c r="A1058" s="1">
        <v>182</v>
      </c>
      <c r="B1058" s="1" t="s">
        <v>2638</v>
      </c>
      <c r="C1058" s="1" t="s">
        <v>2641</v>
      </c>
      <c r="D1058" s="1" t="s">
        <v>2642</v>
      </c>
      <c r="E1058" s="1" t="s">
        <v>2641</v>
      </c>
      <c r="F1058" s="1" t="s">
        <v>2642</v>
      </c>
      <c r="G1058" s="1" t="s">
        <v>2646</v>
      </c>
      <c r="H1058" s="1" t="s">
        <v>2647</v>
      </c>
      <c r="I1058" s="1" t="s">
        <v>14580</v>
      </c>
      <c r="J1058" s="1" t="s">
        <v>14577</v>
      </c>
      <c r="K1058" s="1">
        <v>6</v>
      </c>
      <c r="L1058" s="1" t="s">
        <v>4254</v>
      </c>
      <c r="M1058" s="1">
        <v>10</v>
      </c>
      <c r="N1058" s="1" t="s">
        <v>4237</v>
      </c>
    </row>
    <row r="1059" spans="1:14" x14ac:dyDescent="0.15">
      <c r="A1059" s="1">
        <v>182</v>
      </c>
      <c r="B1059" s="1" t="s">
        <v>2638</v>
      </c>
      <c r="C1059" s="1" t="s">
        <v>2641</v>
      </c>
      <c r="D1059" s="1" t="s">
        <v>2642</v>
      </c>
      <c r="E1059" s="1" t="s">
        <v>2641</v>
      </c>
      <c r="F1059" s="1" t="s">
        <v>2642</v>
      </c>
      <c r="G1059" s="1" t="s">
        <v>2646</v>
      </c>
      <c r="H1059" s="1" t="s">
        <v>2647</v>
      </c>
      <c r="I1059" s="1" t="s">
        <v>14587</v>
      </c>
      <c r="J1059" s="1" t="s">
        <v>14584</v>
      </c>
      <c r="K1059" s="1">
        <v>6</v>
      </c>
      <c r="L1059" s="1" t="s">
        <v>4254</v>
      </c>
      <c r="M1059" s="1">
        <v>10</v>
      </c>
      <c r="N1059" s="1" t="s">
        <v>4237</v>
      </c>
    </row>
    <row r="1060" spans="1:14" x14ac:dyDescent="0.15">
      <c r="A1060" s="1">
        <v>182</v>
      </c>
      <c r="B1060" s="1" t="s">
        <v>2638</v>
      </c>
      <c r="C1060" s="1" t="s">
        <v>2641</v>
      </c>
      <c r="D1060" s="1" t="s">
        <v>2642</v>
      </c>
      <c r="E1060" s="1" t="s">
        <v>2641</v>
      </c>
      <c r="F1060" s="1" t="s">
        <v>2642</v>
      </c>
      <c r="G1060" s="1" t="s">
        <v>2646</v>
      </c>
      <c r="H1060" s="1" t="s">
        <v>2647</v>
      </c>
      <c r="I1060" s="1" t="s">
        <v>17322</v>
      </c>
      <c r="J1060" s="1" t="s">
        <v>17319</v>
      </c>
      <c r="K1060" s="1">
        <v>6</v>
      </c>
      <c r="L1060" s="1" t="s">
        <v>4254</v>
      </c>
      <c r="M1060" s="1">
        <v>10</v>
      </c>
      <c r="N1060" s="1" t="s">
        <v>4237</v>
      </c>
    </row>
    <row r="1061" spans="1:14" x14ac:dyDescent="0.15">
      <c r="A1061" s="1">
        <v>182</v>
      </c>
      <c r="B1061" s="1" t="s">
        <v>2638</v>
      </c>
      <c r="C1061" s="1" t="s">
        <v>2641</v>
      </c>
      <c r="D1061" s="1" t="s">
        <v>2642</v>
      </c>
      <c r="E1061" s="1" t="s">
        <v>2641</v>
      </c>
      <c r="F1061" s="1" t="s">
        <v>2642</v>
      </c>
      <c r="G1061" s="1" t="s">
        <v>2646</v>
      </c>
      <c r="H1061" s="1" t="s">
        <v>2647</v>
      </c>
      <c r="I1061" s="1" t="s">
        <v>17329</v>
      </c>
      <c r="J1061" s="1" t="s">
        <v>17326</v>
      </c>
      <c r="K1061" s="1">
        <v>6</v>
      </c>
      <c r="L1061" s="1" t="s">
        <v>4254</v>
      </c>
      <c r="M1061" s="1">
        <v>10</v>
      </c>
      <c r="N1061" s="1" t="s">
        <v>4237</v>
      </c>
    </row>
    <row r="1062" spans="1:14" x14ac:dyDescent="0.15">
      <c r="A1062" s="1">
        <v>182</v>
      </c>
      <c r="B1062" s="1" t="s">
        <v>2638</v>
      </c>
      <c r="C1062" s="1" t="s">
        <v>2641</v>
      </c>
      <c r="D1062" s="1" t="s">
        <v>2642</v>
      </c>
      <c r="E1062" s="1" t="s">
        <v>2641</v>
      </c>
      <c r="F1062" s="1" t="s">
        <v>2642</v>
      </c>
      <c r="G1062" s="1" t="s">
        <v>2646</v>
      </c>
      <c r="H1062" s="1" t="s">
        <v>2647</v>
      </c>
      <c r="I1062" s="1" t="s">
        <v>17364</v>
      </c>
      <c r="J1062" s="1" t="s">
        <v>17361</v>
      </c>
      <c r="K1062" s="1">
        <v>6</v>
      </c>
      <c r="L1062" s="1" t="s">
        <v>4254</v>
      </c>
      <c r="M1062" s="1">
        <v>10</v>
      </c>
      <c r="N1062" s="1" t="s">
        <v>4237</v>
      </c>
    </row>
    <row r="1063" spans="1:14" x14ac:dyDescent="0.15">
      <c r="A1063" s="1">
        <v>182</v>
      </c>
      <c r="B1063" s="1" t="s">
        <v>2638</v>
      </c>
      <c r="C1063" s="1" t="s">
        <v>2641</v>
      </c>
      <c r="D1063" s="1" t="s">
        <v>2642</v>
      </c>
      <c r="E1063" s="1" t="s">
        <v>2641</v>
      </c>
      <c r="F1063" s="1" t="s">
        <v>2642</v>
      </c>
      <c r="G1063" s="1" t="s">
        <v>2646</v>
      </c>
      <c r="H1063" s="1" t="s">
        <v>2647</v>
      </c>
      <c r="I1063" s="1" t="s">
        <v>8123</v>
      </c>
      <c r="J1063" s="1" t="s">
        <v>2645</v>
      </c>
      <c r="K1063" s="1">
        <v>6</v>
      </c>
      <c r="L1063" s="1" t="s">
        <v>4254</v>
      </c>
      <c r="M1063" s="1">
        <v>10</v>
      </c>
      <c r="N1063" s="1" t="s">
        <v>4237</v>
      </c>
    </row>
    <row r="1064" spans="1:14" x14ac:dyDescent="0.15">
      <c r="A1064" s="1">
        <v>182</v>
      </c>
      <c r="B1064" s="1" t="s">
        <v>2638</v>
      </c>
      <c r="C1064" s="1" t="s">
        <v>2641</v>
      </c>
      <c r="D1064" s="1" t="s">
        <v>2642</v>
      </c>
      <c r="E1064" s="1" t="s">
        <v>2641</v>
      </c>
      <c r="F1064" s="1" t="s">
        <v>2642</v>
      </c>
      <c r="G1064" s="1" t="s">
        <v>2648</v>
      </c>
      <c r="H1064" s="1" t="s">
        <v>2649</v>
      </c>
      <c r="I1064" s="1" t="s">
        <v>14580</v>
      </c>
      <c r="J1064" s="1" t="s">
        <v>14577</v>
      </c>
      <c r="K1064" s="1">
        <v>6</v>
      </c>
      <c r="L1064" s="1" t="s">
        <v>4254</v>
      </c>
      <c r="M1064" s="1">
        <v>10</v>
      </c>
      <c r="N1064" s="1" t="s">
        <v>4237</v>
      </c>
    </row>
    <row r="1065" spans="1:14" x14ac:dyDescent="0.15">
      <c r="A1065" s="1">
        <v>182</v>
      </c>
      <c r="B1065" s="1" t="s">
        <v>2638</v>
      </c>
      <c r="C1065" s="1" t="s">
        <v>2641</v>
      </c>
      <c r="D1065" s="1" t="s">
        <v>2642</v>
      </c>
      <c r="E1065" s="1" t="s">
        <v>2641</v>
      </c>
      <c r="F1065" s="1" t="s">
        <v>2642</v>
      </c>
      <c r="G1065" s="1" t="s">
        <v>2648</v>
      </c>
      <c r="H1065" s="1" t="s">
        <v>2649</v>
      </c>
      <c r="I1065" s="1" t="s">
        <v>14587</v>
      </c>
      <c r="J1065" s="1" t="s">
        <v>14584</v>
      </c>
      <c r="K1065" s="1">
        <v>6</v>
      </c>
      <c r="L1065" s="1" t="s">
        <v>4254</v>
      </c>
      <c r="M1065" s="1">
        <v>10</v>
      </c>
      <c r="N1065" s="1" t="s">
        <v>4237</v>
      </c>
    </row>
    <row r="1066" spans="1:14" x14ac:dyDescent="0.15">
      <c r="A1066" s="1">
        <v>182</v>
      </c>
      <c r="B1066" s="1" t="s">
        <v>2638</v>
      </c>
      <c r="C1066" s="1" t="s">
        <v>2641</v>
      </c>
      <c r="D1066" s="1" t="s">
        <v>2642</v>
      </c>
      <c r="E1066" s="1" t="s">
        <v>2641</v>
      </c>
      <c r="F1066" s="1" t="s">
        <v>2642</v>
      </c>
      <c r="G1066" s="1" t="s">
        <v>2648</v>
      </c>
      <c r="H1066" s="1" t="s">
        <v>2649</v>
      </c>
      <c r="I1066" s="1" t="s">
        <v>17322</v>
      </c>
      <c r="J1066" s="1" t="s">
        <v>17319</v>
      </c>
      <c r="K1066" s="1">
        <v>6</v>
      </c>
      <c r="L1066" s="1" t="s">
        <v>4254</v>
      </c>
      <c r="M1066" s="1">
        <v>10</v>
      </c>
      <c r="N1066" s="1" t="s">
        <v>4237</v>
      </c>
    </row>
    <row r="1067" spans="1:14" x14ac:dyDescent="0.15">
      <c r="A1067" s="1">
        <v>182</v>
      </c>
      <c r="B1067" s="1" t="s">
        <v>2638</v>
      </c>
      <c r="C1067" s="1" t="s">
        <v>2641</v>
      </c>
      <c r="D1067" s="1" t="s">
        <v>2642</v>
      </c>
      <c r="E1067" s="1" t="s">
        <v>2641</v>
      </c>
      <c r="F1067" s="1" t="s">
        <v>2642</v>
      </c>
      <c r="G1067" s="1" t="s">
        <v>2648</v>
      </c>
      <c r="H1067" s="1" t="s">
        <v>2649</v>
      </c>
      <c r="I1067" s="1" t="s">
        <v>17329</v>
      </c>
      <c r="J1067" s="1" t="s">
        <v>17326</v>
      </c>
      <c r="K1067" s="1">
        <v>6</v>
      </c>
      <c r="L1067" s="1" t="s">
        <v>4254</v>
      </c>
      <c r="M1067" s="1">
        <v>10</v>
      </c>
      <c r="N1067" s="1" t="s">
        <v>4237</v>
      </c>
    </row>
    <row r="1068" spans="1:14" x14ac:dyDescent="0.15">
      <c r="A1068" s="1">
        <v>182</v>
      </c>
      <c r="B1068" s="1" t="s">
        <v>2638</v>
      </c>
      <c r="C1068" s="1" t="s">
        <v>2641</v>
      </c>
      <c r="D1068" s="1" t="s">
        <v>2642</v>
      </c>
      <c r="E1068" s="1" t="s">
        <v>2641</v>
      </c>
      <c r="F1068" s="1" t="s">
        <v>2642</v>
      </c>
      <c r="G1068" s="1" t="s">
        <v>2648</v>
      </c>
      <c r="H1068" s="1" t="s">
        <v>2649</v>
      </c>
      <c r="I1068" s="1" t="s">
        <v>11080</v>
      </c>
      <c r="J1068" s="1" t="s">
        <v>2650</v>
      </c>
      <c r="K1068" s="1">
        <v>6</v>
      </c>
      <c r="L1068" s="1" t="s">
        <v>4254</v>
      </c>
      <c r="M1068" s="1">
        <v>10</v>
      </c>
      <c r="N1068" s="1" t="s">
        <v>4237</v>
      </c>
    </row>
    <row r="1069" spans="1:14" x14ac:dyDescent="0.15">
      <c r="A1069" s="1">
        <v>182</v>
      </c>
      <c r="B1069" s="1" t="s">
        <v>2638</v>
      </c>
      <c r="C1069" s="1" t="s">
        <v>2641</v>
      </c>
      <c r="D1069" s="1" t="s">
        <v>2642</v>
      </c>
      <c r="E1069" s="1" t="s">
        <v>2641</v>
      </c>
      <c r="F1069" s="1" t="s">
        <v>2642</v>
      </c>
      <c r="G1069" s="1" t="s">
        <v>2648</v>
      </c>
      <c r="H1069" s="1" t="s">
        <v>2649</v>
      </c>
      <c r="I1069" s="1" t="s">
        <v>17364</v>
      </c>
      <c r="J1069" s="1" t="s">
        <v>17361</v>
      </c>
      <c r="K1069" s="1">
        <v>6</v>
      </c>
      <c r="L1069" s="1" t="s">
        <v>4254</v>
      </c>
      <c r="M1069" s="1">
        <v>10</v>
      </c>
      <c r="N1069" s="1" t="s">
        <v>4237</v>
      </c>
    </row>
    <row r="1070" spans="1:14" x14ac:dyDescent="0.15">
      <c r="A1070" s="1">
        <v>182</v>
      </c>
      <c r="B1070" s="1" t="s">
        <v>2638</v>
      </c>
      <c r="C1070" s="1" t="s">
        <v>2641</v>
      </c>
      <c r="D1070" s="1" t="s">
        <v>2642</v>
      </c>
      <c r="E1070" s="1" t="s">
        <v>2641</v>
      </c>
      <c r="F1070" s="1" t="s">
        <v>2642</v>
      </c>
      <c r="G1070" s="1" t="s">
        <v>2648</v>
      </c>
      <c r="H1070" s="1" t="s">
        <v>2649</v>
      </c>
      <c r="I1070" s="1" t="s">
        <v>8123</v>
      </c>
      <c r="J1070" s="1" t="s">
        <v>2645</v>
      </c>
      <c r="K1070" s="1">
        <v>6</v>
      </c>
      <c r="L1070" s="1" t="s">
        <v>4254</v>
      </c>
      <c r="M1070" s="1">
        <v>10</v>
      </c>
      <c r="N1070" s="1" t="s">
        <v>4237</v>
      </c>
    </row>
    <row r="1071" spans="1:14" x14ac:dyDescent="0.15">
      <c r="A1071" s="1">
        <v>204</v>
      </c>
      <c r="B1071" s="1" t="s">
        <v>4233</v>
      </c>
      <c r="C1071" s="1" t="s">
        <v>4234</v>
      </c>
      <c r="D1071" s="1" t="s">
        <v>4233</v>
      </c>
      <c r="E1071" s="1" t="s">
        <v>4234</v>
      </c>
      <c r="F1071" s="1" t="s">
        <v>4233</v>
      </c>
      <c r="G1071" s="1" t="s">
        <v>4235</v>
      </c>
      <c r="H1071" s="1" t="s">
        <v>4233</v>
      </c>
      <c r="I1071" s="1" t="s">
        <v>9395</v>
      </c>
      <c r="J1071" s="1" t="s">
        <v>2651</v>
      </c>
      <c r="K1071" s="1">
        <v>16</v>
      </c>
      <c r="L1071" s="1" t="s">
        <v>4236</v>
      </c>
      <c r="M1071" s="1">
        <v>10</v>
      </c>
      <c r="N1071" s="1" t="s">
        <v>4237</v>
      </c>
    </row>
    <row r="1072" spans="1:14" x14ac:dyDescent="0.15">
      <c r="A1072" s="1">
        <v>204</v>
      </c>
      <c r="B1072" s="1" t="s">
        <v>4233</v>
      </c>
      <c r="C1072" s="1" t="s">
        <v>4234</v>
      </c>
      <c r="D1072" s="1" t="s">
        <v>4233</v>
      </c>
      <c r="E1072" s="1" t="s">
        <v>4234</v>
      </c>
      <c r="F1072" s="1" t="s">
        <v>4233</v>
      </c>
      <c r="G1072" s="1" t="s">
        <v>4235</v>
      </c>
      <c r="H1072" s="1" t="s">
        <v>4233</v>
      </c>
      <c r="I1072" s="1" t="s">
        <v>9398</v>
      </c>
      <c r="J1072" s="1" t="s">
        <v>2652</v>
      </c>
      <c r="K1072" s="1">
        <v>16</v>
      </c>
      <c r="L1072" s="1" t="s">
        <v>4236</v>
      </c>
      <c r="M1072" s="1">
        <v>10</v>
      </c>
      <c r="N1072" s="1" t="s">
        <v>4237</v>
      </c>
    </row>
    <row r="1073" spans="1:14" x14ac:dyDescent="0.15">
      <c r="A1073" s="1">
        <v>204</v>
      </c>
      <c r="B1073" s="1" t="s">
        <v>4233</v>
      </c>
      <c r="C1073" s="1" t="s">
        <v>4234</v>
      </c>
      <c r="D1073" s="1" t="s">
        <v>4233</v>
      </c>
      <c r="E1073" s="1" t="s">
        <v>4234</v>
      </c>
      <c r="F1073" s="1" t="s">
        <v>4233</v>
      </c>
      <c r="G1073" s="1" t="s">
        <v>4235</v>
      </c>
      <c r="H1073" s="1" t="s">
        <v>4233</v>
      </c>
      <c r="I1073" s="1" t="s">
        <v>14930</v>
      </c>
      <c r="J1073" s="1" t="s">
        <v>14927</v>
      </c>
      <c r="K1073" s="1">
        <v>16</v>
      </c>
      <c r="L1073" s="1" t="s">
        <v>4236</v>
      </c>
      <c r="M1073" s="1">
        <v>10</v>
      </c>
      <c r="N1073" s="1" t="s">
        <v>4237</v>
      </c>
    </row>
    <row r="1074" spans="1:14" x14ac:dyDescent="0.15">
      <c r="A1074" s="1">
        <v>182</v>
      </c>
      <c r="B1074" s="1" t="s">
        <v>2638</v>
      </c>
      <c r="C1074" s="1" t="s">
        <v>2641</v>
      </c>
      <c r="D1074" s="1" t="s">
        <v>2642</v>
      </c>
      <c r="E1074" s="1" t="s">
        <v>2641</v>
      </c>
      <c r="F1074" s="1" t="s">
        <v>2642</v>
      </c>
      <c r="G1074" s="1" t="s">
        <v>2653</v>
      </c>
      <c r="H1074" s="1" t="s">
        <v>2654</v>
      </c>
      <c r="I1074" s="1" t="s">
        <v>14580</v>
      </c>
      <c r="J1074" s="1" t="s">
        <v>14577</v>
      </c>
      <c r="K1074" s="1">
        <v>6</v>
      </c>
      <c r="L1074" s="1" t="s">
        <v>4254</v>
      </c>
      <c r="M1074" s="1">
        <v>10</v>
      </c>
      <c r="N1074" s="1" t="s">
        <v>4237</v>
      </c>
    </row>
    <row r="1075" spans="1:14" x14ac:dyDescent="0.15">
      <c r="A1075" s="1">
        <v>182</v>
      </c>
      <c r="B1075" s="1" t="s">
        <v>2638</v>
      </c>
      <c r="C1075" s="1" t="s">
        <v>2641</v>
      </c>
      <c r="D1075" s="1" t="s">
        <v>2642</v>
      </c>
      <c r="E1075" s="1" t="s">
        <v>2641</v>
      </c>
      <c r="F1075" s="1" t="s">
        <v>2642</v>
      </c>
      <c r="G1075" s="1" t="s">
        <v>2653</v>
      </c>
      <c r="H1075" s="1" t="s">
        <v>2654</v>
      </c>
      <c r="I1075" s="1" t="s">
        <v>14587</v>
      </c>
      <c r="J1075" s="1" t="s">
        <v>14584</v>
      </c>
      <c r="K1075" s="1">
        <v>6</v>
      </c>
      <c r="L1075" s="1" t="s">
        <v>4254</v>
      </c>
      <c r="M1075" s="1">
        <v>10</v>
      </c>
      <c r="N1075" s="1" t="s">
        <v>4237</v>
      </c>
    </row>
    <row r="1076" spans="1:14" x14ac:dyDescent="0.15">
      <c r="A1076" s="1">
        <v>182</v>
      </c>
      <c r="B1076" s="1" t="s">
        <v>2638</v>
      </c>
      <c r="C1076" s="1" t="s">
        <v>2641</v>
      </c>
      <c r="D1076" s="1" t="s">
        <v>2642</v>
      </c>
      <c r="E1076" s="1" t="s">
        <v>2641</v>
      </c>
      <c r="F1076" s="1" t="s">
        <v>2642</v>
      </c>
      <c r="G1076" s="1" t="s">
        <v>2653</v>
      </c>
      <c r="H1076" s="1" t="s">
        <v>2654</v>
      </c>
      <c r="I1076" s="1" t="s">
        <v>17322</v>
      </c>
      <c r="J1076" s="1" t="s">
        <v>17319</v>
      </c>
      <c r="K1076" s="1">
        <v>6</v>
      </c>
      <c r="L1076" s="1" t="s">
        <v>4254</v>
      </c>
      <c r="M1076" s="1">
        <v>10</v>
      </c>
      <c r="N1076" s="1" t="s">
        <v>4237</v>
      </c>
    </row>
    <row r="1077" spans="1:14" x14ac:dyDescent="0.15">
      <c r="A1077" s="1">
        <v>182</v>
      </c>
      <c r="B1077" s="1" t="s">
        <v>2638</v>
      </c>
      <c r="C1077" s="1" t="s">
        <v>2641</v>
      </c>
      <c r="D1077" s="1" t="s">
        <v>2642</v>
      </c>
      <c r="E1077" s="1" t="s">
        <v>2641</v>
      </c>
      <c r="F1077" s="1" t="s">
        <v>2642</v>
      </c>
      <c r="G1077" s="1" t="s">
        <v>2653</v>
      </c>
      <c r="H1077" s="1" t="s">
        <v>2654</v>
      </c>
      <c r="I1077" s="1" t="s">
        <v>17329</v>
      </c>
      <c r="J1077" s="1" t="s">
        <v>17326</v>
      </c>
      <c r="K1077" s="1">
        <v>6</v>
      </c>
      <c r="L1077" s="1" t="s">
        <v>4254</v>
      </c>
      <c r="M1077" s="1">
        <v>10</v>
      </c>
      <c r="N1077" s="1" t="s">
        <v>4237</v>
      </c>
    </row>
    <row r="1078" spans="1:14" x14ac:dyDescent="0.15">
      <c r="A1078" s="1">
        <v>182</v>
      </c>
      <c r="B1078" s="1" t="s">
        <v>2638</v>
      </c>
      <c r="C1078" s="1" t="s">
        <v>2641</v>
      </c>
      <c r="D1078" s="1" t="s">
        <v>2642</v>
      </c>
      <c r="E1078" s="1" t="s">
        <v>2641</v>
      </c>
      <c r="F1078" s="1" t="s">
        <v>2642</v>
      </c>
      <c r="G1078" s="1" t="s">
        <v>2653</v>
      </c>
      <c r="H1078" s="1" t="s">
        <v>2654</v>
      </c>
      <c r="I1078" s="1" t="s">
        <v>11080</v>
      </c>
      <c r="J1078" s="1" t="s">
        <v>2644</v>
      </c>
      <c r="K1078" s="1">
        <v>6</v>
      </c>
      <c r="L1078" s="1" t="s">
        <v>4254</v>
      </c>
      <c r="M1078" s="1">
        <v>10</v>
      </c>
      <c r="N1078" s="1" t="s">
        <v>4237</v>
      </c>
    </row>
    <row r="1079" spans="1:14" x14ac:dyDescent="0.15">
      <c r="A1079" s="1">
        <v>182</v>
      </c>
      <c r="B1079" s="1" t="s">
        <v>2638</v>
      </c>
      <c r="C1079" s="1" t="s">
        <v>2641</v>
      </c>
      <c r="D1079" s="1" t="s">
        <v>2642</v>
      </c>
      <c r="E1079" s="1" t="s">
        <v>2641</v>
      </c>
      <c r="F1079" s="1" t="s">
        <v>2642</v>
      </c>
      <c r="G1079" s="1" t="s">
        <v>2653</v>
      </c>
      <c r="H1079" s="1" t="s">
        <v>2654</v>
      </c>
      <c r="I1079" s="1" t="s">
        <v>17364</v>
      </c>
      <c r="J1079" s="1" t="s">
        <v>17361</v>
      </c>
      <c r="K1079" s="1">
        <v>6</v>
      </c>
      <c r="L1079" s="1" t="s">
        <v>4254</v>
      </c>
      <c r="M1079" s="1">
        <v>10</v>
      </c>
      <c r="N1079" s="1" t="s">
        <v>4237</v>
      </c>
    </row>
    <row r="1080" spans="1:14" x14ac:dyDescent="0.15">
      <c r="A1080" s="1">
        <v>182</v>
      </c>
      <c r="B1080" s="1" t="s">
        <v>2638</v>
      </c>
      <c r="C1080" s="1" t="s">
        <v>2641</v>
      </c>
      <c r="D1080" s="1" t="s">
        <v>2642</v>
      </c>
      <c r="E1080" s="1" t="s">
        <v>2641</v>
      </c>
      <c r="F1080" s="1" t="s">
        <v>2642</v>
      </c>
      <c r="G1080" s="1" t="s">
        <v>2653</v>
      </c>
      <c r="H1080" s="1" t="s">
        <v>2654</v>
      </c>
      <c r="I1080" s="1" t="s">
        <v>8123</v>
      </c>
      <c r="J1080" s="1" t="s">
        <v>2645</v>
      </c>
      <c r="K1080" s="1">
        <v>6</v>
      </c>
      <c r="L1080" s="1" t="s">
        <v>4254</v>
      </c>
      <c r="M1080" s="1">
        <v>10</v>
      </c>
      <c r="N1080" s="1" t="s">
        <v>4237</v>
      </c>
    </row>
    <row r="1081" spans="1:14" x14ac:dyDescent="0.15">
      <c r="A1081" s="1">
        <v>182</v>
      </c>
      <c r="B1081" s="1" t="s">
        <v>2638</v>
      </c>
      <c r="C1081" s="1" t="s">
        <v>2655</v>
      </c>
      <c r="D1081" s="1" t="s">
        <v>2656</v>
      </c>
      <c r="E1081" s="1" t="s">
        <v>2655</v>
      </c>
      <c r="F1081" s="1" t="s">
        <v>2656</v>
      </c>
      <c r="G1081" s="1" t="s">
        <v>2657</v>
      </c>
      <c r="H1081" s="1" t="s">
        <v>2656</v>
      </c>
      <c r="I1081" s="1" t="s">
        <v>14580</v>
      </c>
      <c r="J1081" s="1" t="s">
        <v>14577</v>
      </c>
      <c r="K1081" s="1">
        <v>6</v>
      </c>
      <c r="L1081" s="1" t="s">
        <v>4254</v>
      </c>
      <c r="M1081" s="1">
        <v>10</v>
      </c>
      <c r="N1081" s="1" t="s">
        <v>4237</v>
      </c>
    </row>
    <row r="1082" spans="1:14" x14ac:dyDescent="0.15">
      <c r="A1082" s="1">
        <v>182</v>
      </c>
      <c r="B1082" s="1" t="s">
        <v>2638</v>
      </c>
      <c r="C1082" s="1" t="s">
        <v>2655</v>
      </c>
      <c r="D1082" s="1" t="s">
        <v>2656</v>
      </c>
      <c r="E1082" s="1" t="s">
        <v>2655</v>
      </c>
      <c r="F1082" s="1" t="s">
        <v>2656</v>
      </c>
      <c r="G1082" s="1" t="s">
        <v>2657</v>
      </c>
      <c r="H1082" s="1" t="s">
        <v>2656</v>
      </c>
      <c r="I1082" s="1" t="s">
        <v>17343</v>
      </c>
      <c r="J1082" s="1" t="s">
        <v>17340</v>
      </c>
      <c r="K1082" s="1">
        <v>6</v>
      </c>
      <c r="L1082" s="1" t="s">
        <v>4254</v>
      </c>
      <c r="M1082" s="1">
        <v>10</v>
      </c>
      <c r="N1082" s="1" t="s">
        <v>4237</v>
      </c>
    </row>
    <row r="1083" spans="1:14" x14ac:dyDescent="0.15">
      <c r="A1083" s="1">
        <v>182</v>
      </c>
      <c r="B1083" s="1" t="s">
        <v>2638</v>
      </c>
      <c r="C1083" s="1" t="s">
        <v>2658</v>
      </c>
      <c r="D1083" s="1" t="s">
        <v>2659</v>
      </c>
      <c r="E1083" s="1" t="s">
        <v>2658</v>
      </c>
      <c r="F1083" s="1" t="s">
        <v>2659</v>
      </c>
      <c r="G1083" s="1" t="s">
        <v>2660</v>
      </c>
      <c r="H1083" s="1" t="s">
        <v>2659</v>
      </c>
      <c r="I1083" s="1" t="s">
        <v>9252</v>
      </c>
      <c r="J1083" s="1" t="s">
        <v>2527</v>
      </c>
      <c r="K1083" s="1">
        <v>6</v>
      </c>
      <c r="L1083" s="1" t="s">
        <v>4254</v>
      </c>
      <c r="M1083" s="1">
        <v>10</v>
      </c>
      <c r="N1083" s="1" t="s">
        <v>4237</v>
      </c>
    </row>
    <row r="1084" spans="1:14" x14ac:dyDescent="0.15">
      <c r="A1084" s="1">
        <v>182</v>
      </c>
      <c r="B1084" s="1" t="s">
        <v>2638</v>
      </c>
      <c r="C1084" s="1" t="s">
        <v>2658</v>
      </c>
      <c r="D1084" s="1" t="s">
        <v>2659</v>
      </c>
      <c r="E1084" s="1" t="s">
        <v>2658</v>
      </c>
      <c r="F1084" s="1" t="s">
        <v>2659</v>
      </c>
      <c r="G1084" s="1" t="s">
        <v>2660</v>
      </c>
      <c r="H1084" s="1" t="s">
        <v>2659</v>
      </c>
      <c r="I1084" s="1" t="s">
        <v>14580</v>
      </c>
      <c r="J1084" s="1" t="s">
        <v>14577</v>
      </c>
      <c r="K1084" s="1">
        <v>6</v>
      </c>
      <c r="L1084" s="1" t="s">
        <v>4254</v>
      </c>
      <c r="M1084" s="1">
        <v>10</v>
      </c>
      <c r="N1084" s="1" t="s">
        <v>4237</v>
      </c>
    </row>
    <row r="1085" spans="1:14" x14ac:dyDescent="0.15">
      <c r="A1085" s="1">
        <v>182</v>
      </c>
      <c r="B1085" s="1" t="s">
        <v>2638</v>
      </c>
      <c r="C1085" s="1" t="s">
        <v>2658</v>
      </c>
      <c r="D1085" s="1" t="s">
        <v>2659</v>
      </c>
      <c r="E1085" s="1" t="s">
        <v>2658</v>
      </c>
      <c r="F1085" s="1" t="s">
        <v>2659</v>
      </c>
      <c r="G1085" s="1" t="s">
        <v>2660</v>
      </c>
      <c r="H1085" s="1" t="s">
        <v>2659</v>
      </c>
      <c r="I1085" s="1" t="s">
        <v>17308</v>
      </c>
      <c r="J1085" s="1" t="s">
        <v>17305</v>
      </c>
      <c r="K1085" s="1">
        <v>6</v>
      </c>
      <c r="L1085" s="1" t="s">
        <v>4254</v>
      </c>
      <c r="M1085" s="1">
        <v>10</v>
      </c>
      <c r="N1085" s="1" t="s">
        <v>4237</v>
      </c>
    </row>
    <row r="1086" spans="1:14" x14ac:dyDescent="0.15">
      <c r="A1086" s="1">
        <v>182</v>
      </c>
      <c r="B1086" s="1" t="s">
        <v>2638</v>
      </c>
      <c r="C1086" s="1" t="s">
        <v>2658</v>
      </c>
      <c r="D1086" s="1" t="s">
        <v>2659</v>
      </c>
      <c r="E1086" s="1" t="s">
        <v>2658</v>
      </c>
      <c r="F1086" s="1" t="s">
        <v>2659</v>
      </c>
      <c r="G1086" s="1" t="s">
        <v>2660</v>
      </c>
      <c r="H1086" s="1" t="s">
        <v>2659</v>
      </c>
      <c r="I1086" s="1" t="s">
        <v>17315</v>
      </c>
      <c r="J1086" s="1" t="s">
        <v>17312</v>
      </c>
      <c r="K1086" s="1">
        <v>6</v>
      </c>
      <c r="L1086" s="1" t="s">
        <v>4254</v>
      </c>
      <c r="M1086" s="1">
        <v>10</v>
      </c>
      <c r="N1086" s="1" t="s">
        <v>4237</v>
      </c>
    </row>
    <row r="1087" spans="1:14" x14ac:dyDescent="0.15">
      <c r="A1087" s="1">
        <v>182</v>
      </c>
      <c r="B1087" s="1" t="s">
        <v>2638</v>
      </c>
      <c r="C1087" s="1" t="s">
        <v>2658</v>
      </c>
      <c r="D1087" s="1" t="s">
        <v>2659</v>
      </c>
      <c r="E1087" s="1" t="s">
        <v>2658</v>
      </c>
      <c r="F1087" s="1" t="s">
        <v>2659</v>
      </c>
      <c r="G1087" s="1" t="s">
        <v>2660</v>
      </c>
      <c r="H1087" s="1" t="s">
        <v>2659</v>
      </c>
      <c r="I1087" s="1" t="s">
        <v>10597</v>
      </c>
      <c r="J1087" s="1" t="s">
        <v>2661</v>
      </c>
      <c r="K1087" s="1">
        <v>6</v>
      </c>
      <c r="L1087" s="1" t="s">
        <v>4254</v>
      </c>
      <c r="M1087" s="1">
        <v>10</v>
      </c>
      <c r="N1087" s="1" t="s">
        <v>4237</v>
      </c>
    </row>
    <row r="1088" spans="1:14" x14ac:dyDescent="0.15">
      <c r="A1088" s="1">
        <v>182</v>
      </c>
      <c r="B1088" s="1" t="s">
        <v>2638</v>
      </c>
      <c r="C1088" s="1" t="s">
        <v>2658</v>
      </c>
      <c r="D1088" s="1" t="s">
        <v>2659</v>
      </c>
      <c r="E1088" s="1" t="s">
        <v>2658</v>
      </c>
      <c r="F1088" s="1" t="s">
        <v>2659</v>
      </c>
      <c r="G1088" s="1" t="s">
        <v>2660</v>
      </c>
      <c r="H1088" s="1" t="s">
        <v>2659</v>
      </c>
      <c r="I1088" s="1" t="s">
        <v>17329</v>
      </c>
      <c r="J1088" s="1" t="s">
        <v>17326</v>
      </c>
      <c r="K1088" s="1">
        <v>6</v>
      </c>
      <c r="L1088" s="1" t="s">
        <v>4254</v>
      </c>
      <c r="M1088" s="1">
        <v>10</v>
      </c>
      <c r="N1088" s="1" t="s">
        <v>4237</v>
      </c>
    </row>
    <row r="1089" spans="1:14" x14ac:dyDescent="0.15">
      <c r="A1089" s="1">
        <v>182</v>
      </c>
      <c r="B1089" s="1" t="s">
        <v>2638</v>
      </c>
      <c r="C1089" s="1" t="s">
        <v>2658</v>
      </c>
      <c r="D1089" s="1" t="s">
        <v>2659</v>
      </c>
      <c r="E1089" s="1" t="s">
        <v>2658</v>
      </c>
      <c r="F1089" s="1" t="s">
        <v>2659</v>
      </c>
      <c r="G1089" s="1" t="s">
        <v>2660</v>
      </c>
      <c r="H1089" s="1" t="s">
        <v>2659</v>
      </c>
      <c r="I1089" s="1" t="s">
        <v>17336</v>
      </c>
      <c r="J1089" s="1" t="s">
        <v>17333</v>
      </c>
      <c r="K1089" s="1">
        <v>6</v>
      </c>
      <c r="L1089" s="1" t="s">
        <v>4254</v>
      </c>
      <c r="M1089" s="1">
        <v>10</v>
      </c>
      <c r="N1089" s="1" t="s">
        <v>4237</v>
      </c>
    </row>
    <row r="1090" spans="1:14" x14ac:dyDescent="0.15">
      <c r="A1090" s="1">
        <v>182</v>
      </c>
      <c r="B1090" s="1" t="s">
        <v>2638</v>
      </c>
      <c r="C1090" s="1" t="s">
        <v>2658</v>
      </c>
      <c r="D1090" s="1" t="s">
        <v>2659</v>
      </c>
      <c r="E1090" s="1" t="s">
        <v>2658</v>
      </c>
      <c r="F1090" s="1" t="s">
        <v>2659</v>
      </c>
      <c r="G1090" s="1" t="s">
        <v>2660</v>
      </c>
      <c r="H1090" s="1" t="s">
        <v>2659</v>
      </c>
      <c r="I1090" s="1" t="s">
        <v>9087</v>
      </c>
      <c r="J1090" s="1" t="s">
        <v>2662</v>
      </c>
      <c r="K1090" s="1">
        <v>6</v>
      </c>
      <c r="L1090" s="1" t="s">
        <v>4254</v>
      </c>
      <c r="M1090" s="1">
        <v>10</v>
      </c>
      <c r="N1090" s="1" t="s">
        <v>4237</v>
      </c>
    </row>
    <row r="1091" spans="1:14" x14ac:dyDescent="0.15">
      <c r="A1091" s="1">
        <v>182</v>
      </c>
      <c r="B1091" s="1" t="s">
        <v>2638</v>
      </c>
      <c r="C1091" s="1" t="s">
        <v>2658</v>
      </c>
      <c r="D1091" s="1" t="s">
        <v>2659</v>
      </c>
      <c r="E1091" s="1" t="s">
        <v>2658</v>
      </c>
      <c r="F1091" s="1" t="s">
        <v>2659</v>
      </c>
      <c r="G1091" s="1" t="s">
        <v>2660</v>
      </c>
      <c r="H1091" s="1" t="s">
        <v>2659</v>
      </c>
      <c r="I1091" s="1" t="s">
        <v>17350</v>
      </c>
      <c r="J1091" s="1" t="s">
        <v>17347</v>
      </c>
      <c r="K1091" s="1">
        <v>6</v>
      </c>
      <c r="L1091" s="1" t="s">
        <v>4254</v>
      </c>
      <c r="M1091" s="1">
        <v>10</v>
      </c>
      <c r="N1091" s="1" t="s">
        <v>4237</v>
      </c>
    </row>
    <row r="1092" spans="1:14" x14ac:dyDescent="0.15">
      <c r="A1092" s="1">
        <v>182</v>
      </c>
      <c r="B1092" s="1" t="s">
        <v>2638</v>
      </c>
      <c r="C1092" s="1" t="s">
        <v>2658</v>
      </c>
      <c r="D1092" s="1" t="s">
        <v>2659</v>
      </c>
      <c r="E1092" s="1" t="s">
        <v>2658</v>
      </c>
      <c r="F1092" s="1" t="s">
        <v>2659</v>
      </c>
      <c r="G1092" s="1" t="s">
        <v>2660</v>
      </c>
      <c r="H1092" s="1" t="s">
        <v>2659</v>
      </c>
      <c r="I1092" s="1" t="s">
        <v>17357</v>
      </c>
      <c r="J1092" s="1" t="s">
        <v>17354</v>
      </c>
      <c r="K1092" s="1">
        <v>6</v>
      </c>
      <c r="L1092" s="1" t="s">
        <v>4254</v>
      </c>
      <c r="M1092" s="1">
        <v>10</v>
      </c>
      <c r="N1092" s="1" t="s">
        <v>4237</v>
      </c>
    </row>
    <row r="1093" spans="1:14" x14ac:dyDescent="0.15">
      <c r="A1093" s="1">
        <v>182</v>
      </c>
      <c r="B1093" s="1" t="s">
        <v>2638</v>
      </c>
      <c r="C1093" s="1" t="s">
        <v>2658</v>
      </c>
      <c r="D1093" s="1" t="s">
        <v>2659</v>
      </c>
      <c r="E1093" s="1" t="s">
        <v>2658</v>
      </c>
      <c r="F1093" s="1" t="s">
        <v>2659</v>
      </c>
      <c r="G1093" s="1" t="s">
        <v>2660</v>
      </c>
      <c r="H1093" s="1" t="s">
        <v>2659</v>
      </c>
      <c r="I1093" s="1" t="s">
        <v>9102</v>
      </c>
      <c r="J1093" s="1" t="s">
        <v>2663</v>
      </c>
      <c r="K1093" s="1">
        <v>6</v>
      </c>
      <c r="L1093" s="1" t="s">
        <v>4254</v>
      </c>
      <c r="M1093" s="1">
        <v>10</v>
      </c>
      <c r="N1093" s="1" t="s">
        <v>4237</v>
      </c>
    </row>
    <row r="1094" spans="1:14" x14ac:dyDescent="0.15">
      <c r="A1094" s="1">
        <v>182</v>
      </c>
      <c r="B1094" s="1" t="s">
        <v>2638</v>
      </c>
      <c r="C1094" s="1" t="s">
        <v>2658</v>
      </c>
      <c r="D1094" s="1" t="s">
        <v>2659</v>
      </c>
      <c r="E1094" s="1" t="s">
        <v>2658</v>
      </c>
      <c r="F1094" s="1" t="s">
        <v>2659</v>
      </c>
      <c r="G1094" s="1" t="s">
        <v>2660</v>
      </c>
      <c r="H1094" s="1" t="s">
        <v>2659</v>
      </c>
      <c r="I1094" s="1" t="s">
        <v>9178</v>
      </c>
      <c r="J1094" s="1" t="s">
        <v>2664</v>
      </c>
      <c r="K1094" s="1">
        <v>6</v>
      </c>
      <c r="L1094" s="1" t="s">
        <v>4254</v>
      </c>
      <c r="M1094" s="1">
        <v>10</v>
      </c>
      <c r="N1094" s="1" t="s">
        <v>4237</v>
      </c>
    </row>
    <row r="1095" spans="1:14" x14ac:dyDescent="0.15">
      <c r="A1095" s="1">
        <v>182</v>
      </c>
      <c r="B1095" s="1" t="s">
        <v>2638</v>
      </c>
      <c r="C1095" s="1" t="s">
        <v>2658</v>
      </c>
      <c r="D1095" s="1" t="s">
        <v>2659</v>
      </c>
      <c r="E1095" s="1" t="s">
        <v>2658</v>
      </c>
      <c r="F1095" s="1" t="s">
        <v>2659</v>
      </c>
      <c r="G1095" s="1" t="s">
        <v>2660</v>
      </c>
      <c r="H1095" s="1" t="s">
        <v>2659</v>
      </c>
      <c r="I1095" s="1" t="s">
        <v>9113</v>
      </c>
      <c r="J1095" s="1" t="s">
        <v>2665</v>
      </c>
      <c r="K1095" s="1">
        <v>6</v>
      </c>
      <c r="L1095" s="1" t="s">
        <v>4254</v>
      </c>
      <c r="M1095" s="1">
        <v>10</v>
      </c>
      <c r="N1095" s="1" t="s">
        <v>4237</v>
      </c>
    </row>
    <row r="1096" spans="1:14" x14ac:dyDescent="0.15">
      <c r="A1096" s="1">
        <v>182</v>
      </c>
      <c r="B1096" s="1" t="s">
        <v>2638</v>
      </c>
      <c r="C1096" s="1" t="s">
        <v>2658</v>
      </c>
      <c r="D1096" s="1" t="s">
        <v>2659</v>
      </c>
      <c r="E1096" s="1" t="s">
        <v>2658</v>
      </c>
      <c r="F1096" s="1" t="s">
        <v>2659</v>
      </c>
      <c r="G1096" s="1" t="s">
        <v>2660</v>
      </c>
      <c r="H1096" s="1" t="s">
        <v>2659</v>
      </c>
      <c r="I1096" s="1" t="s">
        <v>9225</v>
      </c>
      <c r="J1096" s="1" t="s">
        <v>2666</v>
      </c>
      <c r="K1096" s="1">
        <v>6</v>
      </c>
      <c r="L1096" s="1" t="s">
        <v>4254</v>
      </c>
      <c r="M1096" s="1">
        <v>10</v>
      </c>
      <c r="N1096" s="1" t="s">
        <v>4237</v>
      </c>
    </row>
    <row r="1097" spans="1:14" x14ac:dyDescent="0.15">
      <c r="A1097" s="1">
        <v>182</v>
      </c>
      <c r="B1097" s="1" t="s">
        <v>2638</v>
      </c>
      <c r="C1097" s="1" t="s">
        <v>2658</v>
      </c>
      <c r="D1097" s="1" t="s">
        <v>2659</v>
      </c>
      <c r="E1097" s="1" t="s">
        <v>2658</v>
      </c>
      <c r="F1097" s="1" t="s">
        <v>2659</v>
      </c>
      <c r="G1097" s="1" t="s">
        <v>2660</v>
      </c>
      <c r="H1097" s="1" t="s">
        <v>2659</v>
      </c>
      <c r="I1097" s="1" t="s">
        <v>9121</v>
      </c>
      <c r="J1097" s="1" t="s">
        <v>2667</v>
      </c>
      <c r="K1097" s="1">
        <v>6</v>
      </c>
      <c r="L1097" s="1" t="s">
        <v>4254</v>
      </c>
      <c r="M1097" s="1">
        <v>10</v>
      </c>
      <c r="N1097" s="1" t="s">
        <v>4237</v>
      </c>
    </row>
    <row r="1098" spans="1:14" x14ac:dyDescent="0.15">
      <c r="A1098" s="1">
        <v>182</v>
      </c>
      <c r="B1098" s="1" t="s">
        <v>2638</v>
      </c>
      <c r="C1098" s="1" t="s">
        <v>2658</v>
      </c>
      <c r="D1098" s="1" t="s">
        <v>2659</v>
      </c>
      <c r="E1098" s="1" t="s">
        <v>2658</v>
      </c>
      <c r="F1098" s="1" t="s">
        <v>2659</v>
      </c>
      <c r="G1098" s="1" t="s">
        <v>2660</v>
      </c>
      <c r="H1098" s="1" t="s">
        <v>2659</v>
      </c>
      <c r="I1098" s="1" t="s">
        <v>9127</v>
      </c>
      <c r="J1098" s="1" t="s">
        <v>2668</v>
      </c>
      <c r="K1098" s="1">
        <v>6</v>
      </c>
      <c r="L1098" s="1" t="s">
        <v>4254</v>
      </c>
      <c r="M1098" s="1">
        <v>10</v>
      </c>
      <c r="N1098" s="1" t="s">
        <v>4237</v>
      </c>
    </row>
    <row r="1099" spans="1:14" x14ac:dyDescent="0.15">
      <c r="A1099" s="1">
        <v>182</v>
      </c>
      <c r="B1099" s="1" t="s">
        <v>2638</v>
      </c>
      <c r="C1099" s="1" t="s">
        <v>2658</v>
      </c>
      <c r="D1099" s="1" t="s">
        <v>2659</v>
      </c>
      <c r="E1099" s="1" t="s">
        <v>2658</v>
      </c>
      <c r="F1099" s="1" t="s">
        <v>2659</v>
      </c>
      <c r="G1099" s="1" t="s">
        <v>2660</v>
      </c>
      <c r="H1099" s="1" t="s">
        <v>2659</v>
      </c>
      <c r="I1099" s="1" t="s">
        <v>10061</v>
      </c>
      <c r="J1099" s="1" t="s">
        <v>2669</v>
      </c>
      <c r="K1099" s="1">
        <v>6</v>
      </c>
      <c r="L1099" s="1" t="s">
        <v>4254</v>
      </c>
      <c r="M1099" s="1">
        <v>10</v>
      </c>
      <c r="N1099" s="1" t="s">
        <v>4237</v>
      </c>
    </row>
    <row r="1100" spans="1:14" x14ac:dyDescent="0.15">
      <c r="A1100" s="1">
        <v>182</v>
      </c>
      <c r="B1100" s="1" t="s">
        <v>2638</v>
      </c>
      <c r="C1100" s="1" t="s">
        <v>2658</v>
      </c>
      <c r="D1100" s="1" t="s">
        <v>2659</v>
      </c>
      <c r="E1100" s="1" t="s">
        <v>2658</v>
      </c>
      <c r="F1100" s="1" t="s">
        <v>2659</v>
      </c>
      <c r="G1100" s="1" t="s">
        <v>2660</v>
      </c>
      <c r="H1100" s="1" t="s">
        <v>2659</v>
      </c>
      <c r="I1100" s="1" t="s">
        <v>9135</v>
      </c>
      <c r="J1100" s="1" t="s">
        <v>2670</v>
      </c>
      <c r="K1100" s="1">
        <v>6</v>
      </c>
      <c r="L1100" s="1" t="s">
        <v>4254</v>
      </c>
      <c r="M1100" s="1">
        <v>10</v>
      </c>
      <c r="N1100" s="1" t="s">
        <v>4237</v>
      </c>
    </row>
    <row r="1101" spans="1:14" x14ac:dyDescent="0.15">
      <c r="A1101" s="1">
        <v>182</v>
      </c>
      <c r="B1101" s="1" t="s">
        <v>2638</v>
      </c>
      <c r="C1101" s="1" t="s">
        <v>2658</v>
      </c>
      <c r="D1101" s="1" t="s">
        <v>2659</v>
      </c>
      <c r="E1101" s="1" t="s">
        <v>2658</v>
      </c>
      <c r="F1101" s="1" t="s">
        <v>2659</v>
      </c>
      <c r="G1101" s="1" t="s">
        <v>2660</v>
      </c>
      <c r="H1101" s="1" t="s">
        <v>2659</v>
      </c>
      <c r="I1101" s="1" t="s">
        <v>17371</v>
      </c>
      <c r="J1101" s="1" t="s">
        <v>17368</v>
      </c>
      <c r="K1101" s="1">
        <v>6</v>
      </c>
      <c r="L1101" s="1" t="s">
        <v>4254</v>
      </c>
      <c r="M1101" s="1">
        <v>10</v>
      </c>
      <c r="N1101" s="1" t="s">
        <v>4237</v>
      </c>
    </row>
    <row r="1102" spans="1:14" x14ac:dyDescent="0.15">
      <c r="A1102" s="1">
        <v>183</v>
      </c>
      <c r="B1102" s="1" t="s">
        <v>2671</v>
      </c>
      <c r="C1102" s="1" t="s">
        <v>2672</v>
      </c>
      <c r="D1102" s="1" t="s">
        <v>2671</v>
      </c>
      <c r="E1102" s="1" t="s">
        <v>2672</v>
      </c>
      <c r="F1102" s="1" t="s">
        <v>2671</v>
      </c>
      <c r="G1102" s="1" t="s">
        <v>2673</v>
      </c>
      <c r="H1102" s="1" t="s">
        <v>2671</v>
      </c>
      <c r="I1102" s="1" t="s">
        <v>14711</v>
      </c>
      <c r="J1102" s="1" t="s">
        <v>14708</v>
      </c>
      <c r="K1102" s="1">
        <v>6</v>
      </c>
      <c r="L1102" s="1" t="s">
        <v>4254</v>
      </c>
      <c r="M1102" s="1">
        <v>10</v>
      </c>
      <c r="N1102" s="1" t="s">
        <v>4237</v>
      </c>
    </row>
    <row r="1103" spans="1:14" x14ac:dyDescent="0.15">
      <c r="A1103" s="1">
        <v>183</v>
      </c>
      <c r="B1103" s="1" t="s">
        <v>2671</v>
      </c>
      <c r="C1103" s="1" t="s">
        <v>2672</v>
      </c>
      <c r="D1103" s="1" t="s">
        <v>2671</v>
      </c>
      <c r="E1103" s="1" t="s">
        <v>2672</v>
      </c>
      <c r="F1103" s="1" t="s">
        <v>2671</v>
      </c>
      <c r="G1103" s="1" t="s">
        <v>2673</v>
      </c>
      <c r="H1103" s="1" t="s">
        <v>2671</v>
      </c>
      <c r="I1103" s="1" t="s">
        <v>14718</v>
      </c>
      <c r="J1103" s="1" t="s">
        <v>14715</v>
      </c>
      <c r="K1103" s="1">
        <v>6</v>
      </c>
      <c r="L1103" s="1" t="s">
        <v>4254</v>
      </c>
      <c r="M1103" s="1">
        <v>10</v>
      </c>
      <c r="N1103" s="1" t="s">
        <v>4237</v>
      </c>
    </row>
    <row r="1104" spans="1:14" x14ac:dyDescent="0.15">
      <c r="A1104" s="1">
        <v>183</v>
      </c>
      <c r="B1104" s="1" t="s">
        <v>2671</v>
      </c>
      <c r="C1104" s="1" t="s">
        <v>2672</v>
      </c>
      <c r="D1104" s="1" t="s">
        <v>2671</v>
      </c>
      <c r="E1104" s="1" t="s">
        <v>2672</v>
      </c>
      <c r="F1104" s="1" t="s">
        <v>2671</v>
      </c>
      <c r="G1104" s="1" t="s">
        <v>2673</v>
      </c>
      <c r="H1104" s="1" t="s">
        <v>2671</v>
      </c>
      <c r="I1104" s="1" t="s">
        <v>14815</v>
      </c>
      <c r="J1104" s="1" t="s">
        <v>14812</v>
      </c>
      <c r="K1104" s="1">
        <v>6</v>
      </c>
      <c r="L1104" s="1" t="s">
        <v>4254</v>
      </c>
      <c r="M1104" s="1">
        <v>10</v>
      </c>
      <c r="N1104" s="1" t="s">
        <v>4237</v>
      </c>
    </row>
    <row r="1105" spans="1:14" x14ac:dyDescent="0.15">
      <c r="A1105" s="1">
        <v>183</v>
      </c>
      <c r="B1105" s="1" t="s">
        <v>2671</v>
      </c>
      <c r="C1105" s="1" t="s">
        <v>2672</v>
      </c>
      <c r="D1105" s="1" t="s">
        <v>2671</v>
      </c>
      <c r="E1105" s="1" t="s">
        <v>2672</v>
      </c>
      <c r="F1105" s="1" t="s">
        <v>2671</v>
      </c>
      <c r="G1105" s="1" t="s">
        <v>2673</v>
      </c>
      <c r="H1105" s="1" t="s">
        <v>2671</v>
      </c>
      <c r="I1105" s="1" t="s">
        <v>14822</v>
      </c>
      <c r="J1105" s="1" t="s">
        <v>14819</v>
      </c>
      <c r="K1105" s="1">
        <v>6</v>
      </c>
      <c r="L1105" s="1" t="s">
        <v>4254</v>
      </c>
      <c r="M1105" s="1">
        <v>10</v>
      </c>
      <c r="N1105" s="1" t="s">
        <v>4237</v>
      </c>
    </row>
    <row r="1106" spans="1:14" x14ac:dyDescent="0.15">
      <c r="A1106" s="1">
        <v>184</v>
      </c>
      <c r="B1106" s="1" t="s">
        <v>2674</v>
      </c>
      <c r="C1106" s="1" t="s">
        <v>2675</v>
      </c>
      <c r="D1106" s="1" t="s">
        <v>2674</v>
      </c>
      <c r="E1106" s="1" t="s">
        <v>2675</v>
      </c>
      <c r="F1106" s="1" t="s">
        <v>2674</v>
      </c>
      <c r="G1106" s="1" t="s">
        <v>2676</v>
      </c>
      <c r="H1106" s="1" t="s">
        <v>2674</v>
      </c>
      <c r="I1106" s="1" t="s">
        <v>18216</v>
      </c>
      <c r="J1106" s="1" t="s">
        <v>18213</v>
      </c>
      <c r="K1106" s="1">
        <v>9</v>
      </c>
      <c r="L1106" s="1" t="s">
        <v>4199</v>
      </c>
      <c r="M1106" s="1">
        <v>7</v>
      </c>
      <c r="N1106" s="1" t="s">
        <v>4200</v>
      </c>
    </row>
    <row r="1107" spans="1:14" x14ac:dyDescent="0.15">
      <c r="A1107" s="1">
        <v>186</v>
      </c>
      <c r="B1107" s="1" t="s">
        <v>2677</v>
      </c>
      <c r="C1107" s="1" t="s">
        <v>2678</v>
      </c>
      <c r="D1107" s="1" t="s">
        <v>2677</v>
      </c>
      <c r="E1107" s="1" t="s">
        <v>2678</v>
      </c>
      <c r="F1107" s="1" t="s">
        <v>2677</v>
      </c>
      <c r="G1107" s="1" t="s">
        <v>2679</v>
      </c>
      <c r="H1107" s="1" t="s">
        <v>2677</v>
      </c>
      <c r="I1107" s="1" t="s">
        <v>11879</v>
      </c>
      <c r="J1107" s="1" t="s">
        <v>4278</v>
      </c>
      <c r="K1107" s="1">
        <v>99</v>
      </c>
      <c r="L1107" s="1" t="s">
        <v>4454</v>
      </c>
      <c r="M1107" s="1">
        <v>99</v>
      </c>
      <c r="N1107" s="1" t="s">
        <v>4454</v>
      </c>
    </row>
    <row r="1108" spans="1:14" x14ac:dyDescent="0.15">
      <c r="A1108" s="1">
        <v>186</v>
      </c>
      <c r="B1108" s="1" t="s">
        <v>2677</v>
      </c>
      <c r="C1108" s="1" t="s">
        <v>2680</v>
      </c>
      <c r="D1108" s="1" t="s">
        <v>2681</v>
      </c>
      <c r="E1108" s="1" t="s">
        <v>2680</v>
      </c>
      <c r="F1108" s="1" t="s">
        <v>2681</v>
      </c>
      <c r="G1108" s="1" t="s">
        <v>2682</v>
      </c>
      <c r="H1108" s="1" t="s">
        <v>2681</v>
      </c>
      <c r="I1108" s="1" t="s">
        <v>14697</v>
      </c>
      <c r="J1108" s="1" t="s">
        <v>14694</v>
      </c>
      <c r="K1108" s="1">
        <v>9</v>
      </c>
      <c r="L1108" s="1" t="s">
        <v>4199</v>
      </c>
      <c r="M1108" s="1">
        <v>15</v>
      </c>
      <c r="N1108" s="1" t="s">
        <v>4365</v>
      </c>
    </row>
    <row r="1109" spans="1:14" x14ac:dyDescent="0.15">
      <c r="A1109" s="1">
        <v>186</v>
      </c>
      <c r="B1109" s="1" t="s">
        <v>2677</v>
      </c>
      <c r="C1109" s="1" t="s">
        <v>2680</v>
      </c>
      <c r="D1109" s="1" t="s">
        <v>2681</v>
      </c>
      <c r="E1109" s="1" t="s">
        <v>2680</v>
      </c>
      <c r="F1109" s="1" t="s">
        <v>2681</v>
      </c>
      <c r="G1109" s="1" t="s">
        <v>2682</v>
      </c>
      <c r="H1109" s="1" t="s">
        <v>2681</v>
      </c>
      <c r="I1109" s="1" t="s">
        <v>8824</v>
      </c>
      <c r="J1109" s="1" t="s">
        <v>2683</v>
      </c>
      <c r="K1109" s="1">
        <v>9</v>
      </c>
      <c r="L1109" s="1" t="s">
        <v>4199</v>
      </c>
      <c r="M1109" s="1">
        <v>15</v>
      </c>
      <c r="N1109" s="1" t="s">
        <v>4365</v>
      </c>
    </row>
    <row r="1110" spans="1:14" x14ac:dyDescent="0.15">
      <c r="A1110" s="1">
        <v>186</v>
      </c>
      <c r="B1110" s="1" t="s">
        <v>2677</v>
      </c>
      <c r="C1110" s="1" t="s">
        <v>2680</v>
      </c>
      <c r="D1110" s="1" t="s">
        <v>2681</v>
      </c>
      <c r="E1110" s="1" t="s">
        <v>2680</v>
      </c>
      <c r="F1110" s="1" t="s">
        <v>2681</v>
      </c>
      <c r="G1110" s="1" t="s">
        <v>2682</v>
      </c>
      <c r="H1110" s="1" t="s">
        <v>2681</v>
      </c>
      <c r="I1110" s="1" t="s">
        <v>14704</v>
      </c>
      <c r="J1110" s="1" t="s">
        <v>14701</v>
      </c>
      <c r="K1110" s="1">
        <v>9</v>
      </c>
      <c r="L1110" s="1" t="s">
        <v>4199</v>
      </c>
      <c r="M1110" s="1">
        <v>15</v>
      </c>
      <c r="N1110" s="1" t="s">
        <v>4365</v>
      </c>
    </row>
    <row r="1111" spans="1:14" x14ac:dyDescent="0.15">
      <c r="A1111" s="1">
        <v>186</v>
      </c>
      <c r="B1111" s="1" t="s">
        <v>2677</v>
      </c>
      <c r="C1111" s="1" t="s">
        <v>2680</v>
      </c>
      <c r="D1111" s="1" t="s">
        <v>2681</v>
      </c>
      <c r="E1111" s="1" t="s">
        <v>2680</v>
      </c>
      <c r="F1111" s="1" t="s">
        <v>2681</v>
      </c>
      <c r="G1111" s="1" t="s">
        <v>2684</v>
      </c>
      <c r="H1111" s="1" t="s">
        <v>2685</v>
      </c>
      <c r="I1111" s="1" t="s">
        <v>14697</v>
      </c>
      <c r="J1111" s="1" t="s">
        <v>14694</v>
      </c>
      <c r="K1111" s="1">
        <v>9</v>
      </c>
      <c r="L1111" s="1" t="s">
        <v>4199</v>
      </c>
      <c r="M1111" s="1">
        <v>15</v>
      </c>
      <c r="N1111" s="1" t="s">
        <v>4365</v>
      </c>
    </row>
    <row r="1112" spans="1:14" x14ac:dyDescent="0.15">
      <c r="A1112" s="1">
        <v>186</v>
      </c>
      <c r="B1112" s="1" t="s">
        <v>2677</v>
      </c>
      <c r="C1112" s="1" t="s">
        <v>2680</v>
      </c>
      <c r="D1112" s="1" t="s">
        <v>2681</v>
      </c>
      <c r="E1112" s="1" t="s">
        <v>2680</v>
      </c>
      <c r="F1112" s="1" t="s">
        <v>2681</v>
      </c>
      <c r="G1112" s="1" t="s">
        <v>2684</v>
      </c>
      <c r="H1112" s="1" t="s">
        <v>2685</v>
      </c>
      <c r="I1112" s="1" t="s">
        <v>8824</v>
      </c>
      <c r="J1112" s="1" t="s">
        <v>2683</v>
      </c>
      <c r="K1112" s="1">
        <v>9</v>
      </c>
      <c r="L1112" s="1" t="s">
        <v>4199</v>
      </c>
      <c r="M1112" s="1">
        <v>15</v>
      </c>
      <c r="N1112" s="1" t="s">
        <v>4365</v>
      </c>
    </row>
    <row r="1113" spans="1:14" x14ac:dyDescent="0.15">
      <c r="A1113" s="1">
        <v>186</v>
      </c>
      <c r="B1113" s="1" t="s">
        <v>2677</v>
      </c>
      <c r="C1113" s="1" t="s">
        <v>2680</v>
      </c>
      <c r="D1113" s="1" t="s">
        <v>2681</v>
      </c>
      <c r="E1113" s="1" t="s">
        <v>2680</v>
      </c>
      <c r="F1113" s="1" t="s">
        <v>2681</v>
      </c>
      <c r="G1113" s="1" t="s">
        <v>2686</v>
      </c>
      <c r="H1113" s="1" t="s">
        <v>2687</v>
      </c>
      <c r="I1113" s="1" t="s">
        <v>14704</v>
      </c>
      <c r="J1113" s="1" t="s">
        <v>14701</v>
      </c>
      <c r="K1113" s="1">
        <v>9</v>
      </c>
      <c r="L1113" s="1" t="s">
        <v>4199</v>
      </c>
      <c r="M1113" s="1">
        <v>15</v>
      </c>
      <c r="N1113" s="1" t="s">
        <v>4365</v>
      </c>
    </row>
    <row r="1114" spans="1:14" x14ac:dyDescent="0.15">
      <c r="A1114" s="1">
        <v>186</v>
      </c>
      <c r="B1114" s="1" t="s">
        <v>2677</v>
      </c>
      <c r="C1114" s="1" t="s">
        <v>2688</v>
      </c>
      <c r="D1114" s="1" t="s">
        <v>2689</v>
      </c>
      <c r="E1114" s="1" t="s">
        <v>2688</v>
      </c>
      <c r="F1114" s="1" t="s">
        <v>2689</v>
      </c>
      <c r="G1114" s="1" t="s">
        <v>2690</v>
      </c>
      <c r="H1114" s="1" t="s">
        <v>2689</v>
      </c>
      <c r="I1114" s="1" t="s">
        <v>14753</v>
      </c>
      <c r="J1114" s="1" t="s">
        <v>14750</v>
      </c>
      <c r="K1114" s="1">
        <v>9</v>
      </c>
      <c r="L1114" s="1" t="s">
        <v>4199</v>
      </c>
      <c r="M1114" s="1">
        <v>15</v>
      </c>
      <c r="N1114" s="1" t="s">
        <v>4365</v>
      </c>
    </row>
    <row r="1115" spans="1:14" x14ac:dyDescent="0.15">
      <c r="A1115" s="1">
        <v>186</v>
      </c>
      <c r="B1115" s="1" t="s">
        <v>2677</v>
      </c>
      <c r="C1115" s="1" t="s">
        <v>2691</v>
      </c>
      <c r="D1115" s="1" t="s">
        <v>2692</v>
      </c>
      <c r="E1115" s="1" t="s">
        <v>2691</v>
      </c>
      <c r="F1115" s="1" t="s">
        <v>2692</v>
      </c>
      <c r="G1115" s="1" t="s">
        <v>2693</v>
      </c>
      <c r="H1115" s="1" t="s">
        <v>2692</v>
      </c>
      <c r="I1115" s="1" t="s">
        <v>11537</v>
      </c>
      <c r="J1115" s="1" t="s">
        <v>4693</v>
      </c>
      <c r="K1115" s="1">
        <v>12</v>
      </c>
      <c r="L1115" s="1" t="s">
        <v>4264</v>
      </c>
      <c r="M1115" s="1">
        <v>15</v>
      </c>
      <c r="N1115" s="1" t="s">
        <v>4365</v>
      </c>
    </row>
    <row r="1116" spans="1:14" x14ac:dyDescent="0.15">
      <c r="A1116" s="1">
        <v>186</v>
      </c>
      <c r="B1116" s="1" t="s">
        <v>2677</v>
      </c>
      <c r="C1116" s="1" t="s">
        <v>2691</v>
      </c>
      <c r="D1116" s="1" t="s">
        <v>2692</v>
      </c>
      <c r="E1116" s="1" t="s">
        <v>2691</v>
      </c>
      <c r="F1116" s="1" t="s">
        <v>2692</v>
      </c>
      <c r="G1116" s="1" t="s">
        <v>2693</v>
      </c>
      <c r="H1116" s="1" t="s">
        <v>2692</v>
      </c>
      <c r="I1116" s="1" t="s">
        <v>17286</v>
      </c>
      <c r="J1116" s="1" t="s">
        <v>2694</v>
      </c>
      <c r="K1116" s="1">
        <v>12</v>
      </c>
      <c r="L1116" s="1" t="s">
        <v>4264</v>
      </c>
      <c r="M1116" s="1">
        <v>15</v>
      </c>
      <c r="N1116" s="1" t="s">
        <v>4365</v>
      </c>
    </row>
    <row r="1117" spans="1:14" x14ac:dyDescent="0.15">
      <c r="A1117" s="1">
        <v>186</v>
      </c>
      <c r="B1117" s="1" t="s">
        <v>2677</v>
      </c>
      <c r="C1117" s="1" t="s">
        <v>2691</v>
      </c>
      <c r="D1117" s="1" t="s">
        <v>2692</v>
      </c>
      <c r="E1117" s="1" t="s">
        <v>2691</v>
      </c>
      <c r="F1117" s="1" t="s">
        <v>2692</v>
      </c>
      <c r="G1117" s="1" t="s">
        <v>2693</v>
      </c>
      <c r="H1117" s="1" t="s">
        <v>2692</v>
      </c>
      <c r="I1117" s="1" t="s">
        <v>11541</v>
      </c>
      <c r="J1117" s="1" t="s">
        <v>2695</v>
      </c>
      <c r="K1117" s="1">
        <v>12</v>
      </c>
      <c r="L1117" s="1" t="s">
        <v>4264</v>
      </c>
      <c r="M1117" s="1">
        <v>15</v>
      </c>
      <c r="N1117" s="1" t="s">
        <v>4365</v>
      </c>
    </row>
    <row r="1118" spans="1:14" x14ac:dyDescent="0.15">
      <c r="A1118" s="1">
        <v>186</v>
      </c>
      <c r="B1118" s="1" t="s">
        <v>2677</v>
      </c>
      <c r="C1118" s="1" t="s">
        <v>2691</v>
      </c>
      <c r="D1118" s="1" t="s">
        <v>2692</v>
      </c>
      <c r="E1118" s="1" t="s">
        <v>2691</v>
      </c>
      <c r="F1118" s="1" t="s">
        <v>2692</v>
      </c>
      <c r="G1118" s="1" t="s">
        <v>2693</v>
      </c>
      <c r="H1118" s="1" t="s">
        <v>2692</v>
      </c>
      <c r="I1118" s="1" t="s">
        <v>9231</v>
      </c>
      <c r="J1118" s="1" t="s">
        <v>2696</v>
      </c>
      <c r="K1118" s="1">
        <v>12</v>
      </c>
      <c r="L1118" s="1" t="s">
        <v>4264</v>
      </c>
      <c r="M1118" s="1">
        <v>15</v>
      </c>
      <c r="N1118" s="1" t="s">
        <v>4365</v>
      </c>
    </row>
    <row r="1119" spans="1:14" x14ac:dyDescent="0.15">
      <c r="A1119" s="1">
        <v>186</v>
      </c>
      <c r="B1119" s="1" t="s">
        <v>2677</v>
      </c>
      <c r="C1119" s="1" t="s">
        <v>2691</v>
      </c>
      <c r="D1119" s="1" t="s">
        <v>2692</v>
      </c>
      <c r="E1119" s="1" t="s">
        <v>2691</v>
      </c>
      <c r="F1119" s="1" t="s">
        <v>2692</v>
      </c>
      <c r="G1119" s="1" t="s">
        <v>2693</v>
      </c>
      <c r="H1119" s="1" t="s">
        <v>2692</v>
      </c>
      <c r="I1119" s="1" t="s">
        <v>17293</v>
      </c>
      <c r="J1119" s="1" t="s">
        <v>17290</v>
      </c>
      <c r="K1119" s="1">
        <v>12</v>
      </c>
      <c r="L1119" s="1" t="s">
        <v>4264</v>
      </c>
      <c r="M1119" s="1">
        <v>15</v>
      </c>
      <c r="N1119" s="1" t="s">
        <v>4365</v>
      </c>
    </row>
    <row r="1120" spans="1:14" x14ac:dyDescent="0.15">
      <c r="A1120" s="1">
        <v>186</v>
      </c>
      <c r="B1120" s="1" t="s">
        <v>2677</v>
      </c>
      <c r="C1120" s="1" t="s">
        <v>2691</v>
      </c>
      <c r="D1120" s="1" t="s">
        <v>2692</v>
      </c>
      <c r="E1120" s="1" t="s">
        <v>2691</v>
      </c>
      <c r="F1120" s="1" t="s">
        <v>2692</v>
      </c>
      <c r="G1120" s="1" t="s">
        <v>2693</v>
      </c>
      <c r="H1120" s="1" t="s">
        <v>2692</v>
      </c>
      <c r="I1120" s="1" t="s">
        <v>11342</v>
      </c>
      <c r="J1120" s="1" t="s">
        <v>2697</v>
      </c>
      <c r="K1120" s="1">
        <v>12</v>
      </c>
      <c r="L1120" s="1" t="s">
        <v>4264</v>
      </c>
      <c r="M1120" s="1">
        <v>15</v>
      </c>
      <c r="N1120" s="1" t="s">
        <v>4365</v>
      </c>
    </row>
    <row r="1121" spans="1:14" x14ac:dyDescent="0.15">
      <c r="A1121" s="1">
        <v>186</v>
      </c>
      <c r="B1121" s="1" t="s">
        <v>2677</v>
      </c>
      <c r="C1121" s="1" t="s">
        <v>2691</v>
      </c>
      <c r="D1121" s="1" t="s">
        <v>2692</v>
      </c>
      <c r="E1121" s="1" t="s">
        <v>2691</v>
      </c>
      <c r="F1121" s="1" t="s">
        <v>2692</v>
      </c>
      <c r="G1121" s="1" t="s">
        <v>2693</v>
      </c>
      <c r="H1121" s="1" t="s">
        <v>2692</v>
      </c>
      <c r="I1121" s="1" t="s">
        <v>9896</v>
      </c>
      <c r="J1121" s="1" t="s">
        <v>2698</v>
      </c>
      <c r="K1121" s="1">
        <v>12</v>
      </c>
      <c r="L1121" s="1" t="s">
        <v>4264</v>
      </c>
      <c r="M1121" s="1">
        <v>15</v>
      </c>
      <c r="N1121" s="1" t="s">
        <v>4365</v>
      </c>
    </row>
    <row r="1122" spans="1:14" x14ac:dyDescent="0.15">
      <c r="A1122" s="1">
        <v>186</v>
      </c>
      <c r="B1122" s="1" t="s">
        <v>2677</v>
      </c>
      <c r="C1122" s="1" t="s">
        <v>2691</v>
      </c>
      <c r="D1122" s="1" t="s">
        <v>2692</v>
      </c>
      <c r="E1122" s="1" t="s">
        <v>2691</v>
      </c>
      <c r="F1122" s="1" t="s">
        <v>2692</v>
      </c>
      <c r="G1122" s="1" t="s">
        <v>2693</v>
      </c>
      <c r="H1122" s="1" t="s">
        <v>2692</v>
      </c>
      <c r="I1122" s="1" t="s">
        <v>9273</v>
      </c>
      <c r="J1122" s="1" t="s">
        <v>2699</v>
      </c>
      <c r="K1122" s="1">
        <v>12</v>
      </c>
      <c r="L1122" s="1" t="s">
        <v>4264</v>
      </c>
      <c r="M1122" s="1">
        <v>15</v>
      </c>
      <c r="N1122" s="1" t="s">
        <v>4365</v>
      </c>
    </row>
    <row r="1123" spans="1:14" x14ac:dyDescent="0.15">
      <c r="A1123" s="1">
        <v>186</v>
      </c>
      <c r="B1123" s="1" t="s">
        <v>2677</v>
      </c>
      <c r="C1123" s="1" t="s">
        <v>2691</v>
      </c>
      <c r="D1123" s="1" t="s">
        <v>2692</v>
      </c>
      <c r="E1123" s="1" t="s">
        <v>2691</v>
      </c>
      <c r="F1123" s="1" t="s">
        <v>2692</v>
      </c>
      <c r="G1123" s="1" t="s">
        <v>2693</v>
      </c>
      <c r="H1123" s="1" t="s">
        <v>2692</v>
      </c>
      <c r="I1123" s="1" t="s">
        <v>7314</v>
      </c>
      <c r="J1123" s="1" t="s">
        <v>14765</v>
      </c>
      <c r="K1123" s="1">
        <v>12</v>
      </c>
      <c r="L1123" s="1" t="s">
        <v>4264</v>
      </c>
      <c r="M1123" s="1">
        <v>15</v>
      </c>
      <c r="N1123" s="1" t="s">
        <v>4365</v>
      </c>
    </row>
    <row r="1124" spans="1:14" x14ac:dyDescent="0.15">
      <c r="A1124" s="1">
        <v>186</v>
      </c>
      <c r="B1124" s="1" t="s">
        <v>2677</v>
      </c>
      <c r="C1124" s="1" t="s">
        <v>2691</v>
      </c>
      <c r="D1124" s="1" t="s">
        <v>2692</v>
      </c>
      <c r="E1124" s="1" t="s">
        <v>2691</v>
      </c>
      <c r="F1124" s="1" t="s">
        <v>2692</v>
      </c>
      <c r="G1124" s="1" t="s">
        <v>2693</v>
      </c>
      <c r="H1124" s="1" t="s">
        <v>2692</v>
      </c>
      <c r="I1124" s="1" t="s">
        <v>11571</v>
      </c>
      <c r="J1124" s="1" t="s">
        <v>2700</v>
      </c>
      <c r="K1124" s="1">
        <v>12</v>
      </c>
      <c r="L1124" s="1" t="s">
        <v>4264</v>
      </c>
      <c r="M1124" s="1">
        <v>15</v>
      </c>
      <c r="N1124" s="1" t="s">
        <v>4365</v>
      </c>
    </row>
    <row r="1125" spans="1:14" x14ac:dyDescent="0.15">
      <c r="A1125" s="1">
        <v>186</v>
      </c>
      <c r="B1125" s="1" t="s">
        <v>2677</v>
      </c>
      <c r="C1125" s="1" t="s">
        <v>2691</v>
      </c>
      <c r="D1125" s="1" t="s">
        <v>2692</v>
      </c>
      <c r="E1125" s="1" t="s">
        <v>2691</v>
      </c>
      <c r="F1125" s="1" t="s">
        <v>2692</v>
      </c>
      <c r="G1125" s="1" t="s">
        <v>2693</v>
      </c>
      <c r="H1125" s="1" t="s">
        <v>2692</v>
      </c>
      <c r="I1125" s="1" t="s">
        <v>11352</v>
      </c>
      <c r="J1125" s="1" t="s">
        <v>14773</v>
      </c>
      <c r="K1125" s="1">
        <v>12</v>
      </c>
      <c r="L1125" s="1" t="s">
        <v>4264</v>
      </c>
      <c r="M1125" s="1">
        <v>15</v>
      </c>
      <c r="N1125" s="1" t="s">
        <v>4365</v>
      </c>
    </row>
    <row r="1126" spans="1:14" x14ac:dyDescent="0.15">
      <c r="A1126" s="1">
        <v>186</v>
      </c>
      <c r="B1126" s="1" t="s">
        <v>2677</v>
      </c>
      <c r="C1126" s="1" t="s">
        <v>2691</v>
      </c>
      <c r="D1126" s="1" t="s">
        <v>2692</v>
      </c>
      <c r="E1126" s="1" t="s">
        <v>2691</v>
      </c>
      <c r="F1126" s="1" t="s">
        <v>2692</v>
      </c>
      <c r="G1126" s="1" t="s">
        <v>2693</v>
      </c>
      <c r="H1126" s="1" t="s">
        <v>2692</v>
      </c>
      <c r="I1126" s="1" t="s">
        <v>11543</v>
      </c>
      <c r="J1126" s="1" t="s">
        <v>2701</v>
      </c>
      <c r="K1126" s="1">
        <v>12</v>
      </c>
      <c r="L1126" s="1" t="s">
        <v>4264</v>
      </c>
      <c r="M1126" s="1">
        <v>15</v>
      </c>
      <c r="N1126" s="1" t="s">
        <v>4365</v>
      </c>
    </row>
    <row r="1127" spans="1:14" x14ac:dyDescent="0.15">
      <c r="A1127" s="1">
        <v>186</v>
      </c>
      <c r="B1127" s="1" t="s">
        <v>2677</v>
      </c>
      <c r="C1127" s="1" t="s">
        <v>2691</v>
      </c>
      <c r="D1127" s="1" t="s">
        <v>2692</v>
      </c>
      <c r="E1127" s="1" t="s">
        <v>2691</v>
      </c>
      <c r="F1127" s="1" t="s">
        <v>2692</v>
      </c>
      <c r="G1127" s="1" t="s">
        <v>2693</v>
      </c>
      <c r="H1127" s="1" t="s">
        <v>2692</v>
      </c>
      <c r="I1127" s="1" t="s">
        <v>11328</v>
      </c>
      <c r="J1127" s="1" t="s">
        <v>2702</v>
      </c>
      <c r="K1127" s="1">
        <v>12</v>
      </c>
      <c r="L1127" s="1" t="s">
        <v>4264</v>
      </c>
      <c r="M1127" s="1">
        <v>15</v>
      </c>
      <c r="N1127" s="1" t="s">
        <v>4365</v>
      </c>
    </row>
    <row r="1128" spans="1:14" x14ac:dyDescent="0.15">
      <c r="A1128" s="1">
        <v>186</v>
      </c>
      <c r="B1128" s="1" t="s">
        <v>2677</v>
      </c>
      <c r="C1128" s="1" t="s">
        <v>2691</v>
      </c>
      <c r="D1128" s="1" t="s">
        <v>2692</v>
      </c>
      <c r="E1128" s="1" t="s">
        <v>2691</v>
      </c>
      <c r="F1128" s="1" t="s">
        <v>2692</v>
      </c>
      <c r="G1128" s="1" t="s">
        <v>2693</v>
      </c>
      <c r="H1128" s="1" t="s">
        <v>2692</v>
      </c>
      <c r="I1128" s="1" t="s">
        <v>11381</v>
      </c>
      <c r="J1128" s="1" t="s">
        <v>2703</v>
      </c>
      <c r="K1128" s="1">
        <v>12</v>
      </c>
      <c r="L1128" s="1" t="s">
        <v>4264</v>
      </c>
      <c r="M1128" s="1">
        <v>15</v>
      </c>
      <c r="N1128" s="1" t="s">
        <v>4365</v>
      </c>
    </row>
    <row r="1129" spans="1:14" x14ac:dyDescent="0.15">
      <c r="A1129" s="1">
        <v>186</v>
      </c>
      <c r="B1129" s="1" t="s">
        <v>2677</v>
      </c>
      <c r="C1129" s="1" t="s">
        <v>2691</v>
      </c>
      <c r="D1129" s="1" t="s">
        <v>2692</v>
      </c>
      <c r="E1129" s="1" t="s">
        <v>2691</v>
      </c>
      <c r="F1129" s="1" t="s">
        <v>2692</v>
      </c>
      <c r="G1129" s="1" t="s">
        <v>2693</v>
      </c>
      <c r="H1129" s="1" t="s">
        <v>2692</v>
      </c>
      <c r="I1129" s="1" t="s">
        <v>7323</v>
      </c>
      <c r="J1129" s="1" t="s">
        <v>14785</v>
      </c>
      <c r="K1129" s="1">
        <v>12</v>
      </c>
      <c r="L1129" s="1" t="s">
        <v>4264</v>
      </c>
      <c r="M1129" s="1">
        <v>15</v>
      </c>
      <c r="N1129" s="1" t="s">
        <v>4365</v>
      </c>
    </row>
    <row r="1130" spans="1:14" x14ac:dyDescent="0.15">
      <c r="A1130" s="1">
        <v>186</v>
      </c>
      <c r="B1130" s="1" t="s">
        <v>2677</v>
      </c>
      <c r="C1130" s="1" t="s">
        <v>2704</v>
      </c>
      <c r="D1130" s="1" t="s">
        <v>2705</v>
      </c>
      <c r="E1130" s="1" t="s">
        <v>2704</v>
      </c>
      <c r="F1130" s="1" t="s">
        <v>2705</v>
      </c>
      <c r="G1130" s="1" t="s">
        <v>2706</v>
      </c>
      <c r="H1130" s="1" t="s">
        <v>2705</v>
      </c>
      <c r="I1130" s="1" t="s">
        <v>9265</v>
      </c>
      <c r="J1130" s="1" t="s">
        <v>2707</v>
      </c>
      <c r="K1130" s="1">
        <v>9</v>
      </c>
      <c r="L1130" s="1" t="s">
        <v>4199</v>
      </c>
      <c r="M1130" s="1">
        <v>15</v>
      </c>
      <c r="N1130" s="1" t="s">
        <v>4365</v>
      </c>
    </row>
    <row r="1131" spans="1:14" x14ac:dyDescent="0.15">
      <c r="A1131" s="1">
        <v>186</v>
      </c>
      <c r="B1131" s="1" t="s">
        <v>2677</v>
      </c>
      <c r="C1131" s="1" t="s">
        <v>2704</v>
      </c>
      <c r="D1131" s="1" t="s">
        <v>2705</v>
      </c>
      <c r="E1131" s="1" t="s">
        <v>2704</v>
      </c>
      <c r="F1131" s="1" t="s">
        <v>2705</v>
      </c>
      <c r="G1131" s="1" t="s">
        <v>2706</v>
      </c>
      <c r="H1131" s="1" t="s">
        <v>2705</v>
      </c>
      <c r="I1131" s="1" t="s">
        <v>14799</v>
      </c>
      <c r="J1131" s="1" t="s">
        <v>14800</v>
      </c>
      <c r="K1131" s="1">
        <v>9</v>
      </c>
      <c r="L1131" s="1" t="s">
        <v>4199</v>
      </c>
      <c r="M1131" s="1">
        <v>15</v>
      </c>
      <c r="N1131" s="1" t="s">
        <v>4365</v>
      </c>
    </row>
    <row r="1132" spans="1:14" x14ac:dyDescent="0.15">
      <c r="A1132" s="1">
        <v>186</v>
      </c>
      <c r="B1132" s="1" t="s">
        <v>2677</v>
      </c>
      <c r="C1132" s="1" t="s">
        <v>2704</v>
      </c>
      <c r="D1132" s="1" t="s">
        <v>2705</v>
      </c>
      <c r="E1132" s="1" t="s">
        <v>2704</v>
      </c>
      <c r="F1132" s="1" t="s">
        <v>2705</v>
      </c>
      <c r="G1132" s="1" t="s">
        <v>2706</v>
      </c>
      <c r="H1132" s="1" t="s">
        <v>2705</v>
      </c>
      <c r="I1132" s="1" t="s">
        <v>14803</v>
      </c>
      <c r="J1132" s="1" t="s">
        <v>14804</v>
      </c>
      <c r="K1132" s="1">
        <v>9</v>
      </c>
      <c r="L1132" s="1" t="s">
        <v>4199</v>
      </c>
      <c r="M1132" s="1">
        <v>15</v>
      </c>
      <c r="N1132" s="1" t="s">
        <v>4365</v>
      </c>
    </row>
    <row r="1133" spans="1:14" x14ac:dyDescent="0.15">
      <c r="A1133" s="1">
        <v>186</v>
      </c>
      <c r="B1133" s="1" t="s">
        <v>2677</v>
      </c>
      <c r="C1133" s="1" t="s">
        <v>2704</v>
      </c>
      <c r="D1133" s="1" t="s">
        <v>2705</v>
      </c>
      <c r="E1133" s="1" t="s">
        <v>2704</v>
      </c>
      <c r="F1133" s="1" t="s">
        <v>2705</v>
      </c>
      <c r="G1133" s="1" t="s">
        <v>2706</v>
      </c>
      <c r="H1133" s="1" t="s">
        <v>2705</v>
      </c>
      <c r="I1133" s="1" t="s">
        <v>14807</v>
      </c>
      <c r="J1133" s="1" t="s">
        <v>2708</v>
      </c>
      <c r="K1133" s="1">
        <v>9</v>
      </c>
      <c r="L1133" s="1" t="s">
        <v>4199</v>
      </c>
      <c r="M1133" s="1">
        <v>15</v>
      </c>
      <c r="N1133" s="1" t="s">
        <v>4365</v>
      </c>
    </row>
    <row r="1134" spans="1:14" x14ac:dyDescent="0.15">
      <c r="A1134" s="1">
        <v>186</v>
      </c>
      <c r="B1134" s="1" t="s">
        <v>2677</v>
      </c>
      <c r="C1134" s="1" t="s">
        <v>2704</v>
      </c>
      <c r="D1134" s="1" t="s">
        <v>2705</v>
      </c>
      <c r="E1134" s="1" t="s">
        <v>2704</v>
      </c>
      <c r="F1134" s="1" t="s">
        <v>2705</v>
      </c>
      <c r="G1134" s="1" t="s">
        <v>2706</v>
      </c>
      <c r="H1134" s="1" t="s">
        <v>2705</v>
      </c>
      <c r="I1134" s="1" t="s">
        <v>8885</v>
      </c>
      <c r="J1134" s="1" t="s">
        <v>14808</v>
      </c>
      <c r="K1134" s="1">
        <v>9</v>
      </c>
      <c r="L1134" s="1" t="s">
        <v>4199</v>
      </c>
      <c r="M1134" s="1">
        <v>15</v>
      </c>
      <c r="N1134" s="1" t="s">
        <v>4365</v>
      </c>
    </row>
    <row r="1135" spans="1:14" x14ac:dyDescent="0.15">
      <c r="A1135" s="1">
        <v>186</v>
      </c>
      <c r="B1135" s="1" t="s">
        <v>2677</v>
      </c>
      <c r="C1135" s="1" t="s">
        <v>2709</v>
      </c>
      <c r="D1135" s="1" t="s">
        <v>2710</v>
      </c>
      <c r="E1135" s="1" t="s">
        <v>2709</v>
      </c>
      <c r="F1135" s="1" t="s">
        <v>2711</v>
      </c>
      <c r="G1135" s="1" t="s">
        <v>2712</v>
      </c>
      <c r="H1135" s="1" t="s">
        <v>2711</v>
      </c>
      <c r="I1135" s="1" t="s">
        <v>17279</v>
      </c>
      <c r="J1135" s="1" t="s">
        <v>17276</v>
      </c>
      <c r="K1135" s="1">
        <v>9</v>
      </c>
      <c r="L1135" s="1" t="s">
        <v>4199</v>
      </c>
      <c r="M1135" s="1">
        <v>15</v>
      </c>
      <c r="N1135" s="1" t="s">
        <v>4365</v>
      </c>
    </row>
    <row r="1136" spans="1:14" x14ac:dyDescent="0.15">
      <c r="A1136" s="1">
        <v>186</v>
      </c>
      <c r="B1136" s="1" t="s">
        <v>2677</v>
      </c>
      <c r="C1136" s="1" t="s">
        <v>2709</v>
      </c>
      <c r="D1136" s="1" t="s">
        <v>2710</v>
      </c>
      <c r="E1136" s="1" t="s">
        <v>2709</v>
      </c>
      <c r="F1136" s="1" t="s">
        <v>2711</v>
      </c>
      <c r="G1136" s="1" t="s">
        <v>2712</v>
      </c>
      <c r="H1136" s="1" t="s">
        <v>2711</v>
      </c>
      <c r="I1136" s="1" t="s">
        <v>9252</v>
      </c>
      <c r="J1136" s="1" t="s">
        <v>2527</v>
      </c>
      <c r="K1136" s="1">
        <v>9</v>
      </c>
      <c r="L1136" s="1" t="s">
        <v>4199</v>
      </c>
      <c r="M1136" s="1">
        <v>15</v>
      </c>
      <c r="N1136" s="1" t="s">
        <v>4365</v>
      </c>
    </row>
    <row r="1137" spans="1:14" x14ac:dyDescent="0.15">
      <c r="A1137" s="1">
        <v>186</v>
      </c>
      <c r="B1137" s="1" t="s">
        <v>2677</v>
      </c>
      <c r="C1137" s="1" t="s">
        <v>2709</v>
      </c>
      <c r="D1137" s="1" t="s">
        <v>2710</v>
      </c>
      <c r="E1137" s="1" t="s">
        <v>2709</v>
      </c>
      <c r="F1137" s="1" t="s">
        <v>2711</v>
      </c>
      <c r="G1137" s="1" t="s">
        <v>2712</v>
      </c>
      <c r="H1137" s="1" t="s">
        <v>2711</v>
      </c>
      <c r="I1137" s="1" t="s">
        <v>14690</v>
      </c>
      <c r="J1137" s="1" t="s">
        <v>14687</v>
      </c>
      <c r="K1137" s="1">
        <v>9</v>
      </c>
      <c r="L1137" s="1" t="s">
        <v>4199</v>
      </c>
      <c r="M1137" s="1">
        <v>15</v>
      </c>
      <c r="N1137" s="1" t="s">
        <v>4365</v>
      </c>
    </row>
    <row r="1138" spans="1:14" x14ac:dyDescent="0.15">
      <c r="A1138" s="1">
        <v>186</v>
      </c>
      <c r="B1138" s="1" t="s">
        <v>2677</v>
      </c>
      <c r="C1138" s="1" t="s">
        <v>2709</v>
      </c>
      <c r="D1138" s="1" t="s">
        <v>2710</v>
      </c>
      <c r="E1138" s="1" t="s">
        <v>2709</v>
      </c>
      <c r="F1138" s="1" t="s">
        <v>2711</v>
      </c>
      <c r="G1138" s="1" t="s">
        <v>2712</v>
      </c>
      <c r="H1138" s="1" t="s">
        <v>2711</v>
      </c>
      <c r="I1138" s="1" t="s">
        <v>14829</v>
      </c>
      <c r="J1138" s="1" t="s">
        <v>14830</v>
      </c>
      <c r="K1138" s="1">
        <v>9</v>
      </c>
      <c r="L1138" s="1" t="s">
        <v>4199</v>
      </c>
      <c r="M1138" s="1">
        <v>15</v>
      </c>
      <c r="N1138" s="1" t="s">
        <v>4365</v>
      </c>
    </row>
    <row r="1139" spans="1:14" x14ac:dyDescent="0.15">
      <c r="A1139" s="1">
        <v>190</v>
      </c>
      <c r="B1139" s="1" t="s">
        <v>2713</v>
      </c>
      <c r="C1139" s="1" t="s">
        <v>2714</v>
      </c>
      <c r="D1139" s="1" t="s">
        <v>2713</v>
      </c>
      <c r="E1139" s="1" t="s">
        <v>2714</v>
      </c>
      <c r="F1139" s="1" t="s">
        <v>2713</v>
      </c>
      <c r="G1139" s="1" t="s">
        <v>2715</v>
      </c>
      <c r="H1139" s="1" t="s">
        <v>2713</v>
      </c>
      <c r="I1139" s="1" t="s">
        <v>17900</v>
      </c>
      <c r="J1139" s="1" t="s">
        <v>4320</v>
      </c>
      <c r="K1139" s="1">
        <v>1</v>
      </c>
      <c r="L1139" s="1" t="s">
        <v>4259</v>
      </c>
      <c r="M1139" s="1">
        <v>1</v>
      </c>
      <c r="N1139" s="1" t="s">
        <v>4318</v>
      </c>
    </row>
    <row r="1140" spans="1:14" x14ac:dyDescent="0.15">
      <c r="A1140" s="1">
        <v>190</v>
      </c>
      <c r="B1140" s="1" t="s">
        <v>2713</v>
      </c>
      <c r="C1140" s="1" t="s">
        <v>2714</v>
      </c>
      <c r="D1140" s="1" t="s">
        <v>2713</v>
      </c>
      <c r="E1140" s="1" t="s">
        <v>2714</v>
      </c>
      <c r="F1140" s="1" t="s">
        <v>2713</v>
      </c>
      <c r="G1140" s="1" t="s">
        <v>2715</v>
      </c>
      <c r="H1140" s="1" t="s">
        <v>2713</v>
      </c>
      <c r="I1140" s="1" t="s">
        <v>17908</v>
      </c>
      <c r="J1140" s="1" t="s">
        <v>6539</v>
      </c>
      <c r="K1140" s="1">
        <v>1</v>
      </c>
      <c r="L1140" s="1" t="s">
        <v>4259</v>
      </c>
      <c r="M1140" s="1">
        <v>1</v>
      </c>
      <c r="N1140" s="1" t="s">
        <v>4318</v>
      </c>
    </row>
    <row r="1141" spans="1:14" x14ac:dyDescent="0.15">
      <c r="A1141" s="1">
        <v>190</v>
      </c>
      <c r="B1141" s="1" t="s">
        <v>2713</v>
      </c>
      <c r="C1141" s="1" t="s">
        <v>2714</v>
      </c>
      <c r="D1141" s="1" t="s">
        <v>2713</v>
      </c>
      <c r="E1141" s="1" t="s">
        <v>2714</v>
      </c>
      <c r="F1141" s="1" t="s">
        <v>2713</v>
      </c>
      <c r="G1141" s="1" t="s">
        <v>2715</v>
      </c>
      <c r="H1141" s="1" t="s">
        <v>2713</v>
      </c>
      <c r="I1141" s="1" t="s">
        <v>11710</v>
      </c>
      <c r="J1141" s="1" t="s">
        <v>18011</v>
      </c>
      <c r="K1141" s="1">
        <v>1</v>
      </c>
      <c r="L1141" s="1" t="s">
        <v>4259</v>
      </c>
      <c r="M1141" s="1">
        <v>1</v>
      </c>
      <c r="N1141" s="1" t="s">
        <v>4318</v>
      </c>
    </row>
    <row r="1142" spans="1:14" x14ac:dyDescent="0.15">
      <c r="A1142" s="1">
        <v>190</v>
      </c>
      <c r="B1142" s="1" t="s">
        <v>2713</v>
      </c>
      <c r="C1142" s="1" t="s">
        <v>2714</v>
      </c>
      <c r="D1142" s="1" t="s">
        <v>2713</v>
      </c>
      <c r="E1142" s="1" t="s">
        <v>2714</v>
      </c>
      <c r="F1142" s="1" t="s">
        <v>2713</v>
      </c>
      <c r="G1142" s="1" t="s">
        <v>2715</v>
      </c>
      <c r="H1142" s="1" t="s">
        <v>2713</v>
      </c>
      <c r="I1142" s="1" t="s">
        <v>11722</v>
      </c>
      <c r="J1142" s="1" t="s">
        <v>6593</v>
      </c>
      <c r="K1142" s="1">
        <v>1</v>
      </c>
      <c r="L1142" s="1" t="s">
        <v>4259</v>
      </c>
      <c r="M1142" s="1">
        <v>1</v>
      </c>
      <c r="N1142" s="1" t="s">
        <v>4318</v>
      </c>
    </row>
    <row r="1143" spans="1:14" x14ac:dyDescent="0.15">
      <c r="A1143" s="1">
        <v>190</v>
      </c>
      <c r="B1143" s="1" t="s">
        <v>2713</v>
      </c>
      <c r="C1143" s="1" t="s">
        <v>2714</v>
      </c>
      <c r="D1143" s="1" t="s">
        <v>2713</v>
      </c>
      <c r="E1143" s="1" t="s">
        <v>2714</v>
      </c>
      <c r="F1143" s="1" t="s">
        <v>2713</v>
      </c>
      <c r="G1143" s="1" t="s">
        <v>2715</v>
      </c>
      <c r="H1143" s="1" t="s">
        <v>2713</v>
      </c>
      <c r="I1143" s="1" t="s">
        <v>11739</v>
      </c>
      <c r="J1143" s="1" t="s">
        <v>6595</v>
      </c>
      <c r="K1143" s="1">
        <v>1</v>
      </c>
      <c r="L1143" s="1" t="s">
        <v>4259</v>
      </c>
      <c r="M1143" s="1">
        <v>1</v>
      </c>
      <c r="N1143" s="1" t="s">
        <v>4318</v>
      </c>
    </row>
    <row r="1144" spans="1:14" x14ac:dyDescent="0.15">
      <c r="A1144" s="1">
        <v>190</v>
      </c>
      <c r="B1144" s="1" t="s">
        <v>2713</v>
      </c>
      <c r="C1144" s="1" t="s">
        <v>2714</v>
      </c>
      <c r="D1144" s="1" t="s">
        <v>2713</v>
      </c>
      <c r="E1144" s="1" t="s">
        <v>2714</v>
      </c>
      <c r="F1144" s="1" t="s">
        <v>2713</v>
      </c>
      <c r="G1144" s="1" t="s">
        <v>2715</v>
      </c>
      <c r="H1144" s="1" t="s">
        <v>2713</v>
      </c>
      <c r="I1144" s="1" t="s">
        <v>11748</v>
      </c>
      <c r="J1144" s="1" t="s">
        <v>18031</v>
      </c>
      <c r="K1144" s="1">
        <v>1</v>
      </c>
      <c r="L1144" s="1" t="s">
        <v>4259</v>
      </c>
      <c r="M1144" s="1">
        <v>1</v>
      </c>
      <c r="N1144" s="1" t="s">
        <v>4318</v>
      </c>
    </row>
    <row r="1145" spans="1:14" x14ac:dyDescent="0.15">
      <c r="A1145" s="1">
        <v>190</v>
      </c>
      <c r="B1145" s="1" t="s">
        <v>2713</v>
      </c>
      <c r="C1145" s="1" t="s">
        <v>2714</v>
      </c>
      <c r="D1145" s="1" t="s">
        <v>2713</v>
      </c>
      <c r="E1145" s="1" t="s">
        <v>2714</v>
      </c>
      <c r="F1145" s="1" t="s">
        <v>2713</v>
      </c>
      <c r="G1145" s="1" t="s">
        <v>2715</v>
      </c>
      <c r="H1145" s="1" t="s">
        <v>2713</v>
      </c>
      <c r="I1145" s="1" t="s">
        <v>11763</v>
      </c>
      <c r="J1145" s="1" t="s">
        <v>2472</v>
      </c>
      <c r="K1145" s="1">
        <v>1</v>
      </c>
      <c r="L1145" s="1" t="s">
        <v>4259</v>
      </c>
      <c r="M1145" s="1">
        <v>1</v>
      </c>
      <c r="N1145" s="1" t="s">
        <v>4318</v>
      </c>
    </row>
    <row r="1146" spans="1:14" x14ac:dyDescent="0.15">
      <c r="A1146" s="1">
        <v>190</v>
      </c>
      <c r="B1146" s="1" t="s">
        <v>2713</v>
      </c>
      <c r="C1146" s="1" t="s">
        <v>2714</v>
      </c>
      <c r="D1146" s="1" t="s">
        <v>2713</v>
      </c>
      <c r="E1146" s="1" t="s">
        <v>2714</v>
      </c>
      <c r="F1146" s="1" t="s">
        <v>2713</v>
      </c>
      <c r="G1146" s="1" t="s">
        <v>2715</v>
      </c>
      <c r="H1146" s="1" t="s">
        <v>2713</v>
      </c>
      <c r="I1146" s="1" t="s">
        <v>11227</v>
      </c>
      <c r="J1146" s="1" t="s">
        <v>18058</v>
      </c>
      <c r="K1146" s="1">
        <v>1</v>
      </c>
      <c r="L1146" s="1" t="s">
        <v>4259</v>
      </c>
      <c r="M1146" s="1">
        <v>1</v>
      </c>
      <c r="N1146" s="1" t="s">
        <v>4318</v>
      </c>
    </row>
    <row r="1147" spans="1:14" x14ac:dyDescent="0.15">
      <c r="A1147" s="1">
        <v>190</v>
      </c>
      <c r="B1147" s="1" t="s">
        <v>2713</v>
      </c>
      <c r="C1147" s="1" t="s">
        <v>2714</v>
      </c>
      <c r="D1147" s="1" t="s">
        <v>2713</v>
      </c>
      <c r="E1147" s="1" t="s">
        <v>2714</v>
      </c>
      <c r="F1147" s="1" t="s">
        <v>2713</v>
      </c>
      <c r="G1147" s="1" t="s">
        <v>2716</v>
      </c>
      <c r="H1147" s="1" t="s">
        <v>2717</v>
      </c>
      <c r="I1147" s="1" t="s">
        <v>17900</v>
      </c>
      <c r="J1147" s="1" t="s">
        <v>4320</v>
      </c>
      <c r="K1147" s="1">
        <v>1</v>
      </c>
      <c r="L1147" s="1" t="s">
        <v>4259</v>
      </c>
      <c r="M1147" s="1">
        <v>1</v>
      </c>
      <c r="N1147" s="1" t="s">
        <v>4318</v>
      </c>
    </row>
    <row r="1148" spans="1:14" x14ac:dyDescent="0.15">
      <c r="A1148" s="1">
        <v>190</v>
      </c>
      <c r="B1148" s="1" t="s">
        <v>2713</v>
      </c>
      <c r="C1148" s="1" t="s">
        <v>2714</v>
      </c>
      <c r="D1148" s="1" t="s">
        <v>2713</v>
      </c>
      <c r="E1148" s="1" t="s">
        <v>2714</v>
      </c>
      <c r="F1148" s="1" t="s">
        <v>2713</v>
      </c>
      <c r="G1148" s="1" t="s">
        <v>2716</v>
      </c>
      <c r="H1148" s="1" t="s">
        <v>2717</v>
      </c>
      <c r="I1148" s="1" t="s">
        <v>17908</v>
      </c>
      <c r="J1148" s="1" t="s">
        <v>6539</v>
      </c>
      <c r="K1148" s="1">
        <v>1</v>
      </c>
      <c r="L1148" s="1" t="s">
        <v>4259</v>
      </c>
      <c r="M1148" s="1">
        <v>1</v>
      </c>
      <c r="N1148" s="1" t="s">
        <v>4318</v>
      </c>
    </row>
    <row r="1149" spans="1:14" x14ac:dyDescent="0.15">
      <c r="A1149" s="1">
        <v>190</v>
      </c>
      <c r="B1149" s="1" t="s">
        <v>2713</v>
      </c>
      <c r="C1149" s="1" t="s">
        <v>2714</v>
      </c>
      <c r="D1149" s="1" t="s">
        <v>2713</v>
      </c>
      <c r="E1149" s="1" t="s">
        <v>2714</v>
      </c>
      <c r="F1149" s="1" t="s">
        <v>2713</v>
      </c>
      <c r="G1149" s="1" t="s">
        <v>2716</v>
      </c>
      <c r="H1149" s="1" t="s">
        <v>2717</v>
      </c>
      <c r="I1149" s="1" t="s">
        <v>11710</v>
      </c>
      <c r="J1149" s="1" t="s">
        <v>18011</v>
      </c>
      <c r="K1149" s="1">
        <v>1</v>
      </c>
      <c r="L1149" s="1" t="s">
        <v>4259</v>
      </c>
      <c r="M1149" s="1">
        <v>1</v>
      </c>
      <c r="N1149" s="1" t="s">
        <v>4318</v>
      </c>
    </row>
    <row r="1150" spans="1:14" x14ac:dyDescent="0.15">
      <c r="A1150" s="1">
        <v>190</v>
      </c>
      <c r="B1150" s="1" t="s">
        <v>2713</v>
      </c>
      <c r="C1150" s="1" t="s">
        <v>2714</v>
      </c>
      <c r="D1150" s="1" t="s">
        <v>2713</v>
      </c>
      <c r="E1150" s="1" t="s">
        <v>2714</v>
      </c>
      <c r="F1150" s="1" t="s">
        <v>2713</v>
      </c>
      <c r="G1150" s="1" t="s">
        <v>2716</v>
      </c>
      <c r="H1150" s="1" t="s">
        <v>2717</v>
      </c>
      <c r="I1150" s="1" t="s">
        <v>11722</v>
      </c>
      <c r="J1150" s="1" t="s">
        <v>6593</v>
      </c>
      <c r="K1150" s="1">
        <v>1</v>
      </c>
      <c r="L1150" s="1" t="s">
        <v>4259</v>
      </c>
      <c r="M1150" s="1">
        <v>1</v>
      </c>
      <c r="N1150" s="1" t="s">
        <v>4318</v>
      </c>
    </row>
    <row r="1151" spans="1:14" x14ac:dyDescent="0.15">
      <c r="A1151" s="1">
        <v>190</v>
      </c>
      <c r="B1151" s="1" t="s">
        <v>2713</v>
      </c>
      <c r="C1151" s="1" t="s">
        <v>2714</v>
      </c>
      <c r="D1151" s="1" t="s">
        <v>2713</v>
      </c>
      <c r="E1151" s="1" t="s">
        <v>2714</v>
      </c>
      <c r="F1151" s="1" t="s">
        <v>2713</v>
      </c>
      <c r="G1151" s="1" t="s">
        <v>2716</v>
      </c>
      <c r="H1151" s="1" t="s">
        <v>2717</v>
      </c>
      <c r="I1151" s="1" t="s">
        <v>11739</v>
      </c>
      <c r="J1151" s="1" t="s">
        <v>6595</v>
      </c>
      <c r="K1151" s="1">
        <v>1</v>
      </c>
      <c r="L1151" s="1" t="s">
        <v>4259</v>
      </c>
      <c r="M1151" s="1">
        <v>1</v>
      </c>
      <c r="N1151" s="1" t="s">
        <v>4318</v>
      </c>
    </row>
    <row r="1152" spans="1:14" x14ac:dyDescent="0.15">
      <c r="A1152" s="1">
        <v>190</v>
      </c>
      <c r="B1152" s="1" t="s">
        <v>2713</v>
      </c>
      <c r="C1152" s="1" t="s">
        <v>2714</v>
      </c>
      <c r="D1152" s="1" t="s">
        <v>2713</v>
      </c>
      <c r="E1152" s="1" t="s">
        <v>2714</v>
      </c>
      <c r="F1152" s="1" t="s">
        <v>2713</v>
      </c>
      <c r="G1152" s="1" t="s">
        <v>2716</v>
      </c>
      <c r="H1152" s="1" t="s">
        <v>2717</v>
      </c>
      <c r="I1152" s="1" t="s">
        <v>11748</v>
      </c>
      <c r="J1152" s="1" t="s">
        <v>18031</v>
      </c>
      <c r="K1152" s="1">
        <v>1</v>
      </c>
      <c r="L1152" s="1" t="s">
        <v>4259</v>
      </c>
      <c r="M1152" s="1">
        <v>1</v>
      </c>
      <c r="N1152" s="1" t="s">
        <v>4318</v>
      </c>
    </row>
    <row r="1153" spans="1:14" x14ac:dyDescent="0.15">
      <c r="A1153" s="1">
        <v>190</v>
      </c>
      <c r="B1153" s="1" t="s">
        <v>2713</v>
      </c>
      <c r="C1153" s="1" t="s">
        <v>2714</v>
      </c>
      <c r="D1153" s="1" t="s">
        <v>2713</v>
      </c>
      <c r="E1153" s="1" t="s">
        <v>2714</v>
      </c>
      <c r="F1153" s="1" t="s">
        <v>2713</v>
      </c>
      <c r="G1153" s="1" t="s">
        <v>2716</v>
      </c>
      <c r="H1153" s="1" t="s">
        <v>2717</v>
      </c>
      <c r="I1153" s="1" t="s">
        <v>11763</v>
      </c>
      <c r="J1153" s="1" t="s">
        <v>2472</v>
      </c>
      <c r="K1153" s="1">
        <v>1</v>
      </c>
      <c r="L1153" s="1" t="s">
        <v>4259</v>
      </c>
      <c r="M1153" s="1">
        <v>1</v>
      </c>
      <c r="N1153" s="1" t="s">
        <v>4318</v>
      </c>
    </row>
    <row r="1154" spans="1:14" x14ac:dyDescent="0.15">
      <c r="A1154" s="1">
        <v>190</v>
      </c>
      <c r="B1154" s="1" t="s">
        <v>2713</v>
      </c>
      <c r="C1154" s="1" t="s">
        <v>2714</v>
      </c>
      <c r="D1154" s="1" t="s">
        <v>2713</v>
      </c>
      <c r="E1154" s="1" t="s">
        <v>2714</v>
      </c>
      <c r="F1154" s="1" t="s">
        <v>2713</v>
      </c>
      <c r="G1154" s="1" t="s">
        <v>2718</v>
      </c>
      <c r="H1154" s="1" t="s">
        <v>2719</v>
      </c>
      <c r="I1154" s="1" t="s">
        <v>17900</v>
      </c>
      <c r="J1154" s="1" t="s">
        <v>4320</v>
      </c>
      <c r="K1154" s="1">
        <v>1</v>
      </c>
      <c r="L1154" s="1" t="s">
        <v>4259</v>
      </c>
      <c r="M1154" s="1">
        <v>9</v>
      </c>
      <c r="N1154" s="1" t="s">
        <v>4381</v>
      </c>
    </row>
    <row r="1155" spans="1:14" x14ac:dyDescent="0.15">
      <c r="A1155" s="1">
        <v>190</v>
      </c>
      <c r="B1155" s="1" t="s">
        <v>2713</v>
      </c>
      <c r="C1155" s="1" t="s">
        <v>2714</v>
      </c>
      <c r="D1155" s="1" t="s">
        <v>2713</v>
      </c>
      <c r="E1155" s="1" t="s">
        <v>2714</v>
      </c>
      <c r="F1155" s="1" t="s">
        <v>2713</v>
      </c>
      <c r="G1155" s="1" t="s">
        <v>2718</v>
      </c>
      <c r="H1155" s="1" t="s">
        <v>2719</v>
      </c>
      <c r="I1155" s="1" t="s">
        <v>17908</v>
      </c>
      <c r="J1155" s="1" t="s">
        <v>6539</v>
      </c>
      <c r="K1155" s="1">
        <v>1</v>
      </c>
      <c r="L1155" s="1" t="s">
        <v>4259</v>
      </c>
      <c r="M1155" s="1">
        <v>9</v>
      </c>
      <c r="N1155" s="1" t="s">
        <v>4381</v>
      </c>
    </row>
    <row r="1156" spans="1:14" x14ac:dyDescent="0.15">
      <c r="A1156" s="1">
        <v>190</v>
      </c>
      <c r="B1156" s="1" t="s">
        <v>2713</v>
      </c>
      <c r="C1156" s="1" t="s">
        <v>2714</v>
      </c>
      <c r="D1156" s="1" t="s">
        <v>2713</v>
      </c>
      <c r="E1156" s="1" t="s">
        <v>2714</v>
      </c>
      <c r="F1156" s="1" t="s">
        <v>2713</v>
      </c>
      <c r="G1156" s="1" t="s">
        <v>2718</v>
      </c>
      <c r="H1156" s="1" t="s">
        <v>2719</v>
      </c>
      <c r="I1156" s="1" t="s">
        <v>11710</v>
      </c>
      <c r="J1156" s="1" t="s">
        <v>18011</v>
      </c>
      <c r="K1156" s="1">
        <v>1</v>
      </c>
      <c r="L1156" s="1" t="s">
        <v>4259</v>
      </c>
      <c r="M1156" s="1">
        <v>9</v>
      </c>
      <c r="N1156" s="1" t="s">
        <v>4381</v>
      </c>
    </row>
    <row r="1157" spans="1:14" x14ac:dyDescent="0.15">
      <c r="A1157" s="1">
        <v>190</v>
      </c>
      <c r="B1157" s="1" t="s">
        <v>2713</v>
      </c>
      <c r="C1157" s="1" t="s">
        <v>2714</v>
      </c>
      <c r="D1157" s="1" t="s">
        <v>2713</v>
      </c>
      <c r="E1157" s="1" t="s">
        <v>2714</v>
      </c>
      <c r="F1157" s="1" t="s">
        <v>2713</v>
      </c>
      <c r="G1157" s="1" t="s">
        <v>2718</v>
      </c>
      <c r="H1157" s="1" t="s">
        <v>2719</v>
      </c>
      <c r="I1157" s="1" t="s">
        <v>11722</v>
      </c>
      <c r="J1157" s="1" t="s">
        <v>6593</v>
      </c>
      <c r="K1157" s="1">
        <v>1</v>
      </c>
      <c r="L1157" s="1" t="s">
        <v>4259</v>
      </c>
      <c r="M1157" s="1">
        <v>9</v>
      </c>
      <c r="N1157" s="1" t="s">
        <v>4381</v>
      </c>
    </row>
    <row r="1158" spans="1:14" x14ac:dyDescent="0.15">
      <c r="A1158" s="1">
        <v>190</v>
      </c>
      <c r="B1158" s="1" t="s">
        <v>2713</v>
      </c>
      <c r="C1158" s="1" t="s">
        <v>2714</v>
      </c>
      <c r="D1158" s="1" t="s">
        <v>2713</v>
      </c>
      <c r="E1158" s="1" t="s">
        <v>2714</v>
      </c>
      <c r="F1158" s="1" t="s">
        <v>2713</v>
      </c>
      <c r="G1158" s="1" t="s">
        <v>2718</v>
      </c>
      <c r="H1158" s="1" t="s">
        <v>2719</v>
      </c>
      <c r="I1158" s="1" t="s">
        <v>11739</v>
      </c>
      <c r="J1158" s="1" t="s">
        <v>6595</v>
      </c>
      <c r="K1158" s="1">
        <v>1</v>
      </c>
      <c r="L1158" s="1" t="s">
        <v>4259</v>
      </c>
      <c r="M1158" s="1">
        <v>9</v>
      </c>
      <c r="N1158" s="1" t="s">
        <v>4381</v>
      </c>
    </row>
    <row r="1159" spans="1:14" x14ac:dyDescent="0.15">
      <c r="A1159" s="1">
        <v>190</v>
      </c>
      <c r="B1159" s="1" t="s">
        <v>2713</v>
      </c>
      <c r="C1159" s="1" t="s">
        <v>2714</v>
      </c>
      <c r="D1159" s="1" t="s">
        <v>2713</v>
      </c>
      <c r="E1159" s="1" t="s">
        <v>2714</v>
      </c>
      <c r="F1159" s="1" t="s">
        <v>2713</v>
      </c>
      <c r="G1159" s="1" t="s">
        <v>2718</v>
      </c>
      <c r="H1159" s="1" t="s">
        <v>2719</v>
      </c>
      <c r="I1159" s="1" t="s">
        <v>11748</v>
      </c>
      <c r="J1159" s="1" t="s">
        <v>18031</v>
      </c>
      <c r="K1159" s="1">
        <v>1</v>
      </c>
      <c r="L1159" s="1" t="s">
        <v>4259</v>
      </c>
      <c r="M1159" s="1">
        <v>9</v>
      </c>
      <c r="N1159" s="1" t="s">
        <v>4381</v>
      </c>
    </row>
    <row r="1160" spans="1:14" x14ac:dyDescent="0.15">
      <c r="A1160" s="1">
        <v>190</v>
      </c>
      <c r="B1160" s="1" t="s">
        <v>2713</v>
      </c>
      <c r="C1160" s="1" t="s">
        <v>2714</v>
      </c>
      <c r="D1160" s="1" t="s">
        <v>2713</v>
      </c>
      <c r="E1160" s="1" t="s">
        <v>2714</v>
      </c>
      <c r="F1160" s="1" t="s">
        <v>2713</v>
      </c>
      <c r="G1160" s="1" t="s">
        <v>2718</v>
      </c>
      <c r="H1160" s="1" t="s">
        <v>2719</v>
      </c>
      <c r="I1160" s="1" t="s">
        <v>11763</v>
      </c>
      <c r="J1160" s="1" t="s">
        <v>2472</v>
      </c>
      <c r="K1160" s="1">
        <v>1</v>
      </c>
      <c r="L1160" s="1" t="s">
        <v>4259</v>
      </c>
      <c r="M1160" s="1">
        <v>9</v>
      </c>
      <c r="N1160" s="1" t="s">
        <v>4381</v>
      </c>
    </row>
    <row r="1161" spans="1:14" x14ac:dyDescent="0.15">
      <c r="A1161" s="1">
        <v>191</v>
      </c>
      <c r="B1161" s="1" t="s">
        <v>2720</v>
      </c>
      <c r="C1161" s="1" t="s">
        <v>2721</v>
      </c>
      <c r="D1161" s="1" t="s">
        <v>2720</v>
      </c>
      <c r="E1161" s="1" t="s">
        <v>2721</v>
      </c>
      <c r="F1161" s="1" t="s">
        <v>2720</v>
      </c>
      <c r="G1161" s="1" t="s">
        <v>2722</v>
      </c>
      <c r="H1161" s="1" t="s">
        <v>2720</v>
      </c>
      <c r="I1161" s="1" t="s">
        <v>15101</v>
      </c>
      <c r="J1161" s="1" t="s">
        <v>6213</v>
      </c>
      <c r="K1161" s="1">
        <v>7</v>
      </c>
      <c r="L1161" s="1" t="s">
        <v>4299</v>
      </c>
      <c r="M1161" s="1">
        <v>15</v>
      </c>
      <c r="N1161" s="1" t="s">
        <v>4365</v>
      </c>
    </row>
    <row r="1162" spans="1:14" x14ac:dyDescent="0.15">
      <c r="A1162" s="1">
        <v>192</v>
      </c>
      <c r="B1162" s="1" t="s">
        <v>2723</v>
      </c>
      <c r="C1162" s="1" t="s">
        <v>2724</v>
      </c>
      <c r="D1162" s="1" t="s">
        <v>2723</v>
      </c>
      <c r="E1162" s="1" t="s">
        <v>2724</v>
      </c>
      <c r="F1162" s="1" t="s">
        <v>2723</v>
      </c>
      <c r="G1162" s="1" t="s">
        <v>2725</v>
      </c>
      <c r="H1162" s="1" t="s">
        <v>2723</v>
      </c>
      <c r="I1162" s="1" t="s">
        <v>11763</v>
      </c>
      <c r="J1162" s="1" t="s">
        <v>2472</v>
      </c>
      <c r="K1162" s="1">
        <v>7</v>
      </c>
      <c r="L1162" s="1" t="s">
        <v>4299</v>
      </c>
      <c r="M1162" s="1">
        <v>15</v>
      </c>
      <c r="N1162" s="1" t="s">
        <v>4365</v>
      </c>
    </row>
    <row r="1163" spans="1:14" x14ac:dyDescent="0.15">
      <c r="A1163" s="1">
        <v>192</v>
      </c>
      <c r="B1163" s="1" t="s">
        <v>2723</v>
      </c>
      <c r="C1163" s="1" t="s">
        <v>2724</v>
      </c>
      <c r="D1163" s="1" t="s">
        <v>2723</v>
      </c>
      <c r="E1163" s="1" t="s">
        <v>2724</v>
      </c>
      <c r="F1163" s="1" t="s">
        <v>2723</v>
      </c>
      <c r="G1163" s="1" t="s">
        <v>2725</v>
      </c>
      <c r="H1163" s="1" t="s">
        <v>2723</v>
      </c>
      <c r="I1163" s="1" t="s">
        <v>15125</v>
      </c>
      <c r="J1163" s="1" t="s">
        <v>15126</v>
      </c>
      <c r="K1163" s="1">
        <v>7</v>
      </c>
      <c r="L1163" s="1" t="s">
        <v>4299</v>
      </c>
      <c r="M1163" s="1">
        <v>15</v>
      </c>
      <c r="N1163" s="1" t="s">
        <v>4365</v>
      </c>
    </row>
    <row r="1164" spans="1:14" x14ac:dyDescent="0.15">
      <c r="A1164" s="1">
        <v>193</v>
      </c>
      <c r="B1164" s="1" t="s">
        <v>2726</v>
      </c>
      <c r="C1164" s="1" t="s">
        <v>2727</v>
      </c>
      <c r="D1164" s="1" t="s">
        <v>2726</v>
      </c>
      <c r="E1164" s="1" t="s">
        <v>2727</v>
      </c>
      <c r="F1164" s="1" t="s">
        <v>2726</v>
      </c>
      <c r="G1164" s="1" t="s">
        <v>2728</v>
      </c>
      <c r="H1164" s="1" t="s">
        <v>2726</v>
      </c>
      <c r="I1164" s="1" t="s">
        <v>15922</v>
      </c>
      <c r="J1164" s="1" t="s">
        <v>15923</v>
      </c>
      <c r="K1164" s="1">
        <v>7</v>
      </c>
      <c r="L1164" s="1" t="s">
        <v>4299</v>
      </c>
      <c r="M1164" s="1">
        <v>1</v>
      </c>
      <c r="N1164" s="1" t="s">
        <v>4318</v>
      </c>
    </row>
    <row r="1165" spans="1:14" x14ac:dyDescent="0.15">
      <c r="A1165" s="1">
        <v>193</v>
      </c>
      <c r="B1165" s="1" t="s">
        <v>2726</v>
      </c>
      <c r="C1165" s="1" t="s">
        <v>2727</v>
      </c>
      <c r="D1165" s="1" t="s">
        <v>2726</v>
      </c>
      <c r="E1165" s="1" t="s">
        <v>2727</v>
      </c>
      <c r="F1165" s="1" t="s">
        <v>2726</v>
      </c>
      <c r="G1165" s="1" t="s">
        <v>2729</v>
      </c>
      <c r="H1165" s="1" t="s">
        <v>2730</v>
      </c>
      <c r="I1165" s="1" t="s">
        <v>15922</v>
      </c>
      <c r="J1165" s="1" t="s">
        <v>15923</v>
      </c>
      <c r="K1165" s="1">
        <v>7</v>
      </c>
      <c r="L1165" s="1" t="s">
        <v>4299</v>
      </c>
      <c r="M1165" s="1">
        <v>1</v>
      </c>
      <c r="N1165" s="1" t="s">
        <v>4318</v>
      </c>
    </row>
    <row r="1166" spans="1:14" x14ac:dyDescent="0.15">
      <c r="A1166" s="1">
        <v>193</v>
      </c>
      <c r="B1166" s="1" t="s">
        <v>2726</v>
      </c>
      <c r="C1166" s="1" t="s">
        <v>2727</v>
      </c>
      <c r="D1166" s="1" t="s">
        <v>2726</v>
      </c>
      <c r="E1166" s="1" t="s">
        <v>2727</v>
      </c>
      <c r="F1166" s="1" t="s">
        <v>2726</v>
      </c>
      <c r="G1166" s="1" t="s">
        <v>2731</v>
      </c>
      <c r="H1166" s="1" t="s">
        <v>2732</v>
      </c>
      <c r="I1166" s="1" t="s">
        <v>15922</v>
      </c>
      <c r="J1166" s="1" t="s">
        <v>15923</v>
      </c>
      <c r="K1166" s="1">
        <v>7</v>
      </c>
      <c r="L1166" s="1" t="s">
        <v>4299</v>
      </c>
      <c r="M1166" s="1">
        <v>1</v>
      </c>
      <c r="N1166" s="1" t="s">
        <v>4318</v>
      </c>
    </row>
    <row r="1167" spans="1:14" x14ac:dyDescent="0.15">
      <c r="A1167" s="1">
        <v>194</v>
      </c>
      <c r="B1167" s="1" t="s">
        <v>2733</v>
      </c>
      <c r="C1167" s="1" t="s">
        <v>2734</v>
      </c>
      <c r="D1167" s="1" t="s">
        <v>2733</v>
      </c>
      <c r="E1167" s="1" t="s">
        <v>2734</v>
      </c>
      <c r="F1167" s="1" t="s">
        <v>2733</v>
      </c>
      <c r="G1167" s="1" t="s">
        <v>2735</v>
      </c>
      <c r="H1167" s="1" t="s">
        <v>2733</v>
      </c>
      <c r="I1167" s="1" t="s">
        <v>10173</v>
      </c>
      <c r="J1167" s="1" t="s">
        <v>2736</v>
      </c>
      <c r="K1167" s="1">
        <v>7</v>
      </c>
      <c r="L1167" s="1" t="s">
        <v>4299</v>
      </c>
      <c r="M1167" s="1">
        <v>15</v>
      </c>
      <c r="N1167" s="1" t="s">
        <v>4365</v>
      </c>
    </row>
    <row r="1168" spans="1:14" x14ac:dyDescent="0.15">
      <c r="A1168" s="1">
        <v>194</v>
      </c>
      <c r="B1168" s="1" t="s">
        <v>2733</v>
      </c>
      <c r="C1168" s="1" t="s">
        <v>2734</v>
      </c>
      <c r="D1168" s="1" t="s">
        <v>2733</v>
      </c>
      <c r="E1168" s="1" t="s">
        <v>2734</v>
      </c>
      <c r="F1168" s="1" t="s">
        <v>2733</v>
      </c>
      <c r="G1168" s="1" t="s">
        <v>2735</v>
      </c>
      <c r="H1168" s="1" t="s">
        <v>2733</v>
      </c>
      <c r="I1168" s="1" t="s">
        <v>15109</v>
      </c>
      <c r="J1168" s="1" t="s">
        <v>15110</v>
      </c>
      <c r="K1168" s="1">
        <v>7</v>
      </c>
      <c r="L1168" s="1" t="s">
        <v>4299</v>
      </c>
      <c r="M1168" s="1">
        <v>15</v>
      </c>
      <c r="N1168" s="1" t="s">
        <v>4365</v>
      </c>
    </row>
    <row r="1169" spans="1:14" x14ac:dyDescent="0.15">
      <c r="A1169" s="1">
        <v>194</v>
      </c>
      <c r="B1169" s="1" t="s">
        <v>2733</v>
      </c>
      <c r="C1169" s="1" t="s">
        <v>2734</v>
      </c>
      <c r="D1169" s="1" t="s">
        <v>2733</v>
      </c>
      <c r="E1169" s="1" t="s">
        <v>2734</v>
      </c>
      <c r="F1169" s="1" t="s">
        <v>2733</v>
      </c>
      <c r="G1169" s="1" t="s">
        <v>2735</v>
      </c>
      <c r="H1169" s="1" t="s">
        <v>2733</v>
      </c>
      <c r="I1169" s="1" t="s">
        <v>15113</v>
      </c>
      <c r="J1169" s="1" t="s">
        <v>15114</v>
      </c>
      <c r="K1169" s="1">
        <v>7</v>
      </c>
      <c r="L1169" s="1" t="s">
        <v>4299</v>
      </c>
      <c r="M1169" s="1">
        <v>15</v>
      </c>
      <c r="N1169" s="1" t="s">
        <v>4365</v>
      </c>
    </row>
    <row r="1170" spans="1:14" x14ac:dyDescent="0.15">
      <c r="A1170" s="1">
        <v>194</v>
      </c>
      <c r="B1170" s="1" t="s">
        <v>2733</v>
      </c>
      <c r="C1170" s="1" t="s">
        <v>2734</v>
      </c>
      <c r="D1170" s="1" t="s">
        <v>2733</v>
      </c>
      <c r="E1170" s="1" t="s">
        <v>2734</v>
      </c>
      <c r="F1170" s="1" t="s">
        <v>2733</v>
      </c>
      <c r="G1170" s="1" t="s">
        <v>2735</v>
      </c>
      <c r="H1170" s="1" t="s">
        <v>2733</v>
      </c>
      <c r="I1170" s="1" t="s">
        <v>15117</v>
      </c>
      <c r="J1170" s="1" t="s">
        <v>2737</v>
      </c>
      <c r="K1170" s="1">
        <v>7</v>
      </c>
      <c r="L1170" s="1" t="s">
        <v>4299</v>
      </c>
      <c r="M1170" s="1">
        <v>15</v>
      </c>
      <c r="N1170" s="1" t="s">
        <v>4365</v>
      </c>
    </row>
    <row r="1171" spans="1:14" x14ac:dyDescent="0.15">
      <c r="A1171" s="1">
        <v>194</v>
      </c>
      <c r="B1171" s="1" t="s">
        <v>2733</v>
      </c>
      <c r="C1171" s="1" t="s">
        <v>2734</v>
      </c>
      <c r="D1171" s="1" t="s">
        <v>2733</v>
      </c>
      <c r="E1171" s="1" t="s">
        <v>2734</v>
      </c>
      <c r="F1171" s="1" t="s">
        <v>2733</v>
      </c>
      <c r="G1171" s="1" t="s">
        <v>2735</v>
      </c>
      <c r="H1171" s="1" t="s">
        <v>2733</v>
      </c>
      <c r="I1171" s="1" t="s">
        <v>8024</v>
      </c>
      <c r="J1171" s="1" t="s">
        <v>2738</v>
      </c>
      <c r="K1171" s="1">
        <v>7</v>
      </c>
      <c r="L1171" s="1" t="s">
        <v>4299</v>
      </c>
      <c r="M1171" s="1">
        <v>15</v>
      </c>
      <c r="N1171" s="1" t="s">
        <v>4365</v>
      </c>
    </row>
    <row r="1172" spans="1:14" x14ac:dyDescent="0.15">
      <c r="A1172" s="1">
        <v>194</v>
      </c>
      <c r="B1172" s="1" t="s">
        <v>2733</v>
      </c>
      <c r="C1172" s="1" t="s">
        <v>2734</v>
      </c>
      <c r="D1172" s="1" t="s">
        <v>2733</v>
      </c>
      <c r="E1172" s="1" t="s">
        <v>2734</v>
      </c>
      <c r="F1172" s="1" t="s">
        <v>2733</v>
      </c>
      <c r="G1172" s="1" t="s">
        <v>2739</v>
      </c>
      <c r="H1172" s="1" t="s">
        <v>2740</v>
      </c>
      <c r="I1172" s="1" t="s">
        <v>10173</v>
      </c>
      <c r="J1172" s="1" t="s">
        <v>2736</v>
      </c>
      <c r="K1172" s="1">
        <v>7</v>
      </c>
      <c r="L1172" s="1" t="s">
        <v>4299</v>
      </c>
      <c r="M1172" s="1">
        <v>15</v>
      </c>
      <c r="N1172" s="1" t="s">
        <v>4365</v>
      </c>
    </row>
    <row r="1173" spans="1:14" x14ac:dyDescent="0.15">
      <c r="A1173" s="1">
        <v>194</v>
      </c>
      <c r="B1173" s="1" t="s">
        <v>2733</v>
      </c>
      <c r="C1173" s="1" t="s">
        <v>2734</v>
      </c>
      <c r="D1173" s="1" t="s">
        <v>2733</v>
      </c>
      <c r="E1173" s="1" t="s">
        <v>2734</v>
      </c>
      <c r="F1173" s="1" t="s">
        <v>2733</v>
      </c>
      <c r="G1173" s="1" t="s">
        <v>2739</v>
      </c>
      <c r="H1173" s="1" t="s">
        <v>2740</v>
      </c>
      <c r="I1173" s="1" t="s">
        <v>15109</v>
      </c>
      <c r="J1173" s="1" t="s">
        <v>15110</v>
      </c>
      <c r="K1173" s="1">
        <v>7</v>
      </c>
      <c r="L1173" s="1" t="s">
        <v>4299</v>
      </c>
      <c r="M1173" s="1">
        <v>15</v>
      </c>
      <c r="N1173" s="1" t="s">
        <v>4365</v>
      </c>
    </row>
    <row r="1174" spans="1:14" x14ac:dyDescent="0.15">
      <c r="A1174" s="1">
        <v>194</v>
      </c>
      <c r="B1174" s="1" t="s">
        <v>2733</v>
      </c>
      <c r="C1174" s="1" t="s">
        <v>2734</v>
      </c>
      <c r="D1174" s="1" t="s">
        <v>2733</v>
      </c>
      <c r="E1174" s="1" t="s">
        <v>2734</v>
      </c>
      <c r="F1174" s="1" t="s">
        <v>2733</v>
      </c>
      <c r="G1174" s="1" t="s">
        <v>2739</v>
      </c>
      <c r="H1174" s="1" t="s">
        <v>2740</v>
      </c>
      <c r="I1174" s="1" t="s">
        <v>15113</v>
      </c>
      <c r="J1174" s="1" t="s">
        <v>15114</v>
      </c>
      <c r="K1174" s="1">
        <v>7</v>
      </c>
      <c r="L1174" s="1" t="s">
        <v>4299</v>
      </c>
      <c r="M1174" s="1">
        <v>15</v>
      </c>
      <c r="N1174" s="1" t="s">
        <v>4365</v>
      </c>
    </row>
    <row r="1175" spans="1:14" x14ac:dyDescent="0.15">
      <c r="A1175" s="1">
        <v>194</v>
      </c>
      <c r="B1175" s="1" t="s">
        <v>2733</v>
      </c>
      <c r="C1175" s="1" t="s">
        <v>2734</v>
      </c>
      <c r="D1175" s="1" t="s">
        <v>2733</v>
      </c>
      <c r="E1175" s="1" t="s">
        <v>2734</v>
      </c>
      <c r="F1175" s="1" t="s">
        <v>2733</v>
      </c>
      <c r="G1175" s="1" t="s">
        <v>2739</v>
      </c>
      <c r="H1175" s="1" t="s">
        <v>2740</v>
      </c>
      <c r="I1175" s="1" t="s">
        <v>15117</v>
      </c>
      <c r="J1175" s="1" t="s">
        <v>2737</v>
      </c>
      <c r="K1175" s="1">
        <v>7</v>
      </c>
      <c r="L1175" s="1" t="s">
        <v>4299</v>
      </c>
      <c r="M1175" s="1">
        <v>15</v>
      </c>
      <c r="N1175" s="1" t="s">
        <v>4365</v>
      </c>
    </row>
    <row r="1176" spans="1:14" x14ac:dyDescent="0.15">
      <c r="A1176" s="1">
        <v>194</v>
      </c>
      <c r="B1176" s="1" t="s">
        <v>2733</v>
      </c>
      <c r="C1176" s="1" t="s">
        <v>2734</v>
      </c>
      <c r="D1176" s="1" t="s">
        <v>2733</v>
      </c>
      <c r="E1176" s="1" t="s">
        <v>2734</v>
      </c>
      <c r="F1176" s="1" t="s">
        <v>2733</v>
      </c>
      <c r="G1176" s="1" t="s">
        <v>2739</v>
      </c>
      <c r="H1176" s="1" t="s">
        <v>2740</v>
      </c>
      <c r="I1176" s="1" t="s">
        <v>8024</v>
      </c>
      <c r="J1176" s="1" t="s">
        <v>2738</v>
      </c>
      <c r="K1176" s="1">
        <v>7</v>
      </c>
      <c r="L1176" s="1" t="s">
        <v>4299</v>
      </c>
      <c r="M1176" s="1">
        <v>15</v>
      </c>
      <c r="N1176" s="1" t="s">
        <v>4365</v>
      </c>
    </row>
    <row r="1177" spans="1:14" x14ac:dyDescent="0.15">
      <c r="A1177" s="1">
        <v>194</v>
      </c>
      <c r="B1177" s="1" t="s">
        <v>2733</v>
      </c>
      <c r="C1177" s="1" t="s">
        <v>2734</v>
      </c>
      <c r="D1177" s="1" t="s">
        <v>2733</v>
      </c>
      <c r="E1177" s="1" t="s">
        <v>2734</v>
      </c>
      <c r="F1177" s="1" t="s">
        <v>2733</v>
      </c>
      <c r="G1177" s="1" t="s">
        <v>2741</v>
      </c>
      <c r="H1177" s="1" t="s">
        <v>2742</v>
      </c>
      <c r="I1177" s="1" t="s">
        <v>10173</v>
      </c>
      <c r="J1177" s="1" t="s">
        <v>2736</v>
      </c>
      <c r="K1177" s="1">
        <v>7</v>
      </c>
      <c r="L1177" s="1" t="s">
        <v>4299</v>
      </c>
      <c r="M1177" s="1">
        <v>15</v>
      </c>
      <c r="N1177" s="1" t="s">
        <v>4365</v>
      </c>
    </row>
    <row r="1178" spans="1:14" x14ac:dyDescent="0.15">
      <c r="A1178" s="1">
        <v>194</v>
      </c>
      <c r="B1178" s="1" t="s">
        <v>2733</v>
      </c>
      <c r="C1178" s="1" t="s">
        <v>2734</v>
      </c>
      <c r="D1178" s="1" t="s">
        <v>2733</v>
      </c>
      <c r="E1178" s="1" t="s">
        <v>2734</v>
      </c>
      <c r="F1178" s="1" t="s">
        <v>2733</v>
      </c>
      <c r="G1178" s="1" t="s">
        <v>2741</v>
      </c>
      <c r="H1178" s="1" t="s">
        <v>2742</v>
      </c>
      <c r="I1178" s="1" t="s">
        <v>15109</v>
      </c>
      <c r="J1178" s="1" t="s">
        <v>15110</v>
      </c>
      <c r="K1178" s="1">
        <v>7</v>
      </c>
      <c r="L1178" s="1" t="s">
        <v>4299</v>
      </c>
      <c r="M1178" s="1">
        <v>15</v>
      </c>
      <c r="N1178" s="1" t="s">
        <v>4365</v>
      </c>
    </row>
    <row r="1179" spans="1:14" x14ac:dyDescent="0.15">
      <c r="A1179" s="1">
        <v>194</v>
      </c>
      <c r="B1179" s="1" t="s">
        <v>2733</v>
      </c>
      <c r="C1179" s="1" t="s">
        <v>2734</v>
      </c>
      <c r="D1179" s="1" t="s">
        <v>2733</v>
      </c>
      <c r="E1179" s="1" t="s">
        <v>2734</v>
      </c>
      <c r="F1179" s="1" t="s">
        <v>2733</v>
      </c>
      <c r="G1179" s="1" t="s">
        <v>2741</v>
      </c>
      <c r="H1179" s="1" t="s">
        <v>2742</v>
      </c>
      <c r="I1179" s="1" t="s">
        <v>15113</v>
      </c>
      <c r="J1179" s="1" t="s">
        <v>15114</v>
      </c>
      <c r="K1179" s="1">
        <v>7</v>
      </c>
      <c r="L1179" s="1" t="s">
        <v>4299</v>
      </c>
      <c r="M1179" s="1">
        <v>15</v>
      </c>
      <c r="N1179" s="1" t="s">
        <v>4365</v>
      </c>
    </row>
    <row r="1180" spans="1:14" x14ac:dyDescent="0.15">
      <c r="A1180" s="1">
        <v>194</v>
      </c>
      <c r="B1180" s="1" t="s">
        <v>2733</v>
      </c>
      <c r="C1180" s="1" t="s">
        <v>2734</v>
      </c>
      <c r="D1180" s="1" t="s">
        <v>2733</v>
      </c>
      <c r="E1180" s="1" t="s">
        <v>2734</v>
      </c>
      <c r="F1180" s="1" t="s">
        <v>2733</v>
      </c>
      <c r="G1180" s="1" t="s">
        <v>2741</v>
      </c>
      <c r="H1180" s="1" t="s">
        <v>2742</v>
      </c>
      <c r="I1180" s="1" t="s">
        <v>15117</v>
      </c>
      <c r="J1180" s="1" t="s">
        <v>2737</v>
      </c>
      <c r="K1180" s="1">
        <v>7</v>
      </c>
      <c r="L1180" s="1" t="s">
        <v>4299</v>
      </c>
      <c r="M1180" s="1">
        <v>15</v>
      </c>
      <c r="N1180" s="1" t="s">
        <v>4365</v>
      </c>
    </row>
    <row r="1181" spans="1:14" x14ac:dyDescent="0.15">
      <c r="A1181" s="1">
        <v>194</v>
      </c>
      <c r="B1181" s="1" t="s">
        <v>2733</v>
      </c>
      <c r="C1181" s="1" t="s">
        <v>2734</v>
      </c>
      <c r="D1181" s="1" t="s">
        <v>2733</v>
      </c>
      <c r="E1181" s="1" t="s">
        <v>2734</v>
      </c>
      <c r="F1181" s="1" t="s">
        <v>2733</v>
      </c>
      <c r="G1181" s="1" t="s">
        <v>2741</v>
      </c>
      <c r="H1181" s="1" t="s">
        <v>2742</v>
      </c>
      <c r="I1181" s="1" t="s">
        <v>8024</v>
      </c>
      <c r="J1181" s="1" t="s">
        <v>2738</v>
      </c>
      <c r="K1181" s="1">
        <v>7</v>
      </c>
      <c r="L1181" s="1" t="s">
        <v>4299</v>
      </c>
      <c r="M1181" s="1">
        <v>15</v>
      </c>
      <c r="N1181" s="1" t="s">
        <v>4365</v>
      </c>
    </row>
    <row r="1182" spans="1:14" x14ac:dyDescent="0.15">
      <c r="A1182" s="1">
        <v>196</v>
      </c>
      <c r="B1182" s="1" t="s">
        <v>2743</v>
      </c>
      <c r="C1182" s="1" t="s">
        <v>2744</v>
      </c>
      <c r="D1182" s="1" t="s">
        <v>2745</v>
      </c>
      <c r="E1182" s="1" t="s">
        <v>2744</v>
      </c>
      <c r="F1182" s="1" t="s">
        <v>2745</v>
      </c>
      <c r="G1182" s="1" t="s">
        <v>2746</v>
      </c>
      <c r="H1182" s="1" t="s">
        <v>2745</v>
      </c>
      <c r="I1182" s="1" t="s">
        <v>14690</v>
      </c>
      <c r="J1182" s="1" t="s">
        <v>14687</v>
      </c>
      <c r="K1182" s="1">
        <v>12</v>
      </c>
      <c r="L1182" s="1" t="s">
        <v>4264</v>
      </c>
      <c r="M1182" s="1">
        <v>15</v>
      </c>
      <c r="N1182" s="1" t="s">
        <v>4365</v>
      </c>
    </row>
    <row r="1183" spans="1:14" x14ac:dyDescent="0.15">
      <c r="A1183" s="1">
        <v>196</v>
      </c>
      <c r="B1183" s="1" t="s">
        <v>2747</v>
      </c>
      <c r="C1183" s="1" t="s">
        <v>2744</v>
      </c>
      <c r="D1183" s="1" t="s">
        <v>2745</v>
      </c>
      <c r="E1183" s="1" t="s">
        <v>2744</v>
      </c>
      <c r="F1183" s="1" t="s">
        <v>2745</v>
      </c>
      <c r="G1183" s="1" t="s">
        <v>2748</v>
      </c>
      <c r="H1183" s="1" t="s">
        <v>2749</v>
      </c>
      <c r="I1183" s="1" t="s">
        <v>14690</v>
      </c>
      <c r="J1183" s="1" t="s">
        <v>14687</v>
      </c>
      <c r="K1183" s="1">
        <v>12</v>
      </c>
      <c r="L1183" s="1" t="s">
        <v>4264</v>
      </c>
      <c r="M1183" s="1">
        <v>15</v>
      </c>
      <c r="N1183" s="1" t="s">
        <v>4365</v>
      </c>
    </row>
    <row r="1184" spans="1:14" x14ac:dyDescent="0.15">
      <c r="A1184" s="1">
        <v>196</v>
      </c>
      <c r="B1184" s="1" t="s">
        <v>2743</v>
      </c>
      <c r="C1184" s="1" t="s">
        <v>2750</v>
      </c>
      <c r="D1184" s="1" t="s">
        <v>2751</v>
      </c>
      <c r="E1184" s="1" t="s">
        <v>2750</v>
      </c>
      <c r="F1184" s="1" t="s">
        <v>2751</v>
      </c>
      <c r="G1184" s="1" t="s">
        <v>2752</v>
      </c>
      <c r="H1184" s="1" t="s">
        <v>2751</v>
      </c>
      <c r="I1184" s="1" t="s">
        <v>12618</v>
      </c>
      <c r="J1184" s="1" t="s">
        <v>2613</v>
      </c>
      <c r="K1184" s="1">
        <v>12</v>
      </c>
      <c r="L1184" s="1" t="s">
        <v>4264</v>
      </c>
      <c r="M1184" s="1">
        <v>15</v>
      </c>
      <c r="N1184" s="1" t="s">
        <v>4365</v>
      </c>
    </row>
    <row r="1185" spans="1:14" x14ac:dyDescent="0.15">
      <c r="A1185" s="1">
        <v>196</v>
      </c>
      <c r="B1185" s="1" t="s">
        <v>2743</v>
      </c>
      <c r="C1185" s="1" t="s">
        <v>2750</v>
      </c>
      <c r="D1185" s="1" t="s">
        <v>2751</v>
      </c>
      <c r="E1185" s="1" t="s">
        <v>2750</v>
      </c>
      <c r="F1185" s="1" t="s">
        <v>2751</v>
      </c>
      <c r="G1185" s="1" t="s">
        <v>2752</v>
      </c>
      <c r="H1185" s="1" t="s">
        <v>2751</v>
      </c>
      <c r="I1185" s="1" t="s">
        <v>11285</v>
      </c>
      <c r="J1185" s="1" t="s">
        <v>2614</v>
      </c>
      <c r="K1185" s="1">
        <v>12</v>
      </c>
      <c r="L1185" s="1" t="s">
        <v>4264</v>
      </c>
      <c r="M1185" s="1">
        <v>15</v>
      </c>
      <c r="N1185" s="1" t="s">
        <v>4365</v>
      </c>
    </row>
    <row r="1186" spans="1:14" x14ac:dyDescent="0.15">
      <c r="A1186" s="1">
        <v>196</v>
      </c>
      <c r="B1186" s="1" t="s">
        <v>2743</v>
      </c>
      <c r="C1186" s="1" t="s">
        <v>2750</v>
      </c>
      <c r="D1186" s="1" t="s">
        <v>2751</v>
      </c>
      <c r="E1186" s="1" t="s">
        <v>2750</v>
      </c>
      <c r="F1186" s="1" t="s">
        <v>2751</v>
      </c>
      <c r="G1186" s="1" t="s">
        <v>2752</v>
      </c>
      <c r="H1186" s="1" t="s">
        <v>2751</v>
      </c>
      <c r="I1186" s="1" t="s">
        <v>15129</v>
      </c>
      <c r="J1186" s="1" t="s">
        <v>15130</v>
      </c>
      <c r="K1186" s="1">
        <v>12</v>
      </c>
      <c r="L1186" s="1" t="s">
        <v>4264</v>
      </c>
      <c r="M1186" s="1">
        <v>15</v>
      </c>
      <c r="N1186" s="1" t="s">
        <v>4365</v>
      </c>
    </row>
    <row r="1187" spans="1:14" x14ac:dyDescent="0.15">
      <c r="A1187" s="1">
        <v>196</v>
      </c>
      <c r="B1187" s="1" t="s">
        <v>2743</v>
      </c>
      <c r="C1187" s="1" t="s">
        <v>2750</v>
      </c>
      <c r="D1187" s="1" t="s">
        <v>2751</v>
      </c>
      <c r="E1187" s="1" t="s">
        <v>2750</v>
      </c>
      <c r="F1187" s="1" t="s">
        <v>2751</v>
      </c>
      <c r="G1187" s="1" t="s">
        <v>2752</v>
      </c>
      <c r="H1187" s="1" t="s">
        <v>2751</v>
      </c>
      <c r="I1187" s="1" t="s">
        <v>15137</v>
      </c>
      <c r="J1187" s="1" t="s">
        <v>15138</v>
      </c>
      <c r="K1187" s="1">
        <v>12</v>
      </c>
      <c r="L1187" s="1" t="s">
        <v>4264</v>
      </c>
      <c r="M1187" s="1">
        <v>15</v>
      </c>
      <c r="N1187" s="1" t="s">
        <v>4365</v>
      </c>
    </row>
    <row r="1188" spans="1:14" x14ac:dyDescent="0.15">
      <c r="A1188" s="1">
        <v>196</v>
      </c>
      <c r="B1188" s="1" t="s">
        <v>2743</v>
      </c>
      <c r="C1188" s="1" t="s">
        <v>2753</v>
      </c>
      <c r="D1188" s="1" t="s">
        <v>2754</v>
      </c>
      <c r="E1188" s="1" t="s">
        <v>2753</v>
      </c>
      <c r="F1188" s="1" t="s">
        <v>2754</v>
      </c>
      <c r="G1188" s="1" t="s">
        <v>2755</v>
      </c>
      <c r="H1188" s="1" t="s">
        <v>2754</v>
      </c>
      <c r="I1188" s="1" t="s">
        <v>14598</v>
      </c>
      <c r="J1188" s="1" t="s">
        <v>2756</v>
      </c>
      <c r="K1188" s="1">
        <v>9</v>
      </c>
      <c r="L1188" s="1" t="s">
        <v>4199</v>
      </c>
      <c r="M1188" s="1">
        <v>15</v>
      </c>
      <c r="N1188" s="1" t="s">
        <v>4365</v>
      </c>
    </row>
    <row r="1189" spans="1:14" x14ac:dyDescent="0.15">
      <c r="A1189" s="1">
        <v>196</v>
      </c>
      <c r="B1189" s="1" t="s">
        <v>2743</v>
      </c>
      <c r="C1189" s="1" t="s">
        <v>2757</v>
      </c>
      <c r="D1189" s="1" t="s">
        <v>2758</v>
      </c>
      <c r="E1189" s="1" t="s">
        <v>2757</v>
      </c>
      <c r="F1189" s="1" t="s">
        <v>2758</v>
      </c>
      <c r="G1189" s="1" t="s">
        <v>2759</v>
      </c>
      <c r="H1189" s="1" t="s">
        <v>2758</v>
      </c>
      <c r="I1189" s="1" t="s">
        <v>18111</v>
      </c>
      <c r="J1189" s="1" t="s">
        <v>6619</v>
      </c>
      <c r="K1189" s="1">
        <v>1</v>
      </c>
      <c r="L1189" s="1" t="s">
        <v>4259</v>
      </c>
      <c r="M1189" s="1">
        <v>1</v>
      </c>
      <c r="N1189" s="1" t="s">
        <v>4318</v>
      </c>
    </row>
    <row r="1190" spans="1:14" x14ac:dyDescent="0.15">
      <c r="A1190" s="1">
        <v>196</v>
      </c>
      <c r="B1190" s="1" t="s">
        <v>2743</v>
      </c>
      <c r="C1190" s="1" t="s">
        <v>2757</v>
      </c>
      <c r="D1190" s="1" t="s">
        <v>2758</v>
      </c>
      <c r="E1190" s="1" t="s">
        <v>2757</v>
      </c>
      <c r="F1190" s="1" t="s">
        <v>2758</v>
      </c>
      <c r="G1190" s="1" t="s">
        <v>2759</v>
      </c>
      <c r="H1190" s="1" t="s">
        <v>2758</v>
      </c>
      <c r="I1190" s="1" t="s">
        <v>11304</v>
      </c>
      <c r="J1190" s="1" t="s">
        <v>2535</v>
      </c>
      <c r="K1190" s="1">
        <v>1</v>
      </c>
      <c r="L1190" s="1" t="s">
        <v>4259</v>
      </c>
      <c r="M1190" s="1">
        <v>1</v>
      </c>
      <c r="N1190" s="1" t="s">
        <v>4318</v>
      </c>
    </row>
    <row r="1191" spans="1:14" x14ac:dyDescent="0.15">
      <c r="A1191" s="1">
        <v>196</v>
      </c>
      <c r="B1191" s="1" t="s">
        <v>2743</v>
      </c>
      <c r="C1191" s="1" t="s">
        <v>2757</v>
      </c>
      <c r="D1191" s="1" t="s">
        <v>2758</v>
      </c>
      <c r="E1191" s="1" t="s">
        <v>2757</v>
      </c>
      <c r="F1191" s="1" t="s">
        <v>2758</v>
      </c>
      <c r="G1191" s="1" t="s">
        <v>2759</v>
      </c>
      <c r="H1191" s="1" t="s">
        <v>2758</v>
      </c>
      <c r="I1191" s="1" t="s">
        <v>11307</v>
      </c>
      <c r="J1191" s="1" t="s">
        <v>2536</v>
      </c>
      <c r="K1191" s="1">
        <v>1</v>
      </c>
      <c r="L1191" s="1" t="s">
        <v>4259</v>
      </c>
      <c r="M1191" s="1">
        <v>1</v>
      </c>
      <c r="N1191" s="1" t="s">
        <v>4318</v>
      </c>
    </row>
    <row r="1192" spans="1:14" x14ac:dyDescent="0.15">
      <c r="A1192" s="1">
        <v>196</v>
      </c>
      <c r="B1192" s="1" t="s">
        <v>2743</v>
      </c>
      <c r="C1192" s="1" t="s">
        <v>2757</v>
      </c>
      <c r="D1192" s="1" t="s">
        <v>2758</v>
      </c>
      <c r="E1192" s="1" t="s">
        <v>2757</v>
      </c>
      <c r="F1192" s="1" t="s">
        <v>2758</v>
      </c>
      <c r="G1192" s="1" t="s">
        <v>2759</v>
      </c>
      <c r="H1192" s="1" t="s">
        <v>2758</v>
      </c>
      <c r="I1192" s="1" t="s">
        <v>18131</v>
      </c>
      <c r="J1192" s="1" t="s">
        <v>2537</v>
      </c>
      <c r="K1192" s="1">
        <v>1</v>
      </c>
      <c r="L1192" s="1" t="s">
        <v>4259</v>
      </c>
      <c r="M1192" s="1">
        <v>1</v>
      </c>
      <c r="N1192" s="1" t="s">
        <v>4318</v>
      </c>
    </row>
    <row r="1193" spans="1:14" x14ac:dyDescent="0.15">
      <c r="A1193" s="1">
        <v>196</v>
      </c>
      <c r="B1193" s="1" t="s">
        <v>2743</v>
      </c>
      <c r="C1193" s="1" t="s">
        <v>2757</v>
      </c>
      <c r="D1193" s="1" t="s">
        <v>2758</v>
      </c>
      <c r="E1193" s="1" t="s">
        <v>2757</v>
      </c>
      <c r="F1193" s="1" t="s">
        <v>2758</v>
      </c>
      <c r="G1193" s="1" t="s">
        <v>2759</v>
      </c>
      <c r="H1193" s="1" t="s">
        <v>2758</v>
      </c>
      <c r="I1193" s="1" t="s">
        <v>18166</v>
      </c>
      <c r="J1193" s="1" t="s">
        <v>18167</v>
      </c>
      <c r="K1193" s="1">
        <v>1</v>
      </c>
      <c r="L1193" s="1" t="s">
        <v>4259</v>
      </c>
      <c r="M1193" s="1">
        <v>1</v>
      </c>
      <c r="N1193" s="1" t="s">
        <v>4318</v>
      </c>
    </row>
    <row r="1194" spans="1:14" x14ac:dyDescent="0.15">
      <c r="A1194" s="1">
        <v>196</v>
      </c>
      <c r="B1194" s="1" t="s">
        <v>2743</v>
      </c>
      <c r="C1194" s="1" t="s">
        <v>2757</v>
      </c>
      <c r="D1194" s="1" t="s">
        <v>2758</v>
      </c>
      <c r="E1194" s="1" t="s">
        <v>2757</v>
      </c>
      <c r="F1194" s="1" t="s">
        <v>2758</v>
      </c>
      <c r="G1194" s="1" t="s">
        <v>2759</v>
      </c>
      <c r="H1194" s="1" t="s">
        <v>2758</v>
      </c>
      <c r="I1194" s="1" t="s">
        <v>18170</v>
      </c>
      <c r="J1194" s="1" t="s">
        <v>2538</v>
      </c>
      <c r="K1194" s="1">
        <v>1</v>
      </c>
      <c r="L1194" s="1" t="s">
        <v>4259</v>
      </c>
      <c r="M1194" s="1">
        <v>1</v>
      </c>
      <c r="N1194" s="1" t="s">
        <v>4318</v>
      </c>
    </row>
    <row r="1195" spans="1:14" x14ac:dyDescent="0.15">
      <c r="A1195" s="1">
        <v>196</v>
      </c>
      <c r="B1195" s="1" t="s">
        <v>2743</v>
      </c>
      <c r="C1195" s="1" t="s">
        <v>2757</v>
      </c>
      <c r="D1195" s="1" t="s">
        <v>2758</v>
      </c>
      <c r="E1195" s="1" t="s">
        <v>2757</v>
      </c>
      <c r="F1195" s="1" t="s">
        <v>2758</v>
      </c>
      <c r="G1195" s="1" t="s">
        <v>2759</v>
      </c>
      <c r="H1195" s="1" t="s">
        <v>2758</v>
      </c>
      <c r="I1195" s="1" t="s">
        <v>18174</v>
      </c>
      <c r="J1195" s="1" t="s">
        <v>6649</v>
      </c>
      <c r="K1195" s="1">
        <v>1</v>
      </c>
      <c r="L1195" s="1" t="s">
        <v>4259</v>
      </c>
      <c r="M1195" s="1">
        <v>1</v>
      </c>
      <c r="N1195" s="1" t="s">
        <v>4318</v>
      </c>
    </row>
    <row r="1196" spans="1:14" x14ac:dyDescent="0.15">
      <c r="A1196" s="1">
        <v>196</v>
      </c>
      <c r="B1196" s="1" t="s">
        <v>2743</v>
      </c>
      <c r="C1196" s="1" t="s">
        <v>2757</v>
      </c>
      <c r="D1196" s="1" t="s">
        <v>2758</v>
      </c>
      <c r="E1196" s="1" t="s">
        <v>2757</v>
      </c>
      <c r="F1196" s="1" t="s">
        <v>2758</v>
      </c>
      <c r="G1196" s="1" t="s">
        <v>2759</v>
      </c>
      <c r="H1196" s="1" t="s">
        <v>2758</v>
      </c>
      <c r="I1196" s="1" t="s">
        <v>12624</v>
      </c>
      <c r="J1196" s="1" t="s">
        <v>2549</v>
      </c>
      <c r="K1196" s="1">
        <v>1</v>
      </c>
      <c r="L1196" s="1" t="s">
        <v>4259</v>
      </c>
      <c r="M1196" s="1">
        <v>1</v>
      </c>
      <c r="N1196" s="1" t="s">
        <v>4318</v>
      </c>
    </row>
    <row r="1197" spans="1:14" x14ac:dyDescent="0.15">
      <c r="A1197" s="1">
        <v>196</v>
      </c>
      <c r="B1197" s="1" t="s">
        <v>2743</v>
      </c>
      <c r="C1197" s="1" t="s">
        <v>2757</v>
      </c>
      <c r="D1197" s="1" t="s">
        <v>2758</v>
      </c>
      <c r="E1197" s="1" t="s">
        <v>2757</v>
      </c>
      <c r="F1197" s="1" t="s">
        <v>2758</v>
      </c>
      <c r="G1197" s="1" t="s">
        <v>2759</v>
      </c>
      <c r="H1197" s="1" t="s">
        <v>2758</v>
      </c>
      <c r="I1197" s="1" t="s">
        <v>12632</v>
      </c>
      <c r="J1197" s="1" t="s">
        <v>2551</v>
      </c>
      <c r="K1197" s="1">
        <v>1</v>
      </c>
      <c r="L1197" s="1" t="s">
        <v>4259</v>
      </c>
      <c r="M1197" s="1">
        <v>1</v>
      </c>
      <c r="N1197" s="1" t="s">
        <v>4318</v>
      </c>
    </row>
    <row r="1198" spans="1:14" x14ac:dyDescent="0.15">
      <c r="A1198" s="1">
        <v>196</v>
      </c>
      <c r="B1198" s="1" t="s">
        <v>2743</v>
      </c>
      <c r="C1198" s="1" t="s">
        <v>2757</v>
      </c>
      <c r="D1198" s="1" t="s">
        <v>2758</v>
      </c>
      <c r="E1198" s="1" t="s">
        <v>2757</v>
      </c>
      <c r="F1198" s="1" t="s">
        <v>2758</v>
      </c>
      <c r="G1198" s="1" t="s">
        <v>2759</v>
      </c>
      <c r="H1198" s="1" t="s">
        <v>2758</v>
      </c>
      <c r="I1198" s="1" t="s">
        <v>12635</v>
      </c>
      <c r="J1198" s="1" t="s">
        <v>2760</v>
      </c>
      <c r="K1198" s="1">
        <v>1</v>
      </c>
      <c r="L1198" s="1" t="s">
        <v>4259</v>
      </c>
      <c r="M1198" s="1">
        <v>1</v>
      </c>
      <c r="N1198" s="1" t="s">
        <v>4318</v>
      </c>
    </row>
    <row r="1199" spans="1:14" x14ac:dyDescent="0.15">
      <c r="A1199" s="1">
        <v>196</v>
      </c>
      <c r="B1199" s="1" t="s">
        <v>2743</v>
      </c>
      <c r="C1199" s="1" t="s">
        <v>2757</v>
      </c>
      <c r="D1199" s="1" t="s">
        <v>2758</v>
      </c>
      <c r="E1199" s="1" t="s">
        <v>2757</v>
      </c>
      <c r="F1199" s="1" t="s">
        <v>2758</v>
      </c>
      <c r="G1199" s="1" t="s">
        <v>2759</v>
      </c>
      <c r="H1199" s="1" t="s">
        <v>2758</v>
      </c>
      <c r="I1199" s="1" t="s">
        <v>18182</v>
      </c>
      <c r="J1199" s="1" t="s">
        <v>6644</v>
      </c>
      <c r="K1199" s="1">
        <v>1</v>
      </c>
      <c r="L1199" s="1" t="s">
        <v>4259</v>
      </c>
      <c r="M1199" s="1">
        <v>1</v>
      </c>
      <c r="N1199" s="1" t="s">
        <v>4318</v>
      </c>
    </row>
    <row r="1200" spans="1:14" x14ac:dyDescent="0.15">
      <c r="A1200" s="1">
        <v>196</v>
      </c>
      <c r="B1200" s="1" t="s">
        <v>2743</v>
      </c>
      <c r="C1200" s="1" t="s">
        <v>2757</v>
      </c>
      <c r="D1200" s="1" t="s">
        <v>2758</v>
      </c>
      <c r="E1200" s="1" t="s">
        <v>2757</v>
      </c>
      <c r="F1200" s="1" t="s">
        <v>2758</v>
      </c>
      <c r="G1200" s="1" t="s">
        <v>2759</v>
      </c>
      <c r="H1200" s="1" t="s">
        <v>2758</v>
      </c>
      <c r="I1200" s="1" t="s">
        <v>18197</v>
      </c>
      <c r="J1200" s="1" t="s">
        <v>2539</v>
      </c>
      <c r="K1200" s="1">
        <v>1</v>
      </c>
      <c r="L1200" s="1" t="s">
        <v>4259</v>
      </c>
      <c r="M1200" s="1">
        <v>1</v>
      </c>
      <c r="N1200" s="1" t="s">
        <v>4318</v>
      </c>
    </row>
    <row r="1201" spans="1:14" x14ac:dyDescent="0.15">
      <c r="A1201" s="1">
        <v>196</v>
      </c>
      <c r="B1201" s="1" t="s">
        <v>2743</v>
      </c>
      <c r="C1201" s="1" t="s">
        <v>2761</v>
      </c>
      <c r="D1201" s="1" t="s">
        <v>2762</v>
      </c>
      <c r="E1201" s="1" t="s">
        <v>2761</v>
      </c>
      <c r="F1201" s="1" t="s">
        <v>2762</v>
      </c>
      <c r="G1201" s="1" t="s">
        <v>2763</v>
      </c>
      <c r="H1201" s="1" t="s">
        <v>2762</v>
      </c>
      <c r="I1201" s="1" t="s">
        <v>15129</v>
      </c>
      <c r="J1201" s="1" t="s">
        <v>15130</v>
      </c>
      <c r="K1201" s="1">
        <v>12</v>
      </c>
      <c r="L1201" s="1" t="s">
        <v>4264</v>
      </c>
      <c r="M1201" s="1">
        <v>15</v>
      </c>
      <c r="N1201" s="1" t="s">
        <v>4365</v>
      </c>
    </row>
    <row r="1202" spans="1:14" x14ac:dyDescent="0.15">
      <c r="A1202" s="1">
        <v>196</v>
      </c>
      <c r="B1202" s="1" t="s">
        <v>2743</v>
      </c>
      <c r="C1202" s="1" t="s">
        <v>2761</v>
      </c>
      <c r="D1202" s="1" t="s">
        <v>2762</v>
      </c>
      <c r="E1202" s="1" t="s">
        <v>2761</v>
      </c>
      <c r="F1202" s="1" t="s">
        <v>2762</v>
      </c>
      <c r="G1202" s="1" t="s">
        <v>2763</v>
      </c>
      <c r="H1202" s="1" t="s">
        <v>2762</v>
      </c>
      <c r="I1202" s="1" t="s">
        <v>15137</v>
      </c>
      <c r="J1202" s="1" t="s">
        <v>15138</v>
      </c>
      <c r="K1202" s="1">
        <v>12</v>
      </c>
      <c r="L1202" s="1" t="s">
        <v>4264</v>
      </c>
      <c r="M1202" s="1">
        <v>15</v>
      </c>
      <c r="N1202" s="1" t="s">
        <v>4365</v>
      </c>
    </row>
    <row r="1203" spans="1:14" x14ac:dyDescent="0.15">
      <c r="A1203" s="1">
        <v>200</v>
      </c>
      <c r="B1203" s="1" t="s">
        <v>2764</v>
      </c>
      <c r="C1203" s="1" t="s">
        <v>2765</v>
      </c>
      <c r="D1203" s="1" t="s">
        <v>2764</v>
      </c>
      <c r="E1203" s="1" t="s">
        <v>2765</v>
      </c>
      <c r="F1203" s="1" t="s">
        <v>2764</v>
      </c>
      <c r="G1203" s="1" t="s">
        <v>2766</v>
      </c>
      <c r="H1203" s="1" t="s">
        <v>2764</v>
      </c>
      <c r="I1203" s="1" t="s">
        <v>11879</v>
      </c>
      <c r="J1203" s="1" t="s">
        <v>4278</v>
      </c>
      <c r="K1203" s="1">
        <v>6</v>
      </c>
      <c r="L1203" s="1" t="s">
        <v>4254</v>
      </c>
      <c r="M1203" s="1">
        <v>10</v>
      </c>
      <c r="N1203" s="1" t="s">
        <v>4237</v>
      </c>
    </row>
    <row r="1204" spans="1:14" x14ac:dyDescent="0.15">
      <c r="A1204" s="1">
        <v>200</v>
      </c>
      <c r="B1204" s="1" t="s">
        <v>2764</v>
      </c>
      <c r="C1204" s="1" t="s">
        <v>2767</v>
      </c>
      <c r="D1204" s="1" t="s">
        <v>2768</v>
      </c>
      <c r="E1204" s="1" t="s">
        <v>2767</v>
      </c>
      <c r="F1204" s="1" t="s">
        <v>2768</v>
      </c>
      <c r="G1204" s="1" t="s">
        <v>2769</v>
      </c>
      <c r="H1204" s="1" t="s">
        <v>2768</v>
      </c>
      <c r="I1204" s="1" t="s">
        <v>13300</v>
      </c>
      <c r="J1204" s="1" t="s">
        <v>5093</v>
      </c>
      <c r="K1204" s="1">
        <v>6</v>
      </c>
      <c r="L1204" s="1" t="s">
        <v>4254</v>
      </c>
      <c r="M1204" s="1">
        <v>10</v>
      </c>
      <c r="N1204" s="1" t="s">
        <v>4237</v>
      </c>
    </row>
    <row r="1205" spans="1:14" x14ac:dyDescent="0.15">
      <c r="A1205" s="1">
        <v>200</v>
      </c>
      <c r="B1205" s="1" t="s">
        <v>2764</v>
      </c>
      <c r="C1205" s="1" t="s">
        <v>2767</v>
      </c>
      <c r="D1205" s="1" t="s">
        <v>2768</v>
      </c>
      <c r="E1205" s="1" t="s">
        <v>2767</v>
      </c>
      <c r="F1205" s="1" t="s">
        <v>2768</v>
      </c>
      <c r="G1205" s="1" t="s">
        <v>2769</v>
      </c>
      <c r="H1205" s="1" t="s">
        <v>2768</v>
      </c>
      <c r="I1205" s="1" t="s">
        <v>13308</v>
      </c>
      <c r="J1205" s="1" t="s">
        <v>5095</v>
      </c>
      <c r="K1205" s="1">
        <v>6</v>
      </c>
      <c r="L1205" s="1" t="s">
        <v>4254</v>
      </c>
      <c r="M1205" s="1">
        <v>10</v>
      </c>
      <c r="N1205" s="1" t="s">
        <v>4237</v>
      </c>
    </row>
    <row r="1206" spans="1:14" x14ac:dyDescent="0.15">
      <c r="A1206" s="1">
        <v>200</v>
      </c>
      <c r="B1206" s="1" t="s">
        <v>2764</v>
      </c>
      <c r="C1206" s="1" t="s">
        <v>2767</v>
      </c>
      <c r="D1206" s="1" t="s">
        <v>2768</v>
      </c>
      <c r="E1206" s="1" t="s">
        <v>2767</v>
      </c>
      <c r="F1206" s="1" t="s">
        <v>2768</v>
      </c>
      <c r="G1206" s="1" t="s">
        <v>2769</v>
      </c>
      <c r="H1206" s="1" t="s">
        <v>2768</v>
      </c>
      <c r="I1206" s="1" t="s">
        <v>13312</v>
      </c>
      <c r="J1206" s="1" t="s">
        <v>2770</v>
      </c>
      <c r="K1206" s="1">
        <v>6</v>
      </c>
      <c r="L1206" s="1" t="s">
        <v>4254</v>
      </c>
      <c r="M1206" s="1">
        <v>10</v>
      </c>
      <c r="N1206" s="1" t="s">
        <v>4237</v>
      </c>
    </row>
    <row r="1207" spans="1:14" x14ac:dyDescent="0.15">
      <c r="A1207" s="1">
        <v>200</v>
      </c>
      <c r="B1207" s="1" t="s">
        <v>2764</v>
      </c>
      <c r="C1207" s="1" t="s">
        <v>2771</v>
      </c>
      <c r="D1207" s="1" t="s">
        <v>2772</v>
      </c>
      <c r="E1207" s="1" t="s">
        <v>2771</v>
      </c>
      <c r="F1207" s="1" t="s">
        <v>2772</v>
      </c>
      <c r="G1207" s="1" t="s">
        <v>2773</v>
      </c>
      <c r="H1207" s="1" t="s">
        <v>2772</v>
      </c>
      <c r="I1207" s="1" t="s">
        <v>17078</v>
      </c>
      <c r="J1207" s="1" t="s">
        <v>2774</v>
      </c>
      <c r="K1207" s="1">
        <v>4</v>
      </c>
      <c r="L1207" s="1" t="s">
        <v>4342</v>
      </c>
      <c r="M1207" s="1">
        <v>5</v>
      </c>
      <c r="N1207" s="1" t="s">
        <v>4342</v>
      </c>
    </row>
    <row r="1208" spans="1:14" x14ac:dyDescent="0.15">
      <c r="A1208" s="1">
        <v>200</v>
      </c>
      <c r="B1208" s="1" t="s">
        <v>2764</v>
      </c>
      <c r="C1208" s="1" t="s">
        <v>2771</v>
      </c>
      <c r="D1208" s="1" t="s">
        <v>2772</v>
      </c>
      <c r="E1208" s="1" t="s">
        <v>2771</v>
      </c>
      <c r="F1208" s="1" t="s">
        <v>2772</v>
      </c>
      <c r="G1208" s="1" t="s">
        <v>2773</v>
      </c>
      <c r="H1208" s="1" t="s">
        <v>2772</v>
      </c>
      <c r="I1208" s="1" t="s">
        <v>17082</v>
      </c>
      <c r="J1208" s="1" t="s">
        <v>2775</v>
      </c>
      <c r="K1208" s="1">
        <v>4</v>
      </c>
      <c r="L1208" s="1" t="s">
        <v>4342</v>
      </c>
      <c r="M1208" s="1">
        <v>5</v>
      </c>
      <c r="N1208" s="1" t="s">
        <v>4342</v>
      </c>
    </row>
    <row r="1209" spans="1:14" x14ac:dyDescent="0.15">
      <c r="A1209" s="1">
        <v>200</v>
      </c>
      <c r="B1209" s="1" t="s">
        <v>2764</v>
      </c>
      <c r="C1209" s="1" t="s">
        <v>2776</v>
      </c>
      <c r="D1209" s="1" t="s">
        <v>2777</v>
      </c>
      <c r="E1209" s="1" t="s">
        <v>2776</v>
      </c>
      <c r="F1209" s="1" t="s">
        <v>2777</v>
      </c>
      <c r="G1209" s="1" t="s">
        <v>2778</v>
      </c>
      <c r="H1209" s="1" t="s">
        <v>2777</v>
      </c>
      <c r="I1209" s="1" t="s">
        <v>14671</v>
      </c>
      <c r="J1209" s="1" t="s">
        <v>14668</v>
      </c>
      <c r="K1209" s="1">
        <v>6</v>
      </c>
      <c r="L1209" s="1" t="s">
        <v>4254</v>
      </c>
      <c r="M1209" s="1">
        <v>10</v>
      </c>
      <c r="N1209" s="1" t="s">
        <v>4237</v>
      </c>
    </row>
    <row r="1210" spans="1:14" x14ac:dyDescent="0.15">
      <c r="A1210" s="1">
        <v>200</v>
      </c>
      <c r="B1210" s="1" t="s">
        <v>2764</v>
      </c>
      <c r="C1210" s="1" t="s">
        <v>2776</v>
      </c>
      <c r="D1210" s="1" t="s">
        <v>2777</v>
      </c>
      <c r="E1210" s="1" t="s">
        <v>2776</v>
      </c>
      <c r="F1210" s="1" t="s">
        <v>2777</v>
      </c>
      <c r="G1210" s="1" t="s">
        <v>2778</v>
      </c>
      <c r="H1210" s="1" t="s">
        <v>2777</v>
      </c>
      <c r="I1210" s="1" t="s">
        <v>11072</v>
      </c>
      <c r="J1210" s="1" t="s">
        <v>2779</v>
      </c>
      <c r="K1210" s="1">
        <v>6</v>
      </c>
      <c r="L1210" s="1" t="s">
        <v>4254</v>
      </c>
      <c r="M1210" s="1">
        <v>10</v>
      </c>
      <c r="N1210" s="1" t="s">
        <v>4237</v>
      </c>
    </row>
    <row r="1211" spans="1:14" x14ac:dyDescent="0.15">
      <c r="A1211" s="1">
        <v>200</v>
      </c>
      <c r="B1211" s="1" t="s">
        <v>2764</v>
      </c>
      <c r="C1211" s="1" t="s">
        <v>2776</v>
      </c>
      <c r="D1211" s="1" t="s">
        <v>2777</v>
      </c>
      <c r="E1211" s="1" t="s">
        <v>2776</v>
      </c>
      <c r="F1211" s="1" t="s">
        <v>2777</v>
      </c>
      <c r="G1211" s="1" t="s">
        <v>2778</v>
      </c>
      <c r="H1211" s="1" t="s">
        <v>2777</v>
      </c>
      <c r="I1211" s="1" t="s">
        <v>9393</v>
      </c>
      <c r="J1211" s="1" t="s">
        <v>4238</v>
      </c>
      <c r="K1211" s="1">
        <v>6</v>
      </c>
      <c r="L1211" s="1" t="s">
        <v>4254</v>
      </c>
      <c r="M1211" s="1">
        <v>10</v>
      </c>
      <c r="N1211" s="1" t="s">
        <v>4237</v>
      </c>
    </row>
    <row r="1212" spans="1:14" x14ac:dyDescent="0.15">
      <c r="A1212" s="1">
        <v>200</v>
      </c>
      <c r="B1212" s="1" t="s">
        <v>2764</v>
      </c>
      <c r="C1212" s="1" t="s">
        <v>2780</v>
      </c>
      <c r="D1212" s="1" t="s">
        <v>2781</v>
      </c>
      <c r="E1212" s="1" t="s">
        <v>2780</v>
      </c>
      <c r="F1212" s="1" t="s">
        <v>2781</v>
      </c>
      <c r="G1212" s="1" t="s">
        <v>2782</v>
      </c>
      <c r="H1212" s="1" t="s">
        <v>2781</v>
      </c>
      <c r="I1212" s="1" t="s">
        <v>13300</v>
      </c>
      <c r="J1212" s="1" t="s">
        <v>5093</v>
      </c>
      <c r="K1212" s="1">
        <v>6</v>
      </c>
      <c r="L1212" s="1" t="s">
        <v>4254</v>
      </c>
      <c r="M1212" s="1">
        <v>10</v>
      </c>
      <c r="N1212" s="1" t="s">
        <v>4237</v>
      </c>
    </row>
    <row r="1213" spans="1:14" x14ac:dyDescent="0.15">
      <c r="A1213" s="1">
        <v>200</v>
      </c>
      <c r="B1213" s="1" t="s">
        <v>2764</v>
      </c>
      <c r="C1213" s="1" t="s">
        <v>2780</v>
      </c>
      <c r="D1213" s="1" t="s">
        <v>2781</v>
      </c>
      <c r="E1213" s="1" t="s">
        <v>2780</v>
      </c>
      <c r="F1213" s="1" t="s">
        <v>2781</v>
      </c>
      <c r="G1213" s="1" t="s">
        <v>2782</v>
      </c>
      <c r="H1213" s="1" t="s">
        <v>2781</v>
      </c>
      <c r="I1213" s="1" t="s">
        <v>13308</v>
      </c>
      <c r="J1213" s="1" t="s">
        <v>5095</v>
      </c>
      <c r="K1213" s="1">
        <v>6</v>
      </c>
      <c r="L1213" s="1" t="s">
        <v>4254</v>
      </c>
      <c r="M1213" s="1">
        <v>10</v>
      </c>
      <c r="N1213" s="1" t="s">
        <v>4237</v>
      </c>
    </row>
    <row r="1214" spans="1:14" x14ac:dyDescent="0.15">
      <c r="A1214" s="1">
        <v>200</v>
      </c>
      <c r="B1214" s="1" t="s">
        <v>2764</v>
      </c>
      <c r="C1214" s="1" t="s">
        <v>2780</v>
      </c>
      <c r="D1214" s="1" t="s">
        <v>2781</v>
      </c>
      <c r="E1214" s="1" t="s">
        <v>2780</v>
      </c>
      <c r="F1214" s="1" t="s">
        <v>2781</v>
      </c>
      <c r="G1214" s="1" t="s">
        <v>2782</v>
      </c>
      <c r="H1214" s="1" t="s">
        <v>2781</v>
      </c>
      <c r="I1214" s="1" t="s">
        <v>8126</v>
      </c>
      <c r="J1214" s="1" t="s">
        <v>2783</v>
      </c>
      <c r="K1214" s="1">
        <v>6</v>
      </c>
      <c r="L1214" s="1" t="s">
        <v>4254</v>
      </c>
      <c r="M1214" s="1">
        <v>10</v>
      </c>
      <c r="N1214" s="1" t="s">
        <v>4237</v>
      </c>
    </row>
    <row r="1215" spans="1:14" x14ac:dyDescent="0.15">
      <c r="A1215" s="1">
        <v>200</v>
      </c>
      <c r="B1215" s="1" t="s">
        <v>2764</v>
      </c>
      <c r="C1215" s="1" t="s">
        <v>2780</v>
      </c>
      <c r="D1215" s="1" t="s">
        <v>2781</v>
      </c>
      <c r="E1215" s="1" t="s">
        <v>2780</v>
      </c>
      <c r="F1215" s="1" t="s">
        <v>2781</v>
      </c>
      <c r="G1215" s="1" t="s">
        <v>2782</v>
      </c>
      <c r="H1215" s="1" t="s">
        <v>2781</v>
      </c>
      <c r="I1215" s="1" t="s">
        <v>13312</v>
      </c>
      <c r="J1215" s="1" t="s">
        <v>2770</v>
      </c>
      <c r="K1215" s="1">
        <v>6</v>
      </c>
      <c r="L1215" s="1" t="s">
        <v>4254</v>
      </c>
      <c r="M1215" s="1">
        <v>10</v>
      </c>
      <c r="N1215" s="1" t="s">
        <v>4237</v>
      </c>
    </row>
    <row r="1216" spans="1:14" x14ac:dyDescent="0.15">
      <c r="A1216" s="1">
        <v>200</v>
      </c>
      <c r="B1216" s="1" t="s">
        <v>2764</v>
      </c>
      <c r="C1216" s="1" t="s">
        <v>2784</v>
      </c>
      <c r="D1216" s="1" t="s">
        <v>2785</v>
      </c>
      <c r="E1216" s="1" t="s">
        <v>2784</v>
      </c>
      <c r="F1216" s="1" t="s">
        <v>2785</v>
      </c>
      <c r="G1216" s="1" t="s">
        <v>2786</v>
      </c>
      <c r="H1216" s="1" t="s">
        <v>2785</v>
      </c>
      <c r="I1216" s="1" t="s">
        <v>13526</v>
      </c>
      <c r="J1216" s="1" t="s">
        <v>2787</v>
      </c>
      <c r="K1216" s="1">
        <v>6</v>
      </c>
      <c r="L1216" s="1" t="s">
        <v>4254</v>
      </c>
      <c r="M1216" s="1">
        <v>10</v>
      </c>
      <c r="N1216" s="1" t="s">
        <v>4237</v>
      </c>
    </row>
    <row r="1217" spans="1:14" x14ac:dyDescent="0.15">
      <c r="A1217" s="1">
        <v>200</v>
      </c>
      <c r="B1217" s="1" t="s">
        <v>2764</v>
      </c>
      <c r="C1217" s="1" t="s">
        <v>2784</v>
      </c>
      <c r="D1217" s="1" t="s">
        <v>2785</v>
      </c>
      <c r="E1217" s="1" t="s">
        <v>2784</v>
      </c>
      <c r="F1217" s="1" t="s">
        <v>2785</v>
      </c>
      <c r="G1217" s="1" t="s">
        <v>2786</v>
      </c>
      <c r="H1217" s="1" t="s">
        <v>2785</v>
      </c>
      <c r="I1217" s="1" t="s">
        <v>7973</v>
      </c>
      <c r="J1217" s="1" t="s">
        <v>4777</v>
      </c>
      <c r="K1217" s="1">
        <v>6</v>
      </c>
      <c r="L1217" s="1" t="s">
        <v>4254</v>
      </c>
      <c r="M1217" s="1">
        <v>10</v>
      </c>
      <c r="N1217" s="1" t="s">
        <v>4237</v>
      </c>
    </row>
    <row r="1218" spans="1:14" x14ac:dyDescent="0.15">
      <c r="A1218" s="1">
        <v>200</v>
      </c>
      <c r="B1218" s="1" t="s">
        <v>2764</v>
      </c>
      <c r="C1218" s="1" t="s">
        <v>2788</v>
      </c>
      <c r="D1218" s="1" t="s">
        <v>2789</v>
      </c>
      <c r="E1218" s="1" t="s">
        <v>2788</v>
      </c>
      <c r="F1218" s="1" t="s">
        <v>2789</v>
      </c>
      <c r="G1218" s="1" t="s">
        <v>2790</v>
      </c>
      <c r="H1218" s="1" t="s">
        <v>2789</v>
      </c>
      <c r="I1218" s="1" t="s">
        <v>14671</v>
      </c>
      <c r="J1218" s="1" t="s">
        <v>14668</v>
      </c>
      <c r="K1218" s="1">
        <v>6</v>
      </c>
      <c r="L1218" s="1" t="s">
        <v>4254</v>
      </c>
      <c r="M1218" s="1">
        <v>10</v>
      </c>
      <c r="N1218" s="1" t="s">
        <v>4237</v>
      </c>
    </row>
    <row r="1219" spans="1:14" x14ac:dyDescent="0.15">
      <c r="A1219" s="1">
        <v>200</v>
      </c>
      <c r="B1219" s="1" t="s">
        <v>2764</v>
      </c>
      <c r="C1219" s="1" t="s">
        <v>2788</v>
      </c>
      <c r="D1219" s="1" t="s">
        <v>2789</v>
      </c>
      <c r="E1219" s="1" t="s">
        <v>2788</v>
      </c>
      <c r="F1219" s="1" t="s">
        <v>2789</v>
      </c>
      <c r="G1219" s="1" t="s">
        <v>2790</v>
      </c>
      <c r="H1219" s="1" t="s">
        <v>2789</v>
      </c>
      <c r="I1219" s="1" t="s">
        <v>9481</v>
      </c>
      <c r="J1219" s="1" t="s">
        <v>2791</v>
      </c>
      <c r="K1219" s="1">
        <v>6</v>
      </c>
      <c r="L1219" s="1" t="s">
        <v>4254</v>
      </c>
      <c r="M1219" s="1">
        <v>10</v>
      </c>
      <c r="N1219" s="1" t="s">
        <v>4237</v>
      </c>
    </row>
    <row r="1220" spans="1:14" x14ac:dyDescent="0.15">
      <c r="A1220" s="1">
        <v>200</v>
      </c>
      <c r="B1220" s="1" t="s">
        <v>2764</v>
      </c>
      <c r="C1220" s="1" t="s">
        <v>2788</v>
      </c>
      <c r="D1220" s="1" t="s">
        <v>2789</v>
      </c>
      <c r="E1220" s="1" t="s">
        <v>2788</v>
      </c>
      <c r="F1220" s="1" t="s">
        <v>2789</v>
      </c>
      <c r="G1220" s="1" t="s">
        <v>2790</v>
      </c>
      <c r="H1220" s="1" t="s">
        <v>2789</v>
      </c>
      <c r="I1220" s="1" t="s">
        <v>13312</v>
      </c>
      <c r="J1220" s="1" t="s">
        <v>2770</v>
      </c>
      <c r="K1220" s="1">
        <v>6</v>
      </c>
      <c r="L1220" s="1" t="s">
        <v>4254</v>
      </c>
      <c r="M1220" s="1">
        <v>10</v>
      </c>
      <c r="N1220" s="1" t="s">
        <v>4237</v>
      </c>
    </row>
    <row r="1221" spans="1:14" x14ac:dyDescent="0.15">
      <c r="A1221" s="1">
        <v>201</v>
      </c>
      <c r="B1221" s="1" t="s">
        <v>2792</v>
      </c>
      <c r="C1221" s="1" t="s">
        <v>2793</v>
      </c>
      <c r="D1221" s="1" t="s">
        <v>2792</v>
      </c>
      <c r="E1221" s="1" t="s">
        <v>2793</v>
      </c>
      <c r="F1221" s="1" t="s">
        <v>2792</v>
      </c>
      <c r="G1221" s="1" t="s">
        <v>2794</v>
      </c>
      <c r="H1221" s="1" t="s">
        <v>2792</v>
      </c>
      <c r="I1221" s="1" t="s">
        <v>11879</v>
      </c>
      <c r="J1221" s="1" t="s">
        <v>4278</v>
      </c>
      <c r="K1221" s="1">
        <v>6</v>
      </c>
      <c r="L1221" s="1" t="s">
        <v>4254</v>
      </c>
      <c r="M1221" s="1">
        <v>10</v>
      </c>
      <c r="N1221" s="1" t="s">
        <v>4237</v>
      </c>
    </row>
    <row r="1222" spans="1:14" x14ac:dyDescent="0.15">
      <c r="A1222" s="1">
        <v>201</v>
      </c>
      <c r="B1222" s="1" t="s">
        <v>2792</v>
      </c>
      <c r="C1222" s="1" t="s">
        <v>2795</v>
      </c>
      <c r="D1222" s="1" t="s">
        <v>2796</v>
      </c>
      <c r="E1222" s="1" t="s">
        <v>2795</v>
      </c>
      <c r="F1222" s="1" t="s">
        <v>2796</v>
      </c>
      <c r="G1222" s="1" t="s">
        <v>2797</v>
      </c>
      <c r="H1222" s="1" t="s">
        <v>2796</v>
      </c>
      <c r="I1222" s="1" t="s">
        <v>8760</v>
      </c>
      <c r="J1222" s="1" t="s">
        <v>2798</v>
      </c>
      <c r="K1222" s="1">
        <v>6</v>
      </c>
      <c r="L1222" s="1" t="s">
        <v>4254</v>
      </c>
      <c r="M1222" s="1">
        <v>10</v>
      </c>
      <c r="N1222" s="1" t="s">
        <v>4237</v>
      </c>
    </row>
    <row r="1223" spans="1:14" x14ac:dyDescent="0.15">
      <c r="A1223" s="1">
        <v>201</v>
      </c>
      <c r="B1223" s="1" t="s">
        <v>2792</v>
      </c>
      <c r="C1223" s="1" t="s">
        <v>2795</v>
      </c>
      <c r="D1223" s="1" t="s">
        <v>2796</v>
      </c>
      <c r="E1223" s="1" t="s">
        <v>2795</v>
      </c>
      <c r="F1223" s="1" t="s">
        <v>2796</v>
      </c>
      <c r="G1223" s="1" t="s">
        <v>2797</v>
      </c>
      <c r="H1223" s="1" t="s">
        <v>2796</v>
      </c>
      <c r="I1223" s="1" t="s">
        <v>14671</v>
      </c>
      <c r="J1223" s="1" t="s">
        <v>14668</v>
      </c>
      <c r="K1223" s="1">
        <v>6</v>
      </c>
      <c r="L1223" s="1" t="s">
        <v>4254</v>
      </c>
      <c r="M1223" s="1">
        <v>10</v>
      </c>
      <c r="N1223" s="1" t="s">
        <v>4237</v>
      </c>
    </row>
    <row r="1224" spans="1:14" x14ac:dyDescent="0.15">
      <c r="A1224" s="1">
        <v>201</v>
      </c>
      <c r="B1224" s="1" t="s">
        <v>2792</v>
      </c>
      <c r="C1224" s="1" t="s">
        <v>2795</v>
      </c>
      <c r="D1224" s="1" t="s">
        <v>2796</v>
      </c>
      <c r="E1224" s="1" t="s">
        <v>2795</v>
      </c>
      <c r="F1224" s="1" t="s">
        <v>2796</v>
      </c>
      <c r="G1224" s="1" t="s">
        <v>2797</v>
      </c>
      <c r="H1224" s="1" t="s">
        <v>2796</v>
      </c>
      <c r="I1224" s="1" t="s">
        <v>12515</v>
      </c>
      <c r="J1224" s="1" t="s">
        <v>2799</v>
      </c>
      <c r="K1224" s="1">
        <v>6</v>
      </c>
      <c r="L1224" s="1" t="s">
        <v>4254</v>
      </c>
      <c r="M1224" s="1">
        <v>10</v>
      </c>
      <c r="N1224" s="1" t="s">
        <v>4237</v>
      </c>
    </row>
    <row r="1225" spans="1:14" x14ac:dyDescent="0.15">
      <c r="A1225" s="1">
        <v>201</v>
      </c>
      <c r="B1225" s="1" t="s">
        <v>2792</v>
      </c>
      <c r="C1225" s="1" t="s">
        <v>2800</v>
      </c>
      <c r="D1225" s="1" t="s">
        <v>2801</v>
      </c>
      <c r="E1225" s="1" t="s">
        <v>2800</v>
      </c>
      <c r="F1225" s="1" t="s">
        <v>2801</v>
      </c>
      <c r="G1225" s="1" t="s">
        <v>2802</v>
      </c>
      <c r="H1225" s="1" t="s">
        <v>2801</v>
      </c>
      <c r="I1225" s="1" t="s">
        <v>13308</v>
      </c>
      <c r="J1225" s="1" t="s">
        <v>5095</v>
      </c>
      <c r="K1225" s="1">
        <v>6</v>
      </c>
      <c r="L1225" s="1" t="s">
        <v>4254</v>
      </c>
      <c r="M1225" s="1">
        <v>10</v>
      </c>
      <c r="N1225" s="1" t="s">
        <v>4237</v>
      </c>
    </row>
    <row r="1226" spans="1:14" x14ac:dyDescent="0.15">
      <c r="A1226" s="1">
        <v>201</v>
      </c>
      <c r="B1226" s="1" t="s">
        <v>2792</v>
      </c>
      <c r="C1226" s="1" t="s">
        <v>2803</v>
      </c>
      <c r="D1226" s="1" t="s">
        <v>2804</v>
      </c>
      <c r="E1226" s="1" t="s">
        <v>2803</v>
      </c>
      <c r="F1226" s="1" t="s">
        <v>2804</v>
      </c>
      <c r="G1226" s="1" t="s">
        <v>2805</v>
      </c>
      <c r="H1226" s="1" t="s">
        <v>2804</v>
      </c>
      <c r="I1226" s="1" t="s">
        <v>13308</v>
      </c>
      <c r="J1226" s="1" t="s">
        <v>5095</v>
      </c>
      <c r="K1226" s="1">
        <v>6</v>
      </c>
      <c r="L1226" s="1" t="s">
        <v>4254</v>
      </c>
      <c r="M1226" s="1">
        <v>10</v>
      </c>
      <c r="N1226" s="1" t="s">
        <v>4237</v>
      </c>
    </row>
    <row r="1227" spans="1:14" x14ac:dyDescent="0.15">
      <c r="A1227" s="1">
        <v>202</v>
      </c>
      <c r="B1227" s="1" t="s">
        <v>2806</v>
      </c>
      <c r="C1227" s="1" t="s">
        <v>2807</v>
      </c>
      <c r="D1227" s="1" t="s">
        <v>2808</v>
      </c>
      <c r="E1227" s="1" t="s">
        <v>2807</v>
      </c>
      <c r="F1227" s="1" t="s">
        <v>2808</v>
      </c>
      <c r="G1227" s="1" t="s">
        <v>2809</v>
      </c>
      <c r="H1227" s="1" t="s">
        <v>2808</v>
      </c>
      <c r="I1227" s="1" t="s">
        <v>14671</v>
      </c>
      <c r="J1227" s="1" t="s">
        <v>14668</v>
      </c>
      <c r="K1227" s="1">
        <v>6</v>
      </c>
      <c r="L1227" s="1" t="s">
        <v>4254</v>
      </c>
      <c r="M1227" s="1">
        <v>10</v>
      </c>
      <c r="N1227" s="1" t="s">
        <v>4237</v>
      </c>
    </row>
    <row r="1228" spans="1:14" x14ac:dyDescent="0.15">
      <c r="A1228" s="1">
        <v>202</v>
      </c>
      <c r="B1228" s="1" t="s">
        <v>2806</v>
      </c>
      <c r="C1228" s="1" t="s">
        <v>2810</v>
      </c>
      <c r="D1228" s="1" t="s">
        <v>2806</v>
      </c>
      <c r="E1228" s="1" t="s">
        <v>2810</v>
      </c>
      <c r="F1228" s="1" t="s">
        <v>2806</v>
      </c>
      <c r="G1228" s="1" t="s">
        <v>2811</v>
      </c>
      <c r="H1228" s="1" t="s">
        <v>2806</v>
      </c>
      <c r="I1228" s="1" t="s">
        <v>11879</v>
      </c>
      <c r="J1228" s="1" t="s">
        <v>4278</v>
      </c>
      <c r="K1228" s="1">
        <v>99</v>
      </c>
      <c r="L1228" s="1" t="s">
        <v>4454</v>
      </c>
      <c r="M1228" s="1">
        <v>99</v>
      </c>
      <c r="N1228" s="1" t="s">
        <v>4454</v>
      </c>
    </row>
    <row r="1229" spans="1:14" x14ac:dyDescent="0.15">
      <c r="A1229" s="1">
        <v>202</v>
      </c>
      <c r="B1229" s="1" t="s">
        <v>2806</v>
      </c>
      <c r="C1229" s="1" t="s">
        <v>2812</v>
      </c>
      <c r="D1229" s="1" t="s">
        <v>2813</v>
      </c>
      <c r="E1229" s="1" t="s">
        <v>2812</v>
      </c>
      <c r="F1229" s="1" t="s">
        <v>2813</v>
      </c>
      <c r="G1229" s="1" t="s">
        <v>2814</v>
      </c>
      <c r="H1229" s="1" t="s">
        <v>2813</v>
      </c>
      <c r="I1229" s="1" t="s">
        <v>11003</v>
      </c>
      <c r="J1229" s="1" t="s">
        <v>2815</v>
      </c>
      <c r="K1229" s="1">
        <v>4</v>
      </c>
      <c r="L1229" s="1" t="s">
        <v>4342</v>
      </c>
      <c r="M1229" s="1">
        <v>5</v>
      </c>
      <c r="N1229" s="1" t="s">
        <v>4342</v>
      </c>
    </row>
    <row r="1230" spans="1:14" x14ac:dyDescent="0.15">
      <c r="A1230" s="1">
        <v>202</v>
      </c>
      <c r="B1230" s="1" t="s">
        <v>2806</v>
      </c>
      <c r="C1230" s="1" t="s">
        <v>2812</v>
      </c>
      <c r="D1230" s="1" t="s">
        <v>2813</v>
      </c>
      <c r="E1230" s="1" t="s">
        <v>2812</v>
      </c>
      <c r="F1230" s="1" t="s">
        <v>2813</v>
      </c>
      <c r="G1230" s="1" t="s">
        <v>2814</v>
      </c>
      <c r="H1230" s="1" t="s">
        <v>2813</v>
      </c>
      <c r="I1230" s="1" t="s">
        <v>10592</v>
      </c>
      <c r="J1230" s="1" t="s">
        <v>2816</v>
      </c>
      <c r="K1230" s="1">
        <v>4</v>
      </c>
      <c r="L1230" s="1" t="s">
        <v>4342</v>
      </c>
      <c r="M1230" s="1">
        <v>5</v>
      </c>
      <c r="N1230" s="1" t="s">
        <v>4342</v>
      </c>
    </row>
    <row r="1231" spans="1:14" x14ac:dyDescent="0.15">
      <c r="A1231" s="1">
        <v>202</v>
      </c>
      <c r="B1231" s="1" t="s">
        <v>2806</v>
      </c>
      <c r="C1231" s="1" t="s">
        <v>2812</v>
      </c>
      <c r="D1231" s="1" t="s">
        <v>2813</v>
      </c>
      <c r="E1231" s="1" t="s">
        <v>2812</v>
      </c>
      <c r="F1231" s="1" t="s">
        <v>2813</v>
      </c>
      <c r="G1231" s="1" t="s">
        <v>2814</v>
      </c>
      <c r="H1231" s="1" t="s">
        <v>2813</v>
      </c>
      <c r="I1231" s="1" t="s">
        <v>13478</v>
      </c>
      <c r="J1231" s="1" t="s">
        <v>13479</v>
      </c>
      <c r="K1231" s="1">
        <v>4</v>
      </c>
      <c r="L1231" s="1" t="s">
        <v>4342</v>
      </c>
      <c r="M1231" s="1">
        <v>5</v>
      </c>
      <c r="N1231" s="1" t="s">
        <v>4342</v>
      </c>
    </row>
    <row r="1232" spans="1:14" x14ac:dyDescent="0.15">
      <c r="A1232" s="1">
        <v>202</v>
      </c>
      <c r="B1232" s="1" t="s">
        <v>2806</v>
      </c>
      <c r="C1232" s="1" t="s">
        <v>2812</v>
      </c>
      <c r="D1232" s="1" t="s">
        <v>2813</v>
      </c>
      <c r="E1232" s="1" t="s">
        <v>2812</v>
      </c>
      <c r="F1232" s="1" t="s">
        <v>2813</v>
      </c>
      <c r="G1232" s="1" t="s">
        <v>2814</v>
      </c>
      <c r="H1232" s="1" t="s">
        <v>2813</v>
      </c>
      <c r="I1232" s="1" t="s">
        <v>7933</v>
      </c>
      <c r="J1232" s="1" t="s">
        <v>2817</v>
      </c>
      <c r="K1232" s="1">
        <v>4</v>
      </c>
      <c r="L1232" s="1" t="s">
        <v>4342</v>
      </c>
      <c r="M1232" s="1">
        <v>5</v>
      </c>
      <c r="N1232" s="1" t="s">
        <v>4342</v>
      </c>
    </row>
    <row r="1233" spans="1:14" x14ac:dyDescent="0.15">
      <c r="A1233" s="1">
        <v>202</v>
      </c>
      <c r="B1233" s="1" t="s">
        <v>2806</v>
      </c>
      <c r="C1233" s="1" t="s">
        <v>2812</v>
      </c>
      <c r="D1233" s="1" t="s">
        <v>2813</v>
      </c>
      <c r="E1233" s="1" t="s">
        <v>2812</v>
      </c>
      <c r="F1233" s="1" t="s">
        <v>2813</v>
      </c>
      <c r="G1233" s="1" t="s">
        <v>2814</v>
      </c>
      <c r="H1233" s="1" t="s">
        <v>2813</v>
      </c>
      <c r="I1233" s="1" t="s">
        <v>7936</v>
      </c>
      <c r="J1233" s="1" t="s">
        <v>2818</v>
      </c>
      <c r="K1233" s="1">
        <v>4</v>
      </c>
      <c r="L1233" s="1" t="s">
        <v>4342</v>
      </c>
      <c r="M1233" s="1">
        <v>5</v>
      </c>
      <c r="N1233" s="1" t="s">
        <v>4342</v>
      </c>
    </row>
    <row r="1234" spans="1:14" x14ac:dyDescent="0.15">
      <c r="A1234" s="1">
        <v>202</v>
      </c>
      <c r="B1234" s="1" t="s">
        <v>2806</v>
      </c>
      <c r="C1234" s="1" t="s">
        <v>2819</v>
      </c>
      <c r="D1234" s="1" t="s">
        <v>2820</v>
      </c>
      <c r="E1234" s="1" t="s">
        <v>2819</v>
      </c>
      <c r="F1234" s="1" t="s">
        <v>2820</v>
      </c>
      <c r="G1234" s="1" t="s">
        <v>2821</v>
      </c>
      <c r="H1234" s="1" t="s">
        <v>2820</v>
      </c>
      <c r="I1234" s="1" t="s">
        <v>14671</v>
      </c>
      <c r="J1234" s="1" t="s">
        <v>14668</v>
      </c>
      <c r="K1234" s="1">
        <v>9</v>
      </c>
      <c r="L1234" s="1" t="s">
        <v>4199</v>
      </c>
      <c r="M1234" s="1">
        <v>10</v>
      </c>
      <c r="N1234" s="1" t="s">
        <v>4237</v>
      </c>
    </row>
    <row r="1235" spans="1:14" x14ac:dyDescent="0.15">
      <c r="A1235" s="1">
        <v>202</v>
      </c>
      <c r="B1235" s="1" t="s">
        <v>2806</v>
      </c>
      <c r="C1235" s="1" t="s">
        <v>2822</v>
      </c>
      <c r="D1235" s="1" t="s">
        <v>2823</v>
      </c>
      <c r="E1235" s="1" t="s">
        <v>2822</v>
      </c>
      <c r="F1235" s="1" t="s">
        <v>2823</v>
      </c>
      <c r="G1235" s="1" t="s">
        <v>2824</v>
      </c>
      <c r="H1235" s="1" t="s">
        <v>2823</v>
      </c>
      <c r="I1235" s="1" t="s">
        <v>13312</v>
      </c>
      <c r="J1235" s="1" t="s">
        <v>2770</v>
      </c>
      <c r="K1235" s="1">
        <v>6</v>
      </c>
      <c r="L1235" s="1" t="s">
        <v>4254</v>
      </c>
      <c r="M1235" s="1">
        <v>10</v>
      </c>
      <c r="N1235" s="1" t="s">
        <v>4237</v>
      </c>
    </row>
    <row r="1236" spans="1:14" x14ac:dyDescent="0.15">
      <c r="A1236" s="1">
        <v>202</v>
      </c>
      <c r="B1236" s="1" t="s">
        <v>2806</v>
      </c>
      <c r="C1236" s="1" t="s">
        <v>2825</v>
      </c>
      <c r="D1236" s="1" t="s">
        <v>2826</v>
      </c>
      <c r="E1236" s="1" t="s">
        <v>2825</v>
      </c>
      <c r="F1236" s="1" t="s">
        <v>2826</v>
      </c>
      <c r="G1236" s="1" t="s">
        <v>2827</v>
      </c>
      <c r="H1236" s="1" t="s">
        <v>2826</v>
      </c>
      <c r="I1236" s="1" t="s">
        <v>9252</v>
      </c>
      <c r="J1236" s="1" t="s">
        <v>2527</v>
      </c>
      <c r="K1236" s="1">
        <v>6</v>
      </c>
      <c r="L1236" s="1" t="s">
        <v>4254</v>
      </c>
      <c r="M1236" s="1">
        <v>10</v>
      </c>
      <c r="N1236" s="1" t="s">
        <v>4237</v>
      </c>
    </row>
    <row r="1237" spans="1:14" x14ac:dyDescent="0.15">
      <c r="A1237" s="1">
        <v>202</v>
      </c>
      <c r="B1237" s="1" t="s">
        <v>2806</v>
      </c>
      <c r="C1237" s="1" t="s">
        <v>2825</v>
      </c>
      <c r="D1237" s="1" t="s">
        <v>2826</v>
      </c>
      <c r="E1237" s="1" t="s">
        <v>2825</v>
      </c>
      <c r="F1237" s="1" t="s">
        <v>2826</v>
      </c>
      <c r="G1237" s="1" t="s">
        <v>2827</v>
      </c>
      <c r="H1237" s="1" t="s">
        <v>2826</v>
      </c>
      <c r="I1237" s="1" t="s">
        <v>13312</v>
      </c>
      <c r="J1237" s="1" t="s">
        <v>2770</v>
      </c>
      <c r="K1237" s="1">
        <v>6</v>
      </c>
      <c r="L1237" s="1" t="s">
        <v>4254</v>
      </c>
      <c r="M1237" s="1">
        <v>10</v>
      </c>
      <c r="N1237" s="1" t="s">
        <v>4237</v>
      </c>
    </row>
    <row r="1238" spans="1:14" x14ac:dyDescent="0.15">
      <c r="A1238" s="1">
        <v>204</v>
      </c>
      <c r="B1238" s="1" t="s">
        <v>4233</v>
      </c>
      <c r="C1238" s="1" t="s">
        <v>4234</v>
      </c>
      <c r="D1238" s="1" t="s">
        <v>4233</v>
      </c>
      <c r="E1238" s="1" t="s">
        <v>4234</v>
      </c>
      <c r="F1238" s="1" t="s">
        <v>4233</v>
      </c>
      <c r="G1238" s="1" t="s">
        <v>4235</v>
      </c>
      <c r="H1238" s="1" t="s">
        <v>4233</v>
      </c>
      <c r="I1238" s="1" t="s">
        <v>14899</v>
      </c>
      <c r="J1238" s="1" t="s">
        <v>14900</v>
      </c>
      <c r="K1238" s="1">
        <v>16</v>
      </c>
      <c r="L1238" s="1" t="s">
        <v>4236</v>
      </c>
      <c r="M1238" s="1">
        <v>10</v>
      </c>
      <c r="N1238" s="1" t="s">
        <v>4237</v>
      </c>
    </row>
    <row r="1239" spans="1:14" x14ac:dyDescent="0.15">
      <c r="A1239" s="1">
        <v>204</v>
      </c>
      <c r="B1239" s="1" t="s">
        <v>4233</v>
      </c>
      <c r="C1239" s="1" t="s">
        <v>4234</v>
      </c>
      <c r="D1239" s="1" t="s">
        <v>4233</v>
      </c>
      <c r="E1239" s="1" t="s">
        <v>4234</v>
      </c>
      <c r="F1239" s="1" t="s">
        <v>4233</v>
      </c>
      <c r="G1239" s="1" t="s">
        <v>4235</v>
      </c>
      <c r="H1239" s="1" t="s">
        <v>4233</v>
      </c>
      <c r="I1239" s="1" t="s">
        <v>14903</v>
      </c>
      <c r="J1239" s="1" t="s">
        <v>6169</v>
      </c>
      <c r="K1239" s="1">
        <v>16</v>
      </c>
      <c r="L1239" s="1" t="s">
        <v>4236</v>
      </c>
      <c r="M1239" s="1">
        <v>10</v>
      </c>
      <c r="N1239" s="1" t="s">
        <v>4237</v>
      </c>
    </row>
    <row r="1240" spans="1:14" x14ac:dyDescent="0.15">
      <c r="A1240" s="1">
        <v>204</v>
      </c>
      <c r="B1240" s="1" t="s">
        <v>4233</v>
      </c>
      <c r="C1240" s="1" t="s">
        <v>4234</v>
      </c>
      <c r="D1240" s="1" t="s">
        <v>4233</v>
      </c>
      <c r="E1240" s="1" t="s">
        <v>4234</v>
      </c>
      <c r="F1240" s="1" t="s">
        <v>4233</v>
      </c>
      <c r="G1240" s="1" t="s">
        <v>4235</v>
      </c>
      <c r="H1240" s="1" t="s">
        <v>4233</v>
      </c>
      <c r="I1240" s="1" t="s">
        <v>9881</v>
      </c>
      <c r="J1240" s="1" t="s">
        <v>2828</v>
      </c>
      <c r="K1240" s="1">
        <v>16</v>
      </c>
      <c r="L1240" s="1" t="s">
        <v>4236</v>
      </c>
      <c r="M1240" s="1">
        <v>10</v>
      </c>
      <c r="N1240" s="1" t="s">
        <v>4237</v>
      </c>
    </row>
    <row r="1241" spans="1:14" x14ac:dyDescent="0.15">
      <c r="A1241" s="1">
        <v>204</v>
      </c>
      <c r="B1241" s="1" t="s">
        <v>4233</v>
      </c>
      <c r="C1241" s="1" t="s">
        <v>4234</v>
      </c>
      <c r="D1241" s="1" t="s">
        <v>4233</v>
      </c>
      <c r="E1241" s="1" t="s">
        <v>4234</v>
      </c>
      <c r="F1241" s="1" t="s">
        <v>4233</v>
      </c>
      <c r="G1241" s="1" t="s">
        <v>4235</v>
      </c>
      <c r="H1241" s="1" t="s">
        <v>4233</v>
      </c>
      <c r="I1241" s="1" t="s">
        <v>14911</v>
      </c>
      <c r="J1241" s="1" t="s">
        <v>14912</v>
      </c>
      <c r="K1241" s="1">
        <v>16</v>
      </c>
      <c r="L1241" s="1" t="s">
        <v>4236</v>
      </c>
      <c r="M1241" s="1">
        <v>10</v>
      </c>
      <c r="N1241" s="1" t="s">
        <v>4237</v>
      </c>
    </row>
    <row r="1242" spans="1:14" x14ac:dyDescent="0.15">
      <c r="A1242" s="1">
        <v>204</v>
      </c>
      <c r="B1242" s="1" t="s">
        <v>4233</v>
      </c>
      <c r="C1242" s="1" t="s">
        <v>4234</v>
      </c>
      <c r="D1242" s="1" t="s">
        <v>4233</v>
      </c>
      <c r="E1242" s="1" t="s">
        <v>4234</v>
      </c>
      <c r="F1242" s="1" t="s">
        <v>4233</v>
      </c>
      <c r="G1242" s="1" t="s">
        <v>4235</v>
      </c>
      <c r="H1242" s="1" t="s">
        <v>4233</v>
      </c>
      <c r="I1242" s="1" t="s">
        <v>14915</v>
      </c>
      <c r="J1242" s="1" t="s">
        <v>2829</v>
      </c>
      <c r="K1242" s="1">
        <v>16</v>
      </c>
      <c r="L1242" s="1" t="s">
        <v>4236</v>
      </c>
      <c r="M1242" s="1">
        <v>10</v>
      </c>
      <c r="N1242" s="1" t="s">
        <v>4237</v>
      </c>
    </row>
    <row r="1243" spans="1:14" x14ac:dyDescent="0.15">
      <c r="A1243" s="1">
        <v>205</v>
      </c>
      <c r="B1243" s="1" t="s">
        <v>2830</v>
      </c>
      <c r="C1243" s="1" t="s">
        <v>2831</v>
      </c>
      <c r="D1243" s="1" t="s">
        <v>2830</v>
      </c>
      <c r="E1243" s="1" t="s">
        <v>2831</v>
      </c>
      <c r="F1243" s="1" t="s">
        <v>2830</v>
      </c>
      <c r="G1243" s="1" t="s">
        <v>2832</v>
      </c>
      <c r="H1243" s="1" t="s">
        <v>2830</v>
      </c>
      <c r="I1243" s="1" t="s">
        <v>14871</v>
      </c>
      <c r="J1243" s="1" t="s">
        <v>14868</v>
      </c>
      <c r="K1243" s="1">
        <v>16</v>
      </c>
      <c r="L1243" s="1" t="s">
        <v>4236</v>
      </c>
      <c r="M1243" s="1">
        <v>10</v>
      </c>
      <c r="N1243" s="1" t="s">
        <v>4237</v>
      </c>
    </row>
    <row r="1244" spans="1:14" x14ac:dyDescent="0.15">
      <c r="A1244" s="1">
        <v>205</v>
      </c>
      <c r="B1244" s="1" t="s">
        <v>2830</v>
      </c>
      <c r="C1244" s="1" t="s">
        <v>2831</v>
      </c>
      <c r="D1244" s="1" t="s">
        <v>2830</v>
      </c>
      <c r="E1244" s="1" t="s">
        <v>2831</v>
      </c>
      <c r="F1244" s="1" t="s">
        <v>2830</v>
      </c>
      <c r="G1244" s="1" t="s">
        <v>2832</v>
      </c>
      <c r="H1244" s="1" t="s">
        <v>2830</v>
      </c>
      <c r="I1244" s="1" t="s">
        <v>14878</v>
      </c>
      <c r="J1244" s="1" t="s">
        <v>2833</v>
      </c>
      <c r="K1244" s="1">
        <v>16</v>
      </c>
      <c r="L1244" s="1" t="s">
        <v>4236</v>
      </c>
      <c r="M1244" s="1">
        <v>10</v>
      </c>
      <c r="N1244" s="1" t="s">
        <v>4237</v>
      </c>
    </row>
    <row r="1245" spans="1:14" x14ac:dyDescent="0.15">
      <c r="A1245" s="1">
        <v>205</v>
      </c>
      <c r="B1245" s="1" t="s">
        <v>2830</v>
      </c>
      <c r="C1245" s="1" t="s">
        <v>2831</v>
      </c>
      <c r="D1245" s="1" t="s">
        <v>2830</v>
      </c>
      <c r="E1245" s="1" t="s">
        <v>2831</v>
      </c>
      <c r="F1245" s="1" t="s">
        <v>2830</v>
      </c>
      <c r="G1245" s="1" t="s">
        <v>2832</v>
      </c>
      <c r="H1245" s="1" t="s">
        <v>2830</v>
      </c>
      <c r="I1245" s="1" t="s">
        <v>14885</v>
      </c>
      <c r="J1245" s="1" t="s">
        <v>14882</v>
      </c>
      <c r="K1245" s="1">
        <v>16</v>
      </c>
      <c r="L1245" s="1" t="s">
        <v>4236</v>
      </c>
      <c r="M1245" s="1">
        <v>10</v>
      </c>
      <c r="N1245" s="1" t="s">
        <v>4237</v>
      </c>
    </row>
    <row r="1246" spans="1:14" x14ac:dyDescent="0.15">
      <c r="A1246" s="1">
        <v>205</v>
      </c>
      <c r="B1246" s="1" t="s">
        <v>2830</v>
      </c>
      <c r="C1246" s="1" t="s">
        <v>2831</v>
      </c>
      <c r="D1246" s="1" t="s">
        <v>2830</v>
      </c>
      <c r="E1246" s="1" t="s">
        <v>2831</v>
      </c>
      <c r="F1246" s="1" t="s">
        <v>2830</v>
      </c>
      <c r="G1246" s="1" t="s">
        <v>2832</v>
      </c>
      <c r="H1246" s="1" t="s">
        <v>2830</v>
      </c>
      <c r="I1246" s="1" t="s">
        <v>9395</v>
      </c>
      <c r="J1246" s="1" t="s">
        <v>2651</v>
      </c>
      <c r="K1246" s="1">
        <v>16</v>
      </c>
      <c r="L1246" s="1" t="s">
        <v>4236</v>
      </c>
      <c r="M1246" s="1">
        <v>10</v>
      </c>
      <c r="N1246" s="1" t="s">
        <v>4237</v>
      </c>
    </row>
    <row r="1247" spans="1:14" x14ac:dyDescent="0.15">
      <c r="A1247" s="1">
        <v>206</v>
      </c>
      <c r="B1247" s="1" t="s">
        <v>2834</v>
      </c>
      <c r="C1247" s="1" t="s">
        <v>2835</v>
      </c>
      <c r="D1247" s="1" t="s">
        <v>2834</v>
      </c>
      <c r="E1247" s="1" t="s">
        <v>2835</v>
      </c>
      <c r="F1247" s="1" t="s">
        <v>2834</v>
      </c>
      <c r="G1247" s="1" t="s">
        <v>2836</v>
      </c>
      <c r="H1247" s="1" t="s">
        <v>2834</v>
      </c>
      <c r="I1247" s="1" t="s">
        <v>14915</v>
      </c>
      <c r="J1247" s="1" t="s">
        <v>2829</v>
      </c>
      <c r="K1247" s="1">
        <v>16</v>
      </c>
      <c r="L1247" s="1" t="s">
        <v>4236</v>
      </c>
      <c r="M1247" s="1">
        <v>10</v>
      </c>
      <c r="N1247" s="1" t="s">
        <v>4237</v>
      </c>
    </row>
    <row r="1248" spans="1:14" x14ac:dyDescent="0.15">
      <c r="A1248" s="1">
        <v>206</v>
      </c>
      <c r="B1248" s="1" t="s">
        <v>2834</v>
      </c>
      <c r="C1248" s="1" t="s">
        <v>2835</v>
      </c>
      <c r="D1248" s="1" t="s">
        <v>2834</v>
      </c>
      <c r="E1248" s="1" t="s">
        <v>2835</v>
      </c>
      <c r="F1248" s="1" t="s">
        <v>2834</v>
      </c>
      <c r="G1248" s="1" t="s">
        <v>2836</v>
      </c>
      <c r="H1248" s="1" t="s">
        <v>2834</v>
      </c>
      <c r="I1248" s="1" t="s">
        <v>14923</v>
      </c>
      <c r="J1248" s="1" t="s">
        <v>6175</v>
      </c>
      <c r="K1248" s="1">
        <v>16</v>
      </c>
      <c r="L1248" s="1" t="s">
        <v>4236</v>
      </c>
      <c r="M1248" s="1">
        <v>10</v>
      </c>
      <c r="N1248" s="1" t="s">
        <v>4237</v>
      </c>
    </row>
    <row r="1249" spans="1:14" x14ac:dyDescent="0.15">
      <c r="A1249" s="1">
        <v>210</v>
      </c>
      <c r="B1249" s="1" t="s">
        <v>2837</v>
      </c>
      <c r="C1249" s="1" t="s">
        <v>2838</v>
      </c>
      <c r="D1249" s="1" t="s">
        <v>2837</v>
      </c>
      <c r="E1249" s="1" t="s">
        <v>2838</v>
      </c>
      <c r="F1249" s="1" t="s">
        <v>2837</v>
      </c>
      <c r="G1249" s="1" t="s">
        <v>2839</v>
      </c>
      <c r="H1249" s="1" t="s">
        <v>2837</v>
      </c>
      <c r="I1249" s="1" t="s">
        <v>15656</v>
      </c>
      <c r="J1249" s="1" t="s">
        <v>2840</v>
      </c>
      <c r="K1249" s="1">
        <v>9</v>
      </c>
      <c r="L1249" s="1" t="s">
        <v>4199</v>
      </c>
      <c r="M1249" s="1">
        <v>12</v>
      </c>
      <c r="N1249" s="1" t="s">
        <v>2841</v>
      </c>
    </row>
    <row r="1250" spans="1:14" x14ac:dyDescent="0.15">
      <c r="A1250" s="1">
        <v>210</v>
      </c>
      <c r="B1250" s="1" t="s">
        <v>2837</v>
      </c>
      <c r="C1250" s="1" t="s">
        <v>2838</v>
      </c>
      <c r="D1250" s="1" t="s">
        <v>2837</v>
      </c>
      <c r="E1250" s="1" t="s">
        <v>2838</v>
      </c>
      <c r="F1250" s="1" t="s">
        <v>2837</v>
      </c>
      <c r="G1250" s="1" t="s">
        <v>2839</v>
      </c>
      <c r="H1250" s="1" t="s">
        <v>2837</v>
      </c>
      <c r="I1250" s="1" t="s">
        <v>9614</v>
      </c>
      <c r="J1250" s="1" t="s">
        <v>2842</v>
      </c>
      <c r="K1250" s="1">
        <v>9</v>
      </c>
      <c r="L1250" s="1" t="s">
        <v>4199</v>
      </c>
      <c r="M1250" s="1">
        <v>12</v>
      </c>
      <c r="N1250" s="1" t="s">
        <v>2841</v>
      </c>
    </row>
    <row r="1251" spans="1:14" x14ac:dyDescent="0.15">
      <c r="A1251" s="1">
        <v>210</v>
      </c>
      <c r="B1251" s="1" t="s">
        <v>2837</v>
      </c>
      <c r="C1251" s="1" t="s">
        <v>2838</v>
      </c>
      <c r="D1251" s="1" t="s">
        <v>2837</v>
      </c>
      <c r="E1251" s="1" t="s">
        <v>2838</v>
      </c>
      <c r="F1251" s="1" t="s">
        <v>2837</v>
      </c>
      <c r="G1251" s="1" t="s">
        <v>2839</v>
      </c>
      <c r="H1251" s="1" t="s">
        <v>2837</v>
      </c>
      <c r="I1251" s="1" t="s">
        <v>15665</v>
      </c>
      <c r="J1251" s="1" t="s">
        <v>5964</v>
      </c>
      <c r="K1251" s="1">
        <v>9</v>
      </c>
      <c r="L1251" s="1" t="s">
        <v>4199</v>
      </c>
      <c r="M1251" s="1">
        <v>12</v>
      </c>
      <c r="N1251" s="1" t="s">
        <v>2841</v>
      </c>
    </row>
    <row r="1252" spans="1:14" x14ac:dyDescent="0.15">
      <c r="A1252" s="1">
        <v>210</v>
      </c>
      <c r="B1252" s="1" t="s">
        <v>2837</v>
      </c>
      <c r="C1252" s="1" t="s">
        <v>2838</v>
      </c>
      <c r="D1252" s="1" t="s">
        <v>2837</v>
      </c>
      <c r="E1252" s="1" t="s">
        <v>2838</v>
      </c>
      <c r="F1252" s="1" t="s">
        <v>2837</v>
      </c>
      <c r="G1252" s="1" t="s">
        <v>2839</v>
      </c>
      <c r="H1252" s="1" t="s">
        <v>2837</v>
      </c>
      <c r="I1252" s="1" t="s">
        <v>9631</v>
      </c>
      <c r="J1252" s="1" t="s">
        <v>2843</v>
      </c>
      <c r="K1252" s="1">
        <v>9</v>
      </c>
      <c r="L1252" s="1" t="s">
        <v>4199</v>
      </c>
      <c r="M1252" s="1">
        <v>12</v>
      </c>
      <c r="N1252" s="1" t="s">
        <v>2841</v>
      </c>
    </row>
    <row r="1253" spans="1:14" x14ac:dyDescent="0.15">
      <c r="A1253" s="1">
        <v>210</v>
      </c>
      <c r="B1253" s="1" t="s">
        <v>2837</v>
      </c>
      <c r="C1253" s="1" t="s">
        <v>2838</v>
      </c>
      <c r="D1253" s="1" t="s">
        <v>2837</v>
      </c>
      <c r="E1253" s="1" t="s">
        <v>2838</v>
      </c>
      <c r="F1253" s="1" t="s">
        <v>2837</v>
      </c>
      <c r="G1253" s="1" t="s">
        <v>2839</v>
      </c>
      <c r="H1253" s="1" t="s">
        <v>2837</v>
      </c>
      <c r="I1253" s="1" t="s">
        <v>9634</v>
      </c>
      <c r="J1253" s="1" t="s">
        <v>2844</v>
      </c>
      <c r="K1253" s="1">
        <v>9</v>
      </c>
      <c r="L1253" s="1" t="s">
        <v>4199</v>
      </c>
      <c r="M1253" s="1">
        <v>12</v>
      </c>
      <c r="N1253" s="1" t="s">
        <v>2841</v>
      </c>
    </row>
    <row r="1254" spans="1:14" x14ac:dyDescent="0.15">
      <c r="A1254" s="1">
        <v>210</v>
      </c>
      <c r="B1254" s="1" t="s">
        <v>2837</v>
      </c>
      <c r="C1254" s="1" t="s">
        <v>2838</v>
      </c>
      <c r="D1254" s="1" t="s">
        <v>2837</v>
      </c>
      <c r="E1254" s="1" t="s">
        <v>2838</v>
      </c>
      <c r="F1254" s="1" t="s">
        <v>2837</v>
      </c>
      <c r="G1254" s="1" t="s">
        <v>2839</v>
      </c>
      <c r="H1254" s="1" t="s">
        <v>2837</v>
      </c>
      <c r="I1254" s="1" t="s">
        <v>9637</v>
      </c>
      <c r="J1254" s="1" t="s">
        <v>2845</v>
      </c>
      <c r="K1254" s="1">
        <v>9</v>
      </c>
      <c r="L1254" s="1" t="s">
        <v>4199</v>
      </c>
      <c r="M1254" s="1">
        <v>12</v>
      </c>
      <c r="N1254" s="1" t="s">
        <v>2841</v>
      </c>
    </row>
    <row r="1255" spans="1:14" x14ac:dyDescent="0.15">
      <c r="A1255" s="1">
        <v>210</v>
      </c>
      <c r="B1255" s="1" t="s">
        <v>2837</v>
      </c>
      <c r="C1255" s="1" t="s">
        <v>2838</v>
      </c>
      <c r="D1255" s="1" t="s">
        <v>2837</v>
      </c>
      <c r="E1255" s="1" t="s">
        <v>2838</v>
      </c>
      <c r="F1255" s="1" t="s">
        <v>2837</v>
      </c>
      <c r="G1255" s="1" t="s">
        <v>2839</v>
      </c>
      <c r="H1255" s="1" t="s">
        <v>2837</v>
      </c>
      <c r="I1255" s="1" t="s">
        <v>9640</v>
      </c>
      <c r="J1255" s="1" t="s">
        <v>2846</v>
      </c>
      <c r="K1255" s="1">
        <v>9</v>
      </c>
      <c r="L1255" s="1" t="s">
        <v>4199</v>
      </c>
      <c r="M1255" s="1">
        <v>12</v>
      </c>
      <c r="N1255" s="1" t="s">
        <v>2841</v>
      </c>
    </row>
    <row r="1256" spans="1:14" x14ac:dyDescent="0.15">
      <c r="A1256" s="1">
        <v>210</v>
      </c>
      <c r="B1256" s="1" t="s">
        <v>2837</v>
      </c>
      <c r="C1256" s="1" t="s">
        <v>2838</v>
      </c>
      <c r="D1256" s="1" t="s">
        <v>2837</v>
      </c>
      <c r="E1256" s="1" t="s">
        <v>2838</v>
      </c>
      <c r="F1256" s="1" t="s">
        <v>2837</v>
      </c>
      <c r="G1256" s="1" t="s">
        <v>2839</v>
      </c>
      <c r="H1256" s="1" t="s">
        <v>2837</v>
      </c>
      <c r="I1256" s="1" t="s">
        <v>9643</v>
      </c>
      <c r="J1256" s="1" t="s">
        <v>2847</v>
      </c>
      <c r="K1256" s="1">
        <v>9</v>
      </c>
      <c r="L1256" s="1" t="s">
        <v>4199</v>
      </c>
      <c r="M1256" s="1">
        <v>12</v>
      </c>
      <c r="N1256" s="1" t="s">
        <v>2841</v>
      </c>
    </row>
    <row r="1257" spans="1:14" x14ac:dyDescent="0.15">
      <c r="A1257" s="1">
        <v>210</v>
      </c>
      <c r="B1257" s="1" t="s">
        <v>2837</v>
      </c>
      <c r="C1257" s="1" t="s">
        <v>2838</v>
      </c>
      <c r="D1257" s="1" t="s">
        <v>2837</v>
      </c>
      <c r="E1257" s="1" t="s">
        <v>2838</v>
      </c>
      <c r="F1257" s="1" t="s">
        <v>2837</v>
      </c>
      <c r="G1257" s="1" t="s">
        <v>2839</v>
      </c>
      <c r="H1257" s="1" t="s">
        <v>2837</v>
      </c>
      <c r="I1257" s="1" t="s">
        <v>9646</v>
      </c>
      <c r="J1257" s="1" t="s">
        <v>2848</v>
      </c>
      <c r="K1257" s="1">
        <v>9</v>
      </c>
      <c r="L1257" s="1" t="s">
        <v>4199</v>
      </c>
      <c r="M1257" s="1">
        <v>12</v>
      </c>
      <c r="N1257" s="1" t="s">
        <v>2841</v>
      </c>
    </row>
    <row r="1258" spans="1:14" x14ac:dyDescent="0.15">
      <c r="A1258" s="1">
        <v>210</v>
      </c>
      <c r="B1258" s="1" t="s">
        <v>2837</v>
      </c>
      <c r="C1258" s="1" t="s">
        <v>2838</v>
      </c>
      <c r="D1258" s="1" t="s">
        <v>2837</v>
      </c>
      <c r="E1258" s="1" t="s">
        <v>2838</v>
      </c>
      <c r="F1258" s="1" t="s">
        <v>2837</v>
      </c>
      <c r="G1258" s="1" t="s">
        <v>2839</v>
      </c>
      <c r="H1258" s="1" t="s">
        <v>2837</v>
      </c>
      <c r="I1258" s="1" t="s">
        <v>9649</v>
      </c>
      <c r="J1258" s="1" t="s">
        <v>2849</v>
      </c>
      <c r="K1258" s="1">
        <v>9</v>
      </c>
      <c r="L1258" s="1" t="s">
        <v>4199</v>
      </c>
      <c r="M1258" s="1">
        <v>12</v>
      </c>
      <c r="N1258" s="1" t="s">
        <v>2841</v>
      </c>
    </row>
    <row r="1259" spans="1:14" x14ac:dyDescent="0.15">
      <c r="A1259" s="1">
        <v>210</v>
      </c>
      <c r="B1259" s="1" t="s">
        <v>2837</v>
      </c>
      <c r="C1259" s="1" t="s">
        <v>2838</v>
      </c>
      <c r="D1259" s="1" t="s">
        <v>2837</v>
      </c>
      <c r="E1259" s="1" t="s">
        <v>2838</v>
      </c>
      <c r="F1259" s="1" t="s">
        <v>2837</v>
      </c>
      <c r="G1259" s="1" t="s">
        <v>2839</v>
      </c>
      <c r="H1259" s="1" t="s">
        <v>2837</v>
      </c>
      <c r="I1259" s="1" t="s">
        <v>9652</v>
      </c>
      <c r="J1259" s="1" t="s">
        <v>2850</v>
      </c>
      <c r="K1259" s="1">
        <v>9</v>
      </c>
      <c r="L1259" s="1" t="s">
        <v>4199</v>
      </c>
      <c r="M1259" s="1">
        <v>12</v>
      </c>
      <c r="N1259" s="1" t="s">
        <v>2841</v>
      </c>
    </row>
    <row r="1260" spans="1:14" x14ac:dyDescent="0.15">
      <c r="A1260" s="1">
        <v>210</v>
      </c>
      <c r="B1260" s="1" t="s">
        <v>2837</v>
      </c>
      <c r="C1260" s="1" t="s">
        <v>2838</v>
      </c>
      <c r="D1260" s="1" t="s">
        <v>2837</v>
      </c>
      <c r="E1260" s="1" t="s">
        <v>2838</v>
      </c>
      <c r="F1260" s="1" t="s">
        <v>2837</v>
      </c>
      <c r="G1260" s="1" t="s">
        <v>2839</v>
      </c>
      <c r="H1260" s="1" t="s">
        <v>2837</v>
      </c>
      <c r="I1260" s="1" t="s">
        <v>9655</v>
      </c>
      <c r="J1260" s="1" t="s">
        <v>2851</v>
      </c>
      <c r="K1260" s="1">
        <v>9</v>
      </c>
      <c r="L1260" s="1" t="s">
        <v>4199</v>
      </c>
      <c r="M1260" s="1">
        <v>12</v>
      </c>
      <c r="N1260" s="1" t="s">
        <v>2841</v>
      </c>
    </row>
    <row r="1261" spans="1:14" x14ac:dyDescent="0.15">
      <c r="A1261" s="1">
        <v>210</v>
      </c>
      <c r="B1261" s="1" t="s">
        <v>2837</v>
      </c>
      <c r="C1261" s="1" t="s">
        <v>2838</v>
      </c>
      <c r="D1261" s="1" t="s">
        <v>2837</v>
      </c>
      <c r="E1261" s="1" t="s">
        <v>2838</v>
      </c>
      <c r="F1261" s="1" t="s">
        <v>2837</v>
      </c>
      <c r="G1261" s="1" t="s">
        <v>2839</v>
      </c>
      <c r="H1261" s="1" t="s">
        <v>2837</v>
      </c>
      <c r="I1261" s="1" t="s">
        <v>9658</v>
      </c>
      <c r="J1261" s="1" t="s">
        <v>2852</v>
      </c>
      <c r="K1261" s="1">
        <v>9</v>
      </c>
      <c r="L1261" s="1" t="s">
        <v>4199</v>
      </c>
      <c r="M1261" s="1">
        <v>12</v>
      </c>
      <c r="N1261" s="1" t="s">
        <v>2841</v>
      </c>
    </row>
    <row r="1262" spans="1:14" x14ac:dyDescent="0.15">
      <c r="A1262" s="1">
        <v>210</v>
      </c>
      <c r="B1262" s="1" t="s">
        <v>2837</v>
      </c>
      <c r="C1262" s="1" t="s">
        <v>2838</v>
      </c>
      <c r="D1262" s="1" t="s">
        <v>2837</v>
      </c>
      <c r="E1262" s="1" t="s">
        <v>2838</v>
      </c>
      <c r="F1262" s="1" t="s">
        <v>2837</v>
      </c>
      <c r="G1262" s="1" t="s">
        <v>2839</v>
      </c>
      <c r="H1262" s="1" t="s">
        <v>2837</v>
      </c>
      <c r="I1262" s="1" t="s">
        <v>9661</v>
      </c>
      <c r="J1262" s="1" t="s">
        <v>2853</v>
      </c>
      <c r="K1262" s="1">
        <v>9</v>
      </c>
      <c r="L1262" s="1" t="s">
        <v>4199</v>
      </c>
      <c r="M1262" s="1">
        <v>12</v>
      </c>
      <c r="N1262" s="1" t="s">
        <v>2841</v>
      </c>
    </row>
    <row r="1263" spans="1:14" x14ac:dyDescent="0.15">
      <c r="A1263" s="1">
        <v>210</v>
      </c>
      <c r="B1263" s="1" t="s">
        <v>2837</v>
      </c>
      <c r="C1263" s="1" t="s">
        <v>2838</v>
      </c>
      <c r="D1263" s="1" t="s">
        <v>2837</v>
      </c>
      <c r="E1263" s="1" t="s">
        <v>2838</v>
      </c>
      <c r="F1263" s="1" t="s">
        <v>2837</v>
      </c>
      <c r="G1263" s="1" t="s">
        <v>2839</v>
      </c>
      <c r="H1263" s="1" t="s">
        <v>2837</v>
      </c>
      <c r="I1263" s="1" t="s">
        <v>9664</v>
      </c>
      <c r="J1263" s="1" t="s">
        <v>2854</v>
      </c>
      <c r="K1263" s="1">
        <v>9</v>
      </c>
      <c r="L1263" s="1" t="s">
        <v>4199</v>
      </c>
      <c r="M1263" s="1">
        <v>12</v>
      </c>
      <c r="N1263" s="1" t="s">
        <v>2841</v>
      </c>
    </row>
    <row r="1264" spans="1:14" x14ac:dyDescent="0.15">
      <c r="A1264" s="1">
        <v>210</v>
      </c>
      <c r="B1264" s="1" t="s">
        <v>2837</v>
      </c>
      <c r="C1264" s="1" t="s">
        <v>2838</v>
      </c>
      <c r="D1264" s="1" t="s">
        <v>2837</v>
      </c>
      <c r="E1264" s="1" t="s">
        <v>2838</v>
      </c>
      <c r="F1264" s="1" t="s">
        <v>2837</v>
      </c>
      <c r="G1264" s="1" t="s">
        <v>2839</v>
      </c>
      <c r="H1264" s="1" t="s">
        <v>2837</v>
      </c>
      <c r="I1264" s="1" t="s">
        <v>9685</v>
      </c>
      <c r="J1264" s="1" t="s">
        <v>2855</v>
      </c>
      <c r="K1264" s="1">
        <v>9</v>
      </c>
      <c r="L1264" s="1" t="s">
        <v>4199</v>
      </c>
      <c r="M1264" s="1">
        <v>12</v>
      </c>
      <c r="N1264" s="1" t="s">
        <v>2841</v>
      </c>
    </row>
    <row r="1265" spans="1:14" x14ac:dyDescent="0.15">
      <c r="A1265" s="1">
        <v>211</v>
      </c>
      <c r="B1265" s="1" t="s">
        <v>2856</v>
      </c>
      <c r="C1265" s="1" t="s">
        <v>2857</v>
      </c>
      <c r="D1265" s="1" t="s">
        <v>2856</v>
      </c>
      <c r="E1265" s="1" t="s">
        <v>2857</v>
      </c>
      <c r="F1265" s="1" t="s">
        <v>2856</v>
      </c>
      <c r="G1265" s="1" t="s">
        <v>2858</v>
      </c>
      <c r="H1265" s="1" t="s">
        <v>2856</v>
      </c>
      <c r="I1265" s="1" t="s">
        <v>11879</v>
      </c>
      <c r="J1265" s="1" t="s">
        <v>4278</v>
      </c>
      <c r="K1265" s="1">
        <v>9</v>
      </c>
      <c r="L1265" s="1" t="s">
        <v>4199</v>
      </c>
      <c r="M1265" s="1">
        <v>12</v>
      </c>
      <c r="N1265" s="1" t="s">
        <v>2841</v>
      </c>
    </row>
    <row r="1266" spans="1:14" x14ac:dyDescent="0.15">
      <c r="A1266" s="1">
        <v>211</v>
      </c>
      <c r="B1266" s="1" t="s">
        <v>2856</v>
      </c>
      <c r="C1266" s="1" t="s">
        <v>2859</v>
      </c>
      <c r="D1266" s="1" t="s">
        <v>2860</v>
      </c>
      <c r="E1266" s="1" t="s">
        <v>2859</v>
      </c>
      <c r="F1266" s="1" t="s">
        <v>2860</v>
      </c>
      <c r="G1266" s="1" t="s">
        <v>2861</v>
      </c>
      <c r="H1266" s="1" t="s">
        <v>2860</v>
      </c>
      <c r="I1266" s="1" t="s">
        <v>15656</v>
      </c>
      <c r="J1266" s="1" t="s">
        <v>2842</v>
      </c>
      <c r="K1266" s="1">
        <v>9</v>
      </c>
      <c r="L1266" s="1" t="s">
        <v>4199</v>
      </c>
      <c r="M1266" s="1">
        <v>12</v>
      </c>
      <c r="N1266" s="1" t="s">
        <v>2841</v>
      </c>
    </row>
    <row r="1267" spans="1:14" x14ac:dyDescent="0.15">
      <c r="A1267" s="1">
        <v>211</v>
      </c>
      <c r="B1267" s="1" t="s">
        <v>2856</v>
      </c>
      <c r="C1267" s="1" t="s">
        <v>2859</v>
      </c>
      <c r="D1267" s="1" t="s">
        <v>2860</v>
      </c>
      <c r="E1267" s="1" t="s">
        <v>2859</v>
      </c>
      <c r="F1267" s="1" t="s">
        <v>2860</v>
      </c>
      <c r="G1267" s="1" t="s">
        <v>2861</v>
      </c>
      <c r="H1267" s="1" t="s">
        <v>2860</v>
      </c>
      <c r="I1267" s="1" t="s">
        <v>15665</v>
      </c>
      <c r="J1267" s="1" t="s">
        <v>5964</v>
      </c>
      <c r="K1267" s="1">
        <v>9</v>
      </c>
      <c r="L1267" s="1" t="s">
        <v>4199</v>
      </c>
      <c r="M1267" s="1">
        <v>12</v>
      </c>
      <c r="N1267" s="1" t="s">
        <v>2841</v>
      </c>
    </row>
    <row r="1268" spans="1:14" x14ac:dyDescent="0.15">
      <c r="A1268" s="1">
        <v>211</v>
      </c>
      <c r="B1268" s="1" t="s">
        <v>2856</v>
      </c>
      <c r="C1268" s="1" t="s">
        <v>2859</v>
      </c>
      <c r="D1268" s="1" t="s">
        <v>2860</v>
      </c>
      <c r="E1268" s="1" t="s">
        <v>2859</v>
      </c>
      <c r="F1268" s="1" t="s">
        <v>2860</v>
      </c>
      <c r="G1268" s="1" t="s">
        <v>2861</v>
      </c>
      <c r="H1268" s="1" t="s">
        <v>2860</v>
      </c>
      <c r="I1268" s="1" t="s">
        <v>9685</v>
      </c>
      <c r="J1268" s="1" t="s">
        <v>2855</v>
      </c>
      <c r="K1268" s="1">
        <v>9</v>
      </c>
      <c r="L1268" s="1" t="s">
        <v>4199</v>
      </c>
      <c r="M1268" s="1">
        <v>12</v>
      </c>
      <c r="N1268" s="1" t="s">
        <v>2841</v>
      </c>
    </row>
    <row r="1269" spans="1:14" x14ac:dyDescent="0.15">
      <c r="A1269" s="1">
        <v>211</v>
      </c>
      <c r="B1269" s="1" t="s">
        <v>2856</v>
      </c>
      <c r="C1269" s="1" t="s">
        <v>2862</v>
      </c>
      <c r="D1269" s="1" t="s">
        <v>2863</v>
      </c>
      <c r="E1269" s="1" t="s">
        <v>2862</v>
      </c>
      <c r="F1269" s="1" t="s">
        <v>2863</v>
      </c>
      <c r="G1269" s="1" t="s">
        <v>2864</v>
      </c>
      <c r="H1269" s="1" t="s">
        <v>2863</v>
      </c>
      <c r="I1269" s="1" t="s">
        <v>15656</v>
      </c>
      <c r="J1269" s="1" t="s">
        <v>2842</v>
      </c>
      <c r="K1269" s="1">
        <v>9</v>
      </c>
      <c r="L1269" s="1" t="s">
        <v>4199</v>
      </c>
      <c r="M1269" s="1">
        <v>10</v>
      </c>
      <c r="N1269" s="1" t="s">
        <v>4237</v>
      </c>
    </row>
    <row r="1270" spans="1:14" x14ac:dyDescent="0.15">
      <c r="A1270" s="1">
        <v>211</v>
      </c>
      <c r="B1270" s="1" t="s">
        <v>2856</v>
      </c>
      <c r="C1270" s="1" t="s">
        <v>2862</v>
      </c>
      <c r="D1270" s="1" t="s">
        <v>2863</v>
      </c>
      <c r="E1270" s="1" t="s">
        <v>2862</v>
      </c>
      <c r="F1270" s="1" t="s">
        <v>2863</v>
      </c>
      <c r="G1270" s="1" t="s">
        <v>2864</v>
      </c>
      <c r="H1270" s="1" t="s">
        <v>2863</v>
      </c>
      <c r="I1270" s="1" t="s">
        <v>15665</v>
      </c>
      <c r="J1270" s="1" t="s">
        <v>5964</v>
      </c>
      <c r="K1270" s="1">
        <v>9</v>
      </c>
      <c r="L1270" s="1" t="s">
        <v>4199</v>
      </c>
      <c r="M1270" s="1">
        <v>10</v>
      </c>
      <c r="N1270" s="1" t="s">
        <v>4237</v>
      </c>
    </row>
    <row r="1271" spans="1:14" x14ac:dyDescent="0.15">
      <c r="A1271" s="1">
        <v>211</v>
      </c>
      <c r="B1271" s="1" t="s">
        <v>2856</v>
      </c>
      <c r="C1271" s="1" t="s">
        <v>2862</v>
      </c>
      <c r="D1271" s="1" t="s">
        <v>2863</v>
      </c>
      <c r="E1271" s="1" t="s">
        <v>2862</v>
      </c>
      <c r="F1271" s="1" t="s">
        <v>2863</v>
      </c>
      <c r="G1271" s="1" t="s">
        <v>2864</v>
      </c>
      <c r="H1271" s="1" t="s">
        <v>2863</v>
      </c>
      <c r="I1271" s="1" t="s">
        <v>9685</v>
      </c>
      <c r="J1271" s="1" t="s">
        <v>2855</v>
      </c>
      <c r="K1271" s="1">
        <v>9</v>
      </c>
      <c r="L1271" s="1" t="s">
        <v>4199</v>
      </c>
      <c r="M1271" s="1">
        <v>10</v>
      </c>
      <c r="N1271" s="1" t="s">
        <v>4237</v>
      </c>
    </row>
    <row r="1272" spans="1:14" x14ac:dyDescent="0.15">
      <c r="A1272" s="1">
        <v>211</v>
      </c>
      <c r="B1272" s="1" t="s">
        <v>2856</v>
      </c>
      <c r="C1272" s="1" t="s">
        <v>2865</v>
      </c>
      <c r="D1272" s="1" t="s">
        <v>2866</v>
      </c>
      <c r="E1272" s="1" t="s">
        <v>2865</v>
      </c>
      <c r="F1272" s="1" t="s">
        <v>2866</v>
      </c>
      <c r="G1272" s="1" t="s">
        <v>2867</v>
      </c>
      <c r="H1272" s="1" t="s">
        <v>2866</v>
      </c>
      <c r="I1272" s="1" t="s">
        <v>15656</v>
      </c>
      <c r="J1272" s="1" t="s">
        <v>2842</v>
      </c>
      <c r="K1272" s="1">
        <v>9</v>
      </c>
      <c r="L1272" s="1" t="s">
        <v>4199</v>
      </c>
      <c r="M1272" s="1">
        <v>12</v>
      </c>
      <c r="N1272" s="1" t="s">
        <v>2841</v>
      </c>
    </row>
    <row r="1273" spans="1:14" x14ac:dyDescent="0.15">
      <c r="A1273" s="1">
        <v>211</v>
      </c>
      <c r="B1273" s="1" t="s">
        <v>2856</v>
      </c>
      <c r="C1273" s="1" t="s">
        <v>2865</v>
      </c>
      <c r="D1273" s="1" t="s">
        <v>2866</v>
      </c>
      <c r="E1273" s="1" t="s">
        <v>2865</v>
      </c>
      <c r="F1273" s="1" t="s">
        <v>2866</v>
      </c>
      <c r="G1273" s="1" t="s">
        <v>2867</v>
      </c>
      <c r="H1273" s="1" t="s">
        <v>2866</v>
      </c>
      <c r="I1273" s="1" t="s">
        <v>15665</v>
      </c>
      <c r="J1273" s="1" t="s">
        <v>5964</v>
      </c>
      <c r="K1273" s="1">
        <v>9</v>
      </c>
      <c r="L1273" s="1" t="s">
        <v>4199</v>
      </c>
      <c r="M1273" s="1">
        <v>12</v>
      </c>
      <c r="N1273" s="1" t="s">
        <v>2841</v>
      </c>
    </row>
    <row r="1274" spans="1:14" x14ac:dyDescent="0.15">
      <c r="A1274" s="1">
        <v>211</v>
      </c>
      <c r="B1274" s="1" t="s">
        <v>2856</v>
      </c>
      <c r="C1274" s="1" t="s">
        <v>2865</v>
      </c>
      <c r="D1274" s="1" t="s">
        <v>2866</v>
      </c>
      <c r="E1274" s="1" t="s">
        <v>2865</v>
      </c>
      <c r="F1274" s="1" t="s">
        <v>2866</v>
      </c>
      <c r="G1274" s="1" t="s">
        <v>2867</v>
      </c>
      <c r="H1274" s="1" t="s">
        <v>2866</v>
      </c>
      <c r="I1274" s="1" t="s">
        <v>9685</v>
      </c>
      <c r="J1274" s="1" t="s">
        <v>2855</v>
      </c>
      <c r="K1274" s="1">
        <v>9</v>
      </c>
      <c r="L1274" s="1" t="s">
        <v>4199</v>
      </c>
      <c r="M1274" s="1">
        <v>12</v>
      </c>
      <c r="N1274" s="1" t="s">
        <v>2841</v>
      </c>
    </row>
    <row r="1275" spans="1:14" x14ac:dyDescent="0.15">
      <c r="A1275" s="1">
        <v>214</v>
      </c>
      <c r="B1275" s="1" t="s">
        <v>2868</v>
      </c>
      <c r="C1275" s="1" t="s">
        <v>2869</v>
      </c>
      <c r="D1275" s="1" t="s">
        <v>2868</v>
      </c>
      <c r="E1275" s="1" t="s">
        <v>2869</v>
      </c>
      <c r="F1275" s="1" t="s">
        <v>2868</v>
      </c>
      <c r="G1275" s="1" t="s">
        <v>2870</v>
      </c>
      <c r="H1275" s="1" t="s">
        <v>2868</v>
      </c>
      <c r="I1275" s="1" t="s">
        <v>9673</v>
      </c>
      <c r="J1275" s="1" t="s">
        <v>5965</v>
      </c>
      <c r="K1275" s="1">
        <v>9</v>
      </c>
      <c r="L1275" s="1" t="s">
        <v>4199</v>
      </c>
      <c r="M1275" s="1">
        <v>12</v>
      </c>
      <c r="N1275" s="1" t="s">
        <v>2841</v>
      </c>
    </row>
    <row r="1276" spans="1:14" x14ac:dyDescent="0.15">
      <c r="A1276" s="1">
        <v>215</v>
      </c>
      <c r="B1276" s="1" t="s">
        <v>2871</v>
      </c>
      <c r="C1276" s="1" t="s">
        <v>2872</v>
      </c>
      <c r="D1276" s="1" t="s">
        <v>2871</v>
      </c>
      <c r="E1276" s="1" t="s">
        <v>2872</v>
      </c>
      <c r="F1276" s="1" t="s">
        <v>2871</v>
      </c>
      <c r="G1276" s="1" t="s">
        <v>2873</v>
      </c>
      <c r="H1276" s="1" t="s">
        <v>2871</v>
      </c>
      <c r="I1276" s="1" t="s">
        <v>11879</v>
      </c>
      <c r="J1276" s="1" t="s">
        <v>4278</v>
      </c>
      <c r="K1276" s="1">
        <v>9</v>
      </c>
      <c r="L1276" s="1" t="s">
        <v>4199</v>
      </c>
      <c r="M1276" s="1">
        <v>12</v>
      </c>
      <c r="N1276" s="1" t="s">
        <v>2841</v>
      </c>
    </row>
    <row r="1277" spans="1:14" x14ac:dyDescent="0.15">
      <c r="A1277" s="1">
        <v>215</v>
      </c>
      <c r="B1277" s="1" t="s">
        <v>2871</v>
      </c>
      <c r="C1277" s="1" t="s">
        <v>2874</v>
      </c>
      <c r="D1277" s="1" t="s">
        <v>2875</v>
      </c>
      <c r="E1277" s="1" t="s">
        <v>2874</v>
      </c>
      <c r="F1277" s="1" t="s">
        <v>2875</v>
      </c>
      <c r="G1277" s="1" t="s">
        <v>2876</v>
      </c>
      <c r="H1277" s="1" t="s">
        <v>2875</v>
      </c>
      <c r="I1277" s="1" t="s">
        <v>9676</v>
      </c>
      <c r="J1277" s="1" t="s">
        <v>5258</v>
      </c>
      <c r="K1277" s="1">
        <v>9</v>
      </c>
      <c r="L1277" s="1" t="s">
        <v>4199</v>
      </c>
      <c r="M1277" s="1">
        <v>12</v>
      </c>
      <c r="N1277" s="1" t="s">
        <v>2841</v>
      </c>
    </row>
    <row r="1278" spans="1:14" x14ac:dyDescent="0.15">
      <c r="A1278" s="1">
        <v>215</v>
      </c>
      <c r="B1278" s="1" t="s">
        <v>2871</v>
      </c>
      <c r="C1278" s="1" t="s">
        <v>2877</v>
      </c>
      <c r="D1278" s="1" t="s">
        <v>2878</v>
      </c>
      <c r="E1278" s="1" t="s">
        <v>2877</v>
      </c>
      <c r="F1278" s="1" t="s">
        <v>2878</v>
      </c>
      <c r="G1278" s="1" t="s">
        <v>2879</v>
      </c>
      <c r="H1278" s="1" t="s">
        <v>2878</v>
      </c>
      <c r="I1278" s="1" t="s">
        <v>15656</v>
      </c>
      <c r="J1278" s="1" t="s">
        <v>2842</v>
      </c>
      <c r="K1278" s="1">
        <v>9</v>
      </c>
      <c r="L1278" s="1" t="s">
        <v>4199</v>
      </c>
      <c r="M1278" s="1">
        <v>12</v>
      </c>
      <c r="N1278" s="1" t="s">
        <v>2841</v>
      </c>
    </row>
    <row r="1279" spans="1:14" x14ac:dyDescent="0.15">
      <c r="A1279" s="1">
        <v>215</v>
      </c>
      <c r="B1279" s="1" t="s">
        <v>2871</v>
      </c>
      <c r="C1279" s="1" t="s">
        <v>2877</v>
      </c>
      <c r="D1279" s="1" t="s">
        <v>2878</v>
      </c>
      <c r="E1279" s="1" t="s">
        <v>2877</v>
      </c>
      <c r="F1279" s="1" t="s">
        <v>2878</v>
      </c>
      <c r="G1279" s="1" t="s">
        <v>2879</v>
      </c>
      <c r="H1279" s="1" t="s">
        <v>2878</v>
      </c>
      <c r="I1279" s="1" t="s">
        <v>15665</v>
      </c>
      <c r="J1279" s="1" t="s">
        <v>5964</v>
      </c>
      <c r="K1279" s="1">
        <v>9</v>
      </c>
      <c r="L1279" s="1" t="s">
        <v>4199</v>
      </c>
      <c r="M1279" s="1">
        <v>12</v>
      </c>
      <c r="N1279" s="1" t="s">
        <v>2841</v>
      </c>
    </row>
    <row r="1280" spans="1:14" x14ac:dyDescent="0.15">
      <c r="A1280" s="1">
        <v>215</v>
      </c>
      <c r="B1280" s="1" t="s">
        <v>2871</v>
      </c>
      <c r="C1280" s="1" t="s">
        <v>2880</v>
      </c>
      <c r="D1280" s="1" t="s">
        <v>2881</v>
      </c>
      <c r="E1280" s="1" t="s">
        <v>2880</v>
      </c>
      <c r="F1280" s="1" t="s">
        <v>2881</v>
      </c>
      <c r="G1280" s="1" t="s">
        <v>2882</v>
      </c>
      <c r="H1280" s="1" t="s">
        <v>2881</v>
      </c>
      <c r="I1280" s="1" t="s">
        <v>9673</v>
      </c>
      <c r="J1280" s="1" t="s">
        <v>5965</v>
      </c>
      <c r="K1280" s="1">
        <v>5</v>
      </c>
      <c r="L1280" s="1" t="s">
        <v>4206</v>
      </c>
      <c r="M1280" s="1">
        <v>4</v>
      </c>
      <c r="N1280" s="1" t="s">
        <v>4207</v>
      </c>
    </row>
    <row r="1281" spans="1:14" x14ac:dyDescent="0.15">
      <c r="A1281" s="1">
        <v>215</v>
      </c>
      <c r="B1281" s="1" t="s">
        <v>2871</v>
      </c>
      <c r="C1281" s="1" t="s">
        <v>2883</v>
      </c>
      <c r="D1281" s="1" t="s">
        <v>2884</v>
      </c>
      <c r="E1281" s="1" t="s">
        <v>2883</v>
      </c>
      <c r="F1281" s="1" t="s">
        <v>2884</v>
      </c>
      <c r="G1281" s="1" t="s">
        <v>2885</v>
      </c>
      <c r="H1281" s="1" t="s">
        <v>2884</v>
      </c>
      <c r="I1281" s="1" t="s">
        <v>9673</v>
      </c>
      <c r="J1281" s="1" t="s">
        <v>5965</v>
      </c>
      <c r="K1281" s="1">
        <v>5</v>
      </c>
      <c r="L1281" s="1" t="s">
        <v>4206</v>
      </c>
      <c r="M1281" s="1">
        <v>4</v>
      </c>
      <c r="N1281" s="1" t="s">
        <v>4207</v>
      </c>
    </row>
    <row r="1282" spans="1:14" x14ac:dyDescent="0.15">
      <c r="A1282" s="1">
        <v>220</v>
      </c>
      <c r="B1282" s="1" t="s">
        <v>2886</v>
      </c>
      <c r="C1282" s="1" t="s">
        <v>2887</v>
      </c>
      <c r="D1282" s="1" t="s">
        <v>2886</v>
      </c>
      <c r="E1282" s="1" t="s">
        <v>2887</v>
      </c>
      <c r="F1282" s="1" t="s">
        <v>2886</v>
      </c>
      <c r="G1282" s="1" t="s">
        <v>2888</v>
      </c>
      <c r="H1282" s="1" t="s">
        <v>2886</v>
      </c>
      <c r="I1282" s="1" t="s">
        <v>11879</v>
      </c>
      <c r="J1282" s="1" t="s">
        <v>4278</v>
      </c>
      <c r="K1282" s="1">
        <v>4</v>
      </c>
      <c r="L1282" s="1" t="s">
        <v>4342</v>
      </c>
      <c r="M1282" s="1">
        <v>5</v>
      </c>
      <c r="N1282" s="1" t="s">
        <v>4342</v>
      </c>
    </row>
    <row r="1283" spans="1:14" x14ac:dyDescent="0.15">
      <c r="A1283" s="1">
        <v>220</v>
      </c>
      <c r="B1283" s="1" t="s">
        <v>2886</v>
      </c>
      <c r="C1283" s="1" t="s">
        <v>2889</v>
      </c>
      <c r="D1283" s="1" t="s">
        <v>2890</v>
      </c>
      <c r="E1283" s="1" t="s">
        <v>2889</v>
      </c>
      <c r="F1283" s="1" t="s">
        <v>2890</v>
      </c>
      <c r="G1283" s="1" t="s">
        <v>2891</v>
      </c>
      <c r="H1283" s="1" t="s">
        <v>2890</v>
      </c>
      <c r="I1283" s="1" t="s">
        <v>16535</v>
      </c>
      <c r="J1283" s="1" t="s">
        <v>6828</v>
      </c>
      <c r="K1283" s="1">
        <v>4</v>
      </c>
      <c r="L1283" s="1" t="s">
        <v>4342</v>
      </c>
      <c r="M1283" s="1">
        <v>5</v>
      </c>
      <c r="N1283" s="1" t="s">
        <v>4342</v>
      </c>
    </row>
    <row r="1284" spans="1:14" x14ac:dyDescent="0.15">
      <c r="A1284" s="1">
        <v>220</v>
      </c>
      <c r="B1284" s="1" t="s">
        <v>2886</v>
      </c>
      <c r="C1284" s="1" t="s">
        <v>2889</v>
      </c>
      <c r="D1284" s="1" t="s">
        <v>2890</v>
      </c>
      <c r="E1284" s="1" t="s">
        <v>2889</v>
      </c>
      <c r="F1284" s="1" t="s">
        <v>2890</v>
      </c>
      <c r="G1284" s="1" t="s">
        <v>2891</v>
      </c>
      <c r="H1284" s="1" t="s">
        <v>2890</v>
      </c>
      <c r="I1284" s="1" t="s">
        <v>12722</v>
      </c>
      <c r="J1284" s="1" t="s">
        <v>4448</v>
      </c>
      <c r="K1284" s="1">
        <v>4</v>
      </c>
      <c r="L1284" s="1" t="s">
        <v>4342</v>
      </c>
      <c r="M1284" s="1">
        <v>5</v>
      </c>
      <c r="N1284" s="1" t="s">
        <v>4342</v>
      </c>
    </row>
    <row r="1285" spans="1:14" x14ac:dyDescent="0.15">
      <c r="A1285" s="1">
        <v>220</v>
      </c>
      <c r="B1285" s="1" t="s">
        <v>2886</v>
      </c>
      <c r="C1285" s="1" t="s">
        <v>2889</v>
      </c>
      <c r="D1285" s="1" t="s">
        <v>2890</v>
      </c>
      <c r="E1285" s="1" t="s">
        <v>2889</v>
      </c>
      <c r="F1285" s="1" t="s">
        <v>2890</v>
      </c>
      <c r="G1285" s="1" t="s">
        <v>2891</v>
      </c>
      <c r="H1285" s="1" t="s">
        <v>2890</v>
      </c>
      <c r="I1285" s="1" t="s">
        <v>12730</v>
      </c>
      <c r="J1285" s="1" t="s">
        <v>4195</v>
      </c>
      <c r="K1285" s="1">
        <v>4</v>
      </c>
      <c r="L1285" s="1" t="s">
        <v>4342</v>
      </c>
      <c r="M1285" s="1">
        <v>5</v>
      </c>
      <c r="N1285" s="1" t="s">
        <v>4342</v>
      </c>
    </row>
    <row r="1286" spans="1:14" x14ac:dyDescent="0.15">
      <c r="A1286" s="1">
        <v>220</v>
      </c>
      <c r="B1286" s="1" t="s">
        <v>2886</v>
      </c>
      <c r="C1286" s="1" t="s">
        <v>2889</v>
      </c>
      <c r="D1286" s="1" t="s">
        <v>2890</v>
      </c>
      <c r="E1286" s="1" t="s">
        <v>2889</v>
      </c>
      <c r="F1286" s="1" t="s">
        <v>2890</v>
      </c>
      <c r="G1286" s="1" t="s">
        <v>2891</v>
      </c>
      <c r="H1286" s="1" t="s">
        <v>2890</v>
      </c>
      <c r="I1286" s="1" t="s">
        <v>12734</v>
      </c>
      <c r="J1286" s="1" t="s">
        <v>4260</v>
      </c>
      <c r="K1286" s="1">
        <v>4</v>
      </c>
      <c r="L1286" s="1" t="s">
        <v>4342</v>
      </c>
      <c r="M1286" s="1">
        <v>5</v>
      </c>
      <c r="N1286" s="1" t="s">
        <v>4342</v>
      </c>
    </row>
    <row r="1287" spans="1:14" x14ac:dyDescent="0.15">
      <c r="A1287" s="1">
        <v>220</v>
      </c>
      <c r="B1287" s="1" t="s">
        <v>2886</v>
      </c>
      <c r="C1287" s="1" t="s">
        <v>2889</v>
      </c>
      <c r="D1287" s="1" t="s">
        <v>2890</v>
      </c>
      <c r="E1287" s="1" t="s">
        <v>2889</v>
      </c>
      <c r="F1287" s="1" t="s">
        <v>2890</v>
      </c>
      <c r="G1287" s="1" t="s">
        <v>2891</v>
      </c>
      <c r="H1287" s="1" t="s">
        <v>2890</v>
      </c>
      <c r="I1287" s="1" t="s">
        <v>12738</v>
      </c>
      <c r="J1287" s="1" t="s">
        <v>12739</v>
      </c>
      <c r="K1287" s="1">
        <v>4</v>
      </c>
      <c r="L1287" s="1" t="s">
        <v>4342</v>
      </c>
      <c r="M1287" s="1">
        <v>5</v>
      </c>
      <c r="N1287" s="1" t="s">
        <v>4342</v>
      </c>
    </row>
    <row r="1288" spans="1:14" x14ac:dyDescent="0.15">
      <c r="A1288" s="1">
        <v>220</v>
      </c>
      <c r="B1288" s="1" t="s">
        <v>2886</v>
      </c>
      <c r="C1288" s="1" t="s">
        <v>2889</v>
      </c>
      <c r="D1288" s="1" t="s">
        <v>2890</v>
      </c>
      <c r="E1288" s="1" t="s">
        <v>2889</v>
      </c>
      <c r="F1288" s="1" t="s">
        <v>2890</v>
      </c>
      <c r="G1288" s="1" t="s">
        <v>2891</v>
      </c>
      <c r="H1288" s="1" t="s">
        <v>2890</v>
      </c>
      <c r="I1288" s="1" t="s">
        <v>12746</v>
      </c>
      <c r="J1288" s="1" t="s">
        <v>12747</v>
      </c>
      <c r="K1288" s="1">
        <v>4</v>
      </c>
      <c r="L1288" s="1" t="s">
        <v>4342</v>
      </c>
      <c r="M1288" s="1">
        <v>5</v>
      </c>
      <c r="N1288" s="1" t="s">
        <v>4342</v>
      </c>
    </row>
    <row r="1289" spans="1:14" x14ac:dyDescent="0.15">
      <c r="A1289" s="1">
        <v>220</v>
      </c>
      <c r="B1289" s="1" t="s">
        <v>2886</v>
      </c>
      <c r="C1289" s="1" t="s">
        <v>2889</v>
      </c>
      <c r="D1289" s="1" t="s">
        <v>2890</v>
      </c>
      <c r="E1289" s="1" t="s">
        <v>2889</v>
      </c>
      <c r="F1289" s="1" t="s">
        <v>2890</v>
      </c>
      <c r="G1289" s="1" t="s">
        <v>2891</v>
      </c>
      <c r="H1289" s="1" t="s">
        <v>2890</v>
      </c>
      <c r="I1289" s="1" t="s">
        <v>12762</v>
      </c>
      <c r="J1289" s="1" t="s">
        <v>12759</v>
      </c>
      <c r="K1289" s="1">
        <v>4</v>
      </c>
      <c r="L1289" s="1" t="s">
        <v>4342</v>
      </c>
      <c r="M1289" s="1">
        <v>5</v>
      </c>
      <c r="N1289" s="1" t="s">
        <v>4342</v>
      </c>
    </row>
    <row r="1290" spans="1:14" x14ac:dyDescent="0.15">
      <c r="A1290" s="1">
        <v>220</v>
      </c>
      <c r="B1290" s="1" t="s">
        <v>2886</v>
      </c>
      <c r="C1290" s="1" t="s">
        <v>2889</v>
      </c>
      <c r="D1290" s="1" t="s">
        <v>2890</v>
      </c>
      <c r="E1290" s="1" t="s">
        <v>2889</v>
      </c>
      <c r="F1290" s="1" t="s">
        <v>2890</v>
      </c>
      <c r="G1290" s="1" t="s">
        <v>2891</v>
      </c>
      <c r="H1290" s="1" t="s">
        <v>2890</v>
      </c>
      <c r="I1290" s="1" t="s">
        <v>12817</v>
      </c>
      <c r="J1290" s="1" t="s">
        <v>5267</v>
      </c>
      <c r="K1290" s="1">
        <v>4</v>
      </c>
      <c r="L1290" s="1" t="s">
        <v>4342</v>
      </c>
      <c r="M1290" s="1">
        <v>5</v>
      </c>
      <c r="N1290" s="1" t="s">
        <v>4342</v>
      </c>
    </row>
    <row r="1291" spans="1:14" x14ac:dyDescent="0.15">
      <c r="A1291" s="1">
        <v>220</v>
      </c>
      <c r="B1291" s="1" t="s">
        <v>2886</v>
      </c>
      <c r="C1291" s="1" t="s">
        <v>2889</v>
      </c>
      <c r="D1291" s="1" t="s">
        <v>2890</v>
      </c>
      <c r="E1291" s="1" t="s">
        <v>2889</v>
      </c>
      <c r="F1291" s="1" t="s">
        <v>2890</v>
      </c>
      <c r="G1291" s="1" t="s">
        <v>2891</v>
      </c>
      <c r="H1291" s="1" t="s">
        <v>2890</v>
      </c>
      <c r="I1291" s="1" t="s">
        <v>12831</v>
      </c>
      <c r="J1291" s="1" t="s">
        <v>5271</v>
      </c>
      <c r="K1291" s="1">
        <v>4</v>
      </c>
      <c r="L1291" s="1" t="s">
        <v>4342</v>
      </c>
      <c r="M1291" s="1">
        <v>5</v>
      </c>
      <c r="N1291" s="1" t="s">
        <v>4342</v>
      </c>
    </row>
    <row r="1292" spans="1:14" x14ac:dyDescent="0.15">
      <c r="A1292" s="1">
        <v>220</v>
      </c>
      <c r="B1292" s="1" t="s">
        <v>2886</v>
      </c>
      <c r="C1292" s="1" t="s">
        <v>2889</v>
      </c>
      <c r="D1292" s="1" t="s">
        <v>2890</v>
      </c>
      <c r="E1292" s="1" t="s">
        <v>2889</v>
      </c>
      <c r="F1292" s="1" t="s">
        <v>2890</v>
      </c>
      <c r="G1292" s="1" t="s">
        <v>2891</v>
      </c>
      <c r="H1292" s="1" t="s">
        <v>2890</v>
      </c>
      <c r="I1292" s="1" t="s">
        <v>12835</v>
      </c>
      <c r="J1292" s="1" t="s">
        <v>4457</v>
      </c>
      <c r="K1292" s="1">
        <v>4</v>
      </c>
      <c r="L1292" s="1" t="s">
        <v>4342</v>
      </c>
      <c r="M1292" s="1">
        <v>5</v>
      </c>
      <c r="N1292" s="1" t="s">
        <v>4342</v>
      </c>
    </row>
    <row r="1293" spans="1:14" x14ac:dyDescent="0.15">
      <c r="A1293" s="1">
        <v>220</v>
      </c>
      <c r="B1293" s="1" t="s">
        <v>2886</v>
      </c>
      <c r="C1293" s="1" t="s">
        <v>2889</v>
      </c>
      <c r="D1293" s="1" t="s">
        <v>2890</v>
      </c>
      <c r="E1293" s="1" t="s">
        <v>2889</v>
      </c>
      <c r="F1293" s="1" t="s">
        <v>2890</v>
      </c>
      <c r="G1293" s="1" t="s">
        <v>2891</v>
      </c>
      <c r="H1293" s="1" t="s">
        <v>2890</v>
      </c>
      <c r="I1293" s="1" t="s">
        <v>12847</v>
      </c>
      <c r="J1293" s="1" t="s">
        <v>12848</v>
      </c>
      <c r="K1293" s="1">
        <v>4</v>
      </c>
      <c r="L1293" s="1" t="s">
        <v>4342</v>
      </c>
      <c r="M1293" s="1">
        <v>5</v>
      </c>
      <c r="N1293" s="1" t="s">
        <v>4342</v>
      </c>
    </row>
    <row r="1294" spans="1:14" x14ac:dyDescent="0.15">
      <c r="A1294" s="1">
        <v>220</v>
      </c>
      <c r="B1294" s="1" t="s">
        <v>2886</v>
      </c>
      <c r="C1294" s="1" t="s">
        <v>2889</v>
      </c>
      <c r="D1294" s="1" t="s">
        <v>2890</v>
      </c>
      <c r="E1294" s="1" t="s">
        <v>2889</v>
      </c>
      <c r="F1294" s="1" t="s">
        <v>2890</v>
      </c>
      <c r="G1294" s="1" t="s">
        <v>2891</v>
      </c>
      <c r="H1294" s="1" t="s">
        <v>2890</v>
      </c>
      <c r="I1294" s="1" t="s">
        <v>12859</v>
      </c>
      <c r="J1294" s="1" t="s">
        <v>4574</v>
      </c>
      <c r="K1294" s="1">
        <v>4</v>
      </c>
      <c r="L1294" s="1" t="s">
        <v>4342</v>
      </c>
      <c r="M1294" s="1">
        <v>5</v>
      </c>
      <c r="N1294" s="1" t="s">
        <v>4342</v>
      </c>
    </row>
    <row r="1295" spans="1:14" x14ac:dyDescent="0.15">
      <c r="A1295" s="1">
        <v>220</v>
      </c>
      <c r="B1295" s="1" t="s">
        <v>2886</v>
      </c>
      <c r="C1295" s="1" t="s">
        <v>2889</v>
      </c>
      <c r="D1295" s="1" t="s">
        <v>2890</v>
      </c>
      <c r="E1295" s="1" t="s">
        <v>2889</v>
      </c>
      <c r="F1295" s="1" t="s">
        <v>2890</v>
      </c>
      <c r="G1295" s="1" t="s">
        <v>2891</v>
      </c>
      <c r="H1295" s="1" t="s">
        <v>2890</v>
      </c>
      <c r="I1295" s="1" t="s">
        <v>12867</v>
      </c>
      <c r="J1295" s="1" t="s">
        <v>12868</v>
      </c>
      <c r="K1295" s="1">
        <v>4</v>
      </c>
      <c r="L1295" s="1" t="s">
        <v>4342</v>
      </c>
      <c r="M1295" s="1">
        <v>5</v>
      </c>
      <c r="N1295" s="1" t="s">
        <v>4342</v>
      </c>
    </row>
    <row r="1296" spans="1:14" x14ac:dyDescent="0.15">
      <c r="A1296" s="1">
        <v>220</v>
      </c>
      <c r="B1296" s="1" t="s">
        <v>2886</v>
      </c>
      <c r="C1296" s="1" t="s">
        <v>2889</v>
      </c>
      <c r="D1296" s="1" t="s">
        <v>2890</v>
      </c>
      <c r="E1296" s="1" t="s">
        <v>2889</v>
      </c>
      <c r="F1296" s="1" t="s">
        <v>2890</v>
      </c>
      <c r="G1296" s="1" t="s">
        <v>2891</v>
      </c>
      <c r="H1296" s="1" t="s">
        <v>2890</v>
      </c>
      <c r="I1296" s="1" t="s">
        <v>12871</v>
      </c>
      <c r="J1296" s="1" t="s">
        <v>12872</v>
      </c>
      <c r="K1296" s="1">
        <v>4</v>
      </c>
      <c r="L1296" s="1" t="s">
        <v>4342</v>
      </c>
      <c r="M1296" s="1">
        <v>5</v>
      </c>
      <c r="N1296" s="1" t="s">
        <v>4342</v>
      </c>
    </row>
    <row r="1297" spans="1:14" x14ac:dyDescent="0.15">
      <c r="A1297" s="1">
        <v>220</v>
      </c>
      <c r="B1297" s="1" t="s">
        <v>2886</v>
      </c>
      <c r="C1297" s="1" t="s">
        <v>2889</v>
      </c>
      <c r="D1297" s="1" t="s">
        <v>2890</v>
      </c>
      <c r="E1297" s="1" t="s">
        <v>2889</v>
      </c>
      <c r="F1297" s="1" t="s">
        <v>2890</v>
      </c>
      <c r="G1297" s="1" t="s">
        <v>2891</v>
      </c>
      <c r="H1297" s="1" t="s">
        <v>2890</v>
      </c>
      <c r="I1297" s="1" t="s">
        <v>12875</v>
      </c>
      <c r="J1297" s="1" t="s">
        <v>12876</v>
      </c>
      <c r="K1297" s="1">
        <v>4</v>
      </c>
      <c r="L1297" s="1" t="s">
        <v>4342</v>
      </c>
      <c r="M1297" s="1">
        <v>5</v>
      </c>
      <c r="N1297" s="1" t="s">
        <v>4342</v>
      </c>
    </row>
    <row r="1298" spans="1:14" x14ac:dyDescent="0.15">
      <c r="A1298" s="1">
        <v>220</v>
      </c>
      <c r="B1298" s="1" t="s">
        <v>2886</v>
      </c>
      <c r="C1298" s="1" t="s">
        <v>2889</v>
      </c>
      <c r="D1298" s="1" t="s">
        <v>2890</v>
      </c>
      <c r="E1298" s="1" t="s">
        <v>2889</v>
      </c>
      <c r="F1298" s="1" t="s">
        <v>2890</v>
      </c>
      <c r="G1298" s="1" t="s">
        <v>2891</v>
      </c>
      <c r="H1298" s="1" t="s">
        <v>2890</v>
      </c>
      <c r="I1298" s="1" t="s">
        <v>12907</v>
      </c>
      <c r="J1298" s="1" t="s">
        <v>5294</v>
      </c>
      <c r="K1298" s="1">
        <v>4</v>
      </c>
      <c r="L1298" s="1" t="s">
        <v>4342</v>
      </c>
      <c r="M1298" s="1">
        <v>5</v>
      </c>
      <c r="N1298" s="1" t="s">
        <v>4342</v>
      </c>
    </row>
    <row r="1299" spans="1:14" x14ac:dyDescent="0.15">
      <c r="A1299" s="1">
        <v>220</v>
      </c>
      <c r="B1299" s="1" t="s">
        <v>2886</v>
      </c>
      <c r="C1299" s="1" t="s">
        <v>2889</v>
      </c>
      <c r="D1299" s="1" t="s">
        <v>2890</v>
      </c>
      <c r="E1299" s="1" t="s">
        <v>2889</v>
      </c>
      <c r="F1299" s="1" t="s">
        <v>2890</v>
      </c>
      <c r="G1299" s="1" t="s">
        <v>2891</v>
      </c>
      <c r="H1299" s="1" t="s">
        <v>2890</v>
      </c>
      <c r="I1299" s="1" t="s">
        <v>12910</v>
      </c>
      <c r="J1299" s="1" t="s">
        <v>4287</v>
      </c>
      <c r="K1299" s="1">
        <v>4</v>
      </c>
      <c r="L1299" s="1" t="s">
        <v>4342</v>
      </c>
      <c r="M1299" s="1">
        <v>5</v>
      </c>
      <c r="N1299" s="1" t="s">
        <v>4342</v>
      </c>
    </row>
    <row r="1300" spans="1:14" x14ac:dyDescent="0.15">
      <c r="A1300" s="1">
        <v>220</v>
      </c>
      <c r="B1300" s="1" t="s">
        <v>2886</v>
      </c>
      <c r="C1300" s="1" t="s">
        <v>2889</v>
      </c>
      <c r="D1300" s="1" t="s">
        <v>2890</v>
      </c>
      <c r="E1300" s="1" t="s">
        <v>2889</v>
      </c>
      <c r="F1300" s="1" t="s">
        <v>2890</v>
      </c>
      <c r="G1300" s="1" t="s">
        <v>2891</v>
      </c>
      <c r="H1300" s="1" t="s">
        <v>2890</v>
      </c>
      <c r="I1300" s="1" t="s">
        <v>12914</v>
      </c>
      <c r="J1300" s="1" t="s">
        <v>12915</v>
      </c>
      <c r="K1300" s="1">
        <v>4</v>
      </c>
      <c r="L1300" s="1" t="s">
        <v>4342</v>
      </c>
      <c r="M1300" s="1">
        <v>5</v>
      </c>
      <c r="N1300" s="1" t="s">
        <v>4342</v>
      </c>
    </row>
    <row r="1301" spans="1:14" x14ac:dyDescent="0.15">
      <c r="A1301" s="1">
        <v>220</v>
      </c>
      <c r="B1301" s="1" t="s">
        <v>2886</v>
      </c>
      <c r="C1301" s="1" t="s">
        <v>2889</v>
      </c>
      <c r="D1301" s="1" t="s">
        <v>2890</v>
      </c>
      <c r="E1301" s="1" t="s">
        <v>2889</v>
      </c>
      <c r="F1301" s="1" t="s">
        <v>2890</v>
      </c>
      <c r="G1301" s="1" t="s">
        <v>2891</v>
      </c>
      <c r="H1301" s="1" t="s">
        <v>2890</v>
      </c>
      <c r="I1301" s="1" t="s">
        <v>12926</v>
      </c>
      <c r="J1301" s="1" t="s">
        <v>5298</v>
      </c>
      <c r="K1301" s="1">
        <v>4</v>
      </c>
      <c r="L1301" s="1" t="s">
        <v>4342</v>
      </c>
      <c r="M1301" s="1">
        <v>5</v>
      </c>
      <c r="N1301" s="1" t="s">
        <v>4342</v>
      </c>
    </row>
    <row r="1302" spans="1:14" x14ac:dyDescent="0.15">
      <c r="A1302" s="1">
        <v>220</v>
      </c>
      <c r="B1302" s="1" t="s">
        <v>2886</v>
      </c>
      <c r="C1302" s="1" t="s">
        <v>2889</v>
      </c>
      <c r="D1302" s="1" t="s">
        <v>2890</v>
      </c>
      <c r="E1302" s="1" t="s">
        <v>2889</v>
      </c>
      <c r="F1302" s="1" t="s">
        <v>2890</v>
      </c>
      <c r="G1302" s="1" t="s">
        <v>2891</v>
      </c>
      <c r="H1302" s="1" t="s">
        <v>2890</v>
      </c>
      <c r="I1302" s="1" t="s">
        <v>11777</v>
      </c>
      <c r="J1302" s="1" t="s">
        <v>5318</v>
      </c>
      <c r="K1302" s="1">
        <v>4</v>
      </c>
      <c r="L1302" s="1" t="s">
        <v>4342</v>
      </c>
      <c r="M1302" s="1">
        <v>5</v>
      </c>
      <c r="N1302" s="1" t="s">
        <v>4342</v>
      </c>
    </row>
    <row r="1303" spans="1:14" x14ac:dyDescent="0.15">
      <c r="A1303" s="1">
        <v>220</v>
      </c>
      <c r="B1303" s="1" t="s">
        <v>2886</v>
      </c>
      <c r="C1303" s="1" t="s">
        <v>2889</v>
      </c>
      <c r="D1303" s="1" t="s">
        <v>2890</v>
      </c>
      <c r="E1303" s="1" t="s">
        <v>2889</v>
      </c>
      <c r="F1303" s="1" t="s">
        <v>2890</v>
      </c>
      <c r="G1303" s="1" t="s">
        <v>2891</v>
      </c>
      <c r="H1303" s="1" t="s">
        <v>2890</v>
      </c>
      <c r="I1303" s="1" t="s">
        <v>11781</v>
      </c>
      <c r="J1303" s="1" t="s">
        <v>11782</v>
      </c>
      <c r="K1303" s="1">
        <v>4</v>
      </c>
      <c r="L1303" s="1" t="s">
        <v>4342</v>
      </c>
      <c r="M1303" s="1">
        <v>5</v>
      </c>
      <c r="N1303" s="1" t="s">
        <v>4342</v>
      </c>
    </row>
    <row r="1304" spans="1:14" x14ac:dyDescent="0.15">
      <c r="A1304" s="1">
        <v>220</v>
      </c>
      <c r="B1304" s="1" t="s">
        <v>2886</v>
      </c>
      <c r="C1304" s="1" t="s">
        <v>2889</v>
      </c>
      <c r="D1304" s="1" t="s">
        <v>2890</v>
      </c>
      <c r="E1304" s="1" t="s">
        <v>2889</v>
      </c>
      <c r="F1304" s="1" t="s">
        <v>2890</v>
      </c>
      <c r="G1304" s="1" t="s">
        <v>2891</v>
      </c>
      <c r="H1304" s="1" t="s">
        <v>2890</v>
      </c>
      <c r="I1304" s="1" t="s">
        <v>9180</v>
      </c>
      <c r="J1304" s="1" t="s">
        <v>12852</v>
      </c>
      <c r="K1304" s="1">
        <v>4</v>
      </c>
      <c r="L1304" s="1" t="s">
        <v>4342</v>
      </c>
      <c r="M1304" s="1">
        <v>5</v>
      </c>
      <c r="N1304" s="1" t="s">
        <v>4342</v>
      </c>
    </row>
    <row r="1305" spans="1:14" x14ac:dyDescent="0.15">
      <c r="A1305" s="1">
        <v>220</v>
      </c>
      <c r="B1305" s="1" t="s">
        <v>2886</v>
      </c>
      <c r="C1305" s="1" t="s">
        <v>2889</v>
      </c>
      <c r="D1305" s="1" t="s">
        <v>2890</v>
      </c>
      <c r="E1305" s="1" t="s">
        <v>2889</v>
      </c>
      <c r="F1305" s="1" t="s">
        <v>2890</v>
      </c>
      <c r="G1305" s="1" t="s">
        <v>2891</v>
      </c>
      <c r="H1305" s="1" t="s">
        <v>2890</v>
      </c>
      <c r="I1305" s="1" t="s">
        <v>11793</v>
      </c>
      <c r="J1305" s="1" t="s">
        <v>5324</v>
      </c>
      <c r="K1305" s="1">
        <v>4</v>
      </c>
      <c r="L1305" s="1" t="s">
        <v>4342</v>
      </c>
      <c r="M1305" s="1">
        <v>5</v>
      </c>
      <c r="N1305" s="1" t="s">
        <v>4342</v>
      </c>
    </row>
    <row r="1306" spans="1:14" x14ac:dyDescent="0.15">
      <c r="A1306" s="1">
        <v>220</v>
      </c>
      <c r="B1306" s="1" t="s">
        <v>2886</v>
      </c>
      <c r="C1306" s="1" t="s">
        <v>2889</v>
      </c>
      <c r="D1306" s="1" t="s">
        <v>2890</v>
      </c>
      <c r="E1306" s="1" t="s">
        <v>2889</v>
      </c>
      <c r="F1306" s="1" t="s">
        <v>2890</v>
      </c>
      <c r="G1306" s="1" t="s">
        <v>2891</v>
      </c>
      <c r="H1306" s="1" t="s">
        <v>2890</v>
      </c>
      <c r="I1306" s="1" t="s">
        <v>11797</v>
      </c>
      <c r="J1306" s="1" t="s">
        <v>11798</v>
      </c>
      <c r="K1306" s="1">
        <v>4</v>
      </c>
      <c r="L1306" s="1" t="s">
        <v>4342</v>
      </c>
      <c r="M1306" s="1">
        <v>5</v>
      </c>
      <c r="N1306" s="1" t="s">
        <v>4342</v>
      </c>
    </row>
    <row r="1307" spans="1:14" x14ac:dyDescent="0.15">
      <c r="A1307" s="1">
        <v>220</v>
      </c>
      <c r="B1307" s="1" t="s">
        <v>2886</v>
      </c>
      <c r="C1307" s="1" t="s">
        <v>2889</v>
      </c>
      <c r="D1307" s="1" t="s">
        <v>2890</v>
      </c>
      <c r="E1307" s="1" t="s">
        <v>2889</v>
      </c>
      <c r="F1307" s="1" t="s">
        <v>2890</v>
      </c>
      <c r="G1307" s="1" t="s">
        <v>2891</v>
      </c>
      <c r="H1307" s="1" t="s">
        <v>2890</v>
      </c>
      <c r="I1307" s="1" t="s">
        <v>11801</v>
      </c>
      <c r="J1307" s="1" t="s">
        <v>5325</v>
      </c>
      <c r="K1307" s="1">
        <v>4</v>
      </c>
      <c r="L1307" s="1" t="s">
        <v>4342</v>
      </c>
      <c r="M1307" s="1">
        <v>5</v>
      </c>
      <c r="N1307" s="1" t="s">
        <v>4342</v>
      </c>
    </row>
    <row r="1308" spans="1:14" x14ac:dyDescent="0.15">
      <c r="A1308" s="1">
        <v>220</v>
      </c>
      <c r="B1308" s="1" t="s">
        <v>2886</v>
      </c>
      <c r="C1308" s="1" t="s">
        <v>2889</v>
      </c>
      <c r="D1308" s="1" t="s">
        <v>2890</v>
      </c>
      <c r="E1308" s="1" t="s">
        <v>2889</v>
      </c>
      <c r="F1308" s="1" t="s">
        <v>2890</v>
      </c>
      <c r="G1308" s="1" t="s">
        <v>2891</v>
      </c>
      <c r="H1308" s="1" t="s">
        <v>2890</v>
      </c>
      <c r="I1308" s="1" t="s">
        <v>7669</v>
      </c>
      <c r="J1308" s="1" t="s">
        <v>5256</v>
      </c>
      <c r="K1308" s="1">
        <v>4</v>
      </c>
      <c r="L1308" s="1" t="s">
        <v>4342</v>
      </c>
      <c r="M1308" s="1">
        <v>5</v>
      </c>
      <c r="N1308" s="1" t="s">
        <v>4342</v>
      </c>
    </row>
    <row r="1309" spans="1:14" x14ac:dyDescent="0.15">
      <c r="A1309" s="1">
        <v>220</v>
      </c>
      <c r="B1309" s="1" t="s">
        <v>2886</v>
      </c>
      <c r="C1309" s="1" t="s">
        <v>2892</v>
      </c>
      <c r="D1309" s="1" t="s">
        <v>2893</v>
      </c>
      <c r="E1309" s="1" t="s">
        <v>2892</v>
      </c>
      <c r="F1309" s="1" t="s">
        <v>2893</v>
      </c>
      <c r="G1309" s="1" t="s">
        <v>2894</v>
      </c>
      <c r="H1309" s="1" t="s">
        <v>2893</v>
      </c>
      <c r="I1309" s="1" t="s">
        <v>17808</v>
      </c>
      <c r="J1309" s="1" t="s">
        <v>17805</v>
      </c>
      <c r="K1309" s="1">
        <v>4</v>
      </c>
      <c r="L1309" s="1" t="s">
        <v>4342</v>
      </c>
      <c r="M1309" s="1">
        <v>5</v>
      </c>
      <c r="N1309" s="1" t="s">
        <v>4342</v>
      </c>
    </row>
    <row r="1310" spans="1:14" x14ac:dyDescent="0.15">
      <c r="A1310" s="1">
        <v>220</v>
      </c>
      <c r="B1310" s="1" t="s">
        <v>2886</v>
      </c>
      <c r="C1310" s="1" t="s">
        <v>2892</v>
      </c>
      <c r="D1310" s="1" t="s">
        <v>2893</v>
      </c>
      <c r="E1310" s="1" t="s">
        <v>2892</v>
      </c>
      <c r="F1310" s="1" t="s">
        <v>2893</v>
      </c>
      <c r="G1310" s="1" t="s">
        <v>2894</v>
      </c>
      <c r="H1310" s="1" t="s">
        <v>2893</v>
      </c>
      <c r="I1310" s="1" t="s">
        <v>17090</v>
      </c>
      <c r="J1310" s="1" t="s">
        <v>17840</v>
      </c>
      <c r="K1310" s="1">
        <v>4</v>
      </c>
      <c r="L1310" s="1" t="s">
        <v>4342</v>
      </c>
      <c r="M1310" s="1">
        <v>5</v>
      </c>
      <c r="N1310" s="1" t="s">
        <v>4342</v>
      </c>
    </row>
    <row r="1311" spans="1:14" x14ac:dyDescent="0.15">
      <c r="A1311" s="1">
        <v>220</v>
      </c>
      <c r="B1311" s="1" t="s">
        <v>2886</v>
      </c>
      <c r="C1311" s="1" t="s">
        <v>2892</v>
      </c>
      <c r="D1311" s="1" t="s">
        <v>2893</v>
      </c>
      <c r="E1311" s="1" t="s">
        <v>2892</v>
      </c>
      <c r="F1311" s="1" t="s">
        <v>2893</v>
      </c>
      <c r="G1311" s="1" t="s">
        <v>2894</v>
      </c>
      <c r="H1311" s="1" t="s">
        <v>2893</v>
      </c>
      <c r="I1311" s="1" t="s">
        <v>17815</v>
      </c>
      <c r="J1311" s="1" t="s">
        <v>6754</v>
      </c>
      <c r="K1311" s="1">
        <v>4</v>
      </c>
      <c r="L1311" s="1" t="s">
        <v>4342</v>
      </c>
      <c r="M1311" s="1">
        <v>5</v>
      </c>
      <c r="N1311" s="1" t="s">
        <v>4342</v>
      </c>
    </row>
    <row r="1312" spans="1:14" x14ac:dyDescent="0.15">
      <c r="A1312" s="1">
        <v>220</v>
      </c>
      <c r="B1312" s="1" t="s">
        <v>2886</v>
      </c>
      <c r="C1312" s="1" t="s">
        <v>2892</v>
      </c>
      <c r="D1312" s="1" t="s">
        <v>2893</v>
      </c>
      <c r="E1312" s="1" t="s">
        <v>2892</v>
      </c>
      <c r="F1312" s="1" t="s">
        <v>2893</v>
      </c>
      <c r="G1312" s="1" t="s">
        <v>2894</v>
      </c>
      <c r="H1312" s="1" t="s">
        <v>2893</v>
      </c>
      <c r="I1312" s="1" t="s">
        <v>17829</v>
      </c>
      <c r="J1312" s="1" t="s">
        <v>6631</v>
      </c>
      <c r="K1312" s="1">
        <v>4</v>
      </c>
      <c r="L1312" s="1" t="s">
        <v>4342</v>
      </c>
      <c r="M1312" s="1">
        <v>5</v>
      </c>
      <c r="N1312" s="1" t="s">
        <v>4342</v>
      </c>
    </row>
    <row r="1313" spans="1:14" x14ac:dyDescent="0.15">
      <c r="A1313" s="1">
        <v>220</v>
      </c>
      <c r="B1313" s="1" t="s">
        <v>2886</v>
      </c>
      <c r="C1313" s="1" t="s">
        <v>2892</v>
      </c>
      <c r="D1313" s="1" t="s">
        <v>2893</v>
      </c>
      <c r="E1313" s="1" t="s">
        <v>2892</v>
      </c>
      <c r="F1313" s="1" t="s">
        <v>2893</v>
      </c>
      <c r="G1313" s="1" t="s">
        <v>2894</v>
      </c>
      <c r="H1313" s="1" t="s">
        <v>2893</v>
      </c>
      <c r="I1313" s="1" t="s">
        <v>17836</v>
      </c>
      <c r="J1313" s="1" t="s">
        <v>6654</v>
      </c>
      <c r="K1313" s="1">
        <v>4</v>
      </c>
      <c r="L1313" s="1" t="s">
        <v>4342</v>
      </c>
      <c r="M1313" s="1">
        <v>5</v>
      </c>
      <c r="N1313" s="1" t="s">
        <v>4342</v>
      </c>
    </row>
    <row r="1314" spans="1:14" x14ac:dyDescent="0.15">
      <c r="A1314" s="1">
        <v>220</v>
      </c>
      <c r="B1314" s="1" t="s">
        <v>2886</v>
      </c>
      <c r="C1314" s="1" t="s">
        <v>2895</v>
      </c>
      <c r="D1314" s="1" t="s">
        <v>2896</v>
      </c>
      <c r="E1314" s="1" t="s">
        <v>2895</v>
      </c>
      <c r="F1314" s="1" t="s">
        <v>2896</v>
      </c>
      <c r="G1314" s="1" t="s">
        <v>2897</v>
      </c>
      <c r="H1314" s="1" t="s">
        <v>2896</v>
      </c>
      <c r="I1314" s="1" t="s">
        <v>15207</v>
      </c>
      <c r="J1314" s="1" t="s">
        <v>12443</v>
      </c>
      <c r="K1314" s="1">
        <v>4</v>
      </c>
      <c r="L1314" s="1" t="s">
        <v>4342</v>
      </c>
      <c r="M1314" s="1">
        <v>5</v>
      </c>
      <c r="N1314" s="1" t="s">
        <v>4342</v>
      </c>
    </row>
    <row r="1315" spans="1:14" x14ac:dyDescent="0.15">
      <c r="A1315" s="1">
        <v>220</v>
      </c>
      <c r="B1315" s="1" t="s">
        <v>2886</v>
      </c>
      <c r="C1315" s="1" t="s">
        <v>2895</v>
      </c>
      <c r="D1315" s="1" t="s">
        <v>2896</v>
      </c>
      <c r="E1315" s="1" t="s">
        <v>2895</v>
      </c>
      <c r="F1315" s="1" t="s">
        <v>2896</v>
      </c>
      <c r="G1315" s="1" t="s">
        <v>2897</v>
      </c>
      <c r="H1315" s="1" t="s">
        <v>2896</v>
      </c>
      <c r="I1315" s="1" t="s">
        <v>9150</v>
      </c>
      <c r="J1315" s="1" t="s">
        <v>4417</v>
      </c>
      <c r="K1315" s="1">
        <v>4</v>
      </c>
      <c r="L1315" s="1" t="s">
        <v>4342</v>
      </c>
      <c r="M1315" s="1">
        <v>5</v>
      </c>
      <c r="N1315" s="1" t="s">
        <v>4342</v>
      </c>
    </row>
    <row r="1316" spans="1:14" x14ac:dyDescent="0.15">
      <c r="A1316" s="1">
        <v>220</v>
      </c>
      <c r="B1316" s="1" t="s">
        <v>2886</v>
      </c>
      <c r="C1316" s="1" t="s">
        <v>2895</v>
      </c>
      <c r="D1316" s="1" t="s">
        <v>2896</v>
      </c>
      <c r="E1316" s="1" t="s">
        <v>2895</v>
      </c>
      <c r="F1316" s="1" t="s">
        <v>2896</v>
      </c>
      <c r="G1316" s="1" t="s">
        <v>2897</v>
      </c>
      <c r="H1316" s="1" t="s">
        <v>2896</v>
      </c>
      <c r="I1316" s="1" t="s">
        <v>9153</v>
      </c>
      <c r="J1316" s="1" t="s">
        <v>4418</v>
      </c>
      <c r="K1316" s="1">
        <v>4</v>
      </c>
      <c r="L1316" s="1" t="s">
        <v>4342</v>
      </c>
      <c r="M1316" s="1">
        <v>5</v>
      </c>
      <c r="N1316" s="1" t="s">
        <v>4342</v>
      </c>
    </row>
    <row r="1317" spans="1:14" x14ac:dyDescent="0.15">
      <c r="A1317" s="1">
        <v>220</v>
      </c>
      <c r="B1317" s="1" t="s">
        <v>2886</v>
      </c>
      <c r="C1317" s="1" t="s">
        <v>2895</v>
      </c>
      <c r="D1317" s="1" t="s">
        <v>2896</v>
      </c>
      <c r="E1317" s="1" t="s">
        <v>2895</v>
      </c>
      <c r="F1317" s="1" t="s">
        <v>2896</v>
      </c>
      <c r="G1317" s="1" t="s">
        <v>2897</v>
      </c>
      <c r="H1317" s="1" t="s">
        <v>2896</v>
      </c>
      <c r="I1317" s="1" t="s">
        <v>9156</v>
      </c>
      <c r="J1317" s="1" t="s">
        <v>4419</v>
      </c>
      <c r="K1317" s="1">
        <v>4</v>
      </c>
      <c r="L1317" s="1" t="s">
        <v>4342</v>
      </c>
      <c r="M1317" s="1">
        <v>5</v>
      </c>
      <c r="N1317" s="1" t="s">
        <v>4342</v>
      </c>
    </row>
    <row r="1318" spans="1:14" x14ac:dyDescent="0.15">
      <c r="A1318" s="1">
        <v>220</v>
      </c>
      <c r="B1318" s="1" t="s">
        <v>2886</v>
      </c>
      <c r="C1318" s="1" t="s">
        <v>2895</v>
      </c>
      <c r="D1318" s="1" t="s">
        <v>2896</v>
      </c>
      <c r="E1318" s="1" t="s">
        <v>2895</v>
      </c>
      <c r="F1318" s="1" t="s">
        <v>2896</v>
      </c>
      <c r="G1318" s="1" t="s">
        <v>2897</v>
      </c>
      <c r="H1318" s="1" t="s">
        <v>2896</v>
      </c>
      <c r="I1318" s="1" t="s">
        <v>9159</v>
      </c>
      <c r="J1318" s="1" t="s">
        <v>4420</v>
      </c>
      <c r="K1318" s="1">
        <v>4</v>
      </c>
      <c r="L1318" s="1" t="s">
        <v>4342</v>
      </c>
      <c r="M1318" s="1">
        <v>5</v>
      </c>
      <c r="N1318" s="1" t="s">
        <v>4342</v>
      </c>
    </row>
    <row r="1319" spans="1:14" x14ac:dyDescent="0.15">
      <c r="A1319" s="1">
        <v>220</v>
      </c>
      <c r="B1319" s="1" t="s">
        <v>2886</v>
      </c>
      <c r="C1319" s="1" t="s">
        <v>2895</v>
      </c>
      <c r="D1319" s="1" t="s">
        <v>2896</v>
      </c>
      <c r="E1319" s="1" t="s">
        <v>2895</v>
      </c>
      <c r="F1319" s="1" t="s">
        <v>2896</v>
      </c>
      <c r="G1319" s="1" t="s">
        <v>2897</v>
      </c>
      <c r="H1319" s="1" t="s">
        <v>2896</v>
      </c>
      <c r="I1319" s="1" t="s">
        <v>9162</v>
      </c>
      <c r="J1319" s="1" t="s">
        <v>4668</v>
      </c>
      <c r="K1319" s="1">
        <v>4</v>
      </c>
      <c r="L1319" s="1" t="s">
        <v>4342</v>
      </c>
      <c r="M1319" s="1">
        <v>5</v>
      </c>
      <c r="N1319" s="1" t="s">
        <v>4342</v>
      </c>
    </row>
    <row r="1320" spans="1:14" x14ac:dyDescent="0.15">
      <c r="A1320" s="1">
        <v>220</v>
      </c>
      <c r="B1320" s="1" t="s">
        <v>2886</v>
      </c>
      <c r="C1320" s="1" t="s">
        <v>2895</v>
      </c>
      <c r="D1320" s="1" t="s">
        <v>2896</v>
      </c>
      <c r="E1320" s="1" t="s">
        <v>2895</v>
      </c>
      <c r="F1320" s="1" t="s">
        <v>2896</v>
      </c>
      <c r="G1320" s="1" t="s">
        <v>2897</v>
      </c>
      <c r="H1320" s="1" t="s">
        <v>2896</v>
      </c>
      <c r="I1320" s="1" t="s">
        <v>15214</v>
      </c>
      <c r="J1320" s="1" t="s">
        <v>15211</v>
      </c>
      <c r="K1320" s="1">
        <v>4</v>
      </c>
      <c r="L1320" s="1" t="s">
        <v>4342</v>
      </c>
      <c r="M1320" s="1">
        <v>5</v>
      </c>
      <c r="N1320" s="1" t="s">
        <v>4342</v>
      </c>
    </row>
    <row r="1321" spans="1:14" x14ac:dyDescent="0.15">
      <c r="A1321" s="1">
        <v>220</v>
      </c>
      <c r="B1321" s="1" t="s">
        <v>2886</v>
      </c>
      <c r="C1321" s="1" t="s">
        <v>2895</v>
      </c>
      <c r="D1321" s="1" t="s">
        <v>2896</v>
      </c>
      <c r="E1321" s="1" t="s">
        <v>2895</v>
      </c>
      <c r="F1321" s="1" t="s">
        <v>2896</v>
      </c>
      <c r="G1321" s="1" t="s">
        <v>2897</v>
      </c>
      <c r="H1321" s="1" t="s">
        <v>2896</v>
      </c>
      <c r="I1321" s="1" t="s">
        <v>15230</v>
      </c>
      <c r="J1321" s="1" t="s">
        <v>6102</v>
      </c>
      <c r="K1321" s="1">
        <v>4</v>
      </c>
      <c r="L1321" s="1" t="s">
        <v>4342</v>
      </c>
      <c r="M1321" s="1">
        <v>5</v>
      </c>
      <c r="N1321" s="1" t="s">
        <v>4342</v>
      </c>
    </row>
    <row r="1322" spans="1:14" x14ac:dyDescent="0.15">
      <c r="A1322" s="1">
        <v>220</v>
      </c>
      <c r="B1322" s="1" t="s">
        <v>2886</v>
      </c>
      <c r="C1322" s="1" t="s">
        <v>2895</v>
      </c>
      <c r="D1322" s="1" t="s">
        <v>2896</v>
      </c>
      <c r="E1322" s="1" t="s">
        <v>2895</v>
      </c>
      <c r="F1322" s="1" t="s">
        <v>2896</v>
      </c>
      <c r="G1322" s="1" t="s">
        <v>2897</v>
      </c>
      <c r="H1322" s="1" t="s">
        <v>2896</v>
      </c>
      <c r="I1322" s="1" t="s">
        <v>9182</v>
      </c>
      <c r="J1322" s="1" t="s">
        <v>4669</v>
      </c>
      <c r="K1322" s="1">
        <v>4</v>
      </c>
      <c r="L1322" s="1" t="s">
        <v>4342</v>
      </c>
      <c r="M1322" s="1">
        <v>5</v>
      </c>
      <c r="N1322" s="1" t="s">
        <v>4342</v>
      </c>
    </row>
    <row r="1323" spans="1:14" x14ac:dyDescent="0.15">
      <c r="A1323" s="1">
        <v>220</v>
      </c>
      <c r="B1323" s="1" t="s">
        <v>2886</v>
      </c>
      <c r="C1323" s="1" t="s">
        <v>2895</v>
      </c>
      <c r="D1323" s="1" t="s">
        <v>2896</v>
      </c>
      <c r="E1323" s="1" t="s">
        <v>2895</v>
      </c>
      <c r="F1323" s="1" t="s">
        <v>2896</v>
      </c>
      <c r="G1323" s="1" t="s">
        <v>2897</v>
      </c>
      <c r="H1323" s="1" t="s">
        <v>2896</v>
      </c>
      <c r="I1323" s="1" t="s">
        <v>15237</v>
      </c>
      <c r="J1323" s="1" t="s">
        <v>4422</v>
      </c>
      <c r="K1323" s="1">
        <v>4</v>
      </c>
      <c r="L1323" s="1" t="s">
        <v>4342</v>
      </c>
      <c r="M1323" s="1">
        <v>5</v>
      </c>
      <c r="N1323" s="1" t="s">
        <v>4342</v>
      </c>
    </row>
    <row r="1324" spans="1:14" x14ac:dyDescent="0.15">
      <c r="A1324" s="1">
        <v>220</v>
      </c>
      <c r="B1324" s="1" t="s">
        <v>2886</v>
      </c>
      <c r="C1324" s="1" t="s">
        <v>2895</v>
      </c>
      <c r="D1324" s="1" t="s">
        <v>2896</v>
      </c>
      <c r="E1324" s="1" t="s">
        <v>2895</v>
      </c>
      <c r="F1324" s="1" t="s">
        <v>2896</v>
      </c>
      <c r="G1324" s="1" t="s">
        <v>2897</v>
      </c>
      <c r="H1324" s="1" t="s">
        <v>2896</v>
      </c>
      <c r="I1324" s="1" t="s">
        <v>9330</v>
      </c>
      <c r="J1324" s="1" t="s">
        <v>4424</v>
      </c>
      <c r="K1324" s="1">
        <v>4</v>
      </c>
      <c r="L1324" s="1" t="s">
        <v>4342</v>
      </c>
      <c r="M1324" s="1">
        <v>5</v>
      </c>
      <c r="N1324" s="1" t="s">
        <v>4342</v>
      </c>
    </row>
    <row r="1325" spans="1:14" x14ac:dyDescent="0.15">
      <c r="A1325" s="1">
        <v>220</v>
      </c>
      <c r="B1325" s="1" t="s">
        <v>2886</v>
      </c>
      <c r="C1325" s="1" t="s">
        <v>2895</v>
      </c>
      <c r="D1325" s="1" t="s">
        <v>2896</v>
      </c>
      <c r="E1325" s="1" t="s">
        <v>2895</v>
      </c>
      <c r="F1325" s="1" t="s">
        <v>2896</v>
      </c>
      <c r="G1325" s="1" t="s">
        <v>2897</v>
      </c>
      <c r="H1325" s="1" t="s">
        <v>2896</v>
      </c>
      <c r="I1325" s="1" t="s">
        <v>11781</v>
      </c>
      <c r="J1325" s="1" t="s">
        <v>11782</v>
      </c>
      <c r="K1325" s="1">
        <v>4</v>
      </c>
      <c r="L1325" s="1" t="s">
        <v>4342</v>
      </c>
      <c r="M1325" s="1">
        <v>5</v>
      </c>
      <c r="N1325" s="1" t="s">
        <v>4342</v>
      </c>
    </row>
    <row r="1326" spans="1:14" x14ac:dyDescent="0.15">
      <c r="A1326" s="1">
        <v>220</v>
      </c>
      <c r="B1326" s="1" t="s">
        <v>2886</v>
      </c>
      <c r="C1326" s="1" t="s">
        <v>2898</v>
      </c>
      <c r="D1326" s="1" t="s">
        <v>2899</v>
      </c>
      <c r="E1326" s="1" t="s">
        <v>2898</v>
      </c>
      <c r="F1326" s="1" t="s">
        <v>2899</v>
      </c>
      <c r="G1326" s="1" t="s">
        <v>2900</v>
      </c>
      <c r="H1326" s="1" t="s">
        <v>2899</v>
      </c>
      <c r="I1326" s="1" t="s">
        <v>18209</v>
      </c>
      <c r="J1326" s="1" t="s">
        <v>6662</v>
      </c>
      <c r="K1326" s="1">
        <v>4</v>
      </c>
      <c r="L1326" s="1" t="s">
        <v>4342</v>
      </c>
      <c r="M1326" s="1">
        <v>5</v>
      </c>
      <c r="N1326" s="1" t="s">
        <v>4342</v>
      </c>
    </row>
    <row r="1327" spans="1:14" x14ac:dyDescent="0.15">
      <c r="A1327" s="1">
        <v>220</v>
      </c>
      <c r="B1327" s="1" t="s">
        <v>2886</v>
      </c>
      <c r="C1327" s="1" t="s">
        <v>2898</v>
      </c>
      <c r="D1327" s="1" t="s">
        <v>2899</v>
      </c>
      <c r="E1327" s="1" t="s">
        <v>2898</v>
      </c>
      <c r="F1327" s="1" t="s">
        <v>2899</v>
      </c>
      <c r="G1327" s="1" t="s">
        <v>2900</v>
      </c>
      <c r="H1327" s="1" t="s">
        <v>2899</v>
      </c>
      <c r="I1327" s="1" t="s">
        <v>18216</v>
      </c>
      <c r="J1327" s="1" t="s">
        <v>18213</v>
      </c>
      <c r="K1327" s="1">
        <v>4</v>
      </c>
      <c r="L1327" s="1" t="s">
        <v>4342</v>
      </c>
      <c r="M1327" s="1">
        <v>5</v>
      </c>
      <c r="N1327" s="1" t="s">
        <v>4342</v>
      </c>
    </row>
    <row r="1328" spans="1:14" x14ac:dyDescent="0.15">
      <c r="A1328" s="1">
        <v>220</v>
      </c>
      <c r="B1328" s="1" t="s">
        <v>2886</v>
      </c>
      <c r="C1328" s="1" t="s">
        <v>2898</v>
      </c>
      <c r="D1328" s="1" t="s">
        <v>2899</v>
      </c>
      <c r="E1328" s="1" t="s">
        <v>2898</v>
      </c>
      <c r="F1328" s="1" t="s">
        <v>2899</v>
      </c>
      <c r="G1328" s="1" t="s">
        <v>2900</v>
      </c>
      <c r="H1328" s="1" t="s">
        <v>2899</v>
      </c>
      <c r="I1328" s="1" t="s">
        <v>18223</v>
      </c>
      <c r="J1328" s="1" t="s">
        <v>6664</v>
      </c>
      <c r="K1328" s="1">
        <v>4</v>
      </c>
      <c r="L1328" s="1" t="s">
        <v>4342</v>
      </c>
      <c r="M1328" s="1">
        <v>5</v>
      </c>
      <c r="N1328" s="1" t="s">
        <v>4342</v>
      </c>
    </row>
    <row r="1329" spans="1:14" x14ac:dyDescent="0.15">
      <c r="A1329" s="1">
        <v>220</v>
      </c>
      <c r="B1329" s="1" t="s">
        <v>2886</v>
      </c>
      <c r="C1329" s="1" t="s">
        <v>2898</v>
      </c>
      <c r="D1329" s="1" t="s">
        <v>2899</v>
      </c>
      <c r="E1329" s="1" t="s">
        <v>2898</v>
      </c>
      <c r="F1329" s="1" t="s">
        <v>2899</v>
      </c>
      <c r="G1329" s="1" t="s">
        <v>2900</v>
      </c>
      <c r="H1329" s="1" t="s">
        <v>2899</v>
      </c>
      <c r="I1329" s="1" t="s">
        <v>18230</v>
      </c>
      <c r="J1329" s="1" t="s">
        <v>18227</v>
      </c>
      <c r="K1329" s="1">
        <v>4</v>
      </c>
      <c r="L1329" s="1" t="s">
        <v>4342</v>
      </c>
      <c r="M1329" s="1">
        <v>5</v>
      </c>
      <c r="N1329" s="1" t="s">
        <v>4342</v>
      </c>
    </row>
    <row r="1330" spans="1:14" x14ac:dyDescent="0.15">
      <c r="A1330" s="1">
        <v>220</v>
      </c>
      <c r="B1330" s="1" t="s">
        <v>2886</v>
      </c>
      <c r="C1330" s="1" t="s">
        <v>2898</v>
      </c>
      <c r="D1330" s="1" t="s">
        <v>2899</v>
      </c>
      <c r="E1330" s="1" t="s">
        <v>2898</v>
      </c>
      <c r="F1330" s="1" t="s">
        <v>2899</v>
      </c>
      <c r="G1330" s="1" t="s">
        <v>2900</v>
      </c>
      <c r="H1330" s="1" t="s">
        <v>2899</v>
      </c>
      <c r="I1330" s="1" t="s">
        <v>17387</v>
      </c>
      <c r="J1330" s="1" t="s">
        <v>6665</v>
      </c>
      <c r="K1330" s="1">
        <v>4</v>
      </c>
      <c r="L1330" s="1" t="s">
        <v>4342</v>
      </c>
      <c r="M1330" s="1">
        <v>5</v>
      </c>
      <c r="N1330" s="1" t="s">
        <v>4342</v>
      </c>
    </row>
    <row r="1331" spans="1:14" x14ac:dyDescent="0.15">
      <c r="A1331" s="1">
        <v>220</v>
      </c>
      <c r="B1331" s="1" t="s">
        <v>2886</v>
      </c>
      <c r="C1331" s="1" t="s">
        <v>2898</v>
      </c>
      <c r="D1331" s="1" t="s">
        <v>2899</v>
      </c>
      <c r="E1331" s="1" t="s">
        <v>2898</v>
      </c>
      <c r="F1331" s="1" t="s">
        <v>2899</v>
      </c>
      <c r="G1331" s="1" t="s">
        <v>2900</v>
      </c>
      <c r="H1331" s="1" t="s">
        <v>2899</v>
      </c>
      <c r="I1331" s="1" t="s">
        <v>16647</v>
      </c>
      <c r="J1331" s="1" t="s">
        <v>2901</v>
      </c>
      <c r="K1331" s="1">
        <v>4</v>
      </c>
      <c r="L1331" s="1" t="s">
        <v>4342</v>
      </c>
      <c r="M1331" s="1">
        <v>5</v>
      </c>
      <c r="N1331" s="1" t="s">
        <v>4342</v>
      </c>
    </row>
    <row r="1332" spans="1:14" x14ac:dyDescent="0.15">
      <c r="A1332" s="1">
        <v>220</v>
      </c>
      <c r="B1332" s="1" t="s">
        <v>2886</v>
      </c>
      <c r="C1332" s="1" t="s">
        <v>2898</v>
      </c>
      <c r="D1332" s="1" t="s">
        <v>2899</v>
      </c>
      <c r="E1332" s="1" t="s">
        <v>2898</v>
      </c>
      <c r="F1332" s="1" t="s">
        <v>2899</v>
      </c>
      <c r="G1332" s="1" t="s">
        <v>2900</v>
      </c>
      <c r="H1332" s="1" t="s">
        <v>2899</v>
      </c>
      <c r="I1332" s="1" t="s">
        <v>16702</v>
      </c>
      <c r="J1332" s="1" t="s">
        <v>16699</v>
      </c>
      <c r="K1332" s="1">
        <v>4</v>
      </c>
      <c r="L1332" s="1" t="s">
        <v>4342</v>
      </c>
      <c r="M1332" s="1">
        <v>5</v>
      </c>
      <c r="N1332" s="1" t="s">
        <v>4342</v>
      </c>
    </row>
    <row r="1333" spans="1:14" x14ac:dyDescent="0.15">
      <c r="A1333" s="1">
        <v>220</v>
      </c>
      <c r="B1333" s="1" t="s">
        <v>2886</v>
      </c>
      <c r="C1333" s="1" t="s">
        <v>2902</v>
      </c>
      <c r="D1333" s="1" t="s">
        <v>2903</v>
      </c>
      <c r="E1333" s="1" t="s">
        <v>2902</v>
      </c>
      <c r="F1333" s="1" t="s">
        <v>2903</v>
      </c>
      <c r="G1333" s="1" t="s">
        <v>2904</v>
      </c>
      <c r="H1333" s="1" t="s">
        <v>2903</v>
      </c>
      <c r="I1333" s="1" t="s">
        <v>16647</v>
      </c>
      <c r="J1333" s="1" t="s">
        <v>2901</v>
      </c>
      <c r="K1333" s="1">
        <v>4</v>
      </c>
      <c r="L1333" s="1" t="s">
        <v>4342</v>
      </c>
      <c r="M1333" s="1">
        <v>5</v>
      </c>
      <c r="N1333" s="1" t="s">
        <v>4342</v>
      </c>
    </row>
    <row r="1334" spans="1:14" x14ac:dyDescent="0.15">
      <c r="A1334" s="1">
        <v>220</v>
      </c>
      <c r="B1334" s="1" t="s">
        <v>2886</v>
      </c>
      <c r="C1334" s="1" t="s">
        <v>2902</v>
      </c>
      <c r="D1334" s="1" t="s">
        <v>2903</v>
      </c>
      <c r="E1334" s="1" t="s">
        <v>2902</v>
      </c>
      <c r="F1334" s="1" t="s">
        <v>2903</v>
      </c>
      <c r="G1334" s="1" t="s">
        <v>2904</v>
      </c>
      <c r="H1334" s="1" t="s">
        <v>2903</v>
      </c>
      <c r="I1334" s="1" t="s">
        <v>16681</v>
      </c>
      <c r="J1334" s="1" t="s">
        <v>16678</v>
      </c>
      <c r="K1334" s="1">
        <v>4</v>
      </c>
      <c r="L1334" s="1" t="s">
        <v>4342</v>
      </c>
      <c r="M1334" s="1">
        <v>5</v>
      </c>
      <c r="N1334" s="1" t="s">
        <v>4342</v>
      </c>
    </row>
    <row r="1335" spans="1:14" x14ac:dyDescent="0.15">
      <c r="A1335" s="1">
        <v>220</v>
      </c>
      <c r="B1335" s="1" t="s">
        <v>2886</v>
      </c>
      <c r="C1335" s="1" t="s">
        <v>2902</v>
      </c>
      <c r="D1335" s="1" t="s">
        <v>2903</v>
      </c>
      <c r="E1335" s="1" t="s">
        <v>2902</v>
      </c>
      <c r="F1335" s="1" t="s">
        <v>2903</v>
      </c>
      <c r="G1335" s="1" t="s">
        <v>2904</v>
      </c>
      <c r="H1335" s="1" t="s">
        <v>2903</v>
      </c>
      <c r="I1335" s="1" t="s">
        <v>16688</v>
      </c>
      <c r="J1335" s="1" t="s">
        <v>16685</v>
      </c>
      <c r="K1335" s="1">
        <v>4</v>
      </c>
      <c r="L1335" s="1" t="s">
        <v>4342</v>
      </c>
      <c r="M1335" s="1">
        <v>5</v>
      </c>
      <c r="N1335" s="1" t="s">
        <v>4342</v>
      </c>
    </row>
    <row r="1336" spans="1:14" x14ac:dyDescent="0.15">
      <c r="A1336" s="1">
        <v>220</v>
      </c>
      <c r="B1336" s="1" t="s">
        <v>2886</v>
      </c>
      <c r="C1336" s="1" t="s">
        <v>2902</v>
      </c>
      <c r="D1336" s="1" t="s">
        <v>2903</v>
      </c>
      <c r="E1336" s="1" t="s">
        <v>2902</v>
      </c>
      <c r="F1336" s="1" t="s">
        <v>2903</v>
      </c>
      <c r="G1336" s="1" t="s">
        <v>2904</v>
      </c>
      <c r="H1336" s="1" t="s">
        <v>2903</v>
      </c>
      <c r="I1336" s="1" t="s">
        <v>16695</v>
      </c>
      <c r="J1336" s="1" t="s">
        <v>4366</v>
      </c>
      <c r="K1336" s="1">
        <v>4</v>
      </c>
      <c r="L1336" s="1" t="s">
        <v>4342</v>
      </c>
      <c r="M1336" s="1">
        <v>5</v>
      </c>
      <c r="N1336" s="1" t="s">
        <v>4342</v>
      </c>
    </row>
    <row r="1337" spans="1:14" x14ac:dyDescent="0.15">
      <c r="A1337" s="1">
        <v>220</v>
      </c>
      <c r="B1337" s="1" t="s">
        <v>2886</v>
      </c>
      <c r="C1337" s="1" t="s">
        <v>2902</v>
      </c>
      <c r="D1337" s="1" t="s">
        <v>2903</v>
      </c>
      <c r="E1337" s="1" t="s">
        <v>2902</v>
      </c>
      <c r="F1337" s="1" t="s">
        <v>2903</v>
      </c>
      <c r="G1337" s="1" t="s">
        <v>2904</v>
      </c>
      <c r="H1337" s="1" t="s">
        <v>2903</v>
      </c>
      <c r="I1337" s="1" t="s">
        <v>16702</v>
      </c>
      <c r="J1337" s="1" t="s">
        <v>16699</v>
      </c>
      <c r="K1337" s="1">
        <v>4</v>
      </c>
      <c r="L1337" s="1" t="s">
        <v>4342</v>
      </c>
      <c r="M1337" s="1">
        <v>5</v>
      </c>
      <c r="N1337" s="1" t="s">
        <v>4342</v>
      </c>
    </row>
    <row r="1338" spans="1:14" x14ac:dyDescent="0.15">
      <c r="A1338" s="1">
        <v>220</v>
      </c>
      <c r="B1338" s="1" t="s">
        <v>2886</v>
      </c>
      <c r="C1338" s="1" t="s">
        <v>2902</v>
      </c>
      <c r="D1338" s="1" t="s">
        <v>2903</v>
      </c>
      <c r="E1338" s="1" t="s">
        <v>2902</v>
      </c>
      <c r="F1338" s="1" t="s">
        <v>2903</v>
      </c>
      <c r="G1338" s="1" t="s">
        <v>2904</v>
      </c>
      <c r="H1338" s="1" t="s">
        <v>2903</v>
      </c>
      <c r="I1338" s="1" t="s">
        <v>16709</v>
      </c>
      <c r="J1338" s="1" t="s">
        <v>6971</v>
      </c>
      <c r="K1338" s="1">
        <v>4</v>
      </c>
      <c r="L1338" s="1" t="s">
        <v>4342</v>
      </c>
      <c r="M1338" s="1">
        <v>5</v>
      </c>
      <c r="N1338" s="1" t="s">
        <v>4342</v>
      </c>
    </row>
    <row r="1339" spans="1:14" x14ac:dyDescent="0.15">
      <c r="A1339" s="1">
        <v>220</v>
      </c>
      <c r="B1339" s="1" t="s">
        <v>2886</v>
      </c>
      <c r="C1339" s="1" t="s">
        <v>2902</v>
      </c>
      <c r="D1339" s="1" t="s">
        <v>2903</v>
      </c>
      <c r="E1339" s="1" t="s">
        <v>2902</v>
      </c>
      <c r="F1339" s="1" t="s">
        <v>2903</v>
      </c>
      <c r="G1339" s="1" t="s">
        <v>2904</v>
      </c>
      <c r="H1339" s="1" t="s">
        <v>2903</v>
      </c>
      <c r="I1339" s="1" t="s">
        <v>16716</v>
      </c>
      <c r="J1339" s="1" t="s">
        <v>16713</v>
      </c>
      <c r="K1339" s="1">
        <v>4</v>
      </c>
      <c r="L1339" s="1" t="s">
        <v>4342</v>
      </c>
      <c r="M1339" s="1">
        <v>5</v>
      </c>
      <c r="N1339" s="1" t="s">
        <v>4342</v>
      </c>
    </row>
    <row r="1340" spans="1:14" x14ac:dyDescent="0.15">
      <c r="A1340" s="1">
        <v>220</v>
      </c>
      <c r="B1340" s="1" t="s">
        <v>2886</v>
      </c>
      <c r="C1340" s="1" t="s">
        <v>2902</v>
      </c>
      <c r="D1340" s="1" t="s">
        <v>2903</v>
      </c>
      <c r="E1340" s="1" t="s">
        <v>2902</v>
      </c>
      <c r="F1340" s="1" t="s">
        <v>2903</v>
      </c>
      <c r="G1340" s="1" t="s">
        <v>2904</v>
      </c>
      <c r="H1340" s="1" t="s">
        <v>2903</v>
      </c>
      <c r="I1340" s="1" t="s">
        <v>16723</v>
      </c>
      <c r="J1340" s="1" t="s">
        <v>16720</v>
      </c>
      <c r="K1340" s="1">
        <v>4</v>
      </c>
      <c r="L1340" s="1" t="s">
        <v>4342</v>
      </c>
      <c r="M1340" s="1">
        <v>5</v>
      </c>
      <c r="N1340" s="1" t="s">
        <v>4342</v>
      </c>
    </row>
    <row r="1341" spans="1:14" x14ac:dyDescent="0.15">
      <c r="A1341" s="1">
        <v>220</v>
      </c>
      <c r="B1341" s="1" t="s">
        <v>2886</v>
      </c>
      <c r="C1341" s="1" t="s">
        <v>2902</v>
      </c>
      <c r="D1341" s="1" t="s">
        <v>2903</v>
      </c>
      <c r="E1341" s="1" t="s">
        <v>2902</v>
      </c>
      <c r="F1341" s="1" t="s">
        <v>2903</v>
      </c>
      <c r="G1341" s="1" t="s">
        <v>2904</v>
      </c>
      <c r="H1341" s="1" t="s">
        <v>2903</v>
      </c>
      <c r="I1341" s="1" t="s">
        <v>16730</v>
      </c>
      <c r="J1341" s="1" t="s">
        <v>16731</v>
      </c>
      <c r="K1341" s="1">
        <v>4</v>
      </c>
      <c r="L1341" s="1" t="s">
        <v>4342</v>
      </c>
      <c r="M1341" s="1">
        <v>5</v>
      </c>
      <c r="N1341" s="1" t="s">
        <v>4342</v>
      </c>
    </row>
    <row r="1342" spans="1:14" x14ac:dyDescent="0.15">
      <c r="A1342" s="1">
        <v>220</v>
      </c>
      <c r="B1342" s="1" t="s">
        <v>2886</v>
      </c>
      <c r="C1342" s="1" t="s">
        <v>2902</v>
      </c>
      <c r="D1342" s="1" t="s">
        <v>2903</v>
      </c>
      <c r="E1342" s="1" t="s">
        <v>2902</v>
      </c>
      <c r="F1342" s="1" t="s">
        <v>2903</v>
      </c>
      <c r="G1342" s="1" t="s">
        <v>2904</v>
      </c>
      <c r="H1342" s="1" t="s">
        <v>2903</v>
      </c>
      <c r="I1342" s="1" t="s">
        <v>16734</v>
      </c>
      <c r="J1342" s="1" t="s">
        <v>16735</v>
      </c>
      <c r="K1342" s="1">
        <v>4</v>
      </c>
      <c r="L1342" s="1" t="s">
        <v>4342</v>
      </c>
      <c r="M1342" s="1">
        <v>5</v>
      </c>
      <c r="N1342" s="1" t="s">
        <v>4342</v>
      </c>
    </row>
    <row r="1343" spans="1:14" x14ac:dyDescent="0.15">
      <c r="A1343" s="1">
        <v>220</v>
      </c>
      <c r="B1343" s="1" t="s">
        <v>2886</v>
      </c>
      <c r="C1343" s="1" t="s">
        <v>2902</v>
      </c>
      <c r="D1343" s="1" t="s">
        <v>2903</v>
      </c>
      <c r="E1343" s="1" t="s">
        <v>2902</v>
      </c>
      <c r="F1343" s="1" t="s">
        <v>2903</v>
      </c>
      <c r="G1343" s="1" t="s">
        <v>2904</v>
      </c>
      <c r="H1343" s="1" t="s">
        <v>2903</v>
      </c>
      <c r="I1343" s="1" t="s">
        <v>16738</v>
      </c>
      <c r="J1343" s="1" t="s">
        <v>16739</v>
      </c>
      <c r="K1343" s="1">
        <v>4</v>
      </c>
      <c r="L1343" s="1" t="s">
        <v>4342</v>
      </c>
      <c r="M1343" s="1">
        <v>5</v>
      </c>
      <c r="N1343" s="1" t="s">
        <v>4342</v>
      </c>
    </row>
    <row r="1344" spans="1:14" x14ac:dyDescent="0.15">
      <c r="A1344" s="1">
        <v>220</v>
      </c>
      <c r="B1344" s="1" t="s">
        <v>2886</v>
      </c>
      <c r="C1344" s="1" t="s">
        <v>2902</v>
      </c>
      <c r="D1344" s="1" t="s">
        <v>2903</v>
      </c>
      <c r="E1344" s="1" t="s">
        <v>2902</v>
      </c>
      <c r="F1344" s="1" t="s">
        <v>2903</v>
      </c>
      <c r="G1344" s="1" t="s">
        <v>2904</v>
      </c>
      <c r="H1344" s="1" t="s">
        <v>2903</v>
      </c>
      <c r="I1344" s="1" t="s">
        <v>16742</v>
      </c>
      <c r="J1344" s="1" t="s">
        <v>16743</v>
      </c>
      <c r="K1344" s="1">
        <v>4</v>
      </c>
      <c r="L1344" s="1" t="s">
        <v>4342</v>
      </c>
      <c r="M1344" s="1">
        <v>5</v>
      </c>
      <c r="N1344" s="1" t="s">
        <v>4342</v>
      </c>
    </row>
    <row r="1345" spans="1:14" x14ac:dyDescent="0.15">
      <c r="A1345" s="1">
        <v>220</v>
      </c>
      <c r="B1345" s="1" t="s">
        <v>2886</v>
      </c>
      <c r="C1345" s="1" t="s">
        <v>2902</v>
      </c>
      <c r="D1345" s="1" t="s">
        <v>2903</v>
      </c>
      <c r="E1345" s="1" t="s">
        <v>2902</v>
      </c>
      <c r="F1345" s="1" t="s">
        <v>2903</v>
      </c>
      <c r="G1345" s="1" t="s">
        <v>2904</v>
      </c>
      <c r="H1345" s="1" t="s">
        <v>2903</v>
      </c>
      <c r="I1345" s="1" t="s">
        <v>16746</v>
      </c>
      <c r="J1345" s="1" t="s">
        <v>16747</v>
      </c>
      <c r="K1345" s="1">
        <v>4</v>
      </c>
      <c r="L1345" s="1" t="s">
        <v>4342</v>
      </c>
      <c r="M1345" s="1">
        <v>5</v>
      </c>
      <c r="N1345" s="1" t="s">
        <v>4342</v>
      </c>
    </row>
    <row r="1346" spans="1:14" x14ac:dyDescent="0.15">
      <c r="A1346" s="1">
        <v>220</v>
      </c>
      <c r="B1346" s="1" t="s">
        <v>2886</v>
      </c>
      <c r="C1346" s="1" t="s">
        <v>2902</v>
      </c>
      <c r="D1346" s="1" t="s">
        <v>2903</v>
      </c>
      <c r="E1346" s="1" t="s">
        <v>2902</v>
      </c>
      <c r="F1346" s="1" t="s">
        <v>2903</v>
      </c>
      <c r="G1346" s="1" t="s">
        <v>2904</v>
      </c>
      <c r="H1346" s="1" t="s">
        <v>2903</v>
      </c>
      <c r="I1346" s="1" t="s">
        <v>16750</v>
      </c>
      <c r="J1346" s="1" t="s">
        <v>16751</v>
      </c>
      <c r="K1346" s="1">
        <v>4</v>
      </c>
      <c r="L1346" s="1" t="s">
        <v>4342</v>
      </c>
      <c r="M1346" s="1">
        <v>5</v>
      </c>
      <c r="N1346" s="1" t="s">
        <v>4342</v>
      </c>
    </row>
    <row r="1347" spans="1:14" x14ac:dyDescent="0.15">
      <c r="A1347" s="1">
        <v>220</v>
      </c>
      <c r="B1347" s="1" t="s">
        <v>2886</v>
      </c>
      <c r="C1347" s="1" t="s">
        <v>2902</v>
      </c>
      <c r="D1347" s="1" t="s">
        <v>2903</v>
      </c>
      <c r="E1347" s="1" t="s">
        <v>2902</v>
      </c>
      <c r="F1347" s="1" t="s">
        <v>2903</v>
      </c>
      <c r="G1347" s="1" t="s">
        <v>2904</v>
      </c>
      <c r="H1347" s="1" t="s">
        <v>2903</v>
      </c>
      <c r="I1347" s="1" t="s">
        <v>16758</v>
      </c>
      <c r="J1347" s="1" t="s">
        <v>6974</v>
      </c>
      <c r="K1347" s="1">
        <v>4</v>
      </c>
      <c r="L1347" s="1" t="s">
        <v>4342</v>
      </c>
      <c r="M1347" s="1">
        <v>5</v>
      </c>
      <c r="N1347" s="1" t="s">
        <v>4342</v>
      </c>
    </row>
    <row r="1348" spans="1:14" x14ac:dyDescent="0.15">
      <c r="A1348" s="1">
        <v>220</v>
      </c>
      <c r="B1348" s="1" t="s">
        <v>2886</v>
      </c>
      <c r="C1348" s="1" t="s">
        <v>2902</v>
      </c>
      <c r="D1348" s="1" t="s">
        <v>2903</v>
      </c>
      <c r="E1348" s="1" t="s">
        <v>2902</v>
      </c>
      <c r="F1348" s="1" t="s">
        <v>2903</v>
      </c>
      <c r="G1348" s="1" t="s">
        <v>2904</v>
      </c>
      <c r="H1348" s="1" t="s">
        <v>2903</v>
      </c>
      <c r="I1348" s="1" t="s">
        <v>11153</v>
      </c>
      <c r="J1348" s="1" t="s">
        <v>4367</v>
      </c>
      <c r="K1348" s="1">
        <v>4</v>
      </c>
      <c r="L1348" s="1" t="s">
        <v>4342</v>
      </c>
      <c r="M1348" s="1">
        <v>5</v>
      </c>
      <c r="N1348" s="1" t="s">
        <v>4342</v>
      </c>
    </row>
    <row r="1349" spans="1:14" x14ac:dyDescent="0.15">
      <c r="A1349" s="1">
        <v>220</v>
      </c>
      <c r="B1349" s="1" t="s">
        <v>2886</v>
      </c>
      <c r="C1349" s="1" t="s">
        <v>2902</v>
      </c>
      <c r="D1349" s="1" t="s">
        <v>2903</v>
      </c>
      <c r="E1349" s="1" t="s">
        <v>2902</v>
      </c>
      <c r="F1349" s="1" t="s">
        <v>2903</v>
      </c>
      <c r="G1349" s="1" t="s">
        <v>2904</v>
      </c>
      <c r="H1349" s="1" t="s">
        <v>2903</v>
      </c>
      <c r="I1349" s="1" t="s">
        <v>10786</v>
      </c>
      <c r="J1349" s="1" t="s">
        <v>4368</v>
      </c>
      <c r="K1349" s="1">
        <v>4</v>
      </c>
      <c r="L1349" s="1" t="s">
        <v>4342</v>
      </c>
      <c r="M1349" s="1">
        <v>5</v>
      </c>
      <c r="N1349" s="1" t="s">
        <v>4342</v>
      </c>
    </row>
    <row r="1350" spans="1:14" x14ac:dyDescent="0.15">
      <c r="A1350" s="1">
        <v>220</v>
      </c>
      <c r="B1350" s="1" t="s">
        <v>2886</v>
      </c>
      <c r="C1350" s="1" t="s">
        <v>2902</v>
      </c>
      <c r="D1350" s="1" t="s">
        <v>2903</v>
      </c>
      <c r="E1350" s="1" t="s">
        <v>2902</v>
      </c>
      <c r="F1350" s="1" t="s">
        <v>2903</v>
      </c>
      <c r="G1350" s="1" t="s">
        <v>2904</v>
      </c>
      <c r="H1350" s="1" t="s">
        <v>2903</v>
      </c>
      <c r="I1350" s="1" t="s">
        <v>10342</v>
      </c>
      <c r="J1350" s="1" t="s">
        <v>4369</v>
      </c>
      <c r="K1350" s="1">
        <v>4</v>
      </c>
      <c r="L1350" s="1" t="s">
        <v>4342</v>
      </c>
      <c r="M1350" s="1">
        <v>5</v>
      </c>
      <c r="N1350" s="1" t="s">
        <v>4342</v>
      </c>
    </row>
    <row r="1351" spans="1:14" x14ac:dyDescent="0.15">
      <c r="A1351" s="1">
        <v>220</v>
      </c>
      <c r="B1351" s="1" t="s">
        <v>2886</v>
      </c>
      <c r="C1351" s="1" t="s">
        <v>2902</v>
      </c>
      <c r="D1351" s="1" t="s">
        <v>2903</v>
      </c>
      <c r="E1351" s="1" t="s">
        <v>2902</v>
      </c>
      <c r="F1351" s="1" t="s">
        <v>2903</v>
      </c>
      <c r="G1351" s="1" t="s">
        <v>2904</v>
      </c>
      <c r="H1351" s="1" t="s">
        <v>2903</v>
      </c>
      <c r="I1351" s="1" t="s">
        <v>16765</v>
      </c>
      <c r="J1351" s="1" t="s">
        <v>16762</v>
      </c>
      <c r="K1351" s="1">
        <v>4</v>
      </c>
      <c r="L1351" s="1" t="s">
        <v>4342</v>
      </c>
      <c r="M1351" s="1">
        <v>5</v>
      </c>
      <c r="N1351" s="1" t="s">
        <v>4342</v>
      </c>
    </row>
    <row r="1352" spans="1:14" x14ac:dyDescent="0.15">
      <c r="A1352" s="1">
        <v>220</v>
      </c>
      <c r="B1352" s="1" t="s">
        <v>2886</v>
      </c>
      <c r="C1352" s="1" t="s">
        <v>2902</v>
      </c>
      <c r="D1352" s="1" t="s">
        <v>2903</v>
      </c>
      <c r="E1352" s="1" t="s">
        <v>2902</v>
      </c>
      <c r="F1352" s="1" t="s">
        <v>2903</v>
      </c>
      <c r="G1352" s="1" t="s">
        <v>2904</v>
      </c>
      <c r="H1352" s="1" t="s">
        <v>2903</v>
      </c>
      <c r="I1352" s="1" t="s">
        <v>16772</v>
      </c>
      <c r="J1352" s="1" t="s">
        <v>16769</v>
      </c>
      <c r="K1352" s="1">
        <v>4</v>
      </c>
      <c r="L1352" s="1" t="s">
        <v>4342</v>
      </c>
      <c r="M1352" s="1">
        <v>5</v>
      </c>
      <c r="N1352" s="1" t="s">
        <v>4342</v>
      </c>
    </row>
    <row r="1353" spans="1:14" x14ac:dyDescent="0.15">
      <c r="A1353" s="1">
        <v>220</v>
      </c>
      <c r="B1353" s="1" t="s">
        <v>2886</v>
      </c>
      <c r="C1353" s="1" t="s">
        <v>2902</v>
      </c>
      <c r="D1353" s="1" t="s">
        <v>2903</v>
      </c>
      <c r="E1353" s="1" t="s">
        <v>2902</v>
      </c>
      <c r="F1353" s="1" t="s">
        <v>2903</v>
      </c>
      <c r="G1353" s="1" t="s">
        <v>2904</v>
      </c>
      <c r="H1353" s="1" t="s">
        <v>2903</v>
      </c>
      <c r="I1353" s="1" t="s">
        <v>16779</v>
      </c>
      <c r="J1353" s="1" t="s">
        <v>16776</v>
      </c>
      <c r="K1353" s="1">
        <v>4</v>
      </c>
      <c r="L1353" s="1" t="s">
        <v>4342</v>
      </c>
      <c r="M1353" s="1">
        <v>5</v>
      </c>
      <c r="N1353" s="1" t="s">
        <v>4342</v>
      </c>
    </row>
    <row r="1354" spans="1:14" x14ac:dyDescent="0.15">
      <c r="A1354" s="1">
        <v>220</v>
      </c>
      <c r="B1354" s="1" t="s">
        <v>2886</v>
      </c>
      <c r="C1354" s="1" t="s">
        <v>2902</v>
      </c>
      <c r="D1354" s="1" t="s">
        <v>2903</v>
      </c>
      <c r="E1354" s="1" t="s">
        <v>2902</v>
      </c>
      <c r="F1354" s="1" t="s">
        <v>2903</v>
      </c>
      <c r="G1354" s="1" t="s">
        <v>2904</v>
      </c>
      <c r="H1354" s="1" t="s">
        <v>2903</v>
      </c>
      <c r="I1354" s="1" t="s">
        <v>16786</v>
      </c>
      <c r="J1354" s="1" t="s">
        <v>16783</v>
      </c>
      <c r="K1354" s="1">
        <v>4</v>
      </c>
      <c r="L1354" s="1" t="s">
        <v>4342</v>
      </c>
      <c r="M1354" s="1">
        <v>5</v>
      </c>
      <c r="N1354" s="1" t="s">
        <v>4342</v>
      </c>
    </row>
    <row r="1355" spans="1:14" x14ac:dyDescent="0.15">
      <c r="A1355" s="1">
        <v>220</v>
      </c>
      <c r="B1355" s="1" t="s">
        <v>2886</v>
      </c>
      <c r="C1355" s="1" t="s">
        <v>2902</v>
      </c>
      <c r="D1355" s="1" t="s">
        <v>2903</v>
      </c>
      <c r="E1355" s="1" t="s">
        <v>2902</v>
      </c>
      <c r="F1355" s="1" t="s">
        <v>2903</v>
      </c>
      <c r="G1355" s="1" t="s">
        <v>2904</v>
      </c>
      <c r="H1355" s="1" t="s">
        <v>2903</v>
      </c>
      <c r="I1355" s="1" t="s">
        <v>16793</v>
      </c>
      <c r="J1355" s="1" t="s">
        <v>16790</v>
      </c>
      <c r="K1355" s="1">
        <v>4</v>
      </c>
      <c r="L1355" s="1" t="s">
        <v>4342</v>
      </c>
      <c r="M1355" s="1">
        <v>5</v>
      </c>
      <c r="N1355" s="1" t="s">
        <v>4342</v>
      </c>
    </row>
    <row r="1356" spans="1:14" x14ac:dyDescent="0.15">
      <c r="A1356" s="1">
        <v>220</v>
      </c>
      <c r="B1356" s="1" t="s">
        <v>2886</v>
      </c>
      <c r="C1356" s="1" t="s">
        <v>2902</v>
      </c>
      <c r="D1356" s="1" t="s">
        <v>2903</v>
      </c>
      <c r="E1356" s="1" t="s">
        <v>2902</v>
      </c>
      <c r="F1356" s="1" t="s">
        <v>2903</v>
      </c>
      <c r="G1356" s="1" t="s">
        <v>2904</v>
      </c>
      <c r="H1356" s="1" t="s">
        <v>2903</v>
      </c>
      <c r="I1356" s="1" t="s">
        <v>16821</v>
      </c>
      <c r="J1356" s="1" t="s">
        <v>16818</v>
      </c>
      <c r="K1356" s="1">
        <v>4</v>
      </c>
      <c r="L1356" s="1" t="s">
        <v>4342</v>
      </c>
      <c r="M1356" s="1">
        <v>5</v>
      </c>
      <c r="N1356" s="1" t="s">
        <v>4342</v>
      </c>
    </row>
    <row r="1357" spans="1:14" x14ac:dyDescent="0.15">
      <c r="A1357" s="1">
        <v>220</v>
      </c>
      <c r="B1357" s="1" t="s">
        <v>2886</v>
      </c>
      <c r="C1357" s="1" t="s">
        <v>2902</v>
      </c>
      <c r="D1357" s="1" t="s">
        <v>2903</v>
      </c>
      <c r="E1357" s="1" t="s">
        <v>2902</v>
      </c>
      <c r="F1357" s="1" t="s">
        <v>2903</v>
      </c>
      <c r="G1357" s="1" t="s">
        <v>2904</v>
      </c>
      <c r="H1357" s="1" t="s">
        <v>2903</v>
      </c>
      <c r="I1357" s="1" t="s">
        <v>16828</v>
      </c>
      <c r="J1357" s="1" t="s">
        <v>16825</v>
      </c>
      <c r="K1357" s="1">
        <v>4</v>
      </c>
      <c r="L1357" s="1" t="s">
        <v>4342</v>
      </c>
      <c r="M1357" s="1">
        <v>5</v>
      </c>
      <c r="N1357" s="1" t="s">
        <v>4342</v>
      </c>
    </row>
    <row r="1358" spans="1:14" x14ac:dyDescent="0.15">
      <c r="A1358" s="1">
        <v>220</v>
      </c>
      <c r="B1358" s="1" t="s">
        <v>2886</v>
      </c>
      <c r="C1358" s="1" t="s">
        <v>2902</v>
      </c>
      <c r="D1358" s="1" t="s">
        <v>2903</v>
      </c>
      <c r="E1358" s="1" t="s">
        <v>2902</v>
      </c>
      <c r="F1358" s="1" t="s">
        <v>2903</v>
      </c>
      <c r="G1358" s="1" t="s">
        <v>2904</v>
      </c>
      <c r="H1358" s="1" t="s">
        <v>2903</v>
      </c>
      <c r="I1358" s="1" t="s">
        <v>16835</v>
      </c>
      <c r="J1358" s="1" t="s">
        <v>16832</v>
      </c>
      <c r="K1358" s="1">
        <v>4</v>
      </c>
      <c r="L1358" s="1" t="s">
        <v>4342</v>
      </c>
      <c r="M1358" s="1">
        <v>5</v>
      </c>
      <c r="N1358" s="1" t="s">
        <v>4342</v>
      </c>
    </row>
    <row r="1359" spans="1:14" x14ac:dyDescent="0.15">
      <c r="A1359" s="1">
        <v>220</v>
      </c>
      <c r="B1359" s="1" t="s">
        <v>2886</v>
      </c>
      <c r="C1359" s="1" t="s">
        <v>2902</v>
      </c>
      <c r="D1359" s="1" t="s">
        <v>2903</v>
      </c>
      <c r="E1359" s="1" t="s">
        <v>2902</v>
      </c>
      <c r="F1359" s="1" t="s">
        <v>2903</v>
      </c>
      <c r="G1359" s="1" t="s">
        <v>2904</v>
      </c>
      <c r="H1359" s="1" t="s">
        <v>2903</v>
      </c>
      <c r="I1359" s="1" t="s">
        <v>16258</v>
      </c>
      <c r="J1359" s="1" t="s">
        <v>16839</v>
      </c>
      <c r="K1359" s="1">
        <v>4</v>
      </c>
      <c r="L1359" s="1" t="s">
        <v>4342</v>
      </c>
      <c r="M1359" s="1">
        <v>5</v>
      </c>
      <c r="N1359" s="1" t="s">
        <v>4342</v>
      </c>
    </row>
    <row r="1360" spans="1:14" x14ac:dyDescent="0.15">
      <c r="A1360" s="1">
        <v>220</v>
      </c>
      <c r="B1360" s="1" t="s">
        <v>2886</v>
      </c>
      <c r="C1360" s="1" t="s">
        <v>2902</v>
      </c>
      <c r="D1360" s="1" t="s">
        <v>2903</v>
      </c>
      <c r="E1360" s="1" t="s">
        <v>2902</v>
      </c>
      <c r="F1360" s="1" t="s">
        <v>2903</v>
      </c>
      <c r="G1360" s="1" t="s">
        <v>2904</v>
      </c>
      <c r="H1360" s="1" t="s">
        <v>2903</v>
      </c>
      <c r="I1360" s="1" t="s">
        <v>16265</v>
      </c>
      <c r="J1360" s="1" t="s">
        <v>16262</v>
      </c>
      <c r="K1360" s="1">
        <v>4</v>
      </c>
      <c r="L1360" s="1" t="s">
        <v>4342</v>
      </c>
      <c r="M1360" s="1">
        <v>5</v>
      </c>
      <c r="N1360" s="1" t="s">
        <v>4342</v>
      </c>
    </row>
    <row r="1361" spans="1:14" x14ac:dyDescent="0.15">
      <c r="A1361" s="1">
        <v>220</v>
      </c>
      <c r="B1361" s="1" t="s">
        <v>2886</v>
      </c>
      <c r="C1361" s="1" t="s">
        <v>2902</v>
      </c>
      <c r="D1361" s="1" t="s">
        <v>2903</v>
      </c>
      <c r="E1361" s="1" t="s">
        <v>2902</v>
      </c>
      <c r="F1361" s="1" t="s">
        <v>2903</v>
      </c>
      <c r="G1361" s="1" t="s">
        <v>2904</v>
      </c>
      <c r="H1361" s="1" t="s">
        <v>2903</v>
      </c>
      <c r="I1361" s="1" t="s">
        <v>16272</v>
      </c>
      <c r="J1361" s="1" t="s">
        <v>16269</v>
      </c>
      <c r="K1361" s="1">
        <v>4</v>
      </c>
      <c r="L1361" s="1" t="s">
        <v>4342</v>
      </c>
      <c r="M1361" s="1">
        <v>5</v>
      </c>
      <c r="N1361" s="1" t="s">
        <v>4342</v>
      </c>
    </row>
    <row r="1362" spans="1:14" x14ac:dyDescent="0.15">
      <c r="A1362" s="1">
        <v>220</v>
      </c>
      <c r="B1362" s="1" t="s">
        <v>2886</v>
      </c>
      <c r="C1362" s="1" t="s">
        <v>2902</v>
      </c>
      <c r="D1362" s="1" t="s">
        <v>2903</v>
      </c>
      <c r="E1362" s="1" t="s">
        <v>2902</v>
      </c>
      <c r="F1362" s="1" t="s">
        <v>2903</v>
      </c>
      <c r="G1362" s="1" t="s">
        <v>2904</v>
      </c>
      <c r="H1362" s="1" t="s">
        <v>2903</v>
      </c>
      <c r="I1362" s="1" t="s">
        <v>16279</v>
      </c>
      <c r="J1362" s="1" t="s">
        <v>16276</v>
      </c>
      <c r="K1362" s="1">
        <v>4</v>
      </c>
      <c r="L1362" s="1" t="s">
        <v>4342</v>
      </c>
      <c r="M1362" s="1">
        <v>5</v>
      </c>
      <c r="N1362" s="1" t="s">
        <v>4342</v>
      </c>
    </row>
    <row r="1363" spans="1:14" x14ac:dyDescent="0.15">
      <c r="A1363" s="1">
        <v>220</v>
      </c>
      <c r="B1363" s="1" t="s">
        <v>2886</v>
      </c>
      <c r="C1363" s="1" t="s">
        <v>2902</v>
      </c>
      <c r="D1363" s="1" t="s">
        <v>2903</v>
      </c>
      <c r="E1363" s="1" t="s">
        <v>2902</v>
      </c>
      <c r="F1363" s="1" t="s">
        <v>2903</v>
      </c>
      <c r="G1363" s="1" t="s">
        <v>2904</v>
      </c>
      <c r="H1363" s="1" t="s">
        <v>2903</v>
      </c>
      <c r="I1363" s="1" t="s">
        <v>16286</v>
      </c>
      <c r="J1363" s="1" t="s">
        <v>16283</v>
      </c>
      <c r="K1363" s="1">
        <v>4</v>
      </c>
      <c r="L1363" s="1" t="s">
        <v>4342</v>
      </c>
      <c r="M1363" s="1">
        <v>5</v>
      </c>
      <c r="N1363" s="1" t="s">
        <v>4342</v>
      </c>
    </row>
    <row r="1364" spans="1:14" x14ac:dyDescent="0.15">
      <c r="A1364" s="1">
        <v>220</v>
      </c>
      <c r="B1364" s="1" t="s">
        <v>2886</v>
      </c>
      <c r="C1364" s="1" t="s">
        <v>2902</v>
      </c>
      <c r="D1364" s="1" t="s">
        <v>2903</v>
      </c>
      <c r="E1364" s="1" t="s">
        <v>2902</v>
      </c>
      <c r="F1364" s="1" t="s">
        <v>2903</v>
      </c>
      <c r="G1364" s="1" t="s">
        <v>2904</v>
      </c>
      <c r="H1364" s="1" t="s">
        <v>2903</v>
      </c>
      <c r="I1364" s="1" t="s">
        <v>16293</v>
      </c>
      <c r="J1364" s="1" t="s">
        <v>16290</v>
      </c>
      <c r="K1364" s="1">
        <v>4</v>
      </c>
      <c r="L1364" s="1" t="s">
        <v>4342</v>
      </c>
      <c r="M1364" s="1">
        <v>5</v>
      </c>
      <c r="N1364" s="1" t="s">
        <v>4342</v>
      </c>
    </row>
    <row r="1365" spans="1:14" x14ac:dyDescent="0.15">
      <c r="A1365" s="1">
        <v>220</v>
      </c>
      <c r="B1365" s="1" t="s">
        <v>2886</v>
      </c>
      <c r="C1365" s="1" t="s">
        <v>2902</v>
      </c>
      <c r="D1365" s="1" t="s">
        <v>2903</v>
      </c>
      <c r="E1365" s="1" t="s">
        <v>2902</v>
      </c>
      <c r="F1365" s="1" t="s">
        <v>2903</v>
      </c>
      <c r="G1365" s="1" t="s">
        <v>2904</v>
      </c>
      <c r="H1365" s="1" t="s">
        <v>2903</v>
      </c>
      <c r="I1365" s="1" t="s">
        <v>16300</v>
      </c>
      <c r="J1365" s="1" t="s">
        <v>16297</v>
      </c>
      <c r="K1365" s="1">
        <v>4</v>
      </c>
      <c r="L1365" s="1" t="s">
        <v>4342</v>
      </c>
      <c r="M1365" s="1">
        <v>5</v>
      </c>
      <c r="N1365" s="1" t="s">
        <v>4342</v>
      </c>
    </row>
    <row r="1366" spans="1:14" x14ac:dyDescent="0.15">
      <c r="A1366" s="1">
        <v>220</v>
      </c>
      <c r="B1366" s="1" t="s">
        <v>2886</v>
      </c>
      <c r="C1366" s="1" t="s">
        <v>2902</v>
      </c>
      <c r="D1366" s="1" t="s">
        <v>2903</v>
      </c>
      <c r="E1366" s="1" t="s">
        <v>2902</v>
      </c>
      <c r="F1366" s="1" t="s">
        <v>2903</v>
      </c>
      <c r="G1366" s="1" t="s">
        <v>2904</v>
      </c>
      <c r="H1366" s="1" t="s">
        <v>2903</v>
      </c>
      <c r="I1366" s="1" t="s">
        <v>16321</v>
      </c>
      <c r="J1366" s="1" t="s">
        <v>16318</v>
      </c>
      <c r="K1366" s="1">
        <v>4</v>
      </c>
      <c r="L1366" s="1" t="s">
        <v>4342</v>
      </c>
      <c r="M1366" s="1">
        <v>5</v>
      </c>
      <c r="N1366" s="1" t="s">
        <v>4342</v>
      </c>
    </row>
    <row r="1367" spans="1:14" x14ac:dyDescent="0.15">
      <c r="A1367" s="1">
        <v>220</v>
      </c>
      <c r="B1367" s="1" t="s">
        <v>2886</v>
      </c>
      <c r="C1367" s="1" t="s">
        <v>2902</v>
      </c>
      <c r="D1367" s="1" t="s">
        <v>2903</v>
      </c>
      <c r="E1367" s="1" t="s">
        <v>2902</v>
      </c>
      <c r="F1367" s="1" t="s">
        <v>2903</v>
      </c>
      <c r="G1367" s="1" t="s">
        <v>2904</v>
      </c>
      <c r="H1367" s="1" t="s">
        <v>2903</v>
      </c>
      <c r="I1367" s="1" t="s">
        <v>16328</v>
      </c>
      <c r="J1367" s="1" t="s">
        <v>16325</v>
      </c>
      <c r="K1367" s="1">
        <v>4</v>
      </c>
      <c r="L1367" s="1" t="s">
        <v>4342</v>
      </c>
      <c r="M1367" s="1">
        <v>5</v>
      </c>
      <c r="N1367" s="1" t="s">
        <v>4342</v>
      </c>
    </row>
    <row r="1368" spans="1:14" x14ac:dyDescent="0.15">
      <c r="A1368" s="1">
        <v>220</v>
      </c>
      <c r="B1368" s="1" t="s">
        <v>2886</v>
      </c>
      <c r="C1368" s="1" t="s">
        <v>2902</v>
      </c>
      <c r="D1368" s="1" t="s">
        <v>2903</v>
      </c>
      <c r="E1368" s="1" t="s">
        <v>2902</v>
      </c>
      <c r="F1368" s="1" t="s">
        <v>2903</v>
      </c>
      <c r="G1368" s="1" t="s">
        <v>2904</v>
      </c>
      <c r="H1368" s="1" t="s">
        <v>2903</v>
      </c>
      <c r="I1368" s="1" t="s">
        <v>12661</v>
      </c>
      <c r="J1368" s="1" t="s">
        <v>4370</v>
      </c>
      <c r="K1368" s="1">
        <v>4</v>
      </c>
      <c r="L1368" s="1" t="s">
        <v>4342</v>
      </c>
      <c r="M1368" s="1">
        <v>5</v>
      </c>
      <c r="N1368" s="1" t="s">
        <v>4342</v>
      </c>
    </row>
    <row r="1369" spans="1:14" x14ac:dyDescent="0.15">
      <c r="A1369" s="1">
        <v>220</v>
      </c>
      <c r="B1369" s="1" t="s">
        <v>2886</v>
      </c>
      <c r="C1369" s="1" t="s">
        <v>2902</v>
      </c>
      <c r="D1369" s="1" t="s">
        <v>2903</v>
      </c>
      <c r="E1369" s="1" t="s">
        <v>2902</v>
      </c>
      <c r="F1369" s="1" t="s">
        <v>2903</v>
      </c>
      <c r="G1369" s="1" t="s">
        <v>2904</v>
      </c>
      <c r="H1369" s="1" t="s">
        <v>2903</v>
      </c>
      <c r="I1369" s="1" t="s">
        <v>12630</v>
      </c>
      <c r="J1369" s="1" t="s">
        <v>4371</v>
      </c>
      <c r="K1369" s="1">
        <v>4</v>
      </c>
      <c r="L1369" s="1" t="s">
        <v>4342</v>
      </c>
      <c r="M1369" s="1">
        <v>5</v>
      </c>
      <c r="N1369" s="1" t="s">
        <v>4342</v>
      </c>
    </row>
    <row r="1370" spans="1:14" x14ac:dyDescent="0.15">
      <c r="A1370" s="1">
        <v>220</v>
      </c>
      <c r="B1370" s="1" t="s">
        <v>2886</v>
      </c>
      <c r="C1370" s="1" t="s">
        <v>2902</v>
      </c>
      <c r="D1370" s="1" t="s">
        <v>2903</v>
      </c>
      <c r="E1370" s="1" t="s">
        <v>2902</v>
      </c>
      <c r="F1370" s="1" t="s">
        <v>2903</v>
      </c>
      <c r="G1370" s="1" t="s">
        <v>2904</v>
      </c>
      <c r="H1370" s="1" t="s">
        <v>2903</v>
      </c>
      <c r="I1370" s="1" t="s">
        <v>10445</v>
      </c>
      <c r="J1370" s="1" t="s">
        <v>4372</v>
      </c>
      <c r="K1370" s="1">
        <v>4</v>
      </c>
      <c r="L1370" s="1" t="s">
        <v>4342</v>
      </c>
      <c r="M1370" s="1">
        <v>5</v>
      </c>
      <c r="N1370" s="1" t="s">
        <v>4342</v>
      </c>
    </row>
    <row r="1371" spans="1:14" x14ac:dyDescent="0.15">
      <c r="A1371" s="1">
        <v>220</v>
      </c>
      <c r="B1371" s="1" t="s">
        <v>2886</v>
      </c>
      <c r="C1371" s="1" t="s">
        <v>2902</v>
      </c>
      <c r="D1371" s="1" t="s">
        <v>2903</v>
      </c>
      <c r="E1371" s="1" t="s">
        <v>2902</v>
      </c>
      <c r="F1371" s="1" t="s">
        <v>2903</v>
      </c>
      <c r="G1371" s="1" t="s">
        <v>2904</v>
      </c>
      <c r="H1371" s="1" t="s">
        <v>2903</v>
      </c>
      <c r="I1371" s="1" t="s">
        <v>10452</v>
      </c>
      <c r="J1371" s="1" t="s">
        <v>4373</v>
      </c>
      <c r="K1371" s="1">
        <v>4</v>
      </c>
      <c r="L1371" s="1" t="s">
        <v>4342</v>
      </c>
      <c r="M1371" s="1">
        <v>5</v>
      </c>
      <c r="N1371" s="1" t="s">
        <v>4342</v>
      </c>
    </row>
    <row r="1372" spans="1:14" x14ac:dyDescent="0.15">
      <c r="A1372" s="1">
        <v>220</v>
      </c>
      <c r="B1372" s="1" t="s">
        <v>2886</v>
      </c>
      <c r="C1372" s="1" t="s">
        <v>2902</v>
      </c>
      <c r="D1372" s="1" t="s">
        <v>2903</v>
      </c>
      <c r="E1372" s="1" t="s">
        <v>2902</v>
      </c>
      <c r="F1372" s="1" t="s">
        <v>2903</v>
      </c>
      <c r="G1372" s="1" t="s">
        <v>2904</v>
      </c>
      <c r="H1372" s="1" t="s">
        <v>2903</v>
      </c>
      <c r="I1372" s="1" t="s">
        <v>10462</v>
      </c>
      <c r="J1372" s="1" t="s">
        <v>4374</v>
      </c>
      <c r="K1372" s="1">
        <v>4</v>
      </c>
      <c r="L1372" s="1" t="s">
        <v>4342</v>
      </c>
      <c r="M1372" s="1">
        <v>5</v>
      </c>
      <c r="N1372" s="1" t="s">
        <v>4342</v>
      </c>
    </row>
    <row r="1373" spans="1:14" x14ac:dyDescent="0.15">
      <c r="A1373" s="1">
        <v>220</v>
      </c>
      <c r="B1373" s="1" t="s">
        <v>2886</v>
      </c>
      <c r="C1373" s="1" t="s">
        <v>2902</v>
      </c>
      <c r="D1373" s="1" t="s">
        <v>2903</v>
      </c>
      <c r="E1373" s="1" t="s">
        <v>2902</v>
      </c>
      <c r="F1373" s="1" t="s">
        <v>2903</v>
      </c>
      <c r="G1373" s="1" t="s">
        <v>2904</v>
      </c>
      <c r="H1373" s="1" t="s">
        <v>2903</v>
      </c>
      <c r="I1373" s="1" t="s">
        <v>10553</v>
      </c>
      <c r="J1373" s="1" t="s">
        <v>4375</v>
      </c>
      <c r="K1373" s="1">
        <v>4</v>
      </c>
      <c r="L1373" s="1" t="s">
        <v>4342</v>
      </c>
      <c r="M1373" s="1">
        <v>5</v>
      </c>
      <c r="N1373" s="1" t="s">
        <v>4342</v>
      </c>
    </row>
    <row r="1374" spans="1:14" x14ac:dyDescent="0.15">
      <c r="A1374" s="1">
        <v>220</v>
      </c>
      <c r="B1374" s="1" t="s">
        <v>2886</v>
      </c>
      <c r="C1374" s="1" t="s">
        <v>2902</v>
      </c>
      <c r="D1374" s="1" t="s">
        <v>2903</v>
      </c>
      <c r="E1374" s="1" t="s">
        <v>2902</v>
      </c>
      <c r="F1374" s="1" t="s">
        <v>2903</v>
      </c>
      <c r="G1374" s="1" t="s">
        <v>2904</v>
      </c>
      <c r="H1374" s="1" t="s">
        <v>2903</v>
      </c>
      <c r="I1374" s="1" t="s">
        <v>16335</v>
      </c>
      <c r="J1374" s="1" t="s">
        <v>16332</v>
      </c>
      <c r="K1374" s="1">
        <v>4</v>
      </c>
      <c r="L1374" s="1" t="s">
        <v>4342</v>
      </c>
      <c r="M1374" s="1">
        <v>5</v>
      </c>
      <c r="N1374" s="1" t="s">
        <v>4342</v>
      </c>
    </row>
    <row r="1375" spans="1:14" x14ac:dyDescent="0.15">
      <c r="A1375" s="1">
        <v>220</v>
      </c>
      <c r="B1375" s="1" t="s">
        <v>2886</v>
      </c>
      <c r="C1375" s="1" t="s">
        <v>2905</v>
      </c>
      <c r="D1375" s="1" t="s">
        <v>2906</v>
      </c>
      <c r="E1375" s="1" t="s">
        <v>2905</v>
      </c>
      <c r="F1375" s="1" t="s">
        <v>2906</v>
      </c>
      <c r="G1375" s="1" t="s">
        <v>2907</v>
      </c>
      <c r="H1375" s="1" t="s">
        <v>2906</v>
      </c>
      <c r="I1375" s="1" t="s">
        <v>2468</v>
      </c>
      <c r="J1375" s="1" t="s">
        <v>6588</v>
      </c>
      <c r="K1375" s="1">
        <v>4</v>
      </c>
      <c r="L1375" s="1" t="s">
        <v>4342</v>
      </c>
      <c r="M1375" s="1">
        <v>5</v>
      </c>
      <c r="N1375" s="1" t="s">
        <v>4342</v>
      </c>
    </row>
    <row r="1376" spans="1:14" x14ac:dyDescent="0.15">
      <c r="A1376" s="1">
        <v>220</v>
      </c>
      <c r="B1376" s="1" t="s">
        <v>2886</v>
      </c>
      <c r="C1376" s="1" t="s">
        <v>2905</v>
      </c>
      <c r="D1376" s="1" t="s">
        <v>2906</v>
      </c>
      <c r="E1376" s="1" t="s">
        <v>2905</v>
      </c>
      <c r="F1376" s="1" t="s">
        <v>2906</v>
      </c>
      <c r="G1376" s="1" t="s">
        <v>2907</v>
      </c>
      <c r="H1376" s="1" t="s">
        <v>2906</v>
      </c>
      <c r="I1376" s="1" t="s">
        <v>17856</v>
      </c>
      <c r="J1376" s="1" t="s">
        <v>17857</v>
      </c>
      <c r="K1376" s="1">
        <v>4</v>
      </c>
      <c r="L1376" s="1" t="s">
        <v>4342</v>
      </c>
      <c r="M1376" s="1">
        <v>5</v>
      </c>
      <c r="N1376" s="1" t="s">
        <v>4342</v>
      </c>
    </row>
    <row r="1377" spans="1:14" x14ac:dyDescent="0.15">
      <c r="A1377" s="1">
        <v>220</v>
      </c>
      <c r="B1377" s="1" t="s">
        <v>2886</v>
      </c>
      <c r="C1377" s="1" t="s">
        <v>2905</v>
      </c>
      <c r="D1377" s="1" t="s">
        <v>2906</v>
      </c>
      <c r="E1377" s="1" t="s">
        <v>2905</v>
      </c>
      <c r="F1377" s="1" t="s">
        <v>2906</v>
      </c>
      <c r="G1377" s="1" t="s">
        <v>2907</v>
      </c>
      <c r="H1377" s="1" t="s">
        <v>2906</v>
      </c>
      <c r="I1377" s="1" t="s">
        <v>17860</v>
      </c>
      <c r="J1377" s="1" t="s">
        <v>6523</v>
      </c>
      <c r="K1377" s="1">
        <v>4</v>
      </c>
      <c r="L1377" s="1" t="s">
        <v>4342</v>
      </c>
      <c r="M1377" s="1">
        <v>5</v>
      </c>
      <c r="N1377" s="1" t="s">
        <v>4342</v>
      </c>
    </row>
    <row r="1378" spans="1:14" x14ac:dyDescent="0.15">
      <c r="A1378" s="1">
        <v>220</v>
      </c>
      <c r="B1378" s="1" t="s">
        <v>2886</v>
      </c>
      <c r="C1378" s="1" t="s">
        <v>2905</v>
      </c>
      <c r="D1378" s="1" t="s">
        <v>2906</v>
      </c>
      <c r="E1378" s="1" t="s">
        <v>2905</v>
      </c>
      <c r="F1378" s="1" t="s">
        <v>2906</v>
      </c>
      <c r="G1378" s="1" t="s">
        <v>2907</v>
      </c>
      <c r="H1378" s="1" t="s">
        <v>2906</v>
      </c>
      <c r="I1378" s="1" t="s">
        <v>17864</v>
      </c>
      <c r="J1378" s="1" t="s">
        <v>17865</v>
      </c>
      <c r="K1378" s="1">
        <v>4</v>
      </c>
      <c r="L1378" s="1" t="s">
        <v>4342</v>
      </c>
      <c r="M1378" s="1">
        <v>5</v>
      </c>
      <c r="N1378" s="1" t="s">
        <v>4342</v>
      </c>
    </row>
    <row r="1379" spans="1:14" x14ac:dyDescent="0.15">
      <c r="A1379" s="1">
        <v>220</v>
      </c>
      <c r="B1379" s="1" t="s">
        <v>2886</v>
      </c>
      <c r="C1379" s="1" t="s">
        <v>2905</v>
      </c>
      <c r="D1379" s="1" t="s">
        <v>2906</v>
      </c>
      <c r="E1379" s="1" t="s">
        <v>2905</v>
      </c>
      <c r="F1379" s="1" t="s">
        <v>2906</v>
      </c>
      <c r="G1379" s="1" t="s">
        <v>2907</v>
      </c>
      <c r="H1379" s="1" t="s">
        <v>2906</v>
      </c>
      <c r="I1379" s="1" t="s">
        <v>17868</v>
      </c>
      <c r="J1379" s="1" t="s">
        <v>4319</v>
      </c>
      <c r="K1379" s="1">
        <v>4</v>
      </c>
      <c r="L1379" s="1" t="s">
        <v>4342</v>
      </c>
      <c r="M1379" s="1">
        <v>5</v>
      </c>
      <c r="N1379" s="1" t="s">
        <v>4342</v>
      </c>
    </row>
    <row r="1380" spans="1:14" x14ac:dyDescent="0.15">
      <c r="A1380" s="1">
        <v>220</v>
      </c>
      <c r="B1380" s="1" t="s">
        <v>2886</v>
      </c>
      <c r="C1380" s="1" t="s">
        <v>2905</v>
      </c>
      <c r="D1380" s="1" t="s">
        <v>2906</v>
      </c>
      <c r="E1380" s="1" t="s">
        <v>2905</v>
      </c>
      <c r="F1380" s="1" t="s">
        <v>2906</v>
      </c>
      <c r="G1380" s="1" t="s">
        <v>2907</v>
      </c>
      <c r="H1380" s="1" t="s">
        <v>2906</v>
      </c>
      <c r="I1380" s="1" t="s">
        <v>11602</v>
      </c>
      <c r="J1380" s="1" t="s">
        <v>4467</v>
      </c>
      <c r="K1380" s="1">
        <v>4</v>
      </c>
      <c r="L1380" s="1" t="s">
        <v>4342</v>
      </c>
      <c r="M1380" s="1">
        <v>5</v>
      </c>
      <c r="N1380" s="1" t="s">
        <v>4342</v>
      </c>
    </row>
    <row r="1381" spans="1:14" x14ac:dyDescent="0.15">
      <c r="A1381" s="1">
        <v>220</v>
      </c>
      <c r="B1381" s="1" t="s">
        <v>2886</v>
      </c>
      <c r="C1381" s="1" t="s">
        <v>2905</v>
      </c>
      <c r="D1381" s="1" t="s">
        <v>2906</v>
      </c>
      <c r="E1381" s="1" t="s">
        <v>2905</v>
      </c>
      <c r="F1381" s="1" t="s">
        <v>2906</v>
      </c>
      <c r="G1381" s="1" t="s">
        <v>2907</v>
      </c>
      <c r="H1381" s="1" t="s">
        <v>2906</v>
      </c>
      <c r="I1381" s="1" t="s">
        <v>17872</v>
      </c>
      <c r="J1381" s="1" t="s">
        <v>17873</v>
      </c>
      <c r="K1381" s="1">
        <v>4</v>
      </c>
      <c r="L1381" s="1" t="s">
        <v>4342</v>
      </c>
      <c r="M1381" s="1">
        <v>5</v>
      </c>
      <c r="N1381" s="1" t="s">
        <v>4342</v>
      </c>
    </row>
    <row r="1382" spans="1:14" x14ac:dyDescent="0.15">
      <c r="A1382" s="1">
        <v>220</v>
      </c>
      <c r="B1382" s="1" t="s">
        <v>2886</v>
      </c>
      <c r="C1382" s="1" t="s">
        <v>2905</v>
      </c>
      <c r="D1382" s="1" t="s">
        <v>2906</v>
      </c>
      <c r="E1382" s="1" t="s">
        <v>2905</v>
      </c>
      <c r="F1382" s="1" t="s">
        <v>2906</v>
      </c>
      <c r="G1382" s="1" t="s">
        <v>2907</v>
      </c>
      <c r="H1382" s="1" t="s">
        <v>2906</v>
      </c>
      <c r="I1382" s="1" t="s">
        <v>17880</v>
      </c>
      <c r="J1382" s="1" t="s">
        <v>17881</v>
      </c>
      <c r="K1382" s="1">
        <v>4</v>
      </c>
      <c r="L1382" s="1" t="s">
        <v>4342</v>
      </c>
      <c r="M1382" s="1">
        <v>5</v>
      </c>
      <c r="N1382" s="1" t="s">
        <v>4342</v>
      </c>
    </row>
    <row r="1383" spans="1:14" x14ac:dyDescent="0.15">
      <c r="A1383" s="1">
        <v>220</v>
      </c>
      <c r="B1383" s="1" t="s">
        <v>2886</v>
      </c>
      <c r="C1383" s="1" t="s">
        <v>2905</v>
      </c>
      <c r="D1383" s="1" t="s">
        <v>2906</v>
      </c>
      <c r="E1383" s="1" t="s">
        <v>2905</v>
      </c>
      <c r="F1383" s="1" t="s">
        <v>2906</v>
      </c>
      <c r="G1383" s="1" t="s">
        <v>2907</v>
      </c>
      <c r="H1383" s="1" t="s">
        <v>2906</v>
      </c>
      <c r="I1383" s="1" t="s">
        <v>17884</v>
      </c>
      <c r="J1383" s="1" t="s">
        <v>6528</v>
      </c>
      <c r="K1383" s="1">
        <v>4</v>
      </c>
      <c r="L1383" s="1" t="s">
        <v>4342</v>
      </c>
      <c r="M1383" s="1">
        <v>5</v>
      </c>
      <c r="N1383" s="1" t="s">
        <v>4342</v>
      </c>
    </row>
    <row r="1384" spans="1:14" x14ac:dyDescent="0.15">
      <c r="A1384" s="1">
        <v>220</v>
      </c>
      <c r="B1384" s="1" t="s">
        <v>2886</v>
      </c>
      <c r="C1384" s="1" t="s">
        <v>2905</v>
      </c>
      <c r="D1384" s="1" t="s">
        <v>2906</v>
      </c>
      <c r="E1384" s="1" t="s">
        <v>2905</v>
      </c>
      <c r="F1384" s="1" t="s">
        <v>2906</v>
      </c>
      <c r="G1384" s="1" t="s">
        <v>2907</v>
      </c>
      <c r="H1384" s="1" t="s">
        <v>2906</v>
      </c>
      <c r="I1384" s="1" t="s">
        <v>17888</v>
      </c>
      <c r="J1384" s="1" t="s">
        <v>17889</v>
      </c>
      <c r="K1384" s="1">
        <v>4</v>
      </c>
      <c r="L1384" s="1" t="s">
        <v>4342</v>
      </c>
      <c r="M1384" s="1">
        <v>5</v>
      </c>
      <c r="N1384" s="1" t="s">
        <v>4342</v>
      </c>
    </row>
    <row r="1385" spans="1:14" x14ac:dyDescent="0.15">
      <c r="A1385" s="1">
        <v>220</v>
      </c>
      <c r="B1385" s="1" t="s">
        <v>2886</v>
      </c>
      <c r="C1385" s="1" t="s">
        <v>2905</v>
      </c>
      <c r="D1385" s="1" t="s">
        <v>2906</v>
      </c>
      <c r="E1385" s="1" t="s">
        <v>2905</v>
      </c>
      <c r="F1385" s="1" t="s">
        <v>2906</v>
      </c>
      <c r="G1385" s="1" t="s">
        <v>2907</v>
      </c>
      <c r="H1385" s="1" t="s">
        <v>2906</v>
      </c>
      <c r="I1385" s="1" t="s">
        <v>17896</v>
      </c>
      <c r="J1385" s="1" t="s">
        <v>6533</v>
      </c>
      <c r="K1385" s="1">
        <v>4</v>
      </c>
      <c r="L1385" s="1" t="s">
        <v>4342</v>
      </c>
      <c r="M1385" s="1">
        <v>5</v>
      </c>
      <c r="N1385" s="1" t="s">
        <v>4342</v>
      </c>
    </row>
    <row r="1386" spans="1:14" x14ac:dyDescent="0.15">
      <c r="A1386" s="1">
        <v>220</v>
      </c>
      <c r="B1386" s="1" t="s">
        <v>2886</v>
      </c>
      <c r="C1386" s="1" t="s">
        <v>2905</v>
      </c>
      <c r="D1386" s="1" t="s">
        <v>2906</v>
      </c>
      <c r="E1386" s="1" t="s">
        <v>2905</v>
      </c>
      <c r="F1386" s="1" t="s">
        <v>2906</v>
      </c>
      <c r="G1386" s="1" t="s">
        <v>2907</v>
      </c>
      <c r="H1386" s="1" t="s">
        <v>2906</v>
      </c>
      <c r="I1386" s="1" t="s">
        <v>17900</v>
      </c>
      <c r="J1386" s="1" t="s">
        <v>4320</v>
      </c>
      <c r="K1386" s="1">
        <v>4</v>
      </c>
      <c r="L1386" s="1" t="s">
        <v>4342</v>
      </c>
      <c r="M1386" s="1">
        <v>5</v>
      </c>
      <c r="N1386" s="1" t="s">
        <v>4342</v>
      </c>
    </row>
    <row r="1387" spans="1:14" x14ac:dyDescent="0.15">
      <c r="A1387" s="1">
        <v>220</v>
      </c>
      <c r="B1387" s="1" t="s">
        <v>2886</v>
      </c>
      <c r="C1387" s="1" t="s">
        <v>2905</v>
      </c>
      <c r="D1387" s="1" t="s">
        <v>2906</v>
      </c>
      <c r="E1387" s="1" t="s">
        <v>2905</v>
      </c>
      <c r="F1387" s="1" t="s">
        <v>2906</v>
      </c>
      <c r="G1387" s="1" t="s">
        <v>2907</v>
      </c>
      <c r="H1387" s="1" t="s">
        <v>2906</v>
      </c>
      <c r="I1387" s="1" t="s">
        <v>17904</v>
      </c>
      <c r="J1387" s="1" t="s">
        <v>6537</v>
      </c>
      <c r="K1387" s="1">
        <v>4</v>
      </c>
      <c r="L1387" s="1" t="s">
        <v>4342</v>
      </c>
      <c r="M1387" s="1">
        <v>5</v>
      </c>
      <c r="N1387" s="1" t="s">
        <v>4342</v>
      </c>
    </row>
    <row r="1388" spans="1:14" x14ac:dyDescent="0.15">
      <c r="A1388" s="1">
        <v>220</v>
      </c>
      <c r="B1388" s="1" t="s">
        <v>2886</v>
      </c>
      <c r="C1388" s="1" t="s">
        <v>2905</v>
      </c>
      <c r="D1388" s="1" t="s">
        <v>2906</v>
      </c>
      <c r="E1388" s="1" t="s">
        <v>2905</v>
      </c>
      <c r="F1388" s="1" t="s">
        <v>2906</v>
      </c>
      <c r="G1388" s="1" t="s">
        <v>2907</v>
      </c>
      <c r="H1388" s="1" t="s">
        <v>2906</v>
      </c>
      <c r="I1388" s="1" t="s">
        <v>17908</v>
      </c>
      <c r="J1388" s="1" t="s">
        <v>6539</v>
      </c>
      <c r="K1388" s="1">
        <v>4</v>
      </c>
      <c r="L1388" s="1" t="s">
        <v>4342</v>
      </c>
      <c r="M1388" s="1">
        <v>5</v>
      </c>
      <c r="N1388" s="1" t="s">
        <v>4342</v>
      </c>
    </row>
    <row r="1389" spans="1:14" x14ac:dyDescent="0.15">
      <c r="A1389" s="1">
        <v>220</v>
      </c>
      <c r="B1389" s="1" t="s">
        <v>2886</v>
      </c>
      <c r="C1389" s="1" t="s">
        <v>2905</v>
      </c>
      <c r="D1389" s="1" t="s">
        <v>2906</v>
      </c>
      <c r="E1389" s="1" t="s">
        <v>2905</v>
      </c>
      <c r="F1389" s="1" t="s">
        <v>2906</v>
      </c>
      <c r="G1389" s="1" t="s">
        <v>2907</v>
      </c>
      <c r="H1389" s="1" t="s">
        <v>2906</v>
      </c>
      <c r="I1389" s="1" t="s">
        <v>17912</v>
      </c>
      <c r="J1389" s="1" t="s">
        <v>6546</v>
      </c>
      <c r="K1389" s="1">
        <v>4</v>
      </c>
      <c r="L1389" s="1" t="s">
        <v>4342</v>
      </c>
      <c r="M1389" s="1">
        <v>5</v>
      </c>
      <c r="N1389" s="1" t="s">
        <v>4342</v>
      </c>
    </row>
    <row r="1390" spans="1:14" x14ac:dyDescent="0.15">
      <c r="A1390" s="1">
        <v>220</v>
      </c>
      <c r="B1390" s="1" t="s">
        <v>2886</v>
      </c>
      <c r="C1390" s="1" t="s">
        <v>2905</v>
      </c>
      <c r="D1390" s="1" t="s">
        <v>2906</v>
      </c>
      <c r="E1390" s="1" t="s">
        <v>2905</v>
      </c>
      <c r="F1390" s="1" t="s">
        <v>2906</v>
      </c>
      <c r="G1390" s="1" t="s">
        <v>2907</v>
      </c>
      <c r="H1390" s="1" t="s">
        <v>2906</v>
      </c>
      <c r="I1390" s="1" t="s">
        <v>17920</v>
      </c>
      <c r="J1390" s="1" t="s">
        <v>2908</v>
      </c>
      <c r="K1390" s="1">
        <v>4</v>
      </c>
      <c r="L1390" s="1" t="s">
        <v>4342</v>
      </c>
      <c r="M1390" s="1">
        <v>5</v>
      </c>
      <c r="N1390" s="1" t="s">
        <v>4342</v>
      </c>
    </row>
    <row r="1391" spans="1:14" x14ac:dyDescent="0.15">
      <c r="A1391" s="1">
        <v>220</v>
      </c>
      <c r="B1391" s="1" t="s">
        <v>2886</v>
      </c>
      <c r="C1391" s="1" t="s">
        <v>2905</v>
      </c>
      <c r="D1391" s="1" t="s">
        <v>2906</v>
      </c>
      <c r="E1391" s="1" t="s">
        <v>2905</v>
      </c>
      <c r="F1391" s="1" t="s">
        <v>2906</v>
      </c>
      <c r="G1391" s="1" t="s">
        <v>2907</v>
      </c>
      <c r="H1391" s="1" t="s">
        <v>2906</v>
      </c>
      <c r="I1391" s="1" t="s">
        <v>17932</v>
      </c>
      <c r="J1391" s="1" t="s">
        <v>6556</v>
      </c>
      <c r="K1391" s="1">
        <v>4</v>
      </c>
      <c r="L1391" s="1" t="s">
        <v>4342</v>
      </c>
      <c r="M1391" s="1">
        <v>5</v>
      </c>
      <c r="N1391" s="1" t="s">
        <v>4342</v>
      </c>
    </row>
    <row r="1392" spans="1:14" x14ac:dyDescent="0.15">
      <c r="A1392" s="1">
        <v>220</v>
      </c>
      <c r="B1392" s="1" t="s">
        <v>2886</v>
      </c>
      <c r="C1392" s="1" t="s">
        <v>2905</v>
      </c>
      <c r="D1392" s="1" t="s">
        <v>2906</v>
      </c>
      <c r="E1392" s="1" t="s">
        <v>2905</v>
      </c>
      <c r="F1392" s="1" t="s">
        <v>2906</v>
      </c>
      <c r="G1392" s="1" t="s">
        <v>2907</v>
      </c>
      <c r="H1392" s="1" t="s">
        <v>2906</v>
      </c>
      <c r="I1392" s="1" t="s">
        <v>17936</v>
      </c>
      <c r="J1392" s="1" t="s">
        <v>6558</v>
      </c>
      <c r="K1392" s="1">
        <v>4</v>
      </c>
      <c r="L1392" s="1" t="s">
        <v>4342</v>
      </c>
      <c r="M1392" s="1">
        <v>5</v>
      </c>
      <c r="N1392" s="1" t="s">
        <v>4342</v>
      </c>
    </row>
    <row r="1393" spans="1:14" x14ac:dyDescent="0.15">
      <c r="A1393" s="1">
        <v>220</v>
      </c>
      <c r="B1393" s="1" t="s">
        <v>2886</v>
      </c>
      <c r="C1393" s="1" t="s">
        <v>2905</v>
      </c>
      <c r="D1393" s="1" t="s">
        <v>2906</v>
      </c>
      <c r="E1393" s="1" t="s">
        <v>2905</v>
      </c>
      <c r="F1393" s="1" t="s">
        <v>2906</v>
      </c>
      <c r="G1393" s="1" t="s">
        <v>2907</v>
      </c>
      <c r="H1393" s="1" t="s">
        <v>2906</v>
      </c>
      <c r="I1393" s="1" t="s">
        <v>17940</v>
      </c>
      <c r="J1393" s="1" t="s">
        <v>2909</v>
      </c>
      <c r="K1393" s="1">
        <v>4</v>
      </c>
      <c r="L1393" s="1" t="s">
        <v>4342</v>
      </c>
      <c r="M1393" s="1">
        <v>5</v>
      </c>
      <c r="N1393" s="1" t="s">
        <v>4342</v>
      </c>
    </row>
    <row r="1394" spans="1:14" x14ac:dyDescent="0.15">
      <c r="A1394" s="1">
        <v>220</v>
      </c>
      <c r="B1394" s="1" t="s">
        <v>2886</v>
      </c>
      <c r="C1394" s="1" t="s">
        <v>2905</v>
      </c>
      <c r="D1394" s="1" t="s">
        <v>2906</v>
      </c>
      <c r="E1394" s="1" t="s">
        <v>2905</v>
      </c>
      <c r="F1394" s="1" t="s">
        <v>2906</v>
      </c>
      <c r="G1394" s="1" t="s">
        <v>2907</v>
      </c>
      <c r="H1394" s="1" t="s">
        <v>2906</v>
      </c>
      <c r="I1394" s="1" t="s">
        <v>17948</v>
      </c>
      <c r="J1394" s="1" t="s">
        <v>6564</v>
      </c>
      <c r="K1394" s="1">
        <v>4</v>
      </c>
      <c r="L1394" s="1" t="s">
        <v>4342</v>
      </c>
      <c r="M1394" s="1">
        <v>5</v>
      </c>
      <c r="N1394" s="1" t="s">
        <v>4342</v>
      </c>
    </row>
    <row r="1395" spans="1:14" x14ac:dyDescent="0.15">
      <c r="A1395" s="1">
        <v>220</v>
      </c>
      <c r="B1395" s="1" t="s">
        <v>2886</v>
      </c>
      <c r="C1395" s="1" t="s">
        <v>2905</v>
      </c>
      <c r="D1395" s="1" t="s">
        <v>2906</v>
      </c>
      <c r="E1395" s="1" t="s">
        <v>2905</v>
      </c>
      <c r="F1395" s="1" t="s">
        <v>2906</v>
      </c>
      <c r="G1395" s="1" t="s">
        <v>2907</v>
      </c>
      <c r="H1395" s="1" t="s">
        <v>2906</v>
      </c>
      <c r="I1395" s="1" t="s">
        <v>17952</v>
      </c>
      <c r="J1395" s="1" t="s">
        <v>6566</v>
      </c>
      <c r="K1395" s="1">
        <v>4</v>
      </c>
      <c r="L1395" s="1" t="s">
        <v>4342</v>
      </c>
      <c r="M1395" s="1">
        <v>5</v>
      </c>
      <c r="N1395" s="1" t="s">
        <v>4342</v>
      </c>
    </row>
    <row r="1396" spans="1:14" x14ac:dyDescent="0.15">
      <c r="A1396" s="1">
        <v>220</v>
      </c>
      <c r="B1396" s="1" t="s">
        <v>2886</v>
      </c>
      <c r="C1396" s="1" t="s">
        <v>2905</v>
      </c>
      <c r="D1396" s="1" t="s">
        <v>2906</v>
      </c>
      <c r="E1396" s="1" t="s">
        <v>2905</v>
      </c>
      <c r="F1396" s="1" t="s">
        <v>2906</v>
      </c>
      <c r="G1396" s="1" t="s">
        <v>2907</v>
      </c>
      <c r="H1396" s="1" t="s">
        <v>2906</v>
      </c>
      <c r="I1396" s="1" t="s">
        <v>17956</v>
      </c>
      <c r="J1396" s="1" t="s">
        <v>17957</v>
      </c>
      <c r="K1396" s="1">
        <v>4</v>
      </c>
      <c r="L1396" s="1" t="s">
        <v>4342</v>
      </c>
      <c r="M1396" s="1">
        <v>5</v>
      </c>
      <c r="N1396" s="1" t="s">
        <v>4342</v>
      </c>
    </row>
    <row r="1397" spans="1:14" x14ac:dyDescent="0.15">
      <c r="A1397" s="1">
        <v>220</v>
      </c>
      <c r="B1397" s="1" t="s">
        <v>2886</v>
      </c>
      <c r="C1397" s="1" t="s">
        <v>2905</v>
      </c>
      <c r="D1397" s="1" t="s">
        <v>2906</v>
      </c>
      <c r="E1397" s="1" t="s">
        <v>2905</v>
      </c>
      <c r="F1397" s="1" t="s">
        <v>2906</v>
      </c>
      <c r="G1397" s="1" t="s">
        <v>2907</v>
      </c>
      <c r="H1397" s="1" t="s">
        <v>2906</v>
      </c>
      <c r="I1397" s="1" t="s">
        <v>17960</v>
      </c>
      <c r="J1397" s="1" t="s">
        <v>2910</v>
      </c>
      <c r="K1397" s="1">
        <v>4</v>
      </c>
      <c r="L1397" s="1" t="s">
        <v>4342</v>
      </c>
      <c r="M1397" s="1">
        <v>5</v>
      </c>
      <c r="N1397" s="1" t="s">
        <v>4342</v>
      </c>
    </row>
    <row r="1398" spans="1:14" x14ac:dyDescent="0.15">
      <c r="A1398" s="1">
        <v>220</v>
      </c>
      <c r="B1398" s="1" t="s">
        <v>2886</v>
      </c>
      <c r="C1398" s="1" t="s">
        <v>2905</v>
      </c>
      <c r="D1398" s="1" t="s">
        <v>2906</v>
      </c>
      <c r="E1398" s="1" t="s">
        <v>2905</v>
      </c>
      <c r="F1398" s="1" t="s">
        <v>2906</v>
      </c>
      <c r="G1398" s="1" t="s">
        <v>2907</v>
      </c>
      <c r="H1398" s="1" t="s">
        <v>2906</v>
      </c>
      <c r="I1398" s="1" t="s">
        <v>17964</v>
      </c>
      <c r="J1398" s="1" t="s">
        <v>4323</v>
      </c>
      <c r="K1398" s="1">
        <v>4</v>
      </c>
      <c r="L1398" s="1" t="s">
        <v>4342</v>
      </c>
      <c r="M1398" s="1">
        <v>5</v>
      </c>
      <c r="N1398" s="1" t="s">
        <v>4342</v>
      </c>
    </row>
    <row r="1399" spans="1:14" x14ac:dyDescent="0.15">
      <c r="A1399" s="1">
        <v>220</v>
      </c>
      <c r="B1399" s="1" t="s">
        <v>2886</v>
      </c>
      <c r="C1399" s="1" t="s">
        <v>2905</v>
      </c>
      <c r="D1399" s="1" t="s">
        <v>2906</v>
      </c>
      <c r="E1399" s="1" t="s">
        <v>2905</v>
      </c>
      <c r="F1399" s="1" t="s">
        <v>2906</v>
      </c>
      <c r="G1399" s="1" t="s">
        <v>2907</v>
      </c>
      <c r="H1399" s="1" t="s">
        <v>2906</v>
      </c>
      <c r="I1399" s="1" t="s">
        <v>17968</v>
      </c>
      <c r="J1399" s="1" t="s">
        <v>2911</v>
      </c>
      <c r="K1399" s="1">
        <v>4</v>
      </c>
      <c r="L1399" s="1" t="s">
        <v>4342</v>
      </c>
      <c r="M1399" s="1">
        <v>5</v>
      </c>
      <c r="N1399" s="1" t="s">
        <v>4342</v>
      </c>
    </row>
    <row r="1400" spans="1:14" x14ac:dyDescent="0.15">
      <c r="A1400" s="1">
        <v>220</v>
      </c>
      <c r="B1400" s="1" t="s">
        <v>2886</v>
      </c>
      <c r="C1400" s="1" t="s">
        <v>2905</v>
      </c>
      <c r="D1400" s="1" t="s">
        <v>2906</v>
      </c>
      <c r="E1400" s="1" t="s">
        <v>2905</v>
      </c>
      <c r="F1400" s="1" t="s">
        <v>2906</v>
      </c>
      <c r="G1400" s="1" t="s">
        <v>2907</v>
      </c>
      <c r="H1400" s="1" t="s">
        <v>2906</v>
      </c>
      <c r="I1400" s="1" t="s">
        <v>17972</v>
      </c>
      <c r="J1400" s="1" t="s">
        <v>2912</v>
      </c>
      <c r="K1400" s="1">
        <v>4</v>
      </c>
      <c r="L1400" s="1" t="s">
        <v>4342</v>
      </c>
      <c r="M1400" s="1">
        <v>5</v>
      </c>
      <c r="N1400" s="1" t="s">
        <v>4342</v>
      </c>
    </row>
    <row r="1401" spans="1:14" x14ac:dyDescent="0.15">
      <c r="A1401" s="1">
        <v>220</v>
      </c>
      <c r="B1401" s="1" t="s">
        <v>2886</v>
      </c>
      <c r="C1401" s="1" t="s">
        <v>2905</v>
      </c>
      <c r="D1401" s="1" t="s">
        <v>2906</v>
      </c>
      <c r="E1401" s="1" t="s">
        <v>2905</v>
      </c>
      <c r="F1401" s="1" t="s">
        <v>2906</v>
      </c>
      <c r="G1401" s="1" t="s">
        <v>2907</v>
      </c>
      <c r="H1401" s="1" t="s">
        <v>2906</v>
      </c>
      <c r="I1401" s="1" t="s">
        <v>17980</v>
      </c>
      <c r="J1401" s="1" t="s">
        <v>17977</v>
      </c>
      <c r="K1401" s="1">
        <v>4</v>
      </c>
      <c r="L1401" s="1" t="s">
        <v>4342</v>
      </c>
      <c r="M1401" s="1">
        <v>5</v>
      </c>
      <c r="N1401" s="1" t="s">
        <v>4342</v>
      </c>
    </row>
    <row r="1402" spans="1:14" x14ac:dyDescent="0.15">
      <c r="A1402" s="1">
        <v>220</v>
      </c>
      <c r="B1402" s="1" t="s">
        <v>2886</v>
      </c>
      <c r="C1402" s="1" t="s">
        <v>2905</v>
      </c>
      <c r="D1402" s="1" t="s">
        <v>2906</v>
      </c>
      <c r="E1402" s="1" t="s">
        <v>2905</v>
      </c>
      <c r="F1402" s="1" t="s">
        <v>2906</v>
      </c>
      <c r="G1402" s="1" t="s">
        <v>2907</v>
      </c>
      <c r="H1402" s="1" t="s">
        <v>2906</v>
      </c>
      <c r="I1402" s="1" t="s">
        <v>11710</v>
      </c>
      <c r="J1402" s="1" t="s">
        <v>18011</v>
      </c>
      <c r="K1402" s="1">
        <v>4</v>
      </c>
      <c r="L1402" s="1" t="s">
        <v>4342</v>
      </c>
      <c r="M1402" s="1">
        <v>5</v>
      </c>
      <c r="N1402" s="1" t="s">
        <v>4342</v>
      </c>
    </row>
    <row r="1403" spans="1:14" x14ac:dyDescent="0.15">
      <c r="A1403" s="1">
        <v>220</v>
      </c>
      <c r="B1403" s="1" t="s">
        <v>2886</v>
      </c>
      <c r="C1403" s="1" t="s">
        <v>2905</v>
      </c>
      <c r="D1403" s="1" t="s">
        <v>2906</v>
      </c>
      <c r="E1403" s="1" t="s">
        <v>2905</v>
      </c>
      <c r="F1403" s="1" t="s">
        <v>2906</v>
      </c>
      <c r="G1403" s="1" t="s">
        <v>2907</v>
      </c>
      <c r="H1403" s="1" t="s">
        <v>2906</v>
      </c>
      <c r="I1403" s="1" t="s">
        <v>11722</v>
      </c>
      <c r="J1403" s="1" t="s">
        <v>6593</v>
      </c>
      <c r="K1403" s="1">
        <v>4</v>
      </c>
      <c r="L1403" s="1" t="s">
        <v>4342</v>
      </c>
      <c r="M1403" s="1">
        <v>5</v>
      </c>
      <c r="N1403" s="1" t="s">
        <v>4342</v>
      </c>
    </row>
    <row r="1404" spans="1:14" x14ac:dyDescent="0.15">
      <c r="A1404" s="1">
        <v>220</v>
      </c>
      <c r="B1404" s="1" t="s">
        <v>2886</v>
      </c>
      <c r="C1404" s="1" t="s">
        <v>2905</v>
      </c>
      <c r="D1404" s="1" t="s">
        <v>2906</v>
      </c>
      <c r="E1404" s="1" t="s">
        <v>2905</v>
      </c>
      <c r="F1404" s="1" t="s">
        <v>2906</v>
      </c>
      <c r="G1404" s="1" t="s">
        <v>2907</v>
      </c>
      <c r="H1404" s="1" t="s">
        <v>2906</v>
      </c>
      <c r="I1404" s="1" t="s">
        <v>11729</v>
      </c>
      <c r="J1404" s="1" t="s">
        <v>6594</v>
      </c>
      <c r="K1404" s="1">
        <v>4</v>
      </c>
      <c r="L1404" s="1" t="s">
        <v>4342</v>
      </c>
      <c r="M1404" s="1">
        <v>5</v>
      </c>
      <c r="N1404" s="1" t="s">
        <v>4342</v>
      </c>
    </row>
    <row r="1405" spans="1:14" x14ac:dyDescent="0.15">
      <c r="A1405" s="1">
        <v>220</v>
      </c>
      <c r="B1405" s="1" t="s">
        <v>2886</v>
      </c>
      <c r="C1405" s="1" t="s">
        <v>2905</v>
      </c>
      <c r="D1405" s="1" t="s">
        <v>2906</v>
      </c>
      <c r="E1405" s="1" t="s">
        <v>2905</v>
      </c>
      <c r="F1405" s="1" t="s">
        <v>2906</v>
      </c>
      <c r="G1405" s="1" t="s">
        <v>2907</v>
      </c>
      <c r="H1405" s="1" t="s">
        <v>2906</v>
      </c>
      <c r="I1405" s="1" t="s">
        <v>11739</v>
      </c>
      <c r="J1405" s="1" t="s">
        <v>6595</v>
      </c>
      <c r="K1405" s="1">
        <v>4</v>
      </c>
      <c r="L1405" s="1" t="s">
        <v>4342</v>
      </c>
      <c r="M1405" s="1">
        <v>5</v>
      </c>
      <c r="N1405" s="1" t="s">
        <v>4342</v>
      </c>
    </row>
    <row r="1406" spans="1:14" x14ac:dyDescent="0.15">
      <c r="A1406" s="1">
        <v>220</v>
      </c>
      <c r="B1406" s="1" t="s">
        <v>2886</v>
      </c>
      <c r="C1406" s="1" t="s">
        <v>2905</v>
      </c>
      <c r="D1406" s="1" t="s">
        <v>2906</v>
      </c>
      <c r="E1406" s="1" t="s">
        <v>2905</v>
      </c>
      <c r="F1406" s="1" t="s">
        <v>2906</v>
      </c>
      <c r="G1406" s="1" t="s">
        <v>2907</v>
      </c>
      <c r="H1406" s="1" t="s">
        <v>2906</v>
      </c>
      <c r="I1406" s="1" t="s">
        <v>11748</v>
      </c>
      <c r="J1406" s="1" t="s">
        <v>18031</v>
      </c>
      <c r="K1406" s="1">
        <v>4</v>
      </c>
      <c r="L1406" s="1" t="s">
        <v>4342</v>
      </c>
      <c r="M1406" s="1">
        <v>5</v>
      </c>
      <c r="N1406" s="1" t="s">
        <v>4342</v>
      </c>
    </row>
    <row r="1407" spans="1:14" x14ac:dyDescent="0.15">
      <c r="A1407" s="1">
        <v>220</v>
      </c>
      <c r="B1407" s="1" t="s">
        <v>2886</v>
      </c>
      <c r="C1407" s="1" t="s">
        <v>2905</v>
      </c>
      <c r="D1407" s="1" t="s">
        <v>2906</v>
      </c>
      <c r="E1407" s="1" t="s">
        <v>2905</v>
      </c>
      <c r="F1407" s="1" t="s">
        <v>2906</v>
      </c>
      <c r="G1407" s="1" t="s">
        <v>2907</v>
      </c>
      <c r="H1407" s="1" t="s">
        <v>2906</v>
      </c>
      <c r="I1407" s="1" t="s">
        <v>11751</v>
      </c>
      <c r="J1407" s="1" t="s">
        <v>4324</v>
      </c>
      <c r="K1407" s="1">
        <v>4</v>
      </c>
      <c r="L1407" s="1" t="s">
        <v>4342</v>
      </c>
      <c r="M1407" s="1">
        <v>5</v>
      </c>
      <c r="N1407" s="1" t="s">
        <v>4342</v>
      </c>
    </row>
    <row r="1408" spans="1:14" x14ac:dyDescent="0.15">
      <c r="A1408" s="1">
        <v>220</v>
      </c>
      <c r="B1408" s="1" t="s">
        <v>2886</v>
      </c>
      <c r="C1408" s="1" t="s">
        <v>2905</v>
      </c>
      <c r="D1408" s="1" t="s">
        <v>2906</v>
      </c>
      <c r="E1408" s="1" t="s">
        <v>2905</v>
      </c>
      <c r="F1408" s="1" t="s">
        <v>2906</v>
      </c>
      <c r="G1408" s="1" t="s">
        <v>2907</v>
      </c>
      <c r="H1408" s="1" t="s">
        <v>2906</v>
      </c>
      <c r="I1408" s="1" t="s">
        <v>11754</v>
      </c>
      <c r="J1408" s="1" t="s">
        <v>4325</v>
      </c>
      <c r="K1408" s="1">
        <v>4</v>
      </c>
      <c r="L1408" s="1" t="s">
        <v>4342</v>
      </c>
      <c r="M1408" s="1">
        <v>5</v>
      </c>
      <c r="N1408" s="1" t="s">
        <v>4342</v>
      </c>
    </row>
    <row r="1409" spans="1:14" x14ac:dyDescent="0.15">
      <c r="A1409" s="1">
        <v>220</v>
      </c>
      <c r="B1409" s="1" t="s">
        <v>2886</v>
      </c>
      <c r="C1409" s="1" t="s">
        <v>2905</v>
      </c>
      <c r="D1409" s="1" t="s">
        <v>2906</v>
      </c>
      <c r="E1409" s="1" t="s">
        <v>2905</v>
      </c>
      <c r="F1409" s="1" t="s">
        <v>2906</v>
      </c>
      <c r="G1409" s="1" t="s">
        <v>2907</v>
      </c>
      <c r="H1409" s="1" t="s">
        <v>2906</v>
      </c>
      <c r="I1409" s="1" t="s">
        <v>11758</v>
      </c>
      <c r="J1409" s="1" t="s">
        <v>18039</v>
      </c>
      <c r="K1409" s="1">
        <v>4</v>
      </c>
      <c r="L1409" s="1" t="s">
        <v>4342</v>
      </c>
      <c r="M1409" s="1">
        <v>5</v>
      </c>
      <c r="N1409" s="1" t="s">
        <v>4342</v>
      </c>
    </row>
    <row r="1410" spans="1:14" x14ac:dyDescent="0.15">
      <c r="A1410" s="1">
        <v>220</v>
      </c>
      <c r="B1410" s="1" t="s">
        <v>2886</v>
      </c>
      <c r="C1410" s="1" t="s">
        <v>2905</v>
      </c>
      <c r="D1410" s="1" t="s">
        <v>2906</v>
      </c>
      <c r="E1410" s="1" t="s">
        <v>2905</v>
      </c>
      <c r="F1410" s="1" t="s">
        <v>2906</v>
      </c>
      <c r="G1410" s="1" t="s">
        <v>2907</v>
      </c>
      <c r="H1410" s="1" t="s">
        <v>2906</v>
      </c>
      <c r="I1410" s="1" t="s">
        <v>11763</v>
      </c>
      <c r="J1410" s="1" t="s">
        <v>2472</v>
      </c>
      <c r="K1410" s="1">
        <v>4</v>
      </c>
      <c r="L1410" s="1" t="s">
        <v>4342</v>
      </c>
      <c r="M1410" s="1">
        <v>5</v>
      </c>
      <c r="N1410" s="1" t="s">
        <v>4342</v>
      </c>
    </row>
    <row r="1411" spans="1:14" x14ac:dyDescent="0.15">
      <c r="A1411" s="1">
        <v>220</v>
      </c>
      <c r="B1411" s="1" t="s">
        <v>2886</v>
      </c>
      <c r="C1411" s="1" t="s">
        <v>2905</v>
      </c>
      <c r="D1411" s="1" t="s">
        <v>2906</v>
      </c>
      <c r="E1411" s="1" t="s">
        <v>2905</v>
      </c>
      <c r="F1411" s="1" t="s">
        <v>2906</v>
      </c>
      <c r="G1411" s="1" t="s">
        <v>2907</v>
      </c>
      <c r="H1411" s="1" t="s">
        <v>2906</v>
      </c>
      <c r="I1411" s="1" t="s">
        <v>11773</v>
      </c>
      <c r="J1411" s="1" t="s">
        <v>18054</v>
      </c>
      <c r="K1411" s="1">
        <v>4</v>
      </c>
      <c r="L1411" s="1" t="s">
        <v>4342</v>
      </c>
      <c r="M1411" s="1">
        <v>5</v>
      </c>
      <c r="N1411" s="1" t="s">
        <v>4342</v>
      </c>
    </row>
    <row r="1412" spans="1:14" x14ac:dyDescent="0.15">
      <c r="A1412" s="1">
        <v>220</v>
      </c>
      <c r="B1412" s="1" t="s">
        <v>2886</v>
      </c>
      <c r="C1412" s="1" t="s">
        <v>2905</v>
      </c>
      <c r="D1412" s="1" t="s">
        <v>2906</v>
      </c>
      <c r="E1412" s="1" t="s">
        <v>2905</v>
      </c>
      <c r="F1412" s="1" t="s">
        <v>2906</v>
      </c>
      <c r="G1412" s="1" t="s">
        <v>2907</v>
      </c>
      <c r="H1412" s="1" t="s">
        <v>2906</v>
      </c>
      <c r="I1412" s="1" t="s">
        <v>11227</v>
      </c>
      <c r="J1412" s="1" t="s">
        <v>18058</v>
      </c>
      <c r="K1412" s="1">
        <v>4</v>
      </c>
      <c r="L1412" s="1" t="s">
        <v>4342</v>
      </c>
      <c r="M1412" s="1">
        <v>5</v>
      </c>
      <c r="N1412" s="1" t="s">
        <v>4342</v>
      </c>
    </row>
    <row r="1413" spans="1:14" x14ac:dyDescent="0.15">
      <c r="A1413" s="1">
        <v>220</v>
      </c>
      <c r="B1413" s="1" t="s">
        <v>2886</v>
      </c>
      <c r="C1413" s="1" t="s">
        <v>2905</v>
      </c>
      <c r="D1413" s="1" t="s">
        <v>2906</v>
      </c>
      <c r="E1413" s="1" t="s">
        <v>2905</v>
      </c>
      <c r="F1413" s="1" t="s">
        <v>2906</v>
      </c>
      <c r="G1413" s="1" t="s">
        <v>2907</v>
      </c>
      <c r="H1413" s="1" t="s">
        <v>2906</v>
      </c>
      <c r="I1413" s="1" t="s">
        <v>11230</v>
      </c>
      <c r="J1413" s="1" t="s">
        <v>6606</v>
      </c>
      <c r="K1413" s="1">
        <v>4</v>
      </c>
      <c r="L1413" s="1" t="s">
        <v>4342</v>
      </c>
      <c r="M1413" s="1">
        <v>5</v>
      </c>
      <c r="N1413" s="1" t="s">
        <v>4342</v>
      </c>
    </row>
    <row r="1414" spans="1:14" x14ac:dyDescent="0.15">
      <c r="A1414" s="1">
        <v>220</v>
      </c>
      <c r="B1414" s="1" t="s">
        <v>2886</v>
      </c>
      <c r="C1414" s="1" t="s">
        <v>2905</v>
      </c>
      <c r="D1414" s="1" t="s">
        <v>2906</v>
      </c>
      <c r="E1414" s="1" t="s">
        <v>2905</v>
      </c>
      <c r="F1414" s="1" t="s">
        <v>2906</v>
      </c>
      <c r="G1414" s="1" t="s">
        <v>2907</v>
      </c>
      <c r="H1414" s="1" t="s">
        <v>2906</v>
      </c>
      <c r="I1414" s="1" t="s">
        <v>11233</v>
      </c>
      <c r="J1414" s="1" t="s">
        <v>2477</v>
      </c>
      <c r="K1414" s="1">
        <v>4</v>
      </c>
      <c r="L1414" s="1" t="s">
        <v>4342</v>
      </c>
      <c r="M1414" s="1">
        <v>5</v>
      </c>
      <c r="N1414" s="1" t="s">
        <v>4342</v>
      </c>
    </row>
    <row r="1415" spans="1:14" x14ac:dyDescent="0.15">
      <c r="A1415" s="1">
        <v>220</v>
      </c>
      <c r="B1415" s="1" t="s">
        <v>2886</v>
      </c>
      <c r="C1415" s="1" t="s">
        <v>2905</v>
      </c>
      <c r="D1415" s="1" t="s">
        <v>2906</v>
      </c>
      <c r="E1415" s="1" t="s">
        <v>2905</v>
      </c>
      <c r="F1415" s="1" t="s">
        <v>2906</v>
      </c>
      <c r="G1415" s="1" t="s">
        <v>2907</v>
      </c>
      <c r="H1415" s="1" t="s">
        <v>2906</v>
      </c>
      <c r="I1415" s="1" t="s">
        <v>11244</v>
      </c>
      <c r="J1415" s="1" t="s">
        <v>6610</v>
      </c>
      <c r="K1415" s="1">
        <v>4</v>
      </c>
      <c r="L1415" s="1" t="s">
        <v>4342</v>
      </c>
      <c r="M1415" s="1">
        <v>5</v>
      </c>
      <c r="N1415" s="1" t="s">
        <v>4342</v>
      </c>
    </row>
    <row r="1416" spans="1:14" x14ac:dyDescent="0.15">
      <c r="A1416" s="1">
        <v>220</v>
      </c>
      <c r="B1416" s="1" t="s">
        <v>2886</v>
      </c>
      <c r="C1416" s="1" t="s">
        <v>2905</v>
      </c>
      <c r="D1416" s="1" t="s">
        <v>2906</v>
      </c>
      <c r="E1416" s="1" t="s">
        <v>2905</v>
      </c>
      <c r="F1416" s="1" t="s">
        <v>2906</v>
      </c>
      <c r="G1416" s="1" t="s">
        <v>2907</v>
      </c>
      <c r="H1416" s="1" t="s">
        <v>2906</v>
      </c>
      <c r="I1416" s="1" t="s">
        <v>12607</v>
      </c>
      <c r="J1416" s="1" t="s">
        <v>18082</v>
      </c>
      <c r="K1416" s="1">
        <v>4</v>
      </c>
      <c r="L1416" s="1" t="s">
        <v>4342</v>
      </c>
      <c r="M1416" s="1">
        <v>5</v>
      </c>
      <c r="N1416" s="1" t="s">
        <v>4342</v>
      </c>
    </row>
    <row r="1417" spans="1:14" x14ac:dyDescent="0.15">
      <c r="A1417" s="1">
        <v>220</v>
      </c>
      <c r="B1417" s="1" t="s">
        <v>2886</v>
      </c>
      <c r="C1417" s="1" t="s">
        <v>2905</v>
      </c>
      <c r="D1417" s="1" t="s">
        <v>2906</v>
      </c>
      <c r="E1417" s="1" t="s">
        <v>2905</v>
      </c>
      <c r="F1417" s="1" t="s">
        <v>2906</v>
      </c>
      <c r="G1417" s="1" t="s">
        <v>2907</v>
      </c>
      <c r="H1417" s="1" t="s">
        <v>2906</v>
      </c>
      <c r="I1417" s="1" t="s">
        <v>11248</v>
      </c>
      <c r="J1417" s="1" t="s">
        <v>18086</v>
      </c>
      <c r="K1417" s="1">
        <v>4</v>
      </c>
      <c r="L1417" s="1" t="s">
        <v>4342</v>
      </c>
      <c r="M1417" s="1">
        <v>5</v>
      </c>
      <c r="N1417" s="1" t="s">
        <v>4342</v>
      </c>
    </row>
    <row r="1418" spans="1:14" x14ac:dyDescent="0.15">
      <c r="A1418" s="1">
        <v>220</v>
      </c>
      <c r="B1418" s="1" t="s">
        <v>2886</v>
      </c>
      <c r="C1418" s="1" t="s">
        <v>2905</v>
      </c>
      <c r="D1418" s="1" t="s">
        <v>2906</v>
      </c>
      <c r="E1418" s="1" t="s">
        <v>2905</v>
      </c>
      <c r="F1418" s="1" t="s">
        <v>2906</v>
      </c>
      <c r="G1418" s="1" t="s">
        <v>2907</v>
      </c>
      <c r="H1418" s="1" t="s">
        <v>2906</v>
      </c>
      <c r="I1418" s="1" t="s">
        <v>11251</v>
      </c>
      <c r="J1418" s="1" t="s">
        <v>2478</v>
      </c>
      <c r="K1418" s="1">
        <v>4</v>
      </c>
      <c r="L1418" s="1" t="s">
        <v>4342</v>
      </c>
      <c r="M1418" s="1">
        <v>5</v>
      </c>
      <c r="N1418" s="1" t="s">
        <v>4342</v>
      </c>
    </row>
    <row r="1419" spans="1:14" x14ac:dyDescent="0.15">
      <c r="A1419" s="1">
        <v>220</v>
      </c>
      <c r="B1419" s="1" t="s">
        <v>2886</v>
      </c>
      <c r="C1419" s="1" t="s">
        <v>2905</v>
      </c>
      <c r="D1419" s="1" t="s">
        <v>2906</v>
      </c>
      <c r="E1419" s="1" t="s">
        <v>2905</v>
      </c>
      <c r="F1419" s="1" t="s">
        <v>2906</v>
      </c>
      <c r="G1419" s="1" t="s">
        <v>2907</v>
      </c>
      <c r="H1419" s="1" t="s">
        <v>2906</v>
      </c>
      <c r="I1419" s="1" t="s">
        <v>17987</v>
      </c>
      <c r="J1419" s="1" t="s">
        <v>2913</v>
      </c>
      <c r="K1419" s="1">
        <v>4</v>
      </c>
      <c r="L1419" s="1" t="s">
        <v>4342</v>
      </c>
      <c r="M1419" s="1">
        <v>5</v>
      </c>
      <c r="N1419" s="1" t="s">
        <v>4342</v>
      </c>
    </row>
    <row r="1420" spans="1:14" x14ac:dyDescent="0.15">
      <c r="A1420" s="1">
        <v>220</v>
      </c>
      <c r="B1420" s="1" t="s">
        <v>2886</v>
      </c>
      <c r="C1420" s="1" t="s">
        <v>2905</v>
      </c>
      <c r="D1420" s="1" t="s">
        <v>2906</v>
      </c>
      <c r="E1420" s="1" t="s">
        <v>2905</v>
      </c>
      <c r="F1420" s="1" t="s">
        <v>2906</v>
      </c>
      <c r="G1420" s="1" t="s">
        <v>2907</v>
      </c>
      <c r="H1420" s="1" t="s">
        <v>2906</v>
      </c>
      <c r="I1420" s="1" t="s">
        <v>16527</v>
      </c>
      <c r="J1420" s="1" t="s">
        <v>6939</v>
      </c>
      <c r="K1420" s="1">
        <v>4</v>
      </c>
      <c r="L1420" s="1" t="s">
        <v>4342</v>
      </c>
      <c r="M1420" s="1">
        <v>5</v>
      </c>
      <c r="N1420" s="1" t="s">
        <v>4342</v>
      </c>
    </row>
    <row r="1421" spans="1:14" x14ac:dyDescent="0.15">
      <c r="A1421" s="1">
        <v>220</v>
      </c>
      <c r="B1421" s="1" t="s">
        <v>2886</v>
      </c>
      <c r="C1421" s="1" t="s">
        <v>2914</v>
      </c>
      <c r="D1421" s="1" t="s">
        <v>2915</v>
      </c>
      <c r="E1421" s="1" t="s">
        <v>2914</v>
      </c>
      <c r="F1421" s="1" t="s">
        <v>2915</v>
      </c>
      <c r="G1421" s="1" t="s">
        <v>2916</v>
      </c>
      <c r="H1421" s="1" t="s">
        <v>2915</v>
      </c>
      <c r="I1421" s="1" t="s">
        <v>15812</v>
      </c>
      <c r="J1421" s="1" t="s">
        <v>6011</v>
      </c>
      <c r="K1421" s="1">
        <v>4</v>
      </c>
      <c r="L1421" s="1" t="s">
        <v>4342</v>
      </c>
      <c r="M1421" s="1">
        <v>5</v>
      </c>
      <c r="N1421" s="1" t="s">
        <v>4342</v>
      </c>
    </row>
    <row r="1422" spans="1:14" x14ac:dyDescent="0.15">
      <c r="A1422" s="1">
        <v>220</v>
      </c>
      <c r="B1422" s="1" t="s">
        <v>2886</v>
      </c>
      <c r="C1422" s="1" t="s">
        <v>2914</v>
      </c>
      <c r="D1422" s="1" t="s">
        <v>2915</v>
      </c>
      <c r="E1422" s="1" t="s">
        <v>2914</v>
      </c>
      <c r="F1422" s="1" t="s">
        <v>2915</v>
      </c>
      <c r="G1422" s="1" t="s">
        <v>2916</v>
      </c>
      <c r="H1422" s="1" t="s">
        <v>2915</v>
      </c>
      <c r="I1422" s="1" t="s">
        <v>15819</v>
      </c>
      <c r="J1422" s="1" t="s">
        <v>15820</v>
      </c>
      <c r="K1422" s="1">
        <v>4</v>
      </c>
      <c r="L1422" s="1" t="s">
        <v>4342</v>
      </c>
      <c r="M1422" s="1">
        <v>5</v>
      </c>
      <c r="N1422" s="1" t="s">
        <v>4342</v>
      </c>
    </row>
    <row r="1423" spans="1:14" x14ac:dyDescent="0.15">
      <c r="A1423" s="1">
        <v>220</v>
      </c>
      <c r="B1423" s="1" t="s">
        <v>2886</v>
      </c>
      <c r="C1423" s="1" t="s">
        <v>2914</v>
      </c>
      <c r="D1423" s="1" t="s">
        <v>2915</v>
      </c>
      <c r="E1423" s="1" t="s">
        <v>2914</v>
      </c>
      <c r="F1423" s="1" t="s">
        <v>2915</v>
      </c>
      <c r="G1423" s="1" t="s">
        <v>2916</v>
      </c>
      <c r="H1423" s="1" t="s">
        <v>2915</v>
      </c>
      <c r="I1423" s="1" t="s">
        <v>15823</v>
      </c>
      <c r="J1423" s="1" t="s">
        <v>15824</v>
      </c>
      <c r="K1423" s="1">
        <v>4</v>
      </c>
      <c r="L1423" s="1" t="s">
        <v>4342</v>
      </c>
      <c r="M1423" s="1">
        <v>5</v>
      </c>
      <c r="N1423" s="1" t="s">
        <v>4342</v>
      </c>
    </row>
    <row r="1424" spans="1:14" x14ac:dyDescent="0.15">
      <c r="A1424" s="1">
        <v>220</v>
      </c>
      <c r="B1424" s="1" t="s">
        <v>2886</v>
      </c>
      <c r="C1424" s="1" t="s">
        <v>2914</v>
      </c>
      <c r="D1424" s="1" t="s">
        <v>2915</v>
      </c>
      <c r="E1424" s="1" t="s">
        <v>2914</v>
      </c>
      <c r="F1424" s="1" t="s">
        <v>2915</v>
      </c>
      <c r="G1424" s="1" t="s">
        <v>2916</v>
      </c>
      <c r="H1424" s="1" t="s">
        <v>2915</v>
      </c>
      <c r="I1424" s="1" t="s">
        <v>9769</v>
      </c>
      <c r="J1424" s="1" t="s">
        <v>15856</v>
      </c>
      <c r="K1424" s="1">
        <v>4</v>
      </c>
      <c r="L1424" s="1" t="s">
        <v>4342</v>
      </c>
      <c r="M1424" s="1">
        <v>5</v>
      </c>
      <c r="N1424" s="1" t="s">
        <v>4342</v>
      </c>
    </row>
    <row r="1425" spans="1:14" x14ac:dyDescent="0.15">
      <c r="A1425" s="1">
        <v>220</v>
      </c>
      <c r="B1425" s="1" t="s">
        <v>2886</v>
      </c>
      <c r="C1425" s="1" t="s">
        <v>2914</v>
      </c>
      <c r="D1425" s="1" t="s">
        <v>2915</v>
      </c>
      <c r="E1425" s="1" t="s">
        <v>2914</v>
      </c>
      <c r="F1425" s="1" t="s">
        <v>2915</v>
      </c>
      <c r="G1425" s="1" t="s">
        <v>2916</v>
      </c>
      <c r="H1425" s="1" t="s">
        <v>2915</v>
      </c>
      <c r="I1425" s="1" t="s">
        <v>9784</v>
      </c>
      <c r="J1425" s="1" t="s">
        <v>15899</v>
      </c>
      <c r="K1425" s="1">
        <v>4</v>
      </c>
      <c r="L1425" s="1" t="s">
        <v>4342</v>
      </c>
      <c r="M1425" s="1">
        <v>5</v>
      </c>
      <c r="N1425" s="1" t="s">
        <v>4342</v>
      </c>
    </row>
    <row r="1426" spans="1:14" x14ac:dyDescent="0.15">
      <c r="A1426" s="1">
        <v>220</v>
      </c>
      <c r="B1426" s="1" t="s">
        <v>2886</v>
      </c>
      <c r="C1426" s="1" t="s">
        <v>2914</v>
      </c>
      <c r="D1426" s="1" t="s">
        <v>2915</v>
      </c>
      <c r="E1426" s="1" t="s">
        <v>2914</v>
      </c>
      <c r="F1426" s="1" t="s">
        <v>2915</v>
      </c>
      <c r="G1426" s="1" t="s">
        <v>2916</v>
      </c>
      <c r="H1426" s="1" t="s">
        <v>2915</v>
      </c>
      <c r="I1426" s="1" t="s">
        <v>15831</v>
      </c>
      <c r="J1426" s="1" t="s">
        <v>6021</v>
      </c>
      <c r="K1426" s="1">
        <v>4</v>
      </c>
      <c r="L1426" s="1" t="s">
        <v>4342</v>
      </c>
      <c r="M1426" s="1">
        <v>5</v>
      </c>
      <c r="N1426" s="1" t="s">
        <v>4342</v>
      </c>
    </row>
    <row r="1427" spans="1:14" x14ac:dyDescent="0.15">
      <c r="A1427" s="1">
        <v>220</v>
      </c>
      <c r="B1427" s="1" t="s">
        <v>2886</v>
      </c>
      <c r="C1427" s="1" t="s">
        <v>2914</v>
      </c>
      <c r="D1427" s="1" t="s">
        <v>2915</v>
      </c>
      <c r="E1427" s="1" t="s">
        <v>2914</v>
      </c>
      <c r="F1427" s="1" t="s">
        <v>2915</v>
      </c>
      <c r="G1427" s="1" t="s">
        <v>2916</v>
      </c>
      <c r="H1427" s="1" t="s">
        <v>2915</v>
      </c>
      <c r="I1427" s="1" t="s">
        <v>15835</v>
      </c>
      <c r="J1427" s="1" t="s">
        <v>6609</v>
      </c>
      <c r="K1427" s="1">
        <v>4</v>
      </c>
      <c r="L1427" s="1" t="s">
        <v>4342</v>
      </c>
      <c r="M1427" s="1">
        <v>5</v>
      </c>
      <c r="N1427" s="1" t="s">
        <v>4342</v>
      </c>
    </row>
    <row r="1428" spans="1:14" x14ac:dyDescent="0.15">
      <c r="A1428" s="1">
        <v>220</v>
      </c>
      <c r="B1428" s="1" t="s">
        <v>2886</v>
      </c>
      <c r="C1428" s="1" t="s">
        <v>2914</v>
      </c>
      <c r="D1428" s="1" t="s">
        <v>2915</v>
      </c>
      <c r="E1428" s="1" t="s">
        <v>2914</v>
      </c>
      <c r="F1428" s="1" t="s">
        <v>2915</v>
      </c>
      <c r="G1428" s="1" t="s">
        <v>2916</v>
      </c>
      <c r="H1428" s="1" t="s">
        <v>2915</v>
      </c>
      <c r="I1428" s="1" t="s">
        <v>15839</v>
      </c>
      <c r="J1428" s="1" t="s">
        <v>15840</v>
      </c>
      <c r="K1428" s="1">
        <v>4</v>
      </c>
      <c r="L1428" s="1" t="s">
        <v>4342</v>
      </c>
      <c r="M1428" s="1">
        <v>5</v>
      </c>
      <c r="N1428" s="1" t="s">
        <v>4342</v>
      </c>
    </row>
    <row r="1429" spans="1:14" x14ac:dyDescent="0.15">
      <c r="A1429" s="1">
        <v>220</v>
      </c>
      <c r="B1429" s="1" t="s">
        <v>2886</v>
      </c>
      <c r="C1429" s="1" t="s">
        <v>2914</v>
      </c>
      <c r="D1429" s="1" t="s">
        <v>2915</v>
      </c>
      <c r="E1429" s="1" t="s">
        <v>2914</v>
      </c>
      <c r="F1429" s="1" t="s">
        <v>2915</v>
      </c>
      <c r="G1429" s="1" t="s">
        <v>2916</v>
      </c>
      <c r="H1429" s="1" t="s">
        <v>2915</v>
      </c>
      <c r="I1429" s="1" t="s">
        <v>15851</v>
      </c>
      <c r="J1429" s="1" t="s">
        <v>4407</v>
      </c>
      <c r="K1429" s="1">
        <v>4</v>
      </c>
      <c r="L1429" s="1" t="s">
        <v>4342</v>
      </c>
      <c r="M1429" s="1">
        <v>5</v>
      </c>
      <c r="N1429" s="1" t="s">
        <v>4342</v>
      </c>
    </row>
    <row r="1430" spans="1:14" x14ac:dyDescent="0.15">
      <c r="A1430" s="1">
        <v>220</v>
      </c>
      <c r="B1430" s="1" t="s">
        <v>2886</v>
      </c>
      <c r="C1430" s="1" t="s">
        <v>2914</v>
      </c>
      <c r="D1430" s="1" t="s">
        <v>2915</v>
      </c>
      <c r="E1430" s="1" t="s">
        <v>2914</v>
      </c>
      <c r="F1430" s="1" t="s">
        <v>2915</v>
      </c>
      <c r="G1430" s="1" t="s">
        <v>2916</v>
      </c>
      <c r="H1430" s="1" t="s">
        <v>2915</v>
      </c>
      <c r="I1430" s="1" t="s">
        <v>9809</v>
      </c>
      <c r="J1430" s="1" t="s">
        <v>15875</v>
      </c>
      <c r="K1430" s="1">
        <v>4</v>
      </c>
      <c r="L1430" s="1" t="s">
        <v>4342</v>
      </c>
      <c r="M1430" s="1">
        <v>5</v>
      </c>
      <c r="N1430" s="1" t="s">
        <v>4342</v>
      </c>
    </row>
    <row r="1431" spans="1:14" x14ac:dyDescent="0.15">
      <c r="A1431" s="1">
        <v>220</v>
      </c>
      <c r="B1431" s="1" t="s">
        <v>2886</v>
      </c>
      <c r="C1431" s="1" t="s">
        <v>2914</v>
      </c>
      <c r="D1431" s="1" t="s">
        <v>2915</v>
      </c>
      <c r="E1431" s="1" t="s">
        <v>2914</v>
      </c>
      <c r="F1431" s="1" t="s">
        <v>2915</v>
      </c>
      <c r="G1431" s="1" t="s">
        <v>2916</v>
      </c>
      <c r="H1431" s="1" t="s">
        <v>2915</v>
      </c>
      <c r="I1431" s="1" t="s">
        <v>9829</v>
      </c>
      <c r="J1431" s="1" t="s">
        <v>4409</v>
      </c>
      <c r="K1431" s="1">
        <v>4</v>
      </c>
      <c r="L1431" s="1" t="s">
        <v>4342</v>
      </c>
      <c r="M1431" s="1">
        <v>5</v>
      </c>
      <c r="N1431" s="1" t="s">
        <v>4342</v>
      </c>
    </row>
    <row r="1432" spans="1:14" x14ac:dyDescent="0.15">
      <c r="A1432" s="1">
        <v>220</v>
      </c>
      <c r="B1432" s="1" t="s">
        <v>2886</v>
      </c>
      <c r="C1432" s="1" t="s">
        <v>2914</v>
      </c>
      <c r="D1432" s="1" t="s">
        <v>2915</v>
      </c>
      <c r="E1432" s="1" t="s">
        <v>2914</v>
      </c>
      <c r="F1432" s="1" t="s">
        <v>2915</v>
      </c>
      <c r="G1432" s="1" t="s">
        <v>2916</v>
      </c>
      <c r="H1432" s="1" t="s">
        <v>2915</v>
      </c>
      <c r="I1432" s="1" t="s">
        <v>9835</v>
      </c>
      <c r="J1432" s="1" t="s">
        <v>15158</v>
      </c>
      <c r="K1432" s="1">
        <v>4</v>
      </c>
      <c r="L1432" s="1" t="s">
        <v>4342</v>
      </c>
      <c r="M1432" s="1">
        <v>5</v>
      </c>
      <c r="N1432" s="1" t="s">
        <v>4342</v>
      </c>
    </row>
    <row r="1433" spans="1:14" x14ac:dyDescent="0.15">
      <c r="A1433" s="1">
        <v>220</v>
      </c>
      <c r="B1433" s="1" t="s">
        <v>2886</v>
      </c>
      <c r="C1433" s="1" t="s">
        <v>2914</v>
      </c>
      <c r="D1433" s="1" t="s">
        <v>2915</v>
      </c>
      <c r="E1433" s="1" t="s">
        <v>2914</v>
      </c>
      <c r="F1433" s="1" t="s">
        <v>2915</v>
      </c>
      <c r="G1433" s="1" t="s">
        <v>2916</v>
      </c>
      <c r="H1433" s="1" t="s">
        <v>2915</v>
      </c>
      <c r="I1433" s="1" t="s">
        <v>9838</v>
      </c>
      <c r="J1433" s="1" t="s">
        <v>15895</v>
      </c>
      <c r="K1433" s="1">
        <v>4</v>
      </c>
      <c r="L1433" s="1" t="s">
        <v>4342</v>
      </c>
      <c r="M1433" s="1">
        <v>5</v>
      </c>
      <c r="N1433" s="1" t="s">
        <v>4342</v>
      </c>
    </row>
    <row r="1434" spans="1:14" x14ac:dyDescent="0.15">
      <c r="A1434" s="1">
        <v>220</v>
      </c>
      <c r="B1434" s="1" t="s">
        <v>2886</v>
      </c>
      <c r="C1434" s="1" t="s">
        <v>2914</v>
      </c>
      <c r="D1434" s="1" t="s">
        <v>2915</v>
      </c>
      <c r="E1434" s="1" t="s">
        <v>2914</v>
      </c>
      <c r="F1434" s="1" t="s">
        <v>2915</v>
      </c>
      <c r="G1434" s="1" t="s">
        <v>2916</v>
      </c>
      <c r="H1434" s="1" t="s">
        <v>2915</v>
      </c>
      <c r="I1434" s="1" t="s">
        <v>9415</v>
      </c>
      <c r="J1434" s="1" t="s">
        <v>6046</v>
      </c>
      <c r="K1434" s="1">
        <v>4</v>
      </c>
      <c r="L1434" s="1" t="s">
        <v>4342</v>
      </c>
      <c r="M1434" s="1">
        <v>5</v>
      </c>
      <c r="N1434" s="1" t="s">
        <v>4342</v>
      </c>
    </row>
    <row r="1435" spans="1:14" x14ac:dyDescent="0.15">
      <c r="A1435" s="1">
        <v>220</v>
      </c>
      <c r="B1435" s="1" t="s">
        <v>2886</v>
      </c>
      <c r="C1435" s="1" t="s">
        <v>2914</v>
      </c>
      <c r="D1435" s="1" t="s">
        <v>2915</v>
      </c>
      <c r="E1435" s="1" t="s">
        <v>2914</v>
      </c>
      <c r="F1435" s="1" t="s">
        <v>2915</v>
      </c>
      <c r="G1435" s="1" t="s">
        <v>2916</v>
      </c>
      <c r="H1435" s="1" t="s">
        <v>2915</v>
      </c>
      <c r="I1435" s="1" t="s">
        <v>12616</v>
      </c>
      <c r="J1435" s="1" t="s">
        <v>15879</v>
      </c>
      <c r="K1435" s="1">
        <v>4</v>
      </c>
      <c r="L1435" s="1" t="s">
        <v>4342</v>
      </c>
      <c r="M1435" s="1">
        <v>5</v>
      </c>
      <c r="N1435" s="1" t="s">
        <v>4342</v>
      </c>
    </row>
    <row r="1436" spans="1:14" x14ac:dyDescent="0.15">
      <c r="A1436" s="1">
        <v>220</v>
      </c>
      <c r="B1436" s="1" t="s">
        <v>2886</v>
      </c>
      <c r="C1436" s="1" t="s">
        <v>2914</v>
      </c>
      <c r="D1436" s="1" t="s">
        <v>2915</v>
      </c>
      <c r="E1436" s="1" t="s">
        <v>2914</v>
      </c>
      <c r="F1436" s="1" t="s">
        <v>2915</v>
      </c>
      <c r="G1436" s="1" t="s">
        <v>2916</v>
      </c>
      <c r="H1436" s="1" t="s">
        <v>2915</v>
      </c>
      <c r="I1436" s="1" t="s">
        <v>12587</v>
      </c>
      <c r="J1436" s="1" t="s">
        <v>4411</v>
      </c>
      <c r="K1436" s="1">
        <v>4</v>
      </c>
      <c r="L1436" s="1" t="s">
        <v>4342</v>
      </c>
      <c r="M1436" s="1">
        <v>5</v>
      </c>
      <c r="N1436" s="1" t="s">
        <v>4342</v>
      </c>
    </row>
    <row r="1437" spans="1:14" x14ac:dyDescent="0.15">
      <c r="A1437" s="1">
        <v>220</v>
      </c>
      <c r="B1437" s="1" t="s">
        <v>2886</v>
      </c>
      <c r="C1437" s="1" t="s">
        <v>2914</v>
      </c>
      <c r="D1437" s="1" t="s">
        <v>2915</v>
      </c>
      <c r="E1437" s="1" t="s">
        <v>2914</v>
      </c>
      <c r="F1437" s="1" t="s">
        <v>2915</v>
      </c>
      <c r="G1437" s="1" t="s">
        <v>2916</v>
      </c>
      <c r="H1437" s="1" t="s">
        <v>2915</v>
      </c>
      <c r="I1437" s="1" t="s">
        <v>9562</v>
      </c>
      <c r="J1437" s="1" t="s">
        <v>15150</v>
      </c>
      <c r="K1437" s="1">
        <v>4</v>
      </c>
      <c r="L1437" s="1" t="s">
        <v>4342</v>
      </c>
      <c r="M1437" s="1">
        <v>5</v>
      </c>
      <c r="N1437" s="1" t="s">
        <v>4342</v>
      </c>
    </row>
    <row r="1438" spans="1:14" x14ac:dyDescent="0.15">
      <c r="A1438" s="1">
        <v>220</v>
      </c>
      <c r="B1438" s="1" t="s">
        <v>2886</v>
      </c>
      <c r="C1438" s="1" t="s">
        <v>2914</v>
      </c>
      <c r="D1438" s="1" t="s">
        <v>2915</v>
      </c>
      <c r="E1438" s="1" t="s">
        <v>2914</v>
      </c>
      <c r="F1438" s="1" t="s">
        <v>2915</v>
      </c>
      <c r="G1438" s="1" t="s">
        <v>2916</v>
      </c>
      <c r="H1438" s="1" t="s">
        <v>2915</v>
      </c>
      <c r="I1438" s="1" t="s">
        <v>9576</v>
      </c>
      <c r="J1438" s="1" t="s">
        <v>4412</v>
      </c>
      <c r="K1438" s="1">
        <v>4</v>
      </c>
      <c r="L1438" s="1" t="s">
        <v>4342</v>
      </c>
      <c r="M1438" s="1">
        <v>5</v>
      </c>
      <c r="N1438" s="1" t="s">
        <v>4342</v>
      </c>
    </row>
    <row r="1439" spans="1:14" x14ac:dyDescent="0.15">
      <c r="A1439" s="1">
        <v>220</v>
      </c>
      <c r="B1439" s="1" t="s">
        <v>2886</v>
      </c>
      <c r="C1439" s="1" t="s">
        <v>2914</v>
      </c>
      <c r="D1439" s="1" t="s">
        <v>2915</v>
      </c>
      <c r="E1439" s="1" t="s">
        <v>2914</v>
      </c>
      <c r="F1439" s="1" t="s">
        <v>2915</v>
      </c>
      <c r="G1439" s="1" t="s">
        <v>2916</v>
      </c>
      <c r="H1439" s="1" t="s">
        <v>2915</v>
      </c>
      <c r="I1439" s="1" t="s">
        <v>15169</v>
      </c>
      <c r="J1439" s="1" t="s">
        <v>6047</v>
      </c>
      <c r="K1439" s="1">
        <v>4</v>
      </c>
      <c r="L1439" s="1" t="s">
        <v>4342</v>
      </c>
      <c r="M1439" s="1">
        <v>5</v>
      </c>
      <c r="N1439" s="1" t="s">
        <v>4342</v>
      </c>
    </row>
    <row r="1440" spans="1:14" x14ac:dyDescent="0.15">
      <c r="A1440" s="1">
        <v>220</v>
      </c>
      <c r="B1440" s="1" t="s">
        <v>2886</v>
      </c>
      <c r="C1440" s="1" t="s">
        <v>2914</v>
      </c>
      <c r="D1440" s="1" t="s">
        <v>2915</v>
      </c>
      <c r="E1440" s="1" t="s">
        <v>2914</v>
      </c>
      <c r="F1440" s="1" t="s">
        <v>2915</v>
      </c>
      <c r="G1440" s="1" t="s">
        <v>2916</v>
      </c>
      <c r="H1440" s="1" t="s">
        <v>2915</v>
      </c>
      <c r="I1440" s="1" t="s">
        <v>15173</v>
      </c>
      <c r="J1440" s="1" t="s">
        <v>15174</v>
      </c>
      <c r="K1440" s="1">
        <v>4</v>
      </c>
      <c r="L1440" s="1" t="s">
        <v>4342</v>
      </c>
      <c r="M1440" s="1">
        <v>5</v>
      </c>
      <c r="N1440" s="1" t="s">
        <v>4342</v>
      </c>
    </row>
    <row r="1441" spans="1:14" x14ac:dyDescent="0.15">
      <c r="A1441" s="1">
        <v>220</v>
      </c>
      <c r="B1441" s="1" t="s">
        <v>2886</v>
      </c>
      <c r="C1441" s="1" t="s">
        <v>2914</v>
      </c>
      <c r="D1441" s="1" t="s">
        <v>2915</v>
      </c>
      <c r="E1441" s="1" t="s">
        <v>2914</v>
      </c>
      <c r="F1441" s="1" t="s">
        <v>2915</v>
      </c>
      <c r="G1441" s="1" t="s">
        <v>2916</v>
      </c>
      <c r="H1441" s="1" t="s">
        <v>2915</v>
      </c>
      <c r="I1441" s="1" t="s">
        <v>11746</v>
      </c>
      <c r="J1441" s="1" t="s">
        <v>6596</v>
      </c>
      <c r="K1441" s="1">
        <v>4</v>
      </c>
      <c r="L1441" s="1" t="s">
        <v>4342</v>
      </c>
      <c r="M1441" s="1">
        <v>5</v>
      </c>
      <c r="N1441" s="1" t="s">
        <v>4342</v>
      </c>
    </row>
    <row r="1442" spans="1:14" x14ac:dyDescent="0.15">
      <c r="A1442" s="1">
        <v>220</v>
      </c>
      <c r="B1442" s="1" t="s">
        <v>2886</v>
      </c>
      <c r="C1442" s="1" t="s">
        <v>2914</v>
      </c>
      <c r="D1442" s="1" t="s">
        <v>2915</v>
      </c>
      <c r="E1442" s="1" t="s">
        <v>2914</v>
      </c>
      <c r="F1442" s="1" t="s">
        <v>2915</v>
      </c>
      <c r="G1442" s="1" t="s">
        <v>2916</v>
      </c>
      <c r="H1442" s="1" t="s">
        <v>2915</v>
      </c>
      <c r="I1442" s="1" t="s">
        <v>11236</v>
      </c>
      <c r="J1442" s="1" t="s">
        <v>4414</v>
      </c>
      <c r="K1442" s="1">
        <v>4</v>
      </c>
      <c r="L1442" s="1" t="s">
        <v>4342</v>
      </c>
      <c r="M1442" s="1">
        <v>5</v>
      </c>
      <c r="N1442" s="1" t="s">
        <v>4342</v>
      </c>
    </row>
    <row r="1443" spans="1:14" x14ac:dyDescent="0.15">
      <c r="A1443" s="1">
        <v>220</v>
      </c>
      <c r="B1443" s="1" t="s">
        <v>2886</v>
      </c>
      <c r="C1443" s="1" t="s">
        <v>2914</v>
      </c>
      <c r="D1443" s="1" t="s">
        <v>2915</v>
      </c>
      <c r="E1443" s="1" t="s">
        <v>2914</v>
      </c>
      <c r="F1443" s="1" t="s">
        <v>2915</v>
      </c>
      <c r="G1443" s="1" t="s">
        <v>2916</v>
      </c>
      <c r="H1443" s="1" t="s">
        <v>2915</v>
      </c>
      <c r="I1443" s="1" t="s">
        <v>9514</v>
      </c>
      <c r="J1443" s="1" t="s">
        <v>4415</v>
      </c>
      <c r="K1443" s="1">
        <v>4</v>
      </c>
      <c r="L1443" s="1" t="s">
        <v>4342</v>
      </c>
      <c r="M1443" s="1">
        <v>5</v>
      </c>
      <c r="N1443" s="1" t="s">
        <v>4342</v>
      </c>
    </row>
    <row r="1444" spans="1:14" x14ac:dyDescent="0.15">
      <c r="A1444" s="1">
        <v>220</v>
      </c>
      <c r="B1444" s="1" t="s">
        <v>2886</v>
      </c>
      <c r="C1444" s="1" t="s">
        <v>2914</v>
      </c>
      <c r="D1444" s="1" t="s">
        <v>2915</v>
      </c>
      <c r="E1444" s="1" t="s">
        <v>2914</v>
      </c>
      <c r="F1444" s="1" t="s">
        <v>2915</v>
      </c>
      <c r="G1444" s="1" t="s">
        <v>2916</v>
      </c>
      <c r="H1444" s="1" t="s">
        <v>2915</v>
      </c>
      <c r="I1444" s="1" t="s">
        <v>9523</v>
      </c>
      <c r="J1444" s="1" t="s">
        <v>6051</v>
      </c>
      <c r="K1444" s="1">
        <v>4</v>
      </c>
      <c r="L1444" s="1" t="s">
        <v>4342</v>
      </c>
      <c r="M1444" s="1">
        <v>5</v>
      </c>
      <c r="N1444" s="1" t="s">
        <v>4342</v>
      </c>
    </row>
    <row r="1445" spans="1:14" x14ac:dyDescent="0.15">
      <c r="A1445" s="1">
        <v>220</v>
      </c>
      <c r="B1445" s="1" t="s">
        <v>2886</v>
      </c>
      <c r="C1445" s="1" t="s">
        <v>2914</v>
      </c>
      <c r="D1445" s="1" t="s">
        <v>2915</v>
      </c>
      <c r="E1445" s="1" t="s">
        <v>2914</v>
      </c>
      <c r="F1445" s="1" t="s">
        <v>2915</v>
      </c>
      <c r="G1445" s="1" t="s">
        <v>2916</v>
      </c>
      <c r="H1445" s="1" t="s">
        <v>2915</v>
      </c>
      <c r="I1445" s="1" t="s">
        <v>9532</v>
      </c>
      <c r="J1445" s="1" t="s">
        <v>15903</v>
      </c>
      <c r="K1445" s="1">
        <v>4</v>
      </c>
      <c r="L1445" s="1" t="s">
        <v>4342</v>
      </c>
      <c r="M1445" s="1">
        <v>5</v>
      </c>
      <c r="N1445" s="1" t="s">
        <v>4342</v>
      </c>
    </row>
    <row r="1446" spans="1:14" x14ac:dyDescent="0.15">
      <c r="A1446" s="1">
        <v>220</v>
      </c>
      <c r="B1446" s="1" t="s">
        <v>2886</v>
      </c>
      <c r="C1446" s="1" t="s">
        <v>2914</v>
      </c>
      <c r="D1446" s="1" t="s">
        <v>2915</v>
      </c>
      <c r="E1446" s="1" t="s">
        <v>2914</v>
      </c>
      <c r="F1446" s="1" t="s">
        <v>2915</v>
      </c>
      <c r="G1446" s="1" t="s">
        <v>2916</v>
      </c>
      <c r="H1446" s="1" t="s">
        <v>2915</v>
      </c>
      <c r="I1446" s="1" t="s">
        <v>11717</v>
      </c>
      <c r="J1446" s="1" t="s">
        <v>5085</v>
      </c>
      <c r="K1446" s="1">
        <v>4</v>
      </c>
      <c r="L1446" s="1" t="s">
        <v>4342</v>
      </c>
      <c r="M1446" s="1">
        <v>5</v>
      </c>
      <c r="N1446" s="1" t="s">
        <v>4342</v>
      </c>
    </row>
    <row r="1447" spans="1:14" x14ac:dyDescent="0.15">
      <c r="A1447" s="1">
        <v>220</v>
      </c>
      <c r="B1447" s="1" t="s">
        <v>2886</v>
      </c>
      <c r="C1447" s="1" t="s">
        <v>2914</v>
      </c>
      <c r="D1447" s="1" t="s">
        <v>2915</v>
      </c>
      <c r="E1447" s="1" t="s">
        <v>2914</v>
      </c>
      <c r="F1447" s="1" t="s">
        <v>2915</v>
      </c>
      <c r="G1447" s="1" t="s">
        <v>2916</v>
      </c>
      <c r="H1447" s="1" t="s">
        <v>2915</v>
      </c>
      <c r="I1447" s="1" t="s">
        <v>11727</v>
      </c>
      <c r="J1447" s="1" t="s">
        <v>6045</v>
      </c>
      <c r="K1447" s="1">
        <v>4</v>
      </c>
      <c r="L1447" s="1" t="s">
        <v>4342</v>
      </c>
      <c r="M1447" s="1">
        <v>5</v>
      </c>
      <c r="N1447" s="1" t="s">
        <v>4342</v>
      </c>
    </row>
    <row r="1448" spans="1:14" x14ac:dyDescent="0.15">
      <c r="A1448" s="1">
        <v>220</v>
      </c>
      <c r="B1448" s="1" t="s">
        <v>2886</v>
      </c>
      <c r="C1448" s="1" t="s">
        <v>2914</v>
      </c>
      <c r="D1448" s="1" t="s">
        <v>2915</v>
      </c>
      <c r="E1448" s="1" t="s">
        <v>2914</v>
      </c>
      <c r="F1448" s="1" t="s">
        <v>2915</v>
      </c>
      <c r="G1448" s="1" t="s">
        <v>2916</v>
      </c>
      <c r="H1448" s="1" t="s">
        <v>2915</v>
      </c>
      <c r="I1448" s="1" t="s">
        <v>15197</v>
      </c>
      <c r="J1448" s="1" t="s">
        <v>4416</v>
      </c>
      <c r="K1448" s="1">
        <v>4</v>
      </c>
      <c r="L1448" s="1" t="s">
        <v>4342</v>
      </c>
      <c r="M1448" s="1">
        <v>5</v>
      </c>
      <c r="N1448" s="1" t="s">
        <v>4342</v>
      </c>
    </row>
    <row r="1449" spans="1:14" x14ac:dyDescent="0.15">
      <c r="A1449" s="1">
        <v>220</v>
      </c>
      <c r="B1449" s="1" t="s">
        <v>2886</v>
      </c>
      <c r="C1449" s="1" t="s">
        <v>2914</v>
      </c>
      <c r="D1449" s="1" t="s">
        <v>2915</v>
      </c>
      <c r="E1449" s="1" t="s">
        <v>2914</v>
      </c>
      <c r="F1449" s="1" t="s">
        <v>2915</v>
      </c>
      <c r="G1449" s="1" t="s">
        <v>2916</v>
      </c>
      <c r="H1449" s="1" t="s">
        <v>2915</v>
      </c>
      <c r="I1449" s="1" t="s">
        <v>11743</v>
      </c>
      <c r="J1449" s="1" t="s">
        <v>6039</v>
      </c>
      <c r="K1449" s="1">
        <v>4</v>
      </c>
      <c r="L1449" s="1" t="s">
        <v>4342</v>
      </c>
      <c r="M1449" s="1">
        <v>5</v>
      </c>
      <c r="N1449" s="1" t="s">
        <v>4342</v>
      </c>
    </row>
    <row r="1450" spans="1:14" x14ac:dyDescent="0.15">
      <c r="A1450" s="1">
        <v>220</v>
      </c>
      <c r="B1450" s="1" t="s">
        <v>2886</v>
      </c>
      <c r="C1450" s="1" t="s">
        <v>2914</v>
      </c>
      <c r="D1450" s="1" t="s">
        <v>2915</v>
      </c>
      <c r="E1450" s="1" t="s">
        <v>2914</v>
      </c>
      <c r="F1450" s="1" t="s">
        <v>2915</v>
      </c>
      <c r="G1450" s="1" t="s">
        <v>2916</v>
      </c>
      <c r="H1450" s="1" t="s">
        <v>2915</v>
      </c>
      <c r="I1450" s="1" t="s">
        <v>9502</v>
      </c>
      <c r="J1450" s="1" t="s">
        <v>15887</v>
      </c>
      <c r="K1450" s="1">
        <v>4</v>
      </c>
      <c r="L1450" s="1" t="s">
        <v>4342</v>
      </c>
      <c r="M1450" s="1">
        <v>5</v>
      </c>
      <c r="N1450" s="1" t="s">
        <v>4342</v>
      </c>
    </row>
    <row r="1451" spans="1:14" x14ac:dyDescent="0.15">
      <c r="A1451" s="1">
        <v>220</v>
      </c>
      <c r="B1451" s="1" t="s">
        <v>2886</v>
      </c>
      <c r="C1451" s="1" t="s">
        <v>2917</v>
      </c>
      <c r="D1451" s="1" t="s">
        <v>2918</v>
      </c>
      <c r="E1451" s="1" t="s">
        <v>2917</v>
      </c>
      <c r="F1451" s="1" t="s">
        <v>2918</v>
      </c>
      <c r="G1451" s="1" t="s">
        <v>2919</v>
      </c>
      <c r="H1451" s="1" t="s">
        <v>2918</v>
      </c>
      <c r="I1451" s="1" t="s">
        <v>16583</v>
      </c>
      <c r="J1451" s="1" t="s">
        <v>6946</v>
      </c>
      <c r="K1451" s="1">
        <v>4</v>
      </c>
      <c r="L1451" s="1" t="s">
        <v>4342</v>
      </c>
      <c r="M1451" s="1">
        <v>5</v>
      </c>
      <c r="N1451" s="1" t="s">
        <v>4342</v>
      </c>
    </row>
    <row r="1452" spans="1:14" x14ac:dyDescent="0.15">
      <c r="A1452" s="1">
        <v>220</v>
      </c>
      <c r="B1452" s="1" t="s">
        <v>2886</v>
      </c>
      <c r="C1452" s="1" t="s">
        <v>2920</v>
      </c>
      <c r="D1452" s="1" t="s">
        <v>2921</v>
      </c>
      <c r="E1452" s="1" t="s">
        <v>2920</v>
      </c>
      <c r="F1452" s="1" t="s">
        <v>2921</v>
      </c>
      <c r="G1452" s="1" t="s">
        <v>2922</v>
      </c>
      <c r="H1452" s="1" t="s">
        <v>2921</v>
      </c>
      <c r="I1452" s="1" t="s">
        <v>16583</v>
      </c>
      <c r="J1452" s="1" t="s">
        <v>6946</v>
      </c>
      <c r="K1452" s="1">
        <v>4</v>
      </c>
      <c r="L1452" s="1" t="s">
        <v>4342</v>
      </c>
      <c r="M1452" s="1">
        <v>5</v>
      </c>
      <c r="N1452" s="1" t="s">
        <v>4342</v>
      </c>
    </row>
    <row r="1453" spans="1:14" x14ac:dyDescent="0.15">
      <c r="A1453" s="1">
        <v>220</v>
      </c>
      <c r="B1453" s="1" t="s">
        <v>2886</v>
      </c>
      <c r="C1453" s="1" t="s">
        <v>2920</v>
      </c>
      <c r="D1453" s="1" t="s">
        <v>2921</v>
      </c>
      <c r="E1453" s="1" t="s">
        <v>2920</v>
      </c>
      <c r="F1453" s="1" t="s">
        <v>2921</v>
      </c>
      <c r="G1453" s="1" t="s">
        <v>2922</v>
      </c>
      <c r="H1453" s="1" t="s">
        <v>2921</v>
      </c>
      <c r="I1453" s="1" t="s">
        <v>16635</v>
      </c>
      <c r="J1453" s="1" t="s">
        <v>16636</v>
      </c>
      <c r="K1453" s="1">
        <v>4</v>
      </c>
      <c r="L1453" s="1" t="s">
        <v>4342</v>
      </c>
      <c r="M1453" s="1">
        <v>5</v>
      </c>
      <c r="N1453" s="1" t="s">
        <v>4342</v>
      </c>
    </row>
    <row r="1454" spans="1:14" x14ac:dyDescent="0.15">
      <c r="A1454" s="1">
        <v>220</v>
      </c>
      <c r="B1454" s="1" t="s">
        <v>2886</v>
      </c>
      <c r="C1454" s="1" t="s">
        <v>2920</v>
      </c>
      <c r="D1454" s="1" t="s">
        <v>2921</v>
      </c>
      <c r="E1454" s="1" t="s">
        <v>2920</v>
      </c>
      <c r="F1454" s="1" t="s">
        <v>2921</v>
      </c>
      <c r="G1454" s="1" t="s">
        <v>2922</v>
      </c>
      <c r="H1454" s="1" t="s">
        <v>2921</v>
      </c>
      <c r="I1454" s="1" t="s">
        <v>14949</v>
      </c>
      <c r="J1454" s="1" t="s">
        <v>14946</v>
      </c>
      <c r="K1454" s="1">
        <v>4</v>
      </c>
      <c r="L1454" s="1" t="s">
        <v>4342</v>
      </c>
      <c r="M1454" s="1">
        <v>5</v>
      </c>
      <c r="N1454" s="1" t="s">
        <v>4342</v>
      </c>
    </row>
    <row r="1455" spans="1:14" x14ac:dyDescent="0.15">
      <c r="A1455" s="1">
        <v>220</v>
      </c>
      <c r="B1455" s="1" t="s">
        <v>2886</v>
      </c>
      <c r="C1455" s="1" t="s">
        <v>2920</v>
      </c>
      <c r="D1455" s="1" t="s">
        <v>2921</v>
      </c>
      <c r="E1455" s="1" t="s">
        <v>2920</v>
      </c>
      <c r="F1455" s="1" t="s">
        <v>2921</v>
      </c>
      <c r="G1455" s="1" t="s">
        <v>2922</v>
      </c>
      <c r="H1455" s="1" t="s">
        <v>2921</v>
      </c>
      <c r="I1455" s="1" t="s">
        <v>8952</v>
      </c>
      <c r="J1455" s="1" t="s">
        <v>4425</v>
      </c>
      <c r="K1455" s="1">
        <v>4</v>
      </c>
      <c r="L1455" s="1" t="s">
        <v>4342</v>
      </c>
      <c r="M1455" s="1">
        <v>5</v>
      </c>
      <c r="N1455" s="1" t="s">
        <v>4342</v>
      </c>
    </row>
    <row r="1456" spans="1:14" x14ac:dyDescent="0.15">
      <c r="A1456" s="1">
        <v>220</v>
      </c>
      <c r="B1456" s="1" t="s">
        <v>2886</v>
      </c>
      <c r="C1456" s="1" t="s">
        <v>2920</v>
      </c>
      <c r="D1456" s="1" t="s">
        <v>2921</v>
      </c>
      <c r="E1456" s="1" t="s">
        <v>2920</v>
      </c>
      <c r="F1456" s="1" t="s">
        <v>2921</v>
      </c>
      <c r="G1456" s="1" t="s">
        <v>2922</v>
      </c>
      <c r="H1456" s="1" t="s">
        <v>2921</v>
      </c>
      <c r="I1456" s="1" t="s">
        <v>8955</v>
      </c>
      <c r="J1456" s="1" t="s">
        <v>4426</v>
      </c>
      <c r="K1456" s="1">
        <v>4</v>
      </c>
      <c r="L1456" s="1" t="s">
        <v>4342</v>
      </c>
      <c r="M1456" s="1">
        <v>5</v>
      </c>
      <c r="N1456" s="1" t="s">
        <v>4342</v>
      </c>
    </row>
    <row r="1457" spans="1:14" x14ac:dyDescent="0.15">
      <c r="A1457" s="1">
        <v>220</v>
      </c>
      <c r="B1457" s="1" t="s">
        <v>2886</v>
      </c>
      <c r="C1457" s="1" t="s">
        <v>2920</v>
      </c>
      <c r="D1457" s="1" t="s">
        <v>2921</v>
      </c>
      <c r="E1457" s="1" t="s">
        <v>2920</v>
      </c>
      <c r="F1457" s="1" t="s">
        <v>2921</v>
      </c>
      <c r="G1457" s="1" t="s">
        <v>2922</v>
      </c>
      <c r="H1457" s="1" t="s">
        <v>2921</v>
      </c>
      <c r="I1457" s="1" t="s">
        <v>14963</v>
      </c>
      <c r="J1457" s="1" t="s">
        <v>4427</v>
      </c>
      <c r="K1457" s="1">
        <v>4</v>
      </c>
      <c r="L1457" s="1" t="s">
        <v>4342</v>
      </c>
      <c r="M1457" s="1">
        <v>5</v>
      </c>
      <c r="N1457" s="1" t="s">
        <v>4342</v>
      </c>
    </row>
    <row r="1458" spans="1:14" x14ac:dyDescent="0.15">
      <c r="A1458" s="1">
        <v>220</v>
      </c>
      <c r="B1458" s="1" t="s">
        <v>2886</v>
      </c>
      <c r="C1458" s="1" t="s">
        <v>2920</v>
      </c>
      <c r="D1458" s="1" t="s">
        <v>2921</v>
      </c>
      <c r="E1458" s="1" t="s">
        <v>2920</v>
      </c>
      <c r="F1458" s="1" t="s">
        <v>2921</v>
      </c>
      <c r="G1458" s="1" t="s">
        <v>2922</v>
      </c>
      <c r="H1458" s="1" t="s">
        <v>2921</v>
      </c>
      <c r="I1458" s="1" t="s">
        <v>8968</v>
      </c>
      <c r="J1458" s="1" t="s">
        <v>4428</v>
      </c>
      <c r="K1458" s="1">
        <v>4</v>
      </c>
      <c r="L1458" s="1" t="s">
        <v>4342</v>
      </c>
      <c r="M1458" s="1">
        <v>5</v>
      </c>
      <c r="N1458" s="1" t="s">
        <v>4342</v>
      </c>
    </row>
    <row r="1459" spans="1:14" x14ac:dyDescent="0.15">
      <c r="A1459" s="1">
        <v>220</v>
      </c>
      <c r="B1459" s="1" t="s">
        <v>2886</v>
      </c>
      <c r="C1459" s="1" t="s">
        <v>2920</v>
      </c>
      <c r="D1459" s="1" t="s">
        <v>2921</v>
      </c>
      <c r="E1459" s="1" t="s">
        <v>2920</v>
      </c>
      <c r="F1459" s="1" t="s">
        <v>2921</v>
      </c>
      <c r="G1459" s="1" t="s">
        <v>2922</v>
      </c>
      <c r="H1459" s="1" t="s">
        <v>2921</v>
      </c>
      <c r="I1459" s="1" t="s">
        <v>8971</v>
      </c>
      <c r="J1459" s="1" t="s">
        <v>4429</v>
      </c>
      <c r="K1459" s="1">
        <v>4</v>
      </c>
      <c r="L1459" s="1" t="s">
        <v>4342</v>
      </c>
      <c r="M1459" s="1">
        <v>5</v>
      </c>
      <c r="N1459" s="1" t="s">
        <v>4342</v>
      </c>
    </row>
    <row r="1460" spans="1:14" x14ac:dyDescent="0.15">
      <c r="A1460" s="1">
        <v>220</v>
      </c>
      <c r="B1460" s="1" t="s">
        <v>2886</v>
      </c>
      <c r="C1460" s="1" t="s">
        <v>2920</v>
      </c>
      <c r="D1460" s="1" t="s">
        <v>2921</v>
      </c>
      <c r="E1460" s="1" t="s">
        <v>2920</v>
      </c>
      <c r="F1460" s="1" t="s">
        <v>2921</v>
      </c>
      <c r="G1460" s="1" t="s">
        <v>2922</v>
      </c>
      <c r="H1460" s="1" t="s">
        <v>2921</v>
      </c>
      <c r="I1460" s="1" t="s">
        <v>8974</v>
      </c>
      <c r="J1460" s="1" t="s">
        <v>4430</v>
      </c>
      <c r="K1460" s="1">
        <v>4</v>
      </c>
      <c r="L1460" s="1" t="s">
        <v>4342</v>
      </c>
      <c r="M1460" s="1">
        <v>5</v>
      </c>
      <c r="N1460" s="1" t="s">
        <v>4342</v>
      </c>
    </row>
    <row r="1461" spans="1:14" x14ac:dyDescent="0.15">
      <c r="A1461" s="1">
        <v>220</v>
      </c>
      <c r="B1461" s="1" t="s">
        <v>2886</v>
      </c>
      <c r="C1461" s="1" t="s">
        <v>2920</v>
      </c>
      <c r="D1461" s="1" t="s">
        <v>2921</v>
      </c>
      <c r="E1461" s="1" t="s">
        <v>2920</v>
      </c>
      <c r="F1461" s="1" t="s">
        <v>2921</v>
      </c>
      <c r="G1461" s="1" t="s">
        <v>2922</v>
      </c>
      <c r="H1461" s="1" t="s">
        <v>2921</v>
      </c>
      <c r="I1461" s="1" t="s">
        <v>8977</v>
      </c>
      <c r="J1461" s="1" t="s">
        <v>4431</v>
      </c>
      <c r="K1461" s="1">
        <v>4</v>
      </c>
      <c r="L1461" s="1" t="s">
        <v>4342</v>
      </c>
      <c r="M1461" s="1">
        <v>5</v>
      </c>
      <c r="N1461" s="1" t="s">
        <v>4342</v>
      </c>
    </row>
    <row r="1462" spans="1:14" x14ac:dyDescent="0.15">
      <c r="A1462" s="1">
        <v>220</v>
      </c>
      <c r="B1462" s="1" t="s">
        <v>2886</v>
      </c>
      <c r="C1462" s="1" t="s">
        <v>2920</v>
      </c>
      <c r="D1462" s="1" t="s">
        <v>2921</v>
      </c>
      <c r="E1462" s="1" t="s">
        <v>2920</v>
      </c>
      <c r="F1462" s="1" t="s">
        <v>2921</v>
      </c>
      <c r="G1462" s="1" t="s">
        <v>2922</v>
      </c>
      <c r="H1462" s="1" t="s">
        <v>2921</v>
      </c>
      <c r="I1462" s="1" t="s">
        <v>15006</v>
      </c>
      <c r="J1462" s="1" t="s">
        <v>6195</v>
      </c>
      <c r="K1462" s="1">
        <v>4</v>
      </c>
      <c r="L1462" s="1" t="s">
        <v>4342</v>
      </c>
      <c r="M1462" s="1">
        <v>5</v>
      </c>
      <c r="N1462" s="1" t="s">
        <v>4342</v>
      </c>
    </row>
    <row r="1463" spans="1:14" x14ac:dyDescent="0.15">
      <c r="A1463" s="1">
        <v>220</v>
      </c>
      <c r="B1463" s="1" t="s">
        <v>2886</v>
      </c>
      <c r="C1463" s="1" t="s">
        <v>2920</v>
      </c>
      <c r="D1463" s="1" t="s">
        <v>2921</v>
      </c>
      <c r="E1463" s="1" t="s">
        <v>2920</v>
      </c>
      <c r="F1463" s="1" t="s">
        <v>2921</v>
      </c>
      <c r="G1463" s="1" t="s">
        <v>2922</v>
      </c>
      <c r="H1463" s="1" t="s">
        <v>2921</v>
      </c>
      <c r="I1463" s="1" t="s">
        <v>15010</v>
      </c>
      <c r="J1463" s="1" t="s">
        <v>15011</v>
      </c>
      <c r="K1463" s="1">
        <v>4</v>
      </c>
      <c r="L1463" s="1" t="s">
        <v>4342</v>
      </c>
      <c r="M1463" s="1">
        <v>5</v>
      </c>
      <c r="N1463" s="1" t="s">
        <v>4342</v>
      </c>
    </row>
    <row r="1464" spans="1:14" x14ac:dyDescent="0.15">
      <c r="A1464" s="1">
        <v>220</v>
      </c>
      <c r="B1464" s="1" t="s">
        <v>2886</v>
      </c>
      <c r="C1464" s="1" t="s">
        <v>2920</v>
      </c>
      <c r="D1464" s="1" t="s">
        <v>2921</v>
      </c>
      <c r="E1464" s="1" t="s">
        <v>2920</v>
      </c>
      <c r="F1464" s="1" t="s">
        <v>2921</v>
      </c>
      <c r="G1464" s="1" t="s">
        <v>2922</v>
      </c>
      <c r="H1464" s="1" t="s">
        <v>2921</v>
      </c>
      <c r="I1464" s="1" t="s">
        <v>15014</v>
      </c>
      <c r="J1464" s="1" t="s">
        <v>15015</v>
      </c>
      <c r="K1464" s="1">
        <v>4</v>
      </c>
      <c r="L1464" s="1" t="s">
        <v>4342</v>
      </c>
      <c r="M1464" s="1">
        <v>5</v>
      </c>
      <c r="N1464" s="1" t="s">
        <v>4342</v>
      </c>
    </row>
    <row r="1465" spans="1:14" x14ac:dyDescent="0.15">
      <c r="A1465" s="1">
        <v>220</v>
      </c>
      <c r="B1465" s="1" t="s">
        <v>2886</v>
      </c>
      <c r="C1465" s="1" t="s">
        <v>2920</v>
      </c>
      <c r="D1465" s="1" t="s">
        <v>2921</v>
      </c>
      <c r="E1465" s="1" t="s">
        <v>2920</v>
      </c>
      <c r="F1465" s="1" t="s">
        <v>2921</v>
      </c>
      <c r="G1465" s="1" t="s">
        <v>2922</v>
      </c>
      <c r="H1465" s="1" t="s">
        <v>2921</v>
      </c>
      <c r="I1465" s="1" t="s">
        <v>15018</v>
      </c>
      <c r="J1465" s="1" t="s">
        <v>15019</v>
      </c>
      <c r="K1465" s="1">
        <v>4</v>
      </c>
      <c r="L1465" s="1" t="s">
        <v>4342</v>
      </c>
      <c r="M1465" s="1">
        <v>5</v>
      </c>
      <c r="N1465" s="1" t="s">
        <v>4342</v>
      </c>
    </row>
    <row r="1466" spans="1:14" x14ac:dyDescent="0.15">
      <c r="A1466" s="1">
        <v>220</v>
      </c>
      <c r="B1466" s="1" t="s">
        <v>2886</v>
      </c>
      <c r="C1466" s="1" t="s">
        <v>2920</v>
      </c>
      <c r="D1466" s="1" t="s">
        <v>2921</v>
      </c>
      <c r="E1466" s="1" t="s">
        <v>2920</v>
      </c>
      <c r="F1466" s="1" t="s">
        <v>2921</v>
      </c>
      <c r="G1466" s="1" t="s">
        <v>2922</v>
      </c>
      <c r="H1466" s="1" t="s">
        <v>2921</v>
      </c>
      <c r="I1466" s="1" t="s">
        <v>11258</v>
      </c>
      <c r="J1466" s="1" t="s">
        <v>4433</v>
      </c>
      <c r="K1466" s="1">
        <v>4</v>
      </c>
      <c r="L1466" s="1" t="s">
        <v>4342</v>
      </c>
      <c r="M1466" s="1">
        <v>5</v>
      </c>
      <c r="N1466" s="1" t="s">
        <v>4342</v>
      </c>
    </row>
    <row r="1467" spans="1:14" x14ac:dyDescent="0.15">
      <c r="A1467" s="1">
        <v>220</v>
      </c>
      <c r="B1467" s="1" t="s">
        <v>2886</v>
      </c>
      <c r="C1467" s="1" t="s">
        <v>2920</v>
      </c>
      <c r="D1467" s="1" t="s">
        <v>2921</v>
      </c>
      <c r="E1467" s="1" t="s">
        <v>2920</v>
      </c>
      <c r="F1467" s="1" t="s">
        <v>2921</v>
      </c>
      <c r="G1467" s="1" t="s">
        <v>2922</v>
      </c>
      <c r="H1467" s="1" t="s">
        <v>2921</v>
      </c>
      <c r="I1467" s="1" t="s">
        <v>9009</v>
      </c>
      <c r="J1467" s="1" t="s">
        <v>4434</v>
      </c>
      <c r="K1467" s="1">
        <v>4</v>
      </c>
      <c r="L1467" s="1" t="s">
        <v>4342</v>
      </c>
      <c r="M1467" s="1">
        <v>5</v>
      </c>
      <c r="N1467" s="1" t="s">
        <v>4342</v>
      </c>
    </row>
    <row r="1468" spans="1:14" x14ac:dyDescent="0.15">
      <c r="A1468" s="1">
        <v>220</v>
      </c>
      <c r="B1468" s="1" t="s">
        <v>2886</v>
      </c>
      <c r="C1468" s="1" t="s">
        <v>2920</v>
      </c>
      <c r="D1468" s="1" t="s">
        <v>2921</v>
      </c>
      <c r="E1468" s="1" t="s">
        <v>2920</v>
      </c>
      <c r="F1468" s="1" t="s">
        <v>2921</v>
      </c>
      <c r="G1468" s="1" t="s">
        <v>2922</v>
      </c>
      <c r="H1468" s="1" t="s">
        <v>2921</v>
      </c>
      <c r="I1468" s="1" t="s">
        <v>10408</v>
      </c>
      <c r="J1468" s="1" t="s">
        <v>4435</v>
      </c>
      <c r="K1468" s="1">
        <v>4</v>
      </c>
      <c r="L1468" s="1" t="s">
        <v>4342</v>
      </c>
      <c r="M1468" s="1">
        <v>5</v>
      </c>
      <c r="N1468" s="1" t="s">
        <v>4342</v>
      </c>
    </row>
    <row r="1469" spans="1:14" x14ac:dyDescent="0.15">
      <c r="A1469" s="1">
        <v>220</v>
      </c>
      <c r="B1469" s="1" t="s">
        <v>2886</v>
      </c>
      <c r="C1469" s="1" t="s">
        <v>2920</v>
      </c>
      <c r="D1469" s="1" t="s">
        <v>2921</v>
      </c>
      <c r="E1469" s="1" t="s">
        <v>2920</v>
      </c>
      <c r="F1469" s="1" t="s">
        <v>2921</v>
      </c>
      <c r="G1469" s="1" t="s">
        <v>2922</v>
      </c>
      <c r="H1469" s="1" t="s">
        <v>2921</v>
      </c>
      <c r="I1469" s="1" t="s">
        <v>15022</v>
      </c>
      <c r="J1469" s="1" t="s">
        <v>4436</v>
      </c>
      <c r="K1469" s="1">
        <v>4</v>
      </c>
      <c r="L1469" s="1" t="s">
        <v>4342</v>
      </c>
      <c r="M1469" s="1">
        <v>5</v>
      </c>
      <c r="N1469" s="1" t="s">
        <v>4342</v>
      </c>
    </row>
    <row r="1470" spans="1:14" x14ac:dyDescent="0.15">
      <c r="A1470" s="1">
        <v>220</v>
      </c>
      <c r="B1470" s="1" t="s">
        <v>2886</v>
      </c>
      <c r="C1470" s="1" t="s">
        <v>2920</v>
      </c>
      <c r="D1470" s="1" t="s">
        <v>2921</v>
      </c>
      <c r="E1470" s="1" t="s">
        <v>2920</v>
      </c>
      <c r="F1470" s="1" t="s">
        <v>2921</v>
      </c>
      <c r="G1470" s="1" t="s">
        <v>2922</v>
      </c>
      <c r="H1470" s="1" t="s">
        <v>2921</v>
      </c>
      <c r="I1470" s="1" t="s">
        <v>15050</v>
      </c>
      <c r="J1470" s="1" t="s">
        <v>6205</v>
      </c>
      <c r="K1470" s="1">
        <v>4</v>
      </c>
      <c r="L1470" s="1" t="s">
        <v>4342</v>
      </c>
      <c r="M1470" s="1">
        <v>5</v>
      </c>
      <c r="N1470" s="1" t="s">
        <v>4342</v>
      </c>
    </row>
    <row r="1471" spans="1:14" x14ac:dyDescent="0.15">
      <c r="A1471" s="1">
        <v>220</v>
      </c>
      <c r="B1471" s="1" t="s">
        <v>2886</v>
      </c>
      <c r="C1471" s="1" t="s">
        <v>2920</v>
      </c>
      <c r="D1471" s="1" t="s">
        <v>2921</v>
      </c>
      <c r="E1471" s="1" t="s">
        <v>2920</v>
      </c>
      <c r="F1471" s="1" t="s">
        <v>2921</v>
      </c>
      <c r="G1471" s="1" t="s">
        <v>2922</v>
      </c>
      <c r="H1471" s="1" t="s">
        <v>2921</v>
      </c>
      <c r="I1471" s="1" t="s">
        <v>15054</v>
      </c>
      <c r="J1471" s="1" t="s">
        <v>15055</v>
      </c>
      <c r="K1471" s="1">
        <v>4</v>
      </c>
      <c r="L1471" s="1" t="s">
        <v>4342</v>
      </c>
      <c r="M1471" s="1">
        <v>5</v>
      </c>
      <c r="N1471" s="1" t="s">
        <v>4342</v>
      </c>
    </row>
    <row r="1472" spans="1:14" x14ac:dyDescent="0.15">
      <c r="A1472" s="1">
        <v>220</v>
      </c>
      <c r="B1472" s="1" t="s">
        <v>2886</v>
      </c>
      <c r="C1472" s="1" t="s">
        <v>2920</v>
      </c>
      <c r="D1472" s="1" t="s">
        <v>2921</v>
      </c>
      <c r="E1472" s="1" t="s">
        <v>2920</v>
      </c>
      <c r="F1472" s="1" t="s">
        <v>2921</v>
      </c>
      <c r="G1472" s="1" t="s">
        <v>2922</v>
      </c>
      <c r="H1472" s="1" t="s">
        <v>2921</v>
      </c>
      <c r="I1472" s="1" t="s">
        <v>15058</v>
      </c>
      <c r="J1472" s="1" t="s">
        <v>15059</v>
      </c>
      <c r="K1472" s="1">
        <v>4</v>
      </c>
      <c r="L1472" s="1" t="s">
        <v>4342</v>
      </c>
      <c r="M1472" s="1">
        <v>5</v>
      </c>
      <c r="N1472" s="1" t="s">
        <v>4342</v>
      </c>
    </row>
    <row r="1473" spans="1:14" x14ac:dyDescent="0.15">
      <c r="A1473" s="1">
        <v>220</v>
      </c>
      <c r="B1473" s="1" t="s">
        <v>2886</v>
      </c>
      <c r="C1473" s="1" t="s">
        <v>2920</v>
      </c>
      <c r="D1473" s="1" t="s">
        <v>2921</v>
      </c>
      <c r="E1473" s="1" t="s">
        <v>2920</v>
      </c>
      <c r="F1473" s="1" t="s">
        <v>2921</v>
      </c>
      <c r="G1473" s="1" t="s">
        <v>2922</v>
      </c>
      <c r="H1473" s="1" t="s">
        <v>2921</v>
      </c>
      <c r="I1473" s="1" t="s">
        <v>15062</v>
      </c>
      <c r="J1473" s="1" t="s">
        <v>15063</v>
      </c>
      <c r="K1473" s="1">
        <v>4</v>
      </c>
      <c r="L1473" s="1" t="s">
        <v>4342</v>
      </c>
      <c r="M1473" s="1">
        <v>5</v>
      </c>
      <c r="N1473" s="1" t="s">
        <v>4342</v>
      </c>
    </row>
    <row r="1474" spans="1:14" x14ac:dyDescent="0.15">
      <c r="A1474" s="1">
        <v>220</v>
      </c>
      <c r="B1474" s="1" t="s">
        <v>2886</v>
      </c>
      <c r="C1474" s="1" t="s">
        <v>2920</v>
      </c>
      <c r="D1474" s="1" t="s">
        <v>2921</v>
      </c>
      <c r="E1474" s="1" t="s">
        <v>2920</v>
      </c>
      <c r="F1474" s="1" t="s">
        <v>2921</v>
      </c>
      <c r="G1474" s="1" t="s">
        <v>2922</v>
      </c>
      <c r="H1474" s="1" t="s">
        <v>2921</v>
      </c>
      <c r="I1474" s="1" t="s">
        <v>15066</v>
      </c>
      <c r="J1474" s="1" t="s">
        <v>6207</v>
      </c>
      <c r="K1474" s="1">
        <v>4</v>
      </c>
      <c r="L1474" s="1" t="s">
        <v>4342</v>
      </c>
      <c r="M1474" s="1">
        <v>5</v>
      </c>
      <c r="N1474" s="1" t="s">
        <v>4342</v>
      </c>
    </row>
    <row r="1475" spans="1:14" x14ac:dyDescent="0.15">
      <c r="A1475" s="1">
        <v>220</v>
      </c>
      <c r="B1475" s="1" t="s">
        <v>2886</v>
      </c>
      <c r="C1475" s="1" t="s">
        <v>2920</v>
      </c>
      <c r="D1475" s="1" t="s">
        <v>2921</v>
      </c>
      <c r="E1475" s="1" t="s">
        <v>2920</v>
      </c>
      <c r="F1475" s="1" t="s">
        <v>2921</v>
      </c>
      <c r="G1475" s="1" t="s">
        <v>2922</v>
      </c>
      <c r="H1475" s="1" t="s">
        <v>2921</v>
      </c>
      <c r="I1475" s="1" t="s">
        <v>15070</v>
      </c>
      <c r="J1475" s="1" t="s">
        <v>15071</v>
      </c>
      <c r="K1475" s="1">
        <v>4</v>
      </c>
      <c r="L1475" s="1" t="s">
        <v>4342</v>
      </c>
      <c r="M1475" s="1">
        <v>5</v>
      </c>
      <c r="N1475" s="1" t="s">
        <v>4342</v>
      </c>
    </row>
    <row r="1476" spans="1:14" x14ac:dyDescent="0.15">
      <c r="A1476" s="1">
        <v>220</v>
      </c>
      <c r="B1476" s="1" t="s">
        <v>2886</v>
      </c>
      <c r="C1476" s="1" t="s">
        <v>2920</v>
      </c>
      <c r="D1476" s="1" t="s">
        <v>2921</v>
      </c>
      <c r="E1476" s="1" t="s">
        <v>2920</v>
      </c>
      <c r="F1476" s="1" t="s">
        <v>2921</v>
      </c>
      <c r="G1476" s="1" t="s">
        <v>2922</v>
      </c>
      <c r="H1476" s="1" t="s">
        <v>2921</v>
      </c>
      <c r="I1476" s="1" t="s">
        <v>15074</v>
      </c>
      <c r="J1476" s="1" t="s">
        <v>15075</v>
      </c>
      <c r="K1476" s="1">
        <v>4</v>
      </c>
      <c r="L1476" s="1" t="s">
        <v>4342</v>
      </c>
      <c r="M1476" s="1">
        <v>5</v>
      </c>
      <c r="N1476" s="1" t="s">
        <v>4342</v>
      </c>
    </row>
    <row r="1477" spans="1:14" x14ac:dyDescent="0.15">
      <c r="A1477" s="1">
        <v>220</v>
      </c>
      <c r="B1477" s="1" t="s">
        <v>2886</v>
      </c>
      <c r="C1477" s="1" t="s">
        <v>2920</v>
      </c>
      <c r="D1477" s="1" t="s">
        <v>2921</v>
      </c>
      <c r="E1477" s="1" t="s">
        <v>2920</v>
      </c>
      <c r="F1477" s="1" t="s">
        <v>2921</v>
      </c>
      <c r="G1477" s="1" t="s">
        <v>2922</v>
      </c>
      <c r="H1477" s="1" t="s">
        <v>2921</v>
      </c>
      <c r="I1477" s="1" t="s">
        <v>15078</v>
      </c>
      <c r="J1477" s="1" t="s">
        <v>15079</v>
      </c>
      <c r="K1477" s="1">
        <v>4</v>
      </c>
      <c r="L1477" s="1" t="s">
        <v>4342</v>
      </c>
      <c r="M1477" s="1">
        <v>5</v>
      </c>
      <c r="N1477" s="1" t="s">
        <v>4342</v>
      </c>
    </row>
    <row r="1478" spans="1:14" x14ac:dyDescent="0.15">
      <c r="A1478" s="1">
        <v>220</v>
      </c>
      <c r="B1478" s="1" t="s">
        <v>2886</v>
      </c>
      <c r="C1478" s="1" t="s">
        <v>2920</v>
      </c>
      <c r="D1478" s="1" t="s">
        <v>2921</v>
      </c>
      <c r="E1478" s="1" t="s">
        <v>2920</v>
      </c>
      <c r="F1478" s="1" t="s">
        <v>2921</v>
      </c>
      <c r="G1478" s="1" t="s">
        <v>2922</v>
      </c>
      <c r="H1478" s="1" t="s">
        <v>2921</v>
      </c>
      <c r="I1478" s="1" t="s">
        <v>15082</v>
      </c>
      <c r="J1478" s="1" t="s">
        <v>15083</v>
      </c>
      <c r="K1478" s="1">
        <v>4</v>
      </c>
      <c r="L1478" s="1" t="s">
        <v>4342</v>
      </c>
      <c r="M1478" s="1">
        <v>5</v>
      </c>
      <c r="N1478" s="1" t="s">
        <v>4342</v>
      </c>
    </row>
    <row r="1479" spans="1:14" x14ac:dyDescent="0.15">
      <c r="A1479" s="1">
        <v>220</v>
      </c>
      <c r="B1479" s="1" t="s">
        <v>2886</v>
      </c>
      <c r="C1479" s="1" t="s">
        <v>2923</v>
      </c>
      <c r="D1479" s="1" t="s">
        <v>2924</v>
      </c>
      <c r="E1479" s="1" t="s">
        <v>2923</v>
      </c>
      <c r="F1479" s="1" t="s">
        <v>2924</v>
      </c>
      <c r="G1479" s="1" t="s">
        <v>2925</v>
      </c>
      <c r="H1479" s="1" t="s">
        <v>2924</v>
      </c>
      <c r="I1479" s="1" t="s">
        <v>14970</v>
      </c>
      <c r="J1479" s="1" t="s">
        <v>14971</v>
      </c>
      <c r="K1479" s="1">
        <v>4</v>
      </c>
      <c r="L1479" s="1" t="s">
        <v>4342</v>
      </c>
      <c r="M1479" s="1">
        <v>5</v>
      </c>
      <c r="N1479" s="1" t="s">
        <v>4342</v>
      </c>
    </row>
    <row r="1480" spans="1:14" x14ac:dyDescent="0.15">
      <c r="A1480" s="1">
        <v>220</v>
      </c>
      <c r="B1480" s="1" t="s">
        <v>2886</v>
      </c>
      <c r="C1480" s="1" t="s">
        <v>2923</v>
      </c>
      <c r="D1480" s="1" t="s">
        <v>2924</v>
      </c>
      <c r="E1480" s="1" t="s">
        <v>2923</v>
      </c>
      <c r="F1480" s="1" t="s">
        <v>2924</v>
      </c>
      <c r="G1480" s="1" t="s">
        <v>2925</v>
      </c>
      <c r="H1480" s="1" t="s">
        <v>2924</v>
      </c>
      <c r="I1480" s="1" t="s">
        <v>14974</v>
      </c>
      <c r="J1480" s="1" t="s">
        <v>14975</v>
      </c>
      <c r="K1480" s="1">
        <v>4</v>
      </c>
      <c r="L1480" s="1" t="s">
        <v>4342</v>
      </c>
      <c r="M1480" s="1">
        <v>5</v>
      </c>
      <c r="N1480" s="1" t="s">
        <v>4342</v>
      </c>
    </row>
    <row r="1481" spans="1:14" x14ac:dyDescent="0.15">
      <c r="A1481" s="1">
        <v>220</v>
      </c>
      <c r="B1481" s="1" t="s">
        <v>2886</v>
      </c>
      <c r="C1481" s="1" t="s">
        <v>2923</v>
      </c>
      <c r="D1481" s="1" t="s">
        <v>2924</v>
      </c>
      <c r="E1481" s="1" t="s">
        <v>2923</v>
      </c>
      <c r="F1481" s="1" t="s">
        <v>2924</v>
      </c>
      <c r="G1481" s="1" t="s">
        <v>2925</v>
      </c>
      <c r="H1481" s="1" t="s">
        <v>2924</v>
      </c>
      <c r="I1481" s="1" t="s">
        <v>14978</v>
      </c>
      <c r="J1481" s="1" t="s">
        <v>14979</v>
      </c>
      <c r="K1481" s="1">
        <v>4</v>
      </c>
      <c r="L1481" s="1" t="s">
        <v>4342</v>
      </c>
      <c r="M1481" s="1">
        <v>5</v>
      </c>
      <c r="N1481" s="1" t="s">
        <v>4342</v>
      </c>
    </row>
    <row r="1482" spans="1:14" x14ac:dyDescent="0.15">
      <c r="A1482" s="1">
        <v>220</v>
      </c>
      <c r="B1482" s="1" t="s">
        <v>2886</v>
      </c>
      <c r="C1482" s="1" t="s">
        <v>2923</v>
      </c>
      <c r="D1482" s="1" t="s">
        <v>2924</v>
      </c>
      <c r="E1482" s="1" t="s">
        <v>2923</v>
      </c>
      <c r="F1482" s="1" t="s">
        <v>2924</v>
      </c>
      <c r="G1482" s="1" t="s">
        <v>2925</v>
      </c>
      <c r="H1482" s="1" t="s">
        <v>2924</v>
      </c>
      <c r="I1482" s="1" t="s">
        <v>14982</v>
      </c>
      <c r="J1482" s="1" t="s">
        <v>14983</v>
      </c>
      <c r="K1482" s="1">
        <v>4</v>
      </c>
      <c r="L1482" s="1" t="s">
        <v>4342</v>
      </c>
      <c r="M1482" s="1">
        <v>5</v>
      </c>
      <c r="N1482" s="1" t="s">
        <v>4342</v>
      </c>
    </row>
    <row r="1483" spans="1:14" x14ac:dyDescent="0.15">
      <c r="A1483" s="1">
        <v>220</v>
      </c>
      <c r="B1483" s="1" t="s">
        <v>2886</v>
      </c>
      <c r="C1483" s="1" t="s">
        <v>2923</v>
      </c>
      <c r="D1483" s="1" t="s">
        <v>2924</v>
      </c>
      <c r="E1483" s="1" t="s">
        <v>2923</v>
      </c>
      <c r="F1483" s="1" t="s">
        <v>2924</v>
      </c>
      <c r="G1483" s="1" t="s">
        <v>2925</v>
      </c>
      <c r="H1483" s="1" t="s">
        <v>2924</v>
      </c>
      <c r="I1483" s="1" t="s">
        <v>14990</v>
      </c>
      <c r="J1483" s="1" t="s">
        <v>14991</v>
      </c>
      <c r="K1483" s="1">
        <v>4</v>
      </c>
      <c r="L1483" s="1" t="s">
        <v>4342</v>
      </c>
      <c r="M1483" s="1">
        <v>5</v>
      </c>
      <c r="N1483" s="1" t="s">
        <v>4342</v>
      </c>
    </row>
    <row r="1484" spans="1:14" x14ac:dyDescent="0.15">
      <c r="A1484" s="1">
        <v>220</v>
      </c>
      <c r="B1484" s="1" t="s">
        <v>2886</v>
      </c>
      <c r="C1484" s="1" t="s">
        <v>2923</v>
      </c>
      <c r="D1484" s="1" t="s">
        <v>2924</v>
      </c>
      <c r="E1484" s="1" t="s">
        <v>2923</v>
      </c>
      <c r="F1484" s="1" t="s">
        <v>2924</v>
      </c>
      <c r="G1484" s="1" t="s">
        <v>2925</v>
      </c>
      <c r="H1484" s="1" t="s">
        <v>2924</v>
      </c>
      <c r="I1484" s="1" t="s">
        <v>14994</v>
      </c>
      <c r="J1484" s="1" t="s">
        <v>14995</v>
      </c>
      <c r="K1484" s="1">
        <v>4</v>
      </c>
      <c r="L1484" s="1" t="s">
        <v>4342</v>
      </c>
      <c r="M1484" s="1">
        <v>5</v>
      </c>
      <c r="N1484" s="1" t="s">
        <v>4342</v>
      </c>
    </row>
    <row r="1485" spans="1:14" x14ac:dyDescent="0.15">
      <c r="A1485" s="1">
        <v>220</v>
      </c>
      <c r="B1485" s="1" t="s">
        <v>2886</v>
      </c>
      <c r="C1485" s="1" t="s">
        <v>2923</v>
      </c>
      <c r="D1485" s="1" t="s">
        <v>2924</v>
      </c>
      <c r="E1485" s="1" t="s">
        <v>2923</v>
      </c>
      <c r="F1485" s="1" t="s">
        <v>2924</v>
      </c>
      <c r="G1485" s="1" t="s">
        <v>2925</v>
      </c>
      <c r="H1485" s="1" t="s">
        <v>2924</v>
      </c>
      <c r="I1485" s="1" t="s">
        <v>8993</v>
      </c>
      <c r="J1485" s="1" t="s">
        <v>4432</v>
      </c>
      <c r="K1485" s="1">
        <v>4</v>
      </c>
      <c r="L1485" s="1" t="s">
        <v>4342</v>
      </c>
      <c r="M1485" s="1">
        <v>5</v>
      </c>
      <c r="N1485" s="1" t="s">
        <v>4342</v>
      </c>
    </row>
    <row r="1486" spans="1:14" x14ac:dyDescent="0.15">
      <c r="A1486" s="1">
        <v>220</v>
      </c>
      <c r="B1486" s="1" t="s">
        <v>2886</v>
      </c>
      <c r="C1486" s="1" t="s">
        <v>2923</v>
      </c>
      <c r="D1486" s="1" t="s">
        <v>2924</v>
      </c>
      <c r="E1486" s="1" t="s">
        <v>2923</v>
      </c>
      <c r="F1486" s="1" t="s">
        <v>2924</v>
      </c>
      <c r="G1486" s="1" t="s">
        <v>2925</v>
      </c>
      <c r="H1486" s="1" t="s">
        <v>2924</v>
      </c>
      <c r="I1486" s="1" t="s">
        <v>14998</v>
      </c>
      <c r="J1486" s="1" t="s">
        <v>14999</v>
      </c>
      <c r="K1486" s="1">
        <v>4</v>
      </c>
      <c r="L1486" s="1" t="s">
        <v>4342</v>
      </c>
      <c r="M1486" s="1">
        <v>5</v>
      </c>
      <c r="N1486" s="1" t="s">
        <v>4342</v>
      </c>
    </row>
    <row r="1487" spans="1:14" x14ac:dyDescent="0.15">
      <c r="A1487" s="1">
        <v>220</v>
      </c>
      <c r="B1487" s="1" t="s">
        <v>2886</v>
      </c>
      <c r="C1487" s="1" t="s">
        <v>2923</v>
      </c>
      <c r="D1487" s="1" t="s">
        <v>2924</v>
      </c>
      <c r="E1487" s="1" t="s">
        <v>2923</v>
      </c>
      <c r="F1487" s="1" t="s">
        <v>2924</v>
      </c>
      <c r="G1487" s="1" t="s">
        <v>2925</v>
      </c>
      <c r="H1487" s="1" t="s">
        <v>2924</v>
      </c>
      <c r="I1487" s="1" t="s">
        <v>15010</v>
      </c>
      <c r="J1487" s="1" t="s">
        <v>15011</v>
      </c>
      <c r="K1487" s="1">
        <v>4</v>
      </c>
      <c r="L1487" s="1" t="s">
        <v>4342</v>
      </c>
      <c r="M1487" s="1">
        <v>5</v>
      </c>
      <c r="N1487" s="1" t="s">
        <v>4342</v>
      </c>
    </row>
    <row r="1488" spans="1:14" x14ac:dyDescent="0.15">
      <c r="A1488" s="1">
        <v>220</v>
      </c>
      <c r="B1488" s="1" t="s">
        <v>2886</v>
      </c>
      <c r="C1488" s="1" t="s">
        <v>2926</v>
      </c>
      <c r="D1488" s="1" t="s">
        <v>2927</v>
      </c>
      <c r="E1488" s="1" t="s">
        <v>2926</v>
      </c>
      <c r="F1488" s="1" t="s">
        <v>2927</v>
      </c>
      <c r="G1488" s="1" t="s">
        <v>2928</v>
      </c>
      <c r="H1488" s="1" t="s">
        <v>2927</v>
      </c>
      <c r="I1488" s="1" t="s">
        <v>12618</v>
      </c>
      <c r="J1488" s="1" t="s">
        <v>2613</v>
      </c>
      <c r="K1488" s="1">
        <v>4</v>
      </c>
      <c r="L1488" s="1" t="s">
        <v>4342</v>
      </c>
      <c r="M1488" s="1">
        <v>5</v>
      </c>
      <c r="N1488" s="1" t="s">
        <v>4342</v>
      </c>
    </row>
    <row r="1489" spans="1:14" x14ac:dyDescent="0.15">
      <c r="A1489" s="1">
        <v>220</v>
      </c>
      <c r="B1489" s="1" t="s">
        <v>2886</v>
      </c>
      <c r="C1489" s="1" t="s">
        <v>2926</v>
      </c>
      <c r="D1489" s="1" t="s">
        <v>2927</v>
      </c>
      <c r="E1489" s="1" t="s">
        <v>2926</v>
      </c>
      <c r="F1489" s="1" t="s">
        <v>2927</v>
      </c>
      <c r="G1489" s="1" t="s">
        <v>2928</v>
      </c>
      <c r="H1489" s="1" t="s">
        <v>2927</v>
      </c>
      <c r="I1489" s="1" t="s">
        <v>11285</v>
      </c>
      <c r="J1489" s="1" t="s">
        <v>12464</v>
      </c>
      <c r="K1489" s="1">
        <v>4</v>
      </c>
      <c r="L1489" s="1" t="s">
        <v>4342</v>
      </c>
      <c r="M1489" s="1">
        <v>5</v>
      </c>
      <c r="N1489" s="1" t="s">
        <v>4342</v>
      </c>
    </row>
    <row r="1490" spans="1:14" x14ac:dyDescent="0.15">
      <c r="A1490" s="1">
        <v>220</v>
      </c>
      <c r="B1490" s="1" t="s">
        <v>2886</v>
      </c>
      <c r="C1490" s="1" t="s">
        <v>2926</v>
      </c>
      <c r="D1490" s="1" t="s">
        <v>2927</v>
      </c>
      <c r="E1490" s="1" t="s">
        <v>2926</v>
      </c>
      <c r="F1490" s="1" t="s">
        <v>2927</v>
      </c>
      <c r="G1490" s="1" t="s">
        <v>2928</v>
      </c>
      <c r="H1490" s="1" t="s">
        <v>2927</v>
      </c>
      <c r="I1490" s="1" t="s">
        <v>16583</v>
      </c>
      <c r="J1490" s="1" t="s">
        <v>6946</v>
      </c>
      <c r="K1490" s="1">
        <v>4</v>
      </c>
      <c r="L1490" s="1" t="s">
        <v>4342</v>
      </c>
      <c r="M1490" s="1">
        <v>5</v>
      </c>
      <c r="N1490" s="1" t="s">
        <v>4342</v>
      </c>
    </row>
    <row r="1491" spans="1:14" x14ac:dyDescent="0.15">
      <c r="A1491" s="1">
        <v>220</v>
      </c>
      <c r="B1491" s="1" t="s">
        <v>2886</v>
      </c>
      <c r="C1491" s="1" t="s">
        <v>2929</v>
      </c>
      <c r="D1491" s="1" t="s">
        <v>2930</v>
      </c>
      <c r="E1491" s="1" t="s">
        <v>2929</v>
      </c>
      <c r="F1491" s="1" t="s">
        <v>2930</v>
      </c>
      <c r="G1491" s="1" t="s">
        <v>2931</v>
      </c>
      <c r="H1491" s="1" t="s">
        <v>2930</v>
      </c>
      <c r="I1491" s="1" t="s">
        <v>15046</v>
      </c>
      <c r="J1491" s="1" t="s">
        <v>15047</v>
      </c>
      <c r="K1491" s="1">
        <v>4</v>
      </c>
      <c r="L1491" s="1" t="s">
        <v>4342</v>
      </c>
      <c r="M1491" s="1">
        <v>5</v>
      </c>
      <c r="N1491" s="1" t="s">
        <v>4342</v>
      </c>
    </row>
    <row r="1492" spans="1:14" x14ac:dyDescent="0.15">
      <c r="A1492" s="1">
        <v>220</v>
      </c>
      <c r="B1492" s="1" t="s">
        <v>2886</v>
      </c>
      <c r="C1492" s="1" t="s">
        <v>2929</v>
      </c>
      <c r="D1492" s="1" t="s">
        <v>2930</v>
      </c>
      <c r="E1492" s="1" t="s">
        <v>2929</v>
      </c>
      <c r="F1492" s="1" t="s">
        <v>2930</v>
      </c>
      <c r="G1492" s="1" t="s">
        <v>2931</v>
      </c>
      <c r="H1492" s="1" t="s">
        <v>2930</v>
      </c>
      <c r="I1492" s="1" t="s">
        <v>15050</v>
      </c>
      <c r="J1492" s="1" t="s">
        <v>6205</v>
      </c>
      <c r="K1492" s="1">
        <v>4</v>
      </c>
      <c r="L1492" s="1" t="s">
        <v>4342</v>
      </c>
      <c r="M1492" s="1">
        <v>5</v>
      </c>
      <c r="N1492" s="1" t="s">
        <v>4342</v>
      </c>
    </row>
    <row r="1493" spans="1:14" x14ac:dyDescent="0.15">
      <c r="A1493" s="1">
        <v>220</v>
      </c>
      <c r="B1493" s="1" t="s">
        <v>2886</v>
      </c>
      <c r="C1493" s="1" t="s">
        <v>2929</v>
      </c>
      <c r="D1493" s="1" t="s">
        <v>2930</v>
      </c>
      <c r="E1493" s="1" t="s">
        <v>2929</v>
      </c>
      <c r="F1493" s="1" t="s">
        <v>2930</v>
      </c>
      <c r="G1493" s="1" t="s">
        <v>2931</v>
      </c>
      <c r="H1493" s="1" t="s">
        <v>2930</v>
      </c>
      <c r="I1493" s="1" t="s">
        <v>15054</v>
      </c>
      <c r="J1493" s="1" t="s">
        <v>15055</v>
      </c>
      <c r="K1493" s="1">
        <v>4</v>
      </c>
      <c r="L1493" s="1" t="s">
        <v>4342</v>
      </c>
      <c r="M1493" s="1">
        <v>5</v>
      </c>
      <c r="N1493" s="1" t="s">
        <v>4342</v>
      </c>
    </row>
    <row r="1494" spans="1:14" x14ac:dyDescent="0.15">
      <c r="A1494" s="1">
        <v>220</v>
      </c>
      <c r="B1494" s="1" t="s">
        <v>2886</v>
      </c>
      <c r="C1494" s="1" t="s">
        <v>2929</v>
      </c>
      <c r="D1494" s="1" t="s">
        <v>2930</v>
      </c>
      <c r="E1494" s="1" t="s">
        <v>2929</v>
      </c>
      <c r="F1494" s="1" t="s">
        <v>2930</v>
      </c>
      <c r="G1494" s="1" t="s">
        <v>2931</v>
      </c>
      <c r="H1494" s="1" t="s">
        <v>2930</v>
      </c>
      <c r="I1494" s="1" t="s">
        <v>15058</v>
      </c>
      <c r="J1494" s="1" t="s">
        <v>15059</v>
      </c>
      <c r="K1494" s="1">
        <v>4</v>
      </c>
      <c r="L1494" s="1" t="s">
        <v>4342</v>
      </c>
      <c r="M1494" s="1">
        <v>5</v>
      </c>
      <c r="N1494" s="1" t="s">
        <v>4342</v>
      </c>
    </row>
    <row r="1495" spans="1:14" x14ac:dyDescent="0.15">
      <c r="A1495" s="1">
        <v>220</v>
      </c>
      <c r="B1495" s="1" t="s">
        <v>2886</v>
      </c>
      <c r="C1495" s="1" t="s">
        <v>2929</v>
      </c>
      <c r="D1495" s="1" t="s">
        <v>2930</v>
      </c>
      <c r="E1495" s="1" t="s">
        <v>2929</v>
      </c>
      <c r="F1495" s="1" t="s">
        <v>2930</v>
      </c>
      <c r="G1495" s="1" t="s">
        <v>2931</v>
      </c>
      <c r="H1495" s="1" t="s">
        <v>2930</v>
      </c>
      <c r="I1495" s="1" t="s">
        <v>15062</v>
      </c>
      <c r="J1495" s="1" t="s">
        <v>15063</v>
      </c>
      <c r="K1495" s="1">
        <v>4</v>
      </c>
      <c r="L1495" s="1" t="s">
        <v>4342</v>
      </c>
      <c r="M1495" s="1">
        <v>5</v>
      </c>
      <c r="N1495" s="1" t="s">
        <v>4342</v>
      </c>
    </row>
    <row r="1496" spans="1:14" x14ac:dyDescent="0.15">
      <c r="A1496" s="1">
        <v>220</v>
      </c>
      <c r="B1496" s="1" t="s">
        <v>2886</v>
      </c>
      <c r="C1496" s="1" t="s">
        <v>2929</v>
      </c>
      <c r="D1496" s="1" t="s">
        <v>2930</v>
      </c>
      <c r="E1496" s="1" t="s">
        <v>2929</v>
      </c>
      <c r="F1496" s="1" t="s">
        <v>2930</v>
      </c>
      <c r="G1496" s="1" t="s">
        <v>2931</v>
      </c>
      <c r="H1496" s="1" t="s">
        <v>2930</v>
      </c>
      <c r="I1496" s="1" t="s">
        <v>15066</v>
      </c>
      <c r="J1496" s="1" t="s">
        <v>6207</v>
      </c>
      <c r="K1496" s="1">
        <v>4</v>
      </c>
      <c r="L1496" s="1" t="s">
        <v>4342</v>
      </c>
      <c r="M1496" s="1">
        <v>5</v>
      </c>
      <c r="N1496" s="1" t="s">
        <v>4342</v>
      </c>
    </row>
    <row r="1497" spans="1:14" x14ac:dyDescent="0.15">
      <c r="A1497" s="1">
        <v>220</v>
      </c>
      <c r="B1497" s="1" t="s">
        <v>2886</v>
      </c>
      <c r="C1497" s="1" t="s">
        <v>2929</v>
      </c>
      <c r="D1497" s="1" t="s">
        <v>2930</v>
      </c>
      <c r="E1497" s="1" t="s">
        <v>2929</v>
      </c>
      <c r="F1497" s="1" t="s">
        <v>2930</v>
      </c>
      <c r="G1497" s="1" t="s">
        <v>2931</v>
      </c>
      <c r="H1497" s="1" t="s">
        <v>2930</v>
      </c>
      <c r="I1497" s="1" t="s">
        <v>15070</v>
      </c>
      <c r="J1497" s="1" t="s">
        <v>15071</v>
      </c>
      <c r="K1497" s="1">
        <v>4</v>
      </c>
      <c r="L1497" s="1" t="s">
        <v>4342</v>
      </c>
      <c r="M1497" s="1">
        <v>5</v>
      </c>
      <c r="N1497" s="1" t="s">
        <v>4342</v>
      </c>
    </row>
    <row r="1498" spans="1:14" x14ac:dyDescent="0.15">
      <c r="A1498" s="1">
        <v>220</v>
      </c>
      <c r="B1498" s="1" t="s">
        <v>2886</v>
      </c>
      <c r="C1498" s="1" t="s">
        <v>2929</v>
      </c>
      <c r="D1498" s="1" t="s">
        <v>2930</v>
      </c>
      <c r="E1498" s="1" t="s">
        <v>2929</v>
      </c>
      <c r="F1498" s="1" t="s">
        <v>2930</v>
      </c>
      <c r="G1498" s="1" t="s">
        <v>2931</v>
      </c>
      <c r="H1498" s="1" t="s">
        <v>2930</v>
      </c>
      <c r="I1498" s="1" t="s">
        <v>15074</v>
      </c>
      <c r="J1498" s="1" t="s">
        <v>15075</v>
      </c>
      <c r="K1498" s="1">
        <v>4</v>
      </c>
      <c r="L1498" s="1" t="s">
        <v>4342</v>
      </c>
      <c r="M1498" s="1">
        <v>5</v>
      </c>
      <c r="N1498" s="1" t="s">
        <v>4342</v>
      </c>
    </row>
    <row r="1499" spans="1:14" x14ac:dyDescent="0.15">
      <c r="A1499" s="1">
        <v>220</v>
      </c>
      <c r="B1499" s="1" t="s">
        <v>2886</v>
      </c>
      <c r="C1499" s="1" t="s">
        <v>2929</v>
      </c>
      <c r="D1499" s="1" t="s">
        <v>2930</v>
      </c>
      <c r="E1499" s="1" t="s">
        <v>2929</v>
      </c>
      <c r="F1499" s="1" t="s">
        <v>2930</v>
      </c>
      <c r="G1499" s="1" t="s">
        <v>2931</v>
      </c>
      <c r="H1499" s="1" t="s">
        <v>2930</v>
      </c>
      <c r="I1499" s="1" t="s">
        <v>15078</v>
      </c>
      <c r="J1499" s="1" t="s">
        <v>15079</v>
      </c>
      <c r="K1499" s="1">
        <v>4</v>
      </c>
      <c r="L1499" s="1" t="s">
        <v>4342</v>
      </c>
      <c r="M1499" s="1">
        <v>5</v>
      </c>
      <c r="N1499" s="1" t="s">
        <v>4342</v>
      </c>
    </row>
    <row r="1500" spans="1:14" x14ac:dyDescent="0.15">
      <c r="A1500" s="1">
        <v>220</v>
      </c>
      <c r="B1500" s="1" t="s">
        <v>2886</v>
      </c>
      <c r="C1500" s="1" t="s">
        <v>2929</v>
      </c>
      <c r="D1500" s="1" t="s">
        <v>2930</v>
      </c>
      <c r="E1500" s="1" t="s">
        <v>2929</v>
      </c>
      <c r="F1500" s="1" t="s">
        <v>2930</v>
      </c>
      <c r="G1500" s="1" t="s">
        <v>2931</v>
      </c>
      <c r="H1500" s="1" t="s">
        <v>2930</v>
      </c>
      <c r="I1500" s="1" t="s">
        <v>15082</v>
      </c>
      <c r="J1500" s="1" t="s">
        <v>15083</v>
      </c>
      <c r="K1500" s="1">
        <v>4</v>
      </c>
      <c r="L1500" s="1" t="s">
        <v>4342</v>
      </c>
      <c r="M1500" s="1">
        <v>5</v>
      </c>
      <c r="N1500" s="1" t="s">
        <v>4342</v>
      </c>
    </row>
    <row r="1501" spans="1:14" x14ac:dyDescent="0.15">
      <c r="A1501" s="1">
        <v>220</v>
      </c>
      <c r="B1501" s="1" t="s">
        <v>2886</v>
      </c>
      <c r="C1501" s="1" t="s">
        <v>2932</v>
      </c>
      <c r="D1501" s="1" t="s">
        <v>2933</v>
      </c>
      <c r="E1501" s="1" t="s">
        <v>2932</v>
      </c>
      <c r="F1501" s="1" t="s">
        <v>2933</v>
      </c>
      <c r="G1501" s="1" t="s">
        <v>2934</v>
      </c>
      <c r="H1501" s="1" t="s">
        <v>2933</v>
      </c>
      <c r="I1501" s="1" t="s">
        <v>16587</v>
      </c>
      <c r="J1501" s="1" t="s">
        <v>16588</v>
      </c>
      <c r="K1501" s="1">
        <v>4</v>
      </c>
      <c r="L1501" s="1" t="s">
        <v>4342</v>
      </c>
      <c r="M1501" s="1">
        <v>5</v>
      </c>
      <c r="N1501" s="1" t="s">
        <v>4342</v>
      </c>
    </row>
    <row r="1502" spans="1:14" x14ac:dyDescent="0.15">
      <c r="A1502" s="1">
        <v>220</v>
      </c>
      <c r="B1502" s="1" t="s">
        <v>2886</v>
      </c>
      <c r="C1502" s="1" t="s">
        <v>2932</v>
      </c>
      <c r="D1502" s="1" t="s">
        <v>2933</v>
      </c>
      <c r="E1502" s="1" t="s">
        <v>2932</v>
      </c>
      <c r="F1502" s="1" t="s">
        <v>2933</v>
      </c>
      <c r="G1502" s="1" t="s">
        <v>2934</v>
      </c>
      <c r="H1502" s="1" t="s">
        <v>2933</v>
      </c>
      <c r="I1502" s="1" t="s">
        <v>14697</v>
      </c>
      <c r="J1502" s="1" t="s">
        <v>14694</v>
      </c>
      <c r="K1502" s="1">
        <v>4</v>
      </c>
      <c r="L1502" s="1" t="s">
        <v>4342</v>
      </c>
      <c r="M1502" s="1">
        <v>5</v>
      </c>
      <c r="N1502" s="1" t="s">
        <v>4342</v>
      </c>
    </row>
    <row r="1503" spans="1:14" x14ac:dyDescent="0.15">
      <c r="A1503" s="1">
        <v>220</v>
      </c>
      <c r="B1503" s="1" t="s">
        <v>2886</v>
      </c>
      <c r="C1503" s="1" t="s">
        <v>2932</v>
      </c>
      <c r="D1503" s="1" t="s">
        <v>2933</v>
      </c>
      <c r="E1503" s="1" t="s">
        <v>2932</v>
      </c>
      <c r="F1503" s="1" t="s">
        <v>2933</v>
      </c>
      <c r="G1503" s="1" t="s">
        <v>2934</v>
      </c>
      <c r="H1503" s="1" t="s">
        <v>2933</v>
      </c>
      <c r="I1503" s="1" t="s">
        <v>8824</v>
      </c>
      <c r="J1503" s="1" t="s">
        <v>2683</v>
      </c>
      <c r="K1503" s="1">
        <v>4</v>
      </c>
      <c r="L1503" s="1" t="s">
        <v>4342</v>
      </c>
      <c r="M1503" s="1">
        <v>5</v>
      </c>
      <c r="N1503" s="1" t="s">
        <v>4342</v>
      </c>
    </row>
    <row r="1504" spans="1:14" x14ac:dyDescent="0.15">
      <c r="A1504" s="1">
        <v>220</v>
      </c>
      <c r="B1504" s="1" t="s">
        <v>2886</v>
      </c>
      <c r="C1504" s="1" t="s">
        <v>2932</v>
      </c>
      <c r="D1504" s="1" t="s">
        <v>2933</v>
      </c>
      <c r="E1504" s="1" t="s">
        <v>2932</v>
      </c>
      <c r="F1504" s="1" t="s">
        <v>2933</v>
      </c>
      <c r="G1504" s="1" t="s">
        <v>2934</v>
      </c>
      <c r="H1504" s="1" t="s">
        <v>2933</v>
      </c>
      <c r="I1504" s="1" t="s">
        <v>14704</v>
      </c>
      <c r="J1504" s="1" t="s">
        <v>14701</v>
      </c>
      <c r="K1504" s="1">
        <v>4</v>
      </c>
      <c r="L1504" s="1" t="s">
        <v>4342</v>
      </c>
      <c r="M1504" s="1">
        <v>5</v>
      </c>
      <c r="N1504" s="1" t="s">
        <v>4342</v>
      </c>
    </row>
    <row r="1505" spans="1:14" x14ac:dyDescent="0.15">
      <c r="A1505" s="1">
        <v>220</v>
      </c>
      <c r="B1505" s="1" t="s">
        <v>2886</v>
      </c>
      <c r="C1505" s="1" t="s">
        <v>2935</v>
      </c>
      <c r="D1505" s="1" t="s">
        <v>2936</v>
      </c>
      <c r="E1505" s="1" t="s">
        <v>2935</v>
      </c>
      <c r="F1505" s="1" t="s">
        <v>2936</v>
      </c>
      <c r="G1505" s="1" t="s">
        <v>2937</v>
      </c>
      <c r="H1505" s="1" t="s">
        <v>2936</v>
      </c>
      <c r="I1505" s="1" t="s">
        <v>17413</v>
      </c>
      <c r="J1505" s="1" t="s">
        <v>17414</v>
      </c>
      <c r="K1505" s="1">
        <v>4</v>
      </c>
      <c r="L1505" s="1" t="s">
        <v>4342</v>
      </c>
      <c r="M1505" s="1">
        <v>5</v>
      </c>
      <c r="N1505" s="1" t="s">
        <v>4342</v>
      </c>
    </row>
    <row r="1506" spans="1:14" x14ac:dyDescent="0.15">
      <c r="A1506" s="1">
        <v>220</v>
      </c>
      <c r="B1506" s="1" t="s">
        <v>2886</v>
      </c>
      <c r="C1506" s="1" t="s">
        <v>2935</v>
      </c>
      <c r="D1506" s="1" t="s">
        <v>2936</v>
      </c>
      <c r="E1506" s="1" t="s">
        <v>2935</v>
      </c>
      <c r="F1506" s="1" t="s">
        <v>2936</v>
      </c>
      <c r="G1506" s="1" t="s">
        <v>2937</v>
      </c>
      <c r="H1506" s="1" t="s">
        <v>2936</v>
      </c>
      <c r="I1506" s="1" t="s">
        <v>17417</v>
      </c>
      <c r="J1506" s="1" t="s">
        <v>6678</v>
      </c>
      <c r="K1506" s="1">
        <v>4</v>
      </c>
      <c r="L1506" s="1" t="s">
        <v>4342</v>
      </c>
      <c r="M1506" s="1">
        <v>5</v>
      </c>
      <c r="N1506" s="1" t="s">
        <v>4342</v>
      </c>
    </row>
    <row r="1507" spans="1:14" x14ac:dyDescent="0.15">
      <c r="A1507" s="1">
        <v>220</v>
      </c>
      <c r="B1507" s="1" t="s">
        <v>2886</v>
      </c>
      <c r="C1507" s="1" t="s">
        <v>2935</v>
      </c>
      <c r="D1507" s="1" t="s">
        <v>2936</v>
      </c>
      <c r="E1507" s="1" t="s">
        <v>2935</v>
      </c>
      <c r="F1507" s="1" t="s">
        <v>2936</v>
      </c>
      <c r="G1507" s="1" t="s">
        <v>2937</v>
      </c>
      <c r="H1507" s="1" t="s">
        <v>2936</v>
      </c>
      <c r="I1507" s="1" t="s">
        <v>17421</v>
      </c>
      <c r="J1507" s="1" t="s">
        <v>6679</v>
      </c>
      <c r="K1507" s="1">
        <v>4</v>
      </c>
      <c r="L1507" s="1" t="s">
        <v>4342</v>
      </c>
      <c r="M1507" s="1">
        <v>5</v>
      </c>
      <c r="N1507" s="1" t="s">
        <v>4342</v>
      </c>
    </row>
    <row r="1508" spans="1:14" x14ac:dyDescent="0.15">
      <c r="A1508" s="1">
        <v>220</v>
      </c>
      <c r="B1508" s="1" t="s">
        <v>2886</v>
      </c>
      <c r="C1508" s="1" t="s">
        <v>2935</v>
      </c>
      <c r="D1508" s="1" t="s">
        <v>2936</v>
      </c>
      <c r="E1508" s="1" t="s">
        <v>2935</v>
      </c>
      <c r="F1508" s="1" t="s">
        <v>2936</v>
      </c>
      <c r="G1508" s="1" t="s">
        <v>2937</v>
      </c>
      <c r="H1508" s="1" t="s">
        <v>2936</v>
      </c>
      <c r="I1508" s="1" t="s">
        <v>17425</v>
      </c>
      <c r="J1508" s="1" t="s">
        <v>17426</v>
      </c>
      <c r="K1508" s="1">
        <v>4</v>
      </c>
      <c r="L1508" s="1" t="s">
        <v>4342</v>
      </c>
      <c r="M1508" s="1">
        <v>5</v>
      </c>
      <c r="N1508" s="1" t="s">
        <v>4342</v>
      </c>
    </row>
    <row r="1509" spans="1:14" x14ac:dyDescent="0.15">
      <c r="A1509" s="1">
        <v>220</v>
      </c>
      <c r="B1509" s="1" t="s">
        <v>2886</v>
      </c>
      <c r="C1509" s="1" t="s">
        <v>2935</v>
      </c>
      <c r="D1509" s="1" t="s">
        <v>2936</v>
      </c>
      <c r="E1509" s="1" t="s">
        <v>2935</v>
      </c>
      <c r="F1509" s="1" t="s">
        <v>2936</v>
      </c>
      <c r="G1509" s="1" t="s">
        <v>2937</v>
      </c>
      <c r="H1509" s="1" t="s">
        <v>2936</v>
      </c>
      <c r="I1509" s="1" t="s">
        <v>17429</v>
      </c>
      <c r="J1509" s="1" t="s">
        <v>2938</v>
      </c>
      <c r="K1509" s="1">
        <v>4</v>
      </c>
      <c r="L1509" s="1" t="s">
        <v>4342</v>
      </c>
      <c r="M1509" s="1">
        <v>5</v>
      </c>
      <c r="N1509" s="1" t="s">
        <v>4342</v>
      </c>
    </row>
    <row r="1510" spans="1:14" x14ac:dyDescent="0.15">
      <c r="A1510" s="1">
        <v>220</v>
      </c>
      <c r="B1510" s="1" t="s">
        <v>2886</v>
      </c>
      <c r="C1510" s="1" t="s">
        <v>2935</v>
      </c>
      <c r="D1510" s="1" t="s">
        <v>2936</v>
      </c>
      <c r="E1510" s="1" t="s">
        <v>2935</v>
      </c>
      <c r="F1510" s="1" t="s">
        <v>2936</v>
      </c>
      <c r="G1510" s="1" t="s">
        <v>2937</v>
      </c>
      <c r="H1510" s="1" t="s">
        <v>2936</v>
      </c>
      <c r="I1510" s="1" t="s">
        <v>17433</v>
      </c>
      <c r="J1510" s="1" t="s">
        <v>6681</v>
      </c>
      <c r="K1510" s="1">
        <v>4</v>
      </c>
      <c r="L1510" s="1" t="s">
        <v>4342</v>
      </c>
      <c r="M1510" s="1">
        <v>5</v>
      </c>
      <c r="N1510" s="1" t="s">
        <v>4342</v>
      </c>
    </row>
    <row r="1511" spans="1:14" x14ac:dyDescent="0.15">
      <c r="A1511" s="1">
        <v>220</v>
      </c>
      <c r="B1511" s="1" t="s">
        <v>2886</v>
      </c>
      <c r="C1511" s="1" t="s">
        <v>2935</v>
      </c>
      <c r="D1511" s="1" t="s">
        <v>2936</v>
      </c>
      <c r="E1511" s="1" t="s">
        <v>2935</v>
      </c>
      <c r="F1511" s="1" t="s">
        <v>2936</v>
      </c>
      <c r="G1511" s="1" t="s">
        <v>2937</v>
      </c>
      <c r="H1511" s="1" t="s">
        <v>2936</v>
      </c>
      <c r="I1511" s="1" t="s">
        <v>17437</v>
      </c>
      <c r="J1511" s="1" t="s">
        <v>17438</v>
      </c>
      <c r="K1511" s="1">
        <v>4</v>
      </c>
      <c r="L1511" s="1" t="s">
        <v>4342</v>
      </c>
      <c r="M1511" s="1">
        <v>5</v>
      </c>
      <c r="N1511" s="1" t="s">
        <v>4342</v>
      </c>
    </row>
    <row r="1512" spans="1:14" x14ac:dyDescent="0.15">
      <c r="A1512" s="1">
        <v>220</v>
      </c>
      <c r="B1512" s="1" t="s">
        <v>2886</v>
      </c>
      <c r="C1512" s="1" t="s">
        <v>2935</v>
      </c>
      <c r="D1512" s="1" t="s">
        <v>2936</v>
      </c>
      <c r="E1512" s="1" t="s">
        <v>2935</v>
      </c>
      <c r="F1512" s="1" t="s">
        <v>2936</v>
      </c>
      <c r="G1512" s="1" t="s">
        <v>2937</v>
      </c>
      <c r="H1512" s="1" t="s">
        <v>2936</v>
      </c>
      <c r="I1512" s="1" t="s">
        <v>17441</v>
      </c>
      <c r="J1512" s="1" t="s">
        <v>2939</v>
      </c>
      <c r="K1512" s="1">
        <v>4</v>
      </c>
      <c r="L1512" s="1" t="s">
        <v>4342</v>
      </c>
      <c r="M1512" s="1">
        <v>5</v>
      </c>
      <c r="N1512" s="1" t="s">
        <v>4342</v>
      </c>
    </row>
    <row r="1513" spans="1:14" x14ac:dyDescent="0.15">
      <c r="A1513" s="1">
        <v>220</v>
      </c>
      <c r="B1513" s="1" t="s">
        <v>2886</v>
      </c>
      <c r="C1513" s="1" t="s">
        <v>2935</v>
      </c>
      <c r="D1513" s="1" t="s">
        <v>2936</v>
      </c>
      <c r="E1513" s="1" t="s">
        <v>2935</v>
      </c>
      <c r="F1513" s="1" t="s">
        <v>2936</v>
      </c>
      <c r="G1513" s="1" t="s">
        <v>2937</v>
      </c>
      <c r="H1513" s="1" t="s">
        <v>2936</v>
      </c>
      <c r="I1513" s="1" t="s">
        <v>17445</v>
      </c>
      <c r="J1513" s="1" t="s">
        <v>6683</v>
      </c>
      <c r="K1513" s="1">
        <v>4</v>
      </c>
      <c r="L1513" s="1" t="s">
        <v>4342</v>
      </c>
      <c r="M1513" s="1">
        <v>5</v>
      </c>
      <c r="N1513" s="1" t="s">
        <v>4342</v>
      </c>
    </row>
    <row r="1514" spans="1:14" x14ac:dyDescent="0.15">
      <c r="A1514" s="1">
        <v>220</v>
      </c>
      <c r="B1514" s="1" t="s">
        <v>2886</v>
      </c>
      <c r="C1514" s="1" t="s">
        <v>2935</v>
      </c>
      <c r="D1514" s="1" t="s">
        <v>2936</v>
      </c>
      <c r="E1514" s="1" t="s">
        <v>2935</v>
      </c>
      <c r="F1514" s="1" t="s">
        <v>2936</v>
      </c>
      <c r="G1514" s="1" t="s">
        <v>2937</v>
      </c>
      <c r="H1514" s="1" t="s">
        <v>2936</v>
      </c>
      <c r="I1514" s="1" t="s">
        <v>17449</v>
      </c>
      <c r="J1514" s="1" t="s">
        <v>6685</v>
      </c>
      <c r="K1514" s="1">
        <v>4</v>
      </c>
      <c r="L1514" s="1" t="s">
        <v>4342</v>
      </c>
      <c r="M1514" s="1">
        <v>5</v>
      </c>
      <c r="N1514" s="1" t="s">
        <v>4342</v>
      </c>
    </row>
    <row r="1515" spans="1:14" x14ac:dyDescent="0.15">
      <c r="A1515" s="1">
        <v>220</v>
      </c>
      <c r="B1515" s="1" t="s">
        <v>2886</v>
      </c>
      <c r="C1515" s="1" t="s">
        <v>2935</v>
      </c>
      <c r="D1515" s="1" t="s">
        <v>2936</v>
      </c>
      <c r="E1515" s="1" t="s">
        <v>2935</v>
      </c>
      <c r="F1515" s="1" t="s">
        <v>2936</v>
      </c>
      <c r="G1515" s="1" t="s">
        <v>2937</v>
      </c>
      <c r="H1515" s="1" t="s">
        <v>2936</v>
      </c>
      <c r="I1515" s="1" t="s">
        <v>17453</v>
      </c>
      <c r="J1515" s="1" t="s">
        <v>6686</v>
      </c>
      <c r="K1515" s="1">
        <v>4</v>
      </c>
      <c r="L1515" s="1" t="s">
        <v>4342</v>
      </c>
      <c r="M1515" s="1">
        <v>5</v>
      </c>
      <c r="N1515" s="1" t="s">
        <v>4342</v>
      </c>
    </row>
    <row r="1516" spans="1:14" x14ac:dyDescent="0.15">
      <c r="A1516" s="1">
        <v>220</v>
      </c>
      <c r="B1516" s="1" t="s">
        <v>2886</v>
      </c>
      <c r="C1516" s="1" t="s">
        <v>2935</v>
      </c>
      <c r="D1516" s="1" t="s">
        <v>2936</v>
      </c>
      <c r="E1516" s="1" t="s">
        <v>2935</v>
      </c>
      <c r="F1516" s="1" t="s">
        <v>2936</v>
      </c>
      <c r="G1516" s="1" t="s">
        <v>2937</v>
      </c>
      <c r="H1516" s="1" t="s">
        <v>2936</v>
      </c>
      <c r="I1516" s="1" t="s">
        <v>17457</v>
      </c>
      <c r="J1516" s="1" t="s">
        <v>17458</v>
      </c>
      <c r="K1516" s="1">
        <v>4</v>
      </c>
      <c r="L1516" s="1" t="s">
        <v>4342</v>
      </c>
      <c r="M1516" s="1">
        <v>5</v>
      </c>
      <c r="N1516" s="1" t="s">
        <v>4342</v>
      </c>
    </row>
    <row r="1517" spans="1:14" x14ac:dyDescent="0.15">
      <c r="A1517" s="1">
        <v>220</v>
      </c>
      <c r="B1517" s="1" t="s">
        <v>2886</v>
      </c>
      <c r="C1517" s="1" t="s">
        <v>2935</v>
      </c>
      <c r="D1517" s="1" t="s">
        <v>2936</v>
      </c>
      <c r="E1517" s="1" t="s">
        <v>2935</v>
      </c>
      <c r="F1517" s="1" t="s">
        <v>2936</v>
      </c>
      <c r="G1517" s="1" t="s">
        <v>2937</v>
      </c>
      <c r="H1517" s="1" t="s">
        <v>2936</v>
      </c>
      <c r="I1517" s="1" t="s">
        <v>17461</v>
      </c>
      <c r="J1517" s="1" t="s">
        <v>17462</v>
      </c>
      <c r="K1517" s="1">
        <v>4</v>
      </c>
      <c r="L1517" s="1" t="s">
        <v>4342</v>
      </c>
      <c r="M1517" s="1">
        <v>5</v>
      </c>
      <c r="N1517" s="1" t="s">
        <v>4342</v>
      </c>
    </row>
    <row r="1518" spans="1:14" x14ac:dyDescent="0.15">
      <c r="A1518" s="1">
        <v>220</v>
      </c>
      <c r="B1518" s="1" t="s">
        <v>2886</v>
      </c>
      <c r="C1518" s="1" t="s">
        <v>2935</v>
      </c>
      <c r="D1518" s="1" t="s">
        <v>2936</v>
      </c>
      <c r="E1518" s="1" t="s">
        <v>2935</v>
      </c>
      <c r="F1518" s="1" t="s">
        <v>2936</v>
      </c>
      <c r="G1518" s="1" t="s">
        <v>2937</v>
      </c>
      <c r="H1518" s="1" t="s">
        <v>2936</v>
      </c>
      <c r="I1518" s="1" t="s">
        <v>17465</v>
      </c>
      <c r="J1518" s="1" t="s">
        <v>17466</v>
      </c>
      <c r="K1518" s="1">
        <v>4</v>
      </c>
      <c r="L1518" s="1" t="s">
        <v>4342</v>
      </c>
      <c r="M1518" s="1">
        <v>5</v>
      </c>
      <c r="N1518" s="1" t="s">
        <v>4342</v>
      </c>
    </row>
    <row r="1519" spans="1:14" x14ac:dyDescent="0.15">
      <c r="A1519" s="1">
        <v>220</v>
      </c>
      <c r="B1519" s="1" t="s">
        <v>2886</v>
      </c>
      <c r="C1519" s="1" t="s">
        <v>2935</v>
      </c>
      <c r="D1519" s="1" t="s">
        <v>2936</v>
      </c>
      <c r="E1519" s="1" t="s">
        <v>2935</v>
      </c>
      <c r="F1519" s="1" t="s">
        <v>2936</v>
      </c>
      <c r="G1519" s="1" t="s">
        <v>2937</v>
      </c>
      <c r="H1519" s="1" t="s">
        <v>2936</v>
      </c>
      <c r="I1519" s="1" t="s">
        <v>17469</v>
      </c>
      <c r="J1519" s="1" t="s">
        <v>17470</v>
      </c>
      <c r="K1519" s="1">
        <v>4</v>
      </c>
      <c r="L1519" s="1" t="s">
        <v>4342</v>
      </c>
      <c r="M1519" s="1">
        <v>5</v>
      </c>
      <c r="N1519" s="1" t="s">
        <v>4342</v>
      </c>
    </row>
    <row r="1520" spans="1:14" x14ac:dyDescent="0.15">
      <c r="A1520" s="1">
        <v>220</v>
      </c>
      <c r="B1520" s="1" t="s">
        <v>2886</v>
      </c>
      <c r="C1520" s="1" t="s">
        <v>2935</v>
      </c>
      <c r="D1520" s="1" t="s">
        <v>2936</v>
      </c>
      <c r="E1520" s="1" t="s">
        <v>2935</v>
      </c>
      <c r="F1520" s="1" t="s">
        <v>2936</v>
      </c>
      <c r="G1520" s="1" t="s">
        <v>2937</v>
      </c>
      <c r="H1520" s="1" t="s">
        <v>2936</v>
      </c>
      <c r="I1520" s="1" t="s">
        <v>11384</v>
      </c>
      <c r="J1520" s="1" t="s">
        <v>2940</v>
      </c>
      <c r="K1520" s="1">
        <v>4</v>
      </c>
      <c r="L1520" s="1" t="s">
        <v>4342</v>
      </c>
      <c r="M1520" s="1">
        <v>5</v>
      </c>
      <c r="N1520" s="1" t="s">
        <v>4342</v>
      </c>
    </row>
    <row r="1521" spans="1:14" x14ac:dyDescent="0.15">
      <c r="A1521" s="1">
        <v>220</v>
      </c>
      <c r="B1521" s="1" t="s">
        <v>2886</v>
      </c>
      <c r="C1521" s="1" t="s">
        <v>2935</v>
      </c>
      <c r="D1521" s="1" t="s">
        <v>2936</v>
      </c>
      <c r="E1521" s="1" t="s">
        <v>2935</v>
      </c>
      <c r="F1521" s="1" t="s">
        <v>2936</v>
      </c>
      <c r="G1521" s="1" t="s">
        <v>2937</v>
      </c>
      <c r="H1521" s="1" t="s">
        <v>2936</v>
      </c>
      <c r="I1521" s="1" t="s">
        <v>11387</v>
      </c>
      <c r="J1521" s="1" t="s">
        <v>2941</v>
      </c>
      <c r="K1521" s="1">
        <v>4</v>
      </c>
      <c r="L1521" s="1" t="s">
        <v>4342</v>
      </c>
      <c r="M1521" s="1">
        <v>5</v>
      </c>
      <c r="N1521" s="1" t="s">
        <v>4342</v>
      </c>
    </row>
    <row r="1522" spans="1:14" x14ac:dyDescent="0.15">
      <c r="A1522" s="1">
        <v>220</v>
      </c>
      <c r="B1522" s="1" t="s">
        <v>2886</v>
      </c>
      <c r="C1522" s="1" t="s">
        <v>2935</v>
      </c>
      <c r="D1522" s="1" t="s">
        <v>2936</v>
      </c>
      <c r="E1522" s="1" t="s">
        <v>2935</v>
      </c>
      <c r="F1522" s="1" t="s">
        <v>2936</v>
      </c>
      <c r="G1522" s="1" t="s">
        <v>2937</v>
      </c>
      <c r="H1522" s="1" t="s">
        <v>2936</v>
      </c>
      <c r="I1522" s="1" t="s">
        <v>11390</v>
      </c>
      <c r="J1522" s="1" t="s">
        <v>2942</v>
      </c>
      <c r="K1522" s="1">
        <v>4</v>
      </c>
      <c r="L1522" s="1" t="s">
        <v>4342</v>
      </c>
      <c r="M1522" s="1">
        <v>5</v>
      </c>
      <c r="N1522" s="1" t="s">
        <v>4342</v>
      </c>
    </row>
    <row r="1523" spans="1:14" x14ac:dyDescent="0.15">
      <c r="A1523" s="1">
        <v>220</v>
      </c>
      <c r="B1523" s="1" t="s">
        <v>2886</v>
      </c>
      <c r="C1523" s="1" t="s">
        <v>2935</v>
      </c>
      <c r="D1523" s="1" t="s">
        <v>2936</v>
      </c>
      <c r="E1523" s="1" t="s">
        <v>2935</v>
      </c>
      <c r="F1523" s="1" t="s">
        <v>2936</v>
      </c>
      <c r="G1523" s="1" t="s">
        <v>2937</v>
      </c>
      <c r="H1523" s="1" t="s">
        <v>2936</v>
      </c>
      <c r="I1523" s="1" t="s">
        <v>11393</v>
      </c>
      <c r="J1523" s="1" t="s">
        <v>2943</v>
      </c>
      <c r="K1523" s="1">
        <v>4</v>
      </c>
      <c r="L1523" s="1" t="s">
        <v>4342</v>
      </c>
      <c r="M1523" s="1">
        <v>5</v>
      </c>
      <c r="N1523" s="1" t="s">
        <v>4342</v>
      </c>
    </row>
    <row r="1524" spans="1:14" x14ac:dyDescent="0.15">
      <c r="A1524" s="1">
        <v>220</v>
      </c>
      <c r="B1524" s="1" t="s">
        <v>2886</v>
      </c>
      <c r="C1524" s="1" t="s">
        <v>2935</v>
      </c>
      <c r="D1524" s="1" t="s">
        <v>2936</v>
      </c>
      <c r="E1524" s="1" t="s">
        <v>2935</v>
      </c>
      <c r="F1524" s="1" t="s">
        <v>2936</v>
      </c>
      <c r="G1524" s="1" t="s">
        <v>2937</v>
      </c>
      <c r="H1524" s="1" t="s">
        <v>2936</v>
      </c>
      <c r="I1524" s="1" t="s">
        <v>11396</v>
      </c>
      <c r="J1524" s="1" t="s">
        <v>2944</v>
      </c>
      <c r="K1524" s="1">
        <v>4</v>
      </c>
      <c r="L1524" s="1" t="s">
        <v>4342</v>
      </c>
      <c r="M1524" s="1">
        <v>5</v>
      </c>
      <c r="N1524" s="1" t="s">
        <v>4342</v>
      </c>
    </row>
    <row r="1525" spans="1:14" x14ac:dyDescent="0.15">
      <c r="A1525" s="1">
        <v>220</v>
      </c>
      <c r="B1525" s="1" t="s">
        <v>2886</v>
      </c>
      <c r="C1525" s="1" t="s">
        <v>2935</v>
      </c>
      <c r="D1525" s="1" t="s">
        <v>2936</v>
      </c>
      <c r="E1525" s="1" t="s">
        <v>2935</v>
      </c>
      <c r="F1525" s="1" t="s">
        <v>2936</v>
      </c>
      <c r="G1525" s="1" t="s">
        <v>2937</v>
      </c>
      <c r="H1525" s="1" t="s">
        <v>2936</v>
      </c>
      <c r="I1525" s="1" t="s">
        <v>11399</v>
      </c>
      <c r="J1525" s="1" t="s">
        <v>2945</v>
      </c>
      <c r="K1525" s="1">
        <v>4</v>
      </c>
      <c r="L1525" s="1" t="s">
        <v>4342</v>
      </c>
      <c r="M1525" s="1">
        <v>5</v>
      </c>
      <c r="N1525" s="1" t="s">
        <v>4342</v>
      </c>
    </row>
    <row r="1526" spans="1:14" x14ac:dyDescent="0.15">
      <c r="A1526" s="1">
        <v>220</v>
      </c>
      <c r="B1526" s="1" t="s">
        <v>2886</v>
      </c>
      <c r="C1526" s="1" t="s">
        <v>2935</v>
      </c>
      <c r="D1526" s="1" t="s">
        <v>2936</v>
      </c>
      <c r="E1526" s="1" t="s">
        <v>2935</v>
      </c>
      <c r="F1526" s="1" t="s">
        <v>2936</v>
      </c>
      <c r="G1526" s="1" t="s">
        <v>2937</v>
      </c>
      <c r="H1526" s="1" t="s">
        <v>2936</v>
      </c>
      <c r="I1526" s="1" t="s">
        <v>11402</v>
      </c>
      <c r="J1526" s="1" t="s">
        <v>2946</v>
      </c>
      <c r="K1526" s="1">
        <v>4</v>
      </c>
      <c r="L1526" s="1" t="s">
        <v>4342</v>
      </c>
      <c r="M1526" s="1">
        <v>5</v>
      </c>
      <c r="N1526" s="1" t="s">
        <v>4342</v>
      </c>
    </row>
    <row r="1527" spans="1:14" x14ac:dyDescent="0.15">
      <c r="A1527" s="1">
        <v>220</v>
      </c>
      <c r="B1527" s="1" t="s">
        <v>2886</v>
      </c>
      <c r="C1527" s="1" t="s">
        <v>2935</v>
      </c>
      <c r="D1527" s="1" t="s">
        <v>2936</v>
      </c>
      <c r="E1527" s="1" t="s">
        <v>2935</v>
      </c>
      <c r="F1527" s="1" t="s">
        <v>2936</v>
      </c>
      <c r="G1527" s="1" t="s">
        <v>2937</v>
      </c>
      <c r="H1527" s="1" t="s">
        <v>2936</v>
      </c>
      <c r="I1527" s="1" t="s">
        <v>11405</v>
      </c>
      <c r="J1527" s="1" t="s">
        <v>2947</v>
      </c>
      <c r="K1527" s="1">
        <v>4</v>
      </c>
      <c r="L1527" s="1" t="s">
        <v>4342</v>
      </c>
      <c r="M1527" s="1">
        <v>5</v>
      </c>
      <c r="N1527" s="1" t="s">
        <v>4342</v>
      </c>
    </row>
    <row r="1528" spans="1:14" x14ac:dyDescent="0.15">
      <c r="A1528" s="1">
        <v>220</v>
      </c>
      <c r="B1528" s="1" t="s">
        <v>2886</v>
      </c>
      <c r="C1528" s="1" t="s">
        <v>2935</v>
      </c>
      <c r="D1528" s="1" t="s">
        <v>2936</v>
      </c>
      <c r="E1528" s="1" t="s">
        <v>2935</v>
      </c>
      <c r="F1528" s="1" t="s">
        <v>2936</v>
      </c>
      <c r="G1528" s="1" t="s">
        <v>2937</v>
      </c>
      <c r="H1528" s="1" t="s">
        <v>2936</v>
      </c>
      <c r="I1528" s="1" t="s">
        <v>11409</v>
      </c>
      <c r="J1528" s="1" t="s">
        <v>2948</v>
      </c>
      <c r="K1528" s="1">
        <v>4</v>
      </c>
      <c r="L1528" s="1" t="s">
        <v>4342</v>
      </c>
      <c r="M1528" s="1">
        <v>5</v>
      </c>
      <c r="N1528" s="1" t="s">
        <v>4342</v>
      </c>
    </row>
    <row r="1529" spans="1:14" x14ac:dyDescent="0.15">
      <c r="A1529" s="1">
        <v>220</v>
      </c>
      <c r="B1529" s="1" t="s">
        <v>2886</v>
      </c>
      <c r="C1529" s="1" t="s">
        <v>2935</v>
      </c>
      <c r="D1529" s="1" t="s">
        <v>2936</v>
      </c>
      <c r="E1529" s="1" t="s">
        <v>2935</v>
      </c>
      <c r="F1529" s="1" t="s">
        <v>2936</v>
      </c>
      <c r="G1529" s="1" t="s">
        <v>2937</v>
      </c>
      <c r="H1529" s="1" t="s">
        <v>2936</v>
      </c>
      <c r="I1529" s="1" t="s">
        <v>11412</v>
      </c>
      <c r="J1529" s="1" t="s">
        <v>2949</v>
      </c>
      <c r="K1529" s="1">
        <v>4</v>
      </c>
      <c r="L1529" s="1" t="s">
        <v>4342</v>
      </c>
      <c r="M1529" s="1">
        <v>5</v>
      </c>
      <c r="N1529" s="1" t="s">
        <v>4342</v>
      </c>
    </row>
    <row r="1530" spans="1:14" x14ac:dyDescent="0.15">
      <c r="A1530" s="1">
        <v>220</v>
      </c>
      <c r="B1530" s="1" t="s">
        <v>2886</v>
      </c>
      <c r="C1530" s="1" t="s">
        <v>2935</v>
      </c>
      <c r="D1530" s="1" t="s">
        <v>2936</v>
      </c>
      <c r="E1530" s="1" t="s">
        <v>2935</v>
      </c>
      <c r="F1530" s="1" t="s">
        <v>2936</v>
      </c>
      <c r="G1530" s="1" t="s">
        <v>2937</v>
      </c>
      <c r="H1530" s="1" t="s">
        <v>2936</v>
      </c>
      <c r="I1530" s="1" t="s">
        <v>11416</v>
      </c>
      <c r="J1530" s="1" t="s">
        <v>2950</v>
      </c>
      <c r="K1530" s="1">
        <v>4</v>
      </c>
      <c r="L1530" s="1" t="s">
        <v>4342</v>
      </c>
      <c r="M1530" s="1">
        <v>5</v>
      </c>
      <c r="N1530" s="1" t="s">
        <v>4342</v>
      </c>
    </row>
    <row r="1531" spans="1:14" x14ac:dyDescent="0.15">
      <c r="A1531" s="1">
        <v>220</v>
      </c>
      <c r="B1531" s="1" t="s">
        <v>2886</v>
      </c>
      <c r="C1531" s="1" t="s">
        <v>2935</v>
      </c>
      <c r="D1531" s="1" t="s">
        <v>2936</v>
      </c>
      <c r="E1531" s="1" t="s">
        <v>2935</v>
      </c>
      <c r="F1531" s="1" t="s">
        <v>2936</v>
      </c>
      <c r="G1531" s="1" t="s">
        <v>2937</v>
      </c>
      <c r="H1531" s="1" t="s">
        <v>2936</v>
      </c>
      <c r="I1531" s="1" t="s">
        <v>11420</v>
      </c>
      <c r="J1531" s="1" t="s">
        <v>2951</v>
      </c>
      <c r="K1531" s="1">
        <v>4</v>
      </c>
      <c r="L1531" s="1" t="s">
        <v>4342</v>
      </c>
      <c r="M1531" s="1">
        <v>5</v>
      </c>
      <c r="N1531" s="1" t="s">
        <v>4342</v>
      </c>
    </row>
    <row r="1532" spans="1:14" x14ac:dyDescent="0.15">
      <c r="A1532" s="1">
        <v>220</v>
      </c>
      <c r="B1532" s="1" t="s">
        <v>2886</v>
      </c>
      <c r="C1532" s="1" t="s">
        <v>2935</v>
      </c>
      <c r="D1532" s="1" t="s">
        <v>2936</v>
      </c>
      <c r="E1532" s="1" t="s">
        <v>2935</v>
      </c>
      <c r="F1532" s="1" t="s">
        <v>2936</v>
      </c>
      <c r="G1532" s="1" t="s">
        <v>2937</v>
      </c>
      <c r="H1532" s="1" t="s">
        <v>2936</v>
      </c>
      <c r="I1532" s="1" t="s">
        <v>11424</v>
      </c>
      <c r="J1532" s="1" t="s">
        <v>2952</v>
      </c>
      <c r="K1532" s="1">
        <v>4</v>
      </c>
      <c r="L1532" s="1" t="s">
        <v>4342</v>
      </c>
      <c r="M1532" s="1">
        <v>5</v>
      </c>
      <c r="N1532" s="1" t="s">
        <v>4342</v>
      </c>
    </row>
    <row r="1533" spans="1:14" x14ac:dyDescent="0.15">
      <c r="A1533" s="1">
        <v>220</v>
      </c>
      <c r="B1533" s="1" t="s">
        <v>2886</v>
      </c>
      <c r="C1533" s="1" t="s">
        <v>2935</v>
      </c>
      <c r="D1533" s="1" t="s">
        <v>2936</v>
      </c>
      <c r="E1533" s="1" t="s">
        <v>2935</v>
      </c>
      <c r="F1533" s="1" t="s">
        <v>2936</v>
      </c>
      <c r="G1533" s="1" t="s">
        <v>2937</v>
      </c>
      <c r="H1533" s="1" t="s">
        <v>2936</v>
      </c>
      <c r="I1533" s="1" t="s">
        <v>11429</v>
      </c>
      <c r="J1533" s="1" t="s">
        <v>2953</v>
      </c>
      <c r="K1533" s="1">
        <v>4</v>
      </c>
      <c r="L1533" s="1" t="s">
        <v>4342</v>
      </c>
      <c r="M1533" s="1">
        <v>5</v>
      </c>
      <c r="N1533" s="1" t="s">
        <v>4342</v>
      </c>
    </row>
    <row r="1534" spans="1:14" x14ac:dyDescent="0.15">
      <c r="A1534" s="1">
        <v>220</v>
      </c>
      <c r="B1534" s="1" t="s">
        <v>2886</v>
      </c>
      <c r="C1534" s="1" t="s">
        <v>2935</v>
      </c>
      <c r="D1534" s="1" t="s">
        <v>2936</v>
      </c>
      <c r="E1534" s="1" t="s">
        <v>2935</v>
      </c>
      <c r="F1534" s="1" t="s">
        <v>2936</v>
      </c>
      <c r="G1534" s="1" t="s">
        <v>2937</v>
      </c>
      <c r="H1534" s="1" t="s">
        <v>2936</v>
      </c>
      <c r="I1534" s="1" t="s">
        <v>11434</v>
      </c>
      <c r="J1534" s="1" t="s">
        <v>2954</v>
      </c>
      <c r="K1534" s="1">
        <v>4</v>
      </c>
      <c r="L1534" s="1" t="s">
        <v>4342</v>
      </c>
      <c r="M1534" s="1">
        <v>5</v>
      </c>
      <c r="N1534" s="1" t="s">
        <v>4342</v>
      </c>
    </row>
    <row r="1535" spans="1:14" x14ac:dyDescent="0.15">
      <c r="A1535" s="1">
        <v>220</v>
      </c>
      <c r="B1535" s="1" t="s">
        <v>2886</v>
      </c>
      <c r="C1535" s="1" t="s">
        <v>2935</v>
      </c>
      <c r="D1535" s="1" t="s">
        <v>2936</v>
      </c>
      <c r="E1535" s="1" t="s">
        <v>2935</v>
      </c>
      <c r="F1535" s="1" t="s">
        <v>2936</v>
      </c>
      <c r="G1535" s="1" t="s">
        <v>2937</v>
      </c>
      <c r="H1535" s="1" t="s">
        <v>2936</v>
      </c>
      <c r="I1535" s="1" t="s">
        <v>11437</v>
      </c>
      <c r="J1535" s="1" t="s">
        <v>2955</v>
      </c>
      <c r="K1535" s="1">
        <v>4</v>
      </c>
      <c r="L1535" s="1" t="s">
        <v>4342</v>
      </c>
      <c r="M1535" s="1">
        <v>5</v>
      </c>
      <c r="N1535" s="1" t="s">
        <v>4342</v>
      </c>
    </row>
    <row r="1536" spans="1:14" x14ac:dyDescent="0.15">
      <c r="A1536" s="1">
        <v>220</v>
      </c>
      <c r="B1536" s="1" t="s">
        <v>2886</v>
      </c>
      <c r="C1536" s="1" t="s">
        <v>2935</v>
      </c>
      <c r="D1536" s="1" t="s">
        <v>2936</v>
      </c>
      <c r="E1536" s="1" t="s">
        <v>2935</v>
      </c>
      <c r="F1536" s="1" t="s">
        <v>2936</v>
      </c>
      <c r="G1536" s="1" t="s">
        <v>2937</v>
      </c>
      <c r="H1536" s="1" t="s">
        <v>2936</v>
      </c>
      <c r="I1536" s="1" t="s">
        <v>11442</v>
      </c>
      <c r="J1536" s="1" t="s">
        <v>2956</v>
      </c>
      <c r="K1536" s="1">
        <v>4</v>
      </c>
      <c r="L1536" s="1" t="s">
        <v>4342</v>
      </c>
      <c r="M1536" s="1">
        <v>5</v>
      </c>
      <c r="N1536" s="1" t="s">
        <v>4342</v>
      </c>
    </row>
    <row r="1537" spans="1:14" x14ac:dyDescent="0.15">
      <c r="A1537" s="1">
        <v>220</v>
      </c>
      <c r="B1537" s="1" t="s">
        <v>2886</v>
      </c>
      <c r="C1537" s="1" t="s">
        <v>2935</v>
      </c>
      <c r="D1537" s="1" t="s">
        <v>2936</v>
      </c>
      <c r="E1537" s="1" t="s">
        <v>2935</v>
      </c>
      <c r="F1537" s="1" t="s">
        <v>2936</v>
      </c>
      <c r="G1537" s="1" t="s">
        <v>2937</v>
      </c>
      <c r="H1537" s="1" t="s">
        <v>2936</v>
      </c>
      <c r="I1537" s="1" t="s">
        <v>17473</v>
      </c>
      <c r="J1537" s="1" t="s">
        <v>17474</v>
      </c>
      <c r="K1537" s="1">
        <v>4</v>
      </c>
      <c r="L1537" s="1" t="s">
        <v>4342</v>
      </c>
      <c r="M1537" s="1">
        <v>5</v>
      </c>
      <c r="N1537" s="1" t="s">
        <v>4342</v>
      </c>
    </row>
    <row r="1538" spans="1:14" x14ac:dyDescent="0.15">
      <c r="A1538" s="1">
        <v>220</v>
      </c>
      <c r="B1538" s="1" t="s">
        <v>2886</v>
      </c>
      <c r="C1538" s="1" t="s">
        <v>2935</v>
      </c>
      <c r="D1538" s="1" t="s">
        <v>2936</v>
      </c>
      <c r="E1538" s="1" t="s">
        <v>2935</v>
      </c>
      <c r="F1538" s="1" t="s">
        <v>2936</v>
      </c>
      <c r="G1538" s="1" t="s">
        <v>2937</v>
      </c>
      <c r="H1538" s="1" t="s">
        <v>2936</v>
      </c>
      <c r="I1538" s="1" t="s">
        <v>17481</v>
      </c>
      <c r="J1538" s="1" t="s">
        <v>6628</v>
      </c>
      <c r="K1538" s="1">
        <v>4</v>
      </c>
      <c r="L1538" s="1" t="s">
        <v>4342</v>
      </c>
      <c r="M1538" s="1">
        <v>5</v>
      </c>
      <c r="N1538" s="1" t="s">
        <v>4342</v>
      </c>
    </row>
    <row r="1539" spans="1:14" x14ac:dyDescent="0.15">
      <c r="A1539" s="1">
        <v>220</v>
      </c>
      <c r="B1539" s="1" t="s">
        <v>2886</v>
      </c>
      <c r="C1539" s="1" t="s">
        <v>2935</v>
      </c>
      <c r="D1539" s="1" t="s">
        <v>2936</v>
      </c>
      <c r="E1539" s="1" t="s">
        <v>2935</v>
      </c>
      <c r="F1539" s="1" t="s">
        <v>2936</v>
      </c>
      <c r="G1539" s="1" t="s">
        <v>2937</v>
      </c>
      <c r="H1539" s="1" t="s">
        <v>2936</v>
      </c>
      <c r="I1539" s="1" t="s">
        <v>17485</v>
      </c>
      <c r="J1539" s="1" t="s">
        <v>17486</v>
      </c>
      <c r="K1539" s="1">
        <v>4</v>
      </c>
      <c r="L1539" s="1" t="s">
        <v>4342</v>
      </c>
      <c r="M1539" s="1">
        <v>5</v>
      </c>
      <c r="N1539" s="1" t="s">
        <v>4342</v>
      </c>
    </row>
    <row r="1540" spans="1:14" x14ac:dyDescent="0.15">
      <c r="A1540" s="1">
        <v>220</v>
      </c>
      <c r="B1540" s="1" t="s">
        <v>2886</v>
      </c>
      <c r="C1540" s="1" t="s">
        <v>2935</v>
      </c>
      <c r="D1540" s="1" t="s">
        <v>2936</v>
      </c>
      <c r="E1540" s="1" t="s">
        <v>2935</v>
      </c>
      <c r="F1540" s="1" t="s">
        <v>2936</v>
      </c>
      <c r="G1540" s="1" t="s">
        <v>2937</v>
      </c>
      <c r="H1540" s="1" t="s">
        <v>2936</v>
      </c>
      <c r="I1540" s="1" t="s">
        <v>17489</v>
      </c>
      <c r="J1540" s="1" t="s">
        <v>2957</v>
      </c>
      <c r="K1540" s="1">
        <v>4</v>
      </c>
      <c r="L1540" s="1" t="s">
        <v>4342</v>
      </c>
      <c r="M1540" s="1">
        <v>5</v>
      </c>
      <c r="N1540" s="1" t="s">
        <v>4342</v>
      </c>
    </row>
    <row r="1541" spans="1:14" x14ac:dyDescent="0.15">
      <c r="A1541" s="1">
        <v>220</v>
      </c>
      <c r="B1541" s="1" t="s">
        <v>2886</v>
      </c>
      <c r="C1541" s="1" t="s">
        <v>2935</v>
      </c>
      <c r="D1541" s="1" t="s">
        <v>2936</v>
      </c>
      <c r="E1541" s="1" t="s">
        <v>2935</v>
      </c>
      <c r="F1541" s="1" t="s">
        <v>2936</v>
      </c>
      <c r="G1541" s="1" t="s">
        <v>2937</v>
      </c>
      <c r="H1541" s="1" t="s">
        <v>2936</v>
      </c>
      <c r="I1541" s="1" t="s">
        <v>17501</v>
      </c>
      <c r="J1541" s="1" t="s">
        <v>17502</v>
      </c>
      <c r="K1541" s="1">
        <v>4</v>
      </c>
      <c r="L1541" s="1" t="s">
        <v>4342</v>
      </c>
      <c r="M1541" s="1">
        <v>5</v>
      </c>
      <c r="N1541" s="1" t="s">
        <v>4342</v>
      </c>
    </row>
    <row r="1542" spans="1:14" x14ac:dyDescent="0.15">
      <c r="A1542" s="1">
        <v>220</v>
      </c>
      <c r="B1542" s="1" t="s">
        <v>2886</v>
      </c>
      <c r="C1542" s="1" t="s">
        <v>2935</v>
      </c>
      <c r="D1542" s="1" t="s">
        <v>2936</v>
      </c>
      <c r="E1542" s="1" t="s">
        <v>2935</v>
      </c>
      <c r="F1542" s="1" t="s">
        <v>2936</v>
      </c>
      <c r="G1542" s="1" t="s">
        <v>2937</v>
      </c>
      <c r="H1542" s="1" t="s">
        <v>2936</v>
      </c>
      <c r="I1542" s="1" t="s">
        <v>17505</v>
      </c>
      <c r="J1542" s="1" t="s">
        <v>17506</v>
      </c>
      <c r="K1542" s="1">
        <v>4</v>
      </c>
      <c r="L1542" s="1" t="s">
        <v>4342</v>
      </c>
      <c r="M1542" s="1">
        <v>5</v>
      </c>
      <c r="N1542" s="1" t="s">
        <v>4342</v>
      </c>
    </row>
    <row r="1543" spans="1:14" x14ac:dyDescent="0.15">
      <c r="A1543" s="1">
        <v>220</v>
      </c>
      <c r="B1543" s="1" t="s">
        <v>2886</v>
      </c>
      <c r="C1543" s="1" t="s">
        <v>2935</v>
      </c>
      <c r="D1543" s="1" t="s">
        <v>2936</v>
      </c>
      <c r="E1543" s="1" t="s">
        <v>2935</v>
      </c>
      <c r="F1543" s="1" t="s">
        <v>2936</v>
      </c>
      <c r="G1543" s="1" t="s">
        <v>2937</v>
      </c>
      <c r="H1543" s="1" t="s">
        <v>2936</v>
      </c>
      <c r="I1543" s="1" t="s">
        <v>11463</v>
      </c>
      <c r="J1543" s="1" t="s">
        <v>2958</v>
      </c>
      <c r="K1543" s="1">
        <v>4</v>
      </c>
      <c r="L1543" s="1" t="s">
        <v>4342</v>
      </c>
      <c r="M1543" s="1">
        <v>5</v>
      </c>
      <c r="N1543" s="1" t="s">
        <v>4342</v>
      </c>
    </row>
    <row r="1544" spans="1:14" x14ac:dyDescent="0.15">
      <c r="A1544" s="1">
        <v>220</v>
      </c>
      <c r="B1544" s="1" t="s">
        <v>2886</v>
      </c>
      <c r="C1544" s="1" t="s">
        <v>2935</v>
      </c>
      <c r="D1544" s="1" t="s">
        <v>2936</v>
      </c>
      <c r="E1544" s="1" t="s">
        <v>2935</v>
      </c>
      <c r="F1544" s="1" t="s">
        <v>2936</v>
      </c>
      <c r="G1544" s="1" t="s">
        <v>2937</v>
      </c>
      <c r="H1544" s="1" t="s">
        <v>2936</v>
      </c>
      <c r="I1544" s="1" t="s">
        <v>17509</v>
      </c>
      <c r="J1544" s="1" t="s">
        <v>2959</v>
      </c>
      <c r="K1544" s="1">
        <v>4</v>
      </c>
      <c r="L1544" s="1" t="s">
        <v>4342</v>
      </c>
      <c r="M1544" s="1">
        <v>5</v>
      </c>
      <c r="N1544" s="1" t="s">
        <v>4342</v>
      </c>
    </row>
    <row r="1545" spans="1:14" x14ac:dyDescent="0.15">
      <c r="A1545" s="1">
        <v>220</v>
      </c>
      <c r="B1545" s="1" t="s">
        <v>2886</v>
      </c>
      <c r="C1545" s="1" t="s">
        <v>2935</v>
      </c>
      <c r="D1545" s="1" t="s">
        <v>2936</v>
      </c>
      <c r="E1545" s="1" t="s">
        <v>2935</v>
      </c>
      <c r="F1545" s="1" t="s">
        <v>2936</v>
      </c>
      <c r="G1545" s="1" t="s">
        <v>2937</v>
      </c>
      <c r="H1545" s="1" t="s">
        <v>2936</v>
      </c>
      <c r="I1545" s="1" t="s">
        <v>17517</v>
      </c>
      <c r="J1545" s="1" t="s">
        <v>2960</v>
      </c>
      <c r="K1545" s="1">
        <v>4</v>
      </c>
      <c r="L1545" s="1" t="s">
        <v>4342</v>
      </c>
      <c r="M1545" s="1">
        <v>5</v>
      </c>
      <c r="N1545" s="1" t="s">
        <v>4342</v>
      </c>
    </row>
    <row r="1546" spans="1:14" x14ac:dyDescent="0.15">
      <c r="A1546" s="1">
        <v>220</v>
      </c>
      <c r="B1546" s="1" t="s">
        <v>2886</v>
      </c>
      <c r="C1546" s="1" t="s">
        <v>2935</v>
      </c>
      <c r="D1546" s="1" t="s">
        <v>2936</v>
      </c>
      <c r="E1546" s="1" t="s">
        <v>2935</v>
      </c>
      <c r="F1546" s="1" t="s">
        <v>2936</v>
      </c>
      <c r="G1546" s="1" t="s">
        <v>2937</v>
      </c>
      <c r="H1546" s="1" t="s">
        <v>2936</v>
      </c>
      <c r="I1546" s="1" t="s">
        <v>16591</v>
      </c>
      <c r="J1546" s="1" t="s">
        <v>16592</v>
      </c>
      <c r="K1546" s="1">
        <v>4</v>
      </c>
      <c r="L1546" s="1" t="s">
        <v>4342</v>
      </c>
      <c r="M1546" s="1">
        <v>5</v>
      </c>
      <c r="N1546" s="1" t="s">
        <v>4342</v>
      </c>
    </row>
    <row r="1547" spans="1:14" x14ac:dyDescent="0.15">
      <c r="A1547" s="1">
        <v>220</v>
      </c>
      <c r="B1547" s="1" t="s">
        <v>2886</v>
      </c>
      <c r="C1547" s="1" t="s">
        <v>2935</v>
      </c>
      <c r="D1547" s="1" t="s">
        <v>2936</v>
      </c>
      <c r="E1547" s="1" t="s">
        <v>2935</v>
      </c>
      <c r="F1547" s="1" t="s">
        <v>2936</v>
      </c>
      <c r="G1547" s="1" t="s">
        <v>2937</v>
      </c>
      <c r="H1547" s="1" t="s">
        <v>2936</v>
      </c>
      <c r="I1547" s="1" t="s">
        <v>10190</v>
      </c>
      <c r="J1547" s="1" t="s">
        <v>2961</v>
      </c>
      <c r="K1547" s="1">
        <v>4</v>
      </c>
      <c r="L1547" s="1" t="s">
        <v>4342</v>
      </c>
      <c r="M1547" s="1">
        <v>5</v>
      </c>
      <c r="N1547" s="1" t="s">
        <v>4342</v>
      </c>
    </row>
    <row r="1548" spans="1:14" x14ac:dyDescent="0.15">
      <c r="A1548" s="1">
        <v>220</v>
      </c>
      <c r="B1548" s="1" t="s">
        <v>2886</v>
      </c>
      <c r="C1548" s="1" t="s">
        <v>2935</v>
      </c>
      <c r="D1548" s="1" t="s">
        <v>2936</v>
      </c>
      <c r="E1548" s="1" t="s">
        <v>2935</v>
      </c>
      <c r="F1548" s="1" t="s">
        <v>2936</v>
      </c>
      <c r="G1548" s="1" t="s">
        <v>2937</v>
      </c>
      <c r="H1548" s="1" t="s">
        <v>2936</v>
      </c>
      <c r="I1548" s="1" t="s">
        <v>11324</v>
      </c>
      <c r="J1548" s="1" t="s">
        <v>17494</v>
      </c>
      <c r="K1548" s="1">
        <v>4</v>
      </c>
      <c r="L1548" s="1" t="s">
        <v>4342</v>
      </c>
      <c r="M1548" s="1">
        <v>5</v>
      </c>
      <c r="N1548" s="1" t="s">
        <v>4342</v>
      </c>
    </row>
    <row r="1549" spans="1:14" x14ac:dyDescent="0.15">
      <c r="A1549" s="1">
        <v>220</v>
      </c>
      <c r="B1549" s="1" t="s">
        <v>2886</v>
      </c>
      <c r="C1549" s="1" t="s">
        <v>2935</v>
      </c>
      <c r="D1549" s="1" t="s">
        <v>2936</v>
      </c>
      <c r="E1549" s="1" t="s">
        <v>2935</v>
      </c>
      <c r="F1549" s="1" t="s">
        <v>2936</v>
      </c>
      <c r="G1549" s="1" t="s">
        <v>2937</v>
      </c>
      <c r="H1549" s="1" t="s">
        <v>2936</v>
      </c>
      <c r="I1549" s="1" t="s">
        <v>11326</v>
      </c>
      <c r="J1549" s="1" t="s">
        <v>17498</v>
      </c>
      <c r="K1549" s="1">
        <v>4</v>
      </c>
      <c r="L1549" s="1" t="s">
        <v>4342</v>
      </c>
      <c r="M1549" s="1">
        <v>5</v>
      </c>
      <c r="N1549" s="1" t="s">
        <v>4342</v>
      </c>
    </row>
    <row r="1550" spans="1:14" x14ac:dyDescent="0.15">
      <c r="A1550" s="1">
        <v>220</v>
      </c>
      <c r="B1550" s="1" t="s">
        <v>2886</v>
      </c>
      <c r="C1550" s="1" t="s">
        <v>2935</v>
      </c>
      <c r="D1550" s="1" t="s">
        <v>2936</v>
      </c>
      <c r="E1550" s="1" t="s">
        <v>2935</v>
      </c>
      <c r="F1550" s="1" t="s">
        <v>2962</v>
      </c>
      <c r="G1550" s="1" t="s">
        <v>2937</v>
      </c>
      <c r="H1550" s="1" t="s">
        <v>2936</v>
      </c>
      <c r="I1550" s="1" t="s">
        <v>9350</v>
      </c>
      <c r="J1550" s="1" t="s">
        <v>2963</v>
      </c>
      <c r="K1550" s="1">
        <v>4</v>
      </c>
      <c r="L1550" s="1" t="s">
        <v>4342</v>
      </c>
      <c r="M1550" s="1">
        <v>5</v>
      </c>
      <c r="N1550" s="1" t="s">
        <v>4342</v>
      </c>
    </row>
    <row r="1551" spans="1:14" x14ac:dyDescent="0.15">
      <c r="A1551" s="1">
        <v>220</v>
      </c>
      <c r="B1551" s="1" t="s">
        <v>2886</v>
      </c>
      <c r="C1551" s="1" t="s">
        <v>2964</v>
      </c>
      <c r="D1551" s="1" t="s">
        <v>2965</v>
      </c>
      <c r="E1551" s="1" t="s">
        <v>2964</v>
      </c>
      <c r="F1551" s="1" t="s">
        <v>2965</v>
      </c>
      <c r="G1551" s="1" t="s">
        <v>2966</v>
      </c>
      <c r="H1551" s="1" t="s">
        <v>2965</v>
      </c>
      <c r="I1551" s="1" t="s">
        <v>16587</v>
      </c>
      <c r="J1551" s="1" t="s">
        <v>16588</v>
      </c>
      <c r="K1551" s="1">
        <v>4</v>
      </c>
      <c r="L1551" s="1" t="s">
        <v>4342</v>
      </c>
      <c r="M1551" s="1">
        <v>5</v>
      </c>
      <c r="N1551" s="1" t="s">
        <v>4342</v>
      </c>
    </row>
    <row r="1552" spans="1:14" x14ac:dyDescent="0.15">
      <c r="A1552" s="1">
        <v>220</v>
      </c>
      <c r="B1552" s="1" t="s">
        <v>2886</v>
      </c>
      <c r="C1552" s="1" t="s">
        <v>2964</v>
      </c>
      <c r="D1552" s="1" t="s">
        <v>2965</v>
      </c>
      <c r="E1552" s="1" t="s">
        <v>2964</v>
      </c>
      <c r="F1552" s="1" t="s">
        <v>2965</v>
      </c>
      <c r="G1552" s="1" t="s">
        <v>2966</v>
      </c>
      <c r="H1552" s="1" t="s">
        <v>2965</v>
      </c>
      <c r="I1552" s="1" t="s">
        <v>14725</v>
      </c>
      <c r="J1552" s="1" t="s">
        <v>14726</v>
      </c>
      <c r="K1552" s="1">
        <v>4</v>
      </c>
      <c r="L1552" s="1" t="s">
        <v>4342</v>
      </c>
      <c r="M1552" s="1">
        <v>5</v>
      </c>
      <c r="N1552" s="1" t="s">
        <v>4342</v>
      </c>
    </row>
    <row r="1553" spans="1:14" x14ac:dyDescent="0.15">
      <c r="A1553" s="1">
        <v>220</v>
      </c>
      <c r="B1553" s="1" t="s">
        <v>2886</v>
      </c>
      <c r="C1553" s="1" t="s">
        <v>2964</v>
      </c>
      <c r="D1553" s="1" t="s">
        <v>2965</v>
      </c>
      <c r="E1553" s="1" t="s">
        <v>2964</v>
      </c>
      <c r="F1553" s="1" t="s">
        <v>2965</v>
      </c>
      <c r="G1553" s="1" t="s">
        <v>2966</v>
      </c>
      <c r="H1553" s="1" t="s">
        <v>2965</v>
      </c>
      <c r="I1553" s="1" t="s">
        <v>14729</v>
      </c>
      <c r="J1553" s="1" t="s">
        <v>6272</v>
      </c>
      <c r="K1553" s="1">
        <v>4</v>
      </c>
      <c r="L1553" s="1" t="s">
        <v>4342</v>
      </c>
      <c r="M1553" s="1">
        <v>5</v>
      </c>
      <c r="N1553" s="1" t="s">
        <v>4342</v>
      </c>
    </row>
    <row r="1554" spans="1:14" x14ac:dyDescent="0.15">
      <c r="A1554" s="1">
        <v>220</v>
      </c>
      <c r="B1554" s="1" t="s">
        <v>2886</v>
      </c>
      <c r="C1554" s="1" t="s">
        <v>2964</v>
      </c>
      <c r="D1554" s="1" t="s">
        <v>2965</v>
      </c>
      <c r="E1554" s="1" t="s">
        <v>2964</v>
      </c>
      <c r="F1554" s="1" t="s">
        <v>2965</v>
      </c>
      <c r="G1554" s="1" t="s">
        <v>2966</v>
      </c>
      <c r="H1554" s="1" t="s">
        <v>2965</v>
      </c>
      <c r="I1554" s="1" t="s">
        <v>14733</v>
      </c>
      <c r="J1554" s="1" t="s">
        <v>14734</v>
      </c>
      <c r="K1554" s="1">
        <v>4</v>
      </c>
      <c r="L1554" s="1" t="s">
        <v>4342</v>
      </c>
      <c r="M1554" s="1">
        <v>5</v>
      </c>
      <c r="N1554" s="1" t="s">
        <v>4342</v>
      </c>
    </row>
    <row r="1555" spans="1:14" x14ac:dyDescent="0.15">
      <c r="A1555" s="1">
        <v>220</v>
      </c>
      <c r="B1555" s="1" t="s">
        <v>2886</v>
      </c>
      <c r="C1555" s="1" t="s">
        <v>2964</v>
      </c>
      <c r="D1555" s="1" t="s">
        <v>2965</v>
      </c>
      <c r="E1555" s="1" t="s">
        <v>2964</v>
      </c>
      <c r="F1555" s="1" t="s">
        <v>2965</v>
      </c>
      <c r="G1555" s="1" t="s">
        <v>2966</v>
      </c>
      <c r="H1555" s="1" t="s">
        <v>2965</v>
      </c>
      <c r="I1555" s="1" t="s">
        <v>14737</v>
      </c>
      <c r="J1555" s="1" t="s">
        <v>14738</v>
      </c>
      <c r="K1555" s="1">
        <v>4</v>
      </c>
      <c r="L1555" s="1" t="s">
        <v>4342</v>
      </c>
      <c r="M1555" s="1">
        <v>5</v>
      </c>
      <c r="N1555" s="1" t="s">
        <v>4342</v>
      </c>
    </row>
    <row r="1556" spans="1:14" x14ac:dyDescent="0.15">
      <c r="A1556" s="1">
        <v>220</v>
      </c>
      <c r="B1556" s="1" t="s">
        <v>2886</v>
      </c>
      <c r="C1556" s="1" t="s">
        <v>2964</v>
      </c>
      <c r="D1556" s="1" t="s">
        <v>2965</v>
      </c>
      <c r="E1556" s="1" t="s">
        <v>2964</v>
      </c>
      <c r="F1556" s="1" t="s">
        <v>2965</v>
      </c>
      <c r="G1556" s="1" t="s">
        <v>2966</v>
      </c>
      <c r="H1556" s="1" t="s">
        <v>2965</v>
      </c>
      <c r="I1556" s="1" t="s">
        <v>14741</v>
      </c>
      <c r="J1556" s="1" t="s">
        <v>14742</v>
      </c>
      <c r="K1556" s="1">
        <v>4</v>
      </c>
      <c r="L1556" s="1" t="s">
        <v>4342</v>
      </c>
      <c r="M1556" s="1">
        <v>5</v>
      </c>
      <c r="N1556" s="1" t="s">
        <v>4342</v>
      </c>
    </row>
    <row r="1557" spans="1:14" x14ac:dyDescent="0.15">
      <c r="A1557" s="1">
        <v>220</v>
      </c>
      <c r="B1557" s="1" t="s">
        <v>2886</v>
      </c>
      <c r="C1557" s="1" t="s">
        <v>2964</v>
      </c>
      <c r="D1557" s="1" t="s">
        <v>2965</v>
      </c>
      <c r="E1557" s="1" t="s">
        <v>2964</v>
      </c>
      <c r="F1557" s="1" t="s">
        <v>2965</v>
      </c>
      <c r="G1557" s="1" t="s">
        <v>2966</v>
      </c>
      <c r="H1557" s="1" t="s">
        <v>2965</v>
      </c>
      <c r="I1557" s="1" t="s">
        <v>14745</v>
      </c>
      <c r="J1557" s="1" t="s">
        <v>14746</v>
      </c>
      <c r="K1557" s="1">
        <v>4</v>
      </c>
      <c r="L1557" s="1" t="s">
        <v>4342</v>
      </c>
      <c r="M1557" s="1">
        <v>5</v>
      </c>
      <c r="N1557" s="1" t="s">
        <v>4342</v>
      </c>
    </row>
    <row r="1558" spans="1:14" x14ac:dyDescent="0.15">
      <c r="A1558" s="1">
        <v>220</v>
      </c>
      <c r="B1558" s="1" t="s">
        <v>2886</v>
      </c>
      <c r="C1558" s="1" t="s">
        <v>2964</v>
      </c>
      <c r="D1558" s="1" t="s">
        <v>2965</v>
      </c>
      <c r="E1558" s="1" t="s">
        <v>2964</v>
      </c>
      <c r="F1558" s="1" t="s">
        <v>2965</v>
      </c>
      <c r="G1558" s="1" t="s">
        <v>2966</v>
      </c>
      <c r="H1558" s="1" t="s">
        <v>2965</v>
      </c>
      <c r="I1558" s="1" t="s">
        <v>12824</v>
      </c>
      <c r="J1558" s="1" t="s">
        <v>12821</v>
      </c>
      <c r="K1558" s="1">
        <v>4</v>
      </c>
      <c r="L1558" s="1" t="s">
        <v>4342</v>
      </c>
      <c r="M1558" s="1">
        <v>5</v>
      </c>
      <c r="N1558" s="1" t="s">
        <v>4342</v>
      </c>
    </row>
    <row r="1559" spans="1:14" x14ac:dyDescent="0.15">
      <c r="A1559" s="1">
        <v>220</v>
      </c>
      <c r="B1559" s="1" t="s">
        <v>2886</v>
      </c>
      <c r="C1559" s="1" t="s">
        <v>2967</v>
      </c>
      <c r="D1559" s="1" t="s">
        <v>2968</v>
      </c>
      <c r="E1559" s="1" t="s">
        <v>2967</v>
      </c>
      <c r="F1559" s="1" t="s">
        <v>2968</v>
      </c>
      <c r="G1559" s="1" t="s">
        <v>2969</v>
      </c>
      <c r="H1559" s="1" t="s">
        <v>2968</v>
      </c>
      <c r="I1559" s="1" t="s">
        <v>10743</v>
      </c>
      <c r="J1559" s="1" t="s">
        <v>2970</v>
      </c>
      <c r="K1559" s="1">
        <v>4</v>
      </c>
      <c r="L1559" s="1" t="s">
        <v>4342</v>
      </c>
      <c r="M1559" s="1">
        <v>5</v>
      </c>
      <c r="N1559" s="1" t="s">
        <v>4342</v>
      </c>
    </row>
    <row r="1560" spans="1:14" x14ac:dyDescent="0.15">
      <c r="A1560" s="1">
        <v>220</v>
      </c>
      <c r="B1560" s="1" t="s">
        <v>2886</v>
      </c>
      <c r="C1560" s="1" t="s">
        <v>2967</v>
      </c>
      <c r="D1560" s="1" t="s">
        <v>2968</v>
      </c>
      <c r="E1560" s="1" t="s">
        <v>2967</v>
      </c>
      <c r="F1560" s="1" t="s">
        <v>2968</v>
      </c>
      <c r="G1560" s="1" t="s">
        <v>2969</v>
      </c>
      <c r="H1560" s="1" t="s">
        <v>2968</v>
      </c>
      <c r="I1560" s="1" t="s">
        <v>14753</v>
      </c>
      <c r="J1560" s="1" t="s">
        <v>14750</v>
      </c>
      <c r="K1560" s="1">
        <v>4</v>
      </c>
      <c r="L1560" s="1" t="s">
        <v>4342</v>
      </c>
      <c r="M1560" s="1">
        <v>5</v>
      </c>
      <c r="N1560" s="1" t="s">
        <v>4342</v>
      </c>
    </row>
    <row r="1561" spans="1:14" x14ac:dyDescent="0.15">
      <c r="A1561" s="1">
        <v>220</v>
      </c>
      <c r="B1561" s="1" t="s">
        <v>2886</v>
      </c>
      <c r="C1561" s="1" t="s">
        <v>2971</v>
      </c>
      <c r="D1561" s="1" t="s">
        <v>2972</v>
      </c>
      <c r="E1561" s="1" t="s">
        <v>2971</v>
      </c>
      <c r="F1561" s="1" t="s">
        <v>2972</v>
      </c>
      <c r="G1561" s="1" t="s">
        <v>2973</v>
      </c>
      <c r="H1561" s="1" t="s">
        <v>2972</v>
      </c>
      <c r="I1561" s="1" t="s">
        <v>16587</v>
      </c>
      <c r="J1561" s="1" t="s">
        <v>16588</v>
      </c>
      <c r="K1561" s="1">
        <v>4</v>
      </c>
      <c r="L1561" s="1" t="s">
        <v>4342</v>
      </c>
      <c r="M1561" s="1">
        <v>5</v>
      </c>
      <c r="N1561" s="1" t="s">
        <v>4342</v>
      </c>
    </row>
    <row r="1562" spans="1:14" x14ac:dyDescent="0.15">
      <c r="A1562" s="1">
        <v>220</v>
      </c>
      <c r="B1562" s="1" t="s">
        <v>2886</v>
      </c>
      <c r="C1562" s="1" t="s">
        <v>2971</v>
      </c>
      <c r="D1562" s="1" t="s">
        <v>2972</v>
      </c>
      <c r="E1562" s="1" t="s">
        <v>2971</v>
      </c>
      <c r="F1562" s="1" t="s">
        <v>2972</v>
      </c>
      <c r="G1562" s="1" t="s">
        <v>2973</v>
      </c>
      <c r="H1562" s="1" t="s">
        <v>2972</v>
      </c>
      <c r="I1562" s="1" t="s">
        <v>14799</v>
      </c>
      <c r="J1562" s="1" t="s">
        <v>14800</v>
      </c>
      <c r="K1562" s="1">
        <v>4</v>
      </c>
      <c r="L1562" s="1" t="s">
        <v>4342</v>
      </c>
      <c r="M1562" s="1">
        <v>5</v>
      </c>
      <c r="N1562" s="1" t="s">
        <v>4342</v>
      </c>
    </row>
    <row r="1563" spans="1:14" x14ac:dyDescent="0.15">
      <c r="A1563" s="1">
        <v>220</v>
      </c>
      <c r="B1563" s="1" t="s">
        <v>2886</v>
      </c>
      <c r="C1563" s="1" t="s">
        <v>2971</v>
      </c>
      <c r="D1563" s="1" t="s">
        <v>2972</v>
      </c>
      <c r="E1563" s="1" t="s">
        <v>2971</v>
      </c>
      <c r="F1563" s="1" t="s">
        <v>2972</v>
      </c>
      <c r="G1563" s="1" t="s">
        <v>2973</v>
      </c>
      <c r="H1563" s="1" t="s">
        <v>2972</v>
      </c>
      <c r="I1563" s="1" t="s">
        <v>14803</v>
      </c>
      <c r="J1563" s="1" t="s">
        <v>14804</v>
      </c>
      <c r="K1563" s="1">
        <v>4</v>
      </c>
      <c r="L1563" s="1" t="s">
        <v>4342</v>
      </c>
      <c r="M1563" s="1">
        <v>5</v>
      </c>
      <c r="N1563" s="1" t="s">
        <v>4342</v>
      </c>
    </row>
    <row r="1564" spans="1:14" x14ac:dyDescent="0.15">
      <c r="A1564" s="1">
        <v>220</v>
      </c>
      <c r="B1564" s="1" t="s">
        <v>2886</v>
      </c>
      <c r="C1564" s="1" t="s">
        <v>2971</v>
      </c>
      <c r="D1564" s="1" t="s">
        <v>2972</v>
      </c>
      <c r="E1564" s="1" t="s">
        <v>2971</v>
      </c>
      <c r="F1564" s="1" t="s">
        <v>2972</v>
      </c>
      <c r="G1564" s="1" t="s">
        <v>2973</v>
      </c>
      <c r="H1564" s="1" t="s">
        <v>2972</v>
      </c>
      <c r="I1564" s="1" t="s">
        <v>8885</v>
      </c>
      <c r="J1564" s="1" t="s">
        <v>14808</v>
      </c>
      <c r="K1564" s="1">
        <v>4</v>
      </c>
      <c r="L1564" s="1" t="s">
        <v>4342</v>
      </c>
      <c r="M1564" s="1">
        <v>5</v>
      </c>
      <c r="N1564" s="1" t="s">
        <v>4342</v>
      </c>
    </row>
    <row r="1565" spans="1:14" x14ac:dyDescent="0.15">
      <c r="A1565" s="1">
        <v>220</v>
      </c>
      <c r="B1565" s="1" t="s">
        <v>2886</v>
      </c>
      <c r="C1565" s="1" t="s">
        <v>2974</v>
      </c>
      <c r="D1565" s="1" t="s">
        <v>2975</v>
      </c>
      <c r="E1565" s="1" t="s">
        <v>2974</v>
      </c>
      <c r="F1565" s="1" t="s">
        <v>2975</v>
      </c>
      <c r="G1565" s="1" t="s">
        <v>2976</v>
      </c>
      <c r="H1565" s="1" t="s">
        <v>2975</v>
      </c>
      <c r="I1565" s="1" t="s">
        <v>16587</v>
      </c>
      <c r="J1565" s="1" t="s">
        <v>16588</v>
      </c>
      <c r="K1565" s="1">
        <v>4</v>
      </c>
      <c r="L1565" s="1" t="s">
        <v>4342</v>
      </c>
      <c r="M1565" s="1">
        <v>5</v>
      </c>
      <c r="N1565" s="1" t="s">
        <v>4342</v>
      </c>
    </row>
    <row r="1566" spans="1:14" x14ac:dyDescent="0.15">
      <c r="A1566" s="1">
        <v>220</v>
      </c>
      <c r="B1566" s="1" t="s">
        <v>2886</v>
      </c>
      <c r="C1566" s="1" t="s">
        <v>2974</v>
      </c>
      <c r="D1566" s="1" t="s">
        <v>2975</v>
      </c>
      <c r="E1566" s="1" t="s">
        <v>2974</v>
      </c>
      <c r="F1566" s="1" t="s">
        <v>2975</v>
      </c>
      <c r="G1566" s="1" t="s">
        <v>2976</v>
      </c>
      <c r="H1566" s="1" t="s">
        <v>2975</v>
      </c>
      <c r="I1566" s="1" t="s">
        <v>10753</v>
      </c>
      <c r="J1566" s="1" t="s">
        <v>2977</v>
      </c>
      <c r="K1566" s="1">
        <v>4</v>
      </c>
      <c r="L1566" s="1" t="s">
        <v>4342</v>
      </c>
      <c r="M1566" s="1">
        <v>5</v>
      </c>
      <c r="N1566" s="1" t="s">
        <v>4342</v>
      </c>
    </row>
    <row r="1567" spans="1:14" x14ac:dyDescent="0.15">
      <c r="A1567" s="1">
        <v>220</v>
      </c>
      <c r="B1567" s="1" t="s">
        <v>2886</v>
      </c>
      <c r="C1567" s="1" t="s">
        <v>2974</v>
      </c>
      <c r="D1567" s="1" t="s">
        <v>2975</v>
      </c>
      <c r="E1567" s="1" t="s">
        <v>2974</v>
      </c>
      <c r="F1567" s="1" t="s">
        <v>2975</v>
      </c>
      <c r="G1567" s="1" t="s">
        <v>2976</v>
      </c>
      <c r="H1567" s="1" t="s">
        <v>2975</v>
      </c>
      <c r="I1567" s="1" t="s">
        <v>14580</v>
      </c>
      <c r="J1567" s="1" t="s">
        <v>14577</v>
      </c>
      <c r="K1567" s="1">
        <v>4</v>
      </c>
      <c r="L1567" s="1" t="s">
        <v>4342</v>
      </c>
      <c r="M1567" s="1">
        <v>5</v>
      </c>
      <c r="N1567" s="1" t="s">
        <v>4342</v>
      </c>
    </row>
    <row r="1568" spans="1:14" x14ac:dyDescent="0.15">
      <c r="A1568" s="1">
        <v>220</v>
      </c>
      <c r="B1568" s="1" t="s">
        <v>2886</v>
      </c>
      <c r="C1568" s="1" t="s">
        <v>2974</v>
      </c>
      <c r="D1568" s="1" t="s">
        <v>2975</v>
      </c>
      <c r="E1568" s="1" t="s">
        <v>2974</v>
      </c>
      <c r="F1568" s="1" t="s">
        <v>2975</v>
      </c>
      <c r="G1568" s="1" t="s">
        <v>2976</v>
      </c>
      <c r="H1568" s="1" t="s">
        <v>2975</v>
      </c>
      <c r="I1568" s="1" t="s">
        <v>14587</v>
      </c>
      <c r="J1568" s="1" t="s">
        <v>14584</v>
      </c>
      <c r="K1568" s="1">
        <v>4</v>
      </c>
      <c r="L1568" s="1" t="s">
        <v>4342</v>
      </c>
      <c r="M1568" s="1">
        <v>5</v>
      </c>
      <c r="N1568" s="1" t="s">
        <v>4342</v>
      </c>
    </row>
    <row r="1569" spans="1:14" x14ac:dyDescent="0.15">
      <c r="A1569" s="1">
        <v>220</v>
      </c>
      <c r="B1569" s="1" t="s">
        <v>2886</v>
      </c>
      <c r="C1569" s="1" t="s">
        <v>2974</v>
      </c>
      <c r="D1569" s="1" t="s">
        <v>2975</v>
      </c>
      <c r="E1569" s="1" t="s">
        <v>2974</v>
      </c>
      <c r="F1569" s="1" t="s">
        <v>2975</v>
      </c>
      <c r="G1569" s="1" t="s">
        <v>2976</v>
      </c>
      <c r="H1569" s="1" t="s">
        <v>2975</v>
      </c>
      <c r="I1569" s="1" t="s">
        <v>17308</v>
      </c>
      <c r="J1569" s="1" t="s">
        <v>17305</v>
      </c>
      <c r="K1569" s="1">
        <v>4</v>
      </c>
      <c r="L1569" s="1" t="s">
        <v>4342</v>
      </c>
      <c r="M1569" s="1">
        <v>5</v>
      </c>
      <c r="N1569" s="1" t="s">
        <v>4342</v>
      </c>
    </row>
    <row r="1570" spans="1:14" x14ac:dyDescent="0.15">
      <c r="A1570" s="1">
        <v>220</v>
      </c>
      <c r="B1570" s="1" t="s">
        <v>2886</v>
      </c>
      <c r="C1570" s="1" t="s">
        <v>2974</v>
      </c>
      <c r="D1570" s="1" t="s">
        <v>2975</v>
      </c>
      <c r="E1570" s="1" t="s">
        <v>2974</v>
      </c>
      <c r="F1570" s="1" t="s">
        <v>2975</v>
      </c>
      <c r="G1570" s="1" t="s">
        <v>2976</v>
      </c>
      <c r="H1570" s="1" t="s">
        <v>2975</v>
      </c>
      <c r="I1570" s="1" t="s">
        <v>17315</v>
      </c>
      <c r="J1570" s="1" t="s">
        <v>17312</v>
      </c>
      <c r="K1570" s="1">
        <v>4</v>
      </c>
      <c r="L1570" s="1" t="s">
        <v>4342</v>
      </c>
      <c r="M1570" s="1">
        <v>5</v>
      </c>
      <c r="N1570" s="1" t="s">
        <v>4342</v>
      </c>
    </row>
    <row r="1571" spans="1:14" x14ac:dyDescent="0.15">
      <c r="A1571" s="1">
        <v>220</v>
      </c>
      <c r="B1571" s="1" t="s">
        <v>2886</v>
      </c>
      <c r="C1571" s="1" t="s">
        <v>2974</v>
      </c>
      <c r="D1571" s="1" t="s">
        <v>2975</v>
      </c>
      <c r="E1571" s="1" t="s">
        <v>2974</v>
      </c>
      <c r="F1571" s="1" t="s">
        <v>2975</v>
      </c>
      <c r="G1571" s="1" t="s">
        <v>2976</v>
      </c>
      <c r="H1571" s="1" t="s">
        <v>2975</v>
      </c>
      <c r="I1571" s="1" t="s">
        <v>10597</v>
      </c>
      <c r="J1571" s="1" t="s">
        <v>2661</v>
      </c>
      <c r="K1571" s="1">
        <v>4</v>
      </c>
      <c r="L1571" s="1" t="s">
        <v>4342</v>
      </c>
      <c r="M1571" s="1">
        <v>5</v>
      </c>
      <c r="N1571" s="1" t="s">
        <v>4342</v>
      </c>
    </row>
    <row r="1572" spans="1:14" x14ac:dyDescent="0.15">
      <c r="A1572" s="1">
        <v>220</v>
      </c>
      <c r="B1572" s="1" t="s">
        <v>2886</v>
      </c>
      <c r="C1572" s="1" t="s">
        <v>2974</v>
      </c>
      <c r="D1572" s="1" t="s">
        <v>2975</v>
      </c>
      <c r="E1572" s="1" t="s">
        <v>2974</v>
      </c>
      <c r="F1572" s="1" t="s">
        <v>2975</v>
      </c>
      <c r="G1572" s="1" t="s">
        <v>2976</v>
      </c>
      <c r="H1572" s="1" t="s">
        <v>2975</v>
      </c>
      <c r="I1572" s="1" t="s">
        <v>17322</v>
      </c>
      <c r="J1572" s="1" t="s">
        <v>17319</v>
      </c>
      <c r="K1572" s="1">
        <v>4</v>
      </c>
      <c r="L1572" s="1" t="s">
        <v>4342</v>
      </c>
      <c r="M1572" s="1">
        <v>5</v>
      </c>
      <c r="N1572" s="1" t="s">
        <v>4342</v>
      </c>
    </row>
    <row r="1573" spans="1:14" x14ac:dyDescent="0.15">
      <c r="A1573" s="1">
        <v>220</v>
      </c>
      <c r="B1573" s="1" t="s">
        <v>2886</v>
      </c>
      <c r="C1573" s="1" t="s">
        <v>2974</v>
      </c>
      <c r="D1573" s="1" t="s">
        <v>2975</v>
      </c>
      <c r="E1573" s="1" t="s">
        <v>2974</v>
      </c>
      <c r="F1573" s="1" t="s">
        <v>2975</v>
      </c>
      <c r="G1573" s="1" t="s">
        <v>2976</v>
      </c>
      <c r="H1573" s="1" t="s">
        <v>2975</v>
      </c>
      <c r="I1573" s="1" t="s">
        <v>17329</v>
      </c>
      <c r="J1573" s="1" t="s">
        <v>17326</v>
      </c>
      <c r="K1573" s="1">
        <v>4</v>
      </c>
      <c r="L1573" s="1" t="s">
        <v>4342</v>
      </c>
      <c r="M1573" s="1">
        <v>5</v>
      </c>
      <c r="N1573" s="1" t="s">
        <v>4342</v>
      </c>
    </row>
    <row r="1574" spans="1:14" x14ac:dyDescent="0.15">
      <c r="A1574" s="1">
        <v>220</v>
      </c>
      <c r="B1574" s="1" t="s">
        <v>2886</v>
      </c>
      <c r="C1574" s="1" t="s">
        <v>2974</v>
      </c>
      <c r="D1574" s="1" t="s">
        <v>2975</v>
      </c>
      <c r="E1574" s="1" t="s">
        <v>2974</v>
      </c>
      <c r="F1574" s="1" t="s">
        <v>2975</v>
      </c>
      <c r="G1574" s="1" t="s">
        <v>2976</v>
      </c>
      <c r="H1574" s="1" t="s">
        <v>2975</v>
      </c>
      <c r="I1574" s="1" t="s">
        <v>17336</v>
      </c>
      <c r="J1574" s="1" t="s">
        <v>17333</v>
      </c>
      <c r="K1574" s="1">
        <v>4</v>
      </c>
      <c r="L1574" s="1" t="s">
        <v>4342</v>
      </c>
      <c r="M1574" s="1">
        <v>5</v>
      </c>
      <c r="N1574" s="1" t="s">
        <v>4342</v>
      </c>
    </row>
    <row r="1575" spans="1:14" x14ac:dyDescent="0.15">
      <c r="A1575" s="1">
        <v>220</v>
      </c>
      <c r="B1575" s="1" t="s">
        <v>2886</v>
      </c>
      <c r="C1575" s="1" t="s">
        <v>2974</v>
      </c>
      <c r="D1575" s="1" t="s">
        <v>2975</v>
      </c>
      <c r="E1575" s="1" t="s">
        <v>2974</v>
      </c>
      <c r="F1575" s="1" t="s">
        <v>2975</v>
      </c>
      <c r="G1575" s="1" t="s">
        <v>2976</v>
      </c>
      <c r="H1575" s="1" t="s">
        <v>2975</v>
      </c>
      <c r="I1575" s="1" t="s">
        <v>17343</v>
      </c>
      <c r="J1575" s="1" t="s">
        <v>17340</v>
      </c>
      <c r="K1575" s="1">
        <v>4</v>
      </c>
      <c r="L1575" s="1" t="s">
        <v>4342</v>
      </c>
      <c r="M1575" s="1">
        <v>5</v>
      </c>
      <c r="N1575" s="1" t="s">
        <v>4342</v>
      </c>
    </row>
    <row r="1576" spans="1:14" x14ac:dyDescent="0.15">
      <c r="A1576" s="1">
        <v>220</v>
      </c>
      <c r="B1576" s="1" t="s">
        <v>2886</v>
      </c>
      <c r="C1576" s="1" t="s">
        <v>2974</v>
      </c>
      <c r="D1576" s="1" t="s">
        <v>2975</v>
      </c>
      <c r="E1576" s="1" t="s">
        <v>2974</v>
      </c>
      <c r="F1576" s="1" t="s">
        <v>2975</v>
      </c>
      <c r="G1576" s="1" t="s">
        <v>2976</v>
      </c>
      <c r="H1576" s="1" t="s">
        <v>2975</v>
      </c>
      <c r="I1576" s="1" t="s">
        <v>9087</v>
      </c>
      <c r="J1576" s="1" t="s">
        <v>2662</v>
      </c>
      <c r="K1576" s="1">
        <v>4</v>
      </c>
      <c r="L1576" s="1" t="s">
        <v>4342</v>
      </c>
      <c r="M1576" s="1">
        <v>5</v>
      </c>
      <c r="N1576" s="1" t="s">
        <v>4342</v>
      </c>
    </row>
    <row r="1577" spans="1:14" x14ac:dyDescent="0.15">
      <c r="A1577" s="1">
        <v>220</v>
      </c>
      <c r="B1577" s="1" t="s">
        <v>2886</v>
      </c>
      <c r="C1577" s="1" t="s">
        <v>2974</v>
      </c>
      <c r="D1577" s="1" t="s">
        <v>2975</v>
      </c>
      <c r="E1577" s="1" t="s">
        <v>2974</v>
      </c>
      <c r="F1577" s="1" t="s">
        <v>2975</v>
      </c>
      <c r="G1577" s="1" t="s">
        <v>2976</v>
      </c>
      <c r="H1577" s="1" t="s">
        <v>2975</v>
      </c>
      <c r="I1577" s="1" t="s">
        <v>17350</v>
      </c>
      <c r="J1577" s="1" t="s">
        <v>17347</v>
      </c>
      <c r="K1577" s="1">
        <v>4</v>
      </c>
      <c r="L1577" s="1" t="s">
        <v>4342</v>
      </c>
      <c r="M1577" s="1">
        <v>5</v>
      </c>
      <c r="N1577" s="1" t="s">
        <v>4342</v>
      </c>
    </row>
    <row r="1578" spans="1:14" x14ac:dyDescent="0.15">
      <c r="A1578" s="1">
        <v>220</v>
      </c>
      <c r="B1578" s="1" t="s">
        <v>2886</v>
      </c>
      <c r="C1578" s="1" t="s">
        <v>2974</v>
      </c>
      <c r="D1578" s="1" t="s">
        <v>2975</v>
      </c>
      <c r="E1578" s="1" t="s">
        <v>2974</v>
      </c>
      <c r="F1578" s="1" t="s">
        <v>2975</v>
      </c>
      <c r="G1578" s="1" t="s">
        <v>2976</v>
      </c>
      <c r="H1578" s="1" t="s">
        <v>2975</v>
      </c>
      <c r="I1578" s="1" t="s">
        <v>17357</v>
      </c>
      <c r="J1578" s="1" t="s">
        <v>17354</v>
      </c>
      <c r="K1578" s="1">
        <v>4</v>
      </c>
      <c r="L1578" s="1" t="s">
        <v>4342</v>
      </c>
      <c r="M1578" s="1">
        <v>5</v>
      </c>
      <c r="N1578" s="1" t="s">
        <v>4342</v>
      </c>
    </row>
    <row r="1579" spans="1:14" x14ac:dyDescent="0.15">
      <c r="A1579" s="1">
        <v>220</v>
      </c>
      <c r="B1579" s="1" t="s">
        <v>2886</v>
      </c>
      <c r="C1579" s="1" t="s">
        <v>2974</v>
      </c>
      <c r="D1579" s="1" t="s">
        <v>2975</v>
      </c>
      <c r="E1579" s="1" t="s">
        <v>2974</v>
      </c>
      <c r="F1579" s="1" t="s">
        <v>2975</v>
      </c>
      <c r="G1579" s="1" t="s">
        <v>2976</v>
      </c>
      <c r="H1579" s="1" t="s">
        <v>2975</v>
      </c>
      <c r="I1579" s="1" t="s">
        <v>17364</v>
      </c>
      <c r="J1579" s="1" t="s">
        <v>17361</v>
      </c>
      <c r="K1579" s="1">
        <v>4</v>
      </c>
      <c r="L1579" s="1" t="s">
        <v>4342</v>
      </c>
      <c r="M1579" s="1">
        <v>5</v>
      </c>
      <c r="N1579" s="1" t="s">
        <v>4342</v>
      </c>
    </row>
    <row r="1580" spans="1:14" x14ac:dyDescent="0.15">
      <c r="A1580" s="1">
        <v>220</v>
      </c>
      <c r="B1580" s="1" t="s">
        <v>2886</v>
      </c>
      <c r="C1580" s="1" t="s">
        <v>2974</v>
      </c>
      <c r="D1580" s="1" t="s">
        <v>2975</v>
      </c>
      <c r="E1580" s="1" t="s">
        <v>2974</v>
      </c>
      <c r="F1580" s="1" t="s">
        <v>2975</v>
      </c>
      <c r="G1580" s="1" t="s">
        <v>2976</v>
      </c>
      <c r="H1580" s="1" t="s">
        <v>2975</v>
      </c>
      <c r="I1580" s="1" t="s">
        <v>9102</v>
      </c>
      <c r="J1580" s="1" t="s">
        <v>2663</v>
      </c>
      <c r="K1580" s="1">
        <v>4</v>
      </c>
      <c r="L1580" s="1" t="s">
        <v>4342</v>
      </c>
      <c r="M1580" s="1">
        <v>5</v>
      </c>
      <c r="N1580" s="1" t="s">
        <v>4342</v>
      </c>
    </row>
    <row r="1581" spans="1:14" x14ac:dyDescent="0.15">
      <c r="A1581" s="1">
        <v>220</v>
      </c>
      <c r="B1581" s="1" t="s">
        <v>2886</v>
      </c>
      <c r="C1581" s="1" t="s">
        <v>2974</v>
      </c>
      <c r="D1581" s="1" t="s">
        <v>2975</v>
      </c>
      <c r="E1581" s="1" t="s">
        <v>2974</v>
      </c>
      <c r="F1581" s="1" t="s">
        <v>2975</v>
      </c>
      <c r="G1581" s="1" t="s">
        <v>2976</v>
      </c>
      <c r="H1581" s="1" t="s">
        <v>2975</v>
      </c>
      <c r="I1581" s="1" t="s">
        <v>9178</v>
      </c>
      <c r="J1581" s="1" t="s">
        <v>2664</v>
      </c>
      <c r="K1581" s="1">
        <v>4</v>
      </c>
      <c r="L1581" s="1" t="s">
        <v>4342</v>
      </c>
      <c r="M1581" s="1">
        <v>5</v>
      </c>
      <c r="N1581" s="1" t="s">
        <v>4342</v>
      </c>
    </row>
    <row r="1582" spans="1:14" x14ac:dyDescent="0.15">
      <c r="A1582" s="1">
        <v>220</v>
      </c>
      <c r="B1582" s="1" t="s">
        <v>2886</v>
      </c>
      <c r="C1582" s="1" t="s">
        <v>2974</v>
      </c>
      <c r="D1582" s="1" t="s">
        <v>2975</v>
      </c>
      <c r="E1582" s="1" t="s">
        <v>2974</v>
      </c>
      <c r="F1582" s="1" t="s">
        <v>2975</v>
      </c>
      <c r="G1582" s="1" t="s">
        <v>2976</v>
      </c>
      <c r="H1582" s="1" t="s">
        <v>2975</v>
      </c>
      <c r="I1582" s="1" t="s">
        <v>17371</v>
      </c>
      <c r="J1582" s="1" t="s">
        <v>17368</v>
      </c>
      <c r="K1582" s="1">
        <v>4</v>
      </c>
      <c r="L1582" s="1" t="s">
        <v>4342</v>
      </c>
      <c r="M1582" s="1">
        <v>5</v>
      </c>
      <c r="N1582" s="1" t="s">
        <v>4342</v>
      </c>
    </row>
    <row r="1583" spans="1:14" x14ac:dyDescent="0.15">
      <c r="A1583" s="1">
        <v>220</v>
      </c>
      <c r="B1583" s="1" t="s">
        <v>2886</v>
      </c>
      <c r="C1583" s="1" t="s">
        <v>2974</v>
      </c>
      <c r="D1583" s="1" t="s">
        <v>2975</v>
      </c>
      <c r="E1583" s="1" t="s">
        <v>2974</v>
      </c>
      <c r="F1583" s="1" t="s">
        <v>2975</v>
      </c>
      <c r="G1583" s="1" t="s">
        <v>2976</v>
      </c>
      <c r="H1583" s="1" t="s">
        <v>2975</v>
      </c>
      <c r="I1583" s="1" t="s">
        <v>11072</v>
      </c>
      <c r="J1583" s="1" t="s">
        <v>2779</v>
      </c>
      <c r="K1583" s="1">
        <v>4</v>
      </c>
      <c r="L1583" s="1" t="s">
        <v>4342</v>
      </c>
      <c r="M1583" s="1">
        <v>5</v>
      </c>
      <c r="N1583" s="1" t="s">
        <v>4342</v>
      </c>
    </row>
    <row r="1584" spans="1:14" x14ac:dyDescent="0.15">
      <c r="A1584" s="1">
        <v>220</v>
      </c>
      <c r="B1584" s="1" t="s">
        <v>2886</v>
      </c>
      <c r="C1584" s="1" t="s">
        <v>2978</v>
      </c>
      <c r="D1584" s="1" t="s">
        <v>2979</v>
      </c>
      <c r="E1584" s="1" t="s">
        <v>2978</v>
      </c>
      <c r="F1584" s="1" t="s">
        <v>2979</v>
      </c>
      <c r="G1584" s="1" t="s">
        <v>2980</v>
      </c>
      <c r="H1584" s="1" t="s">
        <v>2979</v>
      </c>
      <c r="I1584" s="1" t="s">
        <v>16587</v>
      </c>
      <c r="J1584" s="1" t="s">
        <v>16588</v>
      </c>
      <c r="K1584" s="1">
        <v>4</v>
      </c>
      <c r="L1584" s="1" t="s">
        <v>4342</v>
      </c>
      <c r="M1584" s="1">
        <v>5</v>
      </c>
      <c r="N1584" s="1" t="s">
        <v>4342</v>
      </c>
    </row>
    <row r="1585" spans="1:14" x14ac:dyDescent="0.15">
      <c r="A1585" s="1">
        <v>220</v>
      </c>
      <c r="B1585" s="1" t="s">
        <v>2886</v>
      </c>
      <c r="C1585" s="1" t="s">
        <v>2978</v>
      </c>
      <c r="D1585" s="1" t="s">
        <v>2979</v>
      </c>
      <c r="E1585" s="1" t="s">
        <v>2978</v>
      </c>
      <c r="F1585" s="1" t="s">
        <v>2979</v>
      </c>
      <c r="G1585" s="1" t="s">
        <v>2980</v>
      </c>
      <c r="H1585" s="1" t="s">
        <v>2979</v>
      </c>
      <c r="I1585" s="1" t="s">
        <v>14815</v>
      </c>
      <c r="J1585" s="1" t="s">
        <v>14812</v>
      </c>
      <c r="K1585" s="1">
        <v>4</v>
      </c>
      <c r="L1585" s="1" t="s">
        <v>4342</v>
      </c>
      <c r="M1585" s="1">
        <v>5</v>
      </c>
      <c r="N1585" s="1" t="s">
        <v>4342</v>
      </c>
    </row>
    <row r="1586" spans="1:14" x14ac:dyDescent="0.15">
      <c r="A1586" s="1">
        <v>220</v>
      </c>
      <c r="B1586" s="1" t="s">
        <v>2886</v>
      </c>
      <c r="C1586" s="1" t="s">
        <v>2981</v>
      </c>
      <c r="D1586" s="1" t="s">
        <v>2982</v>
      </c>
      <c r="E1586" s="1" t="s">
        <v>2981</v>
      </c>
      <c r="F1586" s="1" t="s">
        <v>2982</v>
      </c>
      <c r="G1586" s="1" t="s">
        <v>2983</v>
      </c>
      <c r="H1586" s="1" t="s">
        <v>2982</v>
      </c>
      <c r="I1586" s="1" t="s">
        <v>16587</v>
      </c>
      <c r="J1586" s="1" t="s">
        <v>16588</v>
      </c>
      <c r="K1586" s="1">
        <v>4</v>
      </c>
      <c r="L1586" s="1" t="s">
        <v>4342</v>
      </c>
      <c r="M1586" s="1">
        <v>5</v>
      </c>
      <c r="N1586" s="1" t="s">
        <v>4342</v>
      </c>
    </row>
    <row r="1587" spans="1:14" x14ac:dyDescent="0.15">
      <c r="A1587" s="1">
        <v>220</v>
      </c>
      <c r="B1587" s="1" t="s">
        <v>2886</v>
      </c>
      <c r="C1587" s="1" t="s">
        <v>2981</v>
      </c>
      <c r="D1587" s="1" t="s">
        <v>2982</v>
      </c>
      <c r="E1587" s="1" t="s">
        <v>2981</v>
      </c>
      <c r="F1587" s="1" t="s">
        <v>2982</v>
      </c>
      <c r="G1587" s="1" t="s">
        <v>2983</v>
      </c>
      <c r="H1587" s="1" t="s">
        <v>2982</v>
      </c>
      <c r="I1587" s="1" t="s">
        <v>14690</v>
      </c>
      <c r="J1587" s="1" t="s">
        <v>14687</v>
      </c>
      <c r="K1587" s="1">
        <v>4</v>
      </c>
      <c r="L1587" s="1" t="s">
        <v>4342</v>
      </c>
      <c r="M1587" s="1">
        <v>5</v>
      </c>
      <c r="N1587" s="1" t="s">
        <v>4342</v>
      </c>
    </row>
    <row r="1588" spans="1:14" x14ac:dyDescent="0.15">
      <c r="A1588" s="1">
        <v>220</v>
      </c>
      <c r="B1588" s="1" t="s">
        <v>2886</v>
      </c>
      <c r="C1588" s="1" t="s">
        <v>2984</v>
      </c>
      <c r="D1588" s="1" t="s">
        <v>2985</v>
      </c>
      <c r="E1588" s="1" t="s">
        <v>2984</v>
      </c>
      <c r="F1588" s="1" t="s">
        <v>2985</v>
      </c>
      <c r="G1588" s="1" t="s">
        <v>2986</v>
      </c>
      <c r="H1588" s="1" t="s">
        <v>2985</v>
      </c>
      <c r="I1588" s="1" t="s">
        <v>16627</v>
      </c>
      <c r="J1588" s="1" t="s">
        <v>6952</v>
      </c>
      <c r="K1588" s="1">
        <v>4</v>
      </c>
      <c r="L1588" s="1" t="s">
        <v>4342</v>
      </c>
      <c r="M1588" s="1">
        <v>5</v>
      </c>
      <c r="N1588" s="1" t="s">
        <v>4342</v>
      </c>
    </row>
    <row r="1589" spans="1:14" x14ac:dyDescent="0.15">
      <c r="A1589" s="1">
        <v>220</v>
      </c>
      <c r="B1589" s="1" t="s">
        <v>2886</v>
      </c>
      <c r="C1589" s="1" t="s">
        <v>2984</v>
      </c>
      <c r="D1589" s="1" t="s">
        <v>2985</v>
      </c>
      <c r="E1589" s="1" t="s">
        <v>2984</v>
      </c>
      <c r="F1589" s="1" t="s">
        <v>2985</v>
      </c>
      <c r="G1589" s="1" t="s">
        <v>2986</v>
      </c>
      <c r="H1589" s="1" t="s">
        <v>2985</v>
      </c>
      <c r="I1589" s="1" t="s">
        <v>9573</v>
      </c>
      <c r="J1589" s="1" t="s">
        <v>13463</v>
      </c>
      <c r="K1589" s="1">
        <v>4</v>
      </c>
      <c r="L1589" s="1" t="s">
        <v>4342</v>
      </c>
      <c r="M1589" s="1">
        <v>5</v>
      </c>
      <c r="N1589" s="1" t="s">
        <v>4342</v>
      </c>
    </row>
    <row r="1590" spans="1:14" x14ac:dyDescent="0.15">
      <c r="A1590" s="1">
        <v>220</v>
      </c>
      <c r="B1590" s="1" t="s">
        <v>2886</v>
      </c>
      <c r="C1590" s="1" t="s">
        <v>2984</v>
      </c>
      <c r="D1590" s="1" t="s">
        <v>2985</v>
      </c>
      <c r="E1590" s="1" t="s">
        <v>2984</v>
      </c>
      <c r="F1590" s="1" t="s">
        <v>2985</v>
      </c>
      <c r="G1590" s="1" t="s">
        <v>2986</v>
      </c>
      <c r="H1590" s="1" t="s">
        <v>2985</v>
      </c>
      <c r="I1590" s="1" t="s">
        <v>9549</v>
      </c>
      <c r="J1590" s="1" t="s">
        <v>15915</v>
      </c>
      <c r="K1590" s="1">
        <v>4</v>
      </c>
      <c r="L1590" s="1" t="s">
        <v>4342</v>
      </c>
      <c r="M1590" s="1">
        <v>5</v>
      </c>
      <c r="N1590" s="1" t="s">
        <v>4342</v>
      </c>
    </row>
    <row r="1591" spans="1:14" x14ac:dyDescent="0.15">
      <c r="A1591" s="1">
        <v>220</v>
      </c>
      <c r="B1591" s="1" t="s">
        <v>2886</v>
      </c>
      <c r="C1591" s="1" t="s">
        <v>2984</v>
      </c>
      <c r="D1591" s="1" t="s">
        <v>2985</v>
      </c>
      <c r="E1591" s="1" t="s">
        <v>2984</v>
      </c>
      <c r="F1591" s="1" t="s">
        <v>2985</v>
      </c>
      <c r="G1591" s="1" t="s">
        <v>2986</v>
      </c>
      <c r="H1591" s="1" t="s">
        <v>2985</v>
      </c>
      <c r="I1591" s="1" t="s">
        <v>14207</v>
      </c>
      <c r="J1591" s="1" t="s">
        <v>14208</v>
      </c>
      <c r="K1591" s="1">
        <v>4</v>
      </c>
      <c r="L1591" s="1" t="s">
        <v>4342</v>
      </c>
      <c r="M1591" s="1">
        <v>5</v>
      </c>
      <c r="N1591" s="1" t="s">
        <v>4342</v>
      </c>
    </row>
    <row r="1592" spans="1:14" x14ac:dyDescent="0.15">
      <c r="A1592" s="1">
        <v>220</v>
      </c>
      <c r="B1592" s="1" t="s">
        <v>2886</v>
      </c>
      <c r="C1592" s="1" t="s">
        <v>2984</v>
      </c>
      <c r="D1592" s="1" t="s">
        <v>2985</v>
      </c>
      <c r="E1592" s="1" t="s">
        <v>2984</v>
      </c>
      <c r="F1592" s="1" t="s">
        <v>2985</v>
      </c>
      <c r="G1592" s="1" t="s">
        <v>2986</v>
      </c>
      <c r="H1592" s="1" t="s">
        <v>2985</v>
      </c>
      <c r="I1592" s="1" t="s">
        <v>14211</v>
      </c>
      <c r="J1592" s="1" t="s">
        <v>2987</v>
      </c>
      <c r="K1592" s="1">
        <v>4</v>
      </c>
      <c r="L1592" s="1" t="s">
        <v>4342</v>
      </c>
      <c r="M1592" s="1">
        <v>5</v>
      </c>
      <c r="N1592" s="1" t="s">
        <v>4342</v>
      </c>
    </row>
    <row r="1593" spans="1:14" x14ac:dyDescent="0.15">
      <c r="A1593" s="1">
        <v>220</v>
      </c>
      <c r="B1593" s="1" t="s">
        <v>2886</v>
      </c>
      <c r="C1593" s="1" t="s">
        <v>2984</v>
      </c>
      <c r="D1593" s="1" t="s">
        <v>2985</v>
      </c>
      <c r="E1593" s="1" t="s">
        <v>2984</v>
      </c>
      <c r="F1593" s="1" t="s">
        <v>2985</v>
      </c>
      <c r="G1593" s="1" t="s">
        <v>2986</v>
      </c>
      <c r="H1593" s="1" t="s">
        <v>2985</v>
      </c>
      <c r="I1593" s="1" t="s">
        <v>13600</v>
      </c>
      <c r="J1593" s="1" t="s">
        <v>4983</v>
      </c>
      <c r="K1593" s="1">
        <v>4</v>
      </c>
      <c r="L1593" s="1" t="s">
        <v>4342</v>
      </c>
      <c r="M1593" s="1">
        <v>5</v>
      </c>
      <c r="N1593" s="1" t="s">
        <v>4342</v>
      </c>
    </row>
    <row r="1594" spans="1:14" x14ac:dyDescent="0.15">
      <c r="A1594" s="1">
        <v>220</v>
      </c>
      <c r="B1594" s="1" t="s">
        <v>2886</v>
      </c>
      <c r="C1594" s="1" t="s">
        <v>2984</v>
      </c>
      <c r="D1594" s="1" t="s">
        <v>2985</v>
      </c>
      <c r="E1594" s="1" t="s">
        <v>2984</v>
      </c>
      <c r="F1594" s="1" t="s">
        <v>2985</v>
      </c>
      <c r="G1594" s="1" t="s">
        <v>2986</v>
      </c>
      <c r="H1594" s="1" t="s">
        <v>2985</v>
      </c>
      <c r="I1594" s="1" t="s">
        <v>13604</v>
      </c>
      <c r="J1594" s="1" t="s">
        <v>2988</v>
      </c>
      <c r="K1594" s="1">
        <v>4</v>
      </c>
      <c r="L1594" s="1" t="s">
        <v>4342</v>
      </c>
      <c r="M1594" s="1">
        <v>5</v>
      </c>
      <c r="N1594" s="1" t="s">
        <v>4342</v>
      </c>
    </row>
    <row r="1595" spans="1:14" x14ac:dyDescent="0.15">
      <c r="A1595" s="1">
        <v>220</v>
      </c>
      <c r="B1595" s="1" t="s">
        <v>2886</v>
      </c>
      <c r="C1595" s="1" t="s">
        <v>2984</v>
      </c>
      <c r="D1595" s="1" t="s">
        <v>2985</v>
      </c>
      <c r="E1595" s="1" t="s">
        <v>2984</v>
      </c>
      <c r="F1595" s="1" t="s">
        <v>2985</v>
      </c>
      <c r="G1595" s="1" t="s">
        <v>2986</v>
      </c>
      <c r="H1595" s="1" t="s">
        <v>2985</v>
      </c>
      <c r="I1595" s="1" t="s">
        <v>13628</v>
      </c>
      <c r="J1595" s="1" t="s">
        <v>4990</v>
      </c>
      <c r="K1595" s="1">
        <v>4</v>
      </c>
      <c r="L1595" s="1" t="s">
        <v>4342</v>
      </c>
      <c r="M1595" s="1">
        <v>5</v>
      </c>
      <c r="N1595" s="1" t="s">
        <v>4342</v>
      </c>
    </row>
    <row r="1596" spans="1:14" x14ac:dyDescent="0.15">
      <c r="A1596" s="1">
        <v>220</v>
      </c>
      <c r="B1596" s="1" t="s">
        <v>2886</v>
      </c>
      <c r="C1596" s="1" t="s">
        <v>2984</v>
      </c>
      <c r="D1596" s="1" t="s">
        <v>2985</v>
      </c>
      <c r="E1596" s="1" t="s">
        <v>2984</v>
      </c>
      <c r="F1596" s="1" t="s">
        <v>2985</v>
      </c>
      <c r="G1596" s="1" t="s">
        <v>2986</v>
      </c>
      <c r="H1596" s="1" t="s">
        <v>2985</v>
      </c>
      <c r="I1596" s="1" t="s">
        <v>13635</v>
      </c>
      <c r="J1596" s="1" t="s">
        <v>4992</v>
      </c>
      <c r="K1596" s="1">
        <v>4</v>
      </c>
      <c r="L1596" s="1" t="s">
        <v>4342</v>
      </c>
      <c r="M1596" s="1">
        <v>5</v>
      </c>
      <c r="N1596" s="1" t="s">
        <v>4342</v>
      </c>
    </row>
    <row r="1597" spans="1:14" x14ac:dyDescent="0.15">
      <c r="A1597" s="1">
        <v>220</v>
      </c>
      <c r="B1597" s="1" t="s">
        <v>2886</v>
      </c>
      <c r="C1597" s="1" t="s">
        <v>2984</v>
      </c>
      <c r="D1597" s="1" t="s">
        <v>2985</v>
      </c>
      <c r="E1597" s="1" t="s">
        <v>2984</v>
      </c>
      <c r="F1597" s="1" t="s">
        <v>2985</v>
      </c>
      <c r="G1597" s="1" t="s">
        <v>2986</v>
      </c>
      <c r="H1597" s="1" t="s">
        <v>2985</v>
      </c>
      <c r="I1597" s="1" t="s">
        <v>13642</v>
      </c>
      <c r="J1597" s="1" t="s">
        <v>5005</v>
      </c>
      <c r="K1597" s="1">
        <v>4</v>
      </c>
      <c r="L1597" s="1" t="s">
        <v>4342</v>
      </c>
      <c r="M1597" s="1">
        <v>5</v>
      </c>
      <c r="N1597" s="1" t="s">
        <v>4342</v>
      </c>
    </row>
    <row r="1598" spans="1:14" x14ac:dyDescent="0.15">
      <c r="A1598" s="1">
        <v>220</v>
      </c>
      <c r="B1598" s="1" t="s">
        <v>2886</v>
      </c>
      <c r="C1598" s="1" t="s">
        <v>2984</v>
      </c>
      <c r="D1598" s="1" t="s">
        <v>2985</v>
      </c>
      <c r="E1598" s="1" t="s">
        <v>2984</v>
      </c>
      <c r="F1598" s="1" t="s">
        <v>2985</v>
      </c>
      <c r="G1598" s="1" t="s">
        <v>2986</v>
      </c>
      <c r="H1598" s="1" t="s">
        <v>2985</v>
      </c>
      <c r="I1598" s="1" t="s">
        <v>13646</v>
      </c>
      <c r="J1598" s="1" t="s">
        <v>5006</v>
      </c>
      <c r="K1598" s="1">
        <v>4</v>
      </c>
      <c r="L1598" s="1" t="s">
        <v>4342</v>
      </c>
      <c r="M1598" s="1">
        <v>5</v>
      </c>
      <c r="N1598" s="1" t="s">
        <v>4342</v>
      </c>
    </row>
    <row r="1599" spans="1:14" x14ac:dyDescent="0.15">
      <c r="A1599" s="1">
        <v>220</v>
      </c>
      <c r="B1599" s="1" t="s">
        <v>2886</v>
      </c>
      <c r="C1599" s="1" t="s">
        <v>2984</v>
      </c>
      <c r="D1599" s="1" t="s">
        <v>2985</v>
      </c>
      <c r="E1599" s="1" t="s">
        <v>2984</v>
      </c>
      <c r="F1599" s="1" t="s">
        <v>2985</v>
      </c>
      <c r="G1599" s="1" t="s">
        <v>2986</v>
      </c>
      <c r="H1599" s="1" t="s">
        <v>2985</v>
      </c>
      <c r="I1599" s="1" t="s">
        <v>13650</v>
      </c>
      <c r="J1599" s="1" t="s">
        <v>5007</v>
      </c>
      <c r="K1599" s="1">
        <v>4</v>
      </c>
      <c r="L1599" s="1" t="s">
        <v>4342</v>
      </c>
      <c r="M1599" s="1">
        <v>5</v>
      </c>
      <c r="N1599" s="1" t="s">
        <v>4342</v>
      </c>
    </row>
    <row r="1600" spans="1:14" x14ac:dyDescent="0.15">
      <c r="A1600" s="1">
        <v>220</v>
      </c>
      <c r="B1600" s="1" t="s">
        <v>2886</v>
      </c>
      <c r="C1600" s="1" t="s">
        <v>2984</v>
      </c>
      <c r="D1600" s="1" t="s">
        <v>2985</v>
      </c>
      <c r="E1600" s="1" t="s">
        <v>2984</v>
      </c>
      <c r="F1600" s="1" t="s">
        <v>2985</v>
      </c>
      <c r="G1600" s="1" t="s">
        <v>2986</v>
      </c>
      <c r="H1600" s="1" t="s">
        <v>2985</v>
      </c>
      <c r="I1600" s="1" t="s">
        <v>13654</v>
      </c>
      <c r="J1600" s="1" t="s">
        <v>2989</v>
      </c>
      <c r="K1600" s="1">
        <v>4</v>
      </c>
      <c r="L1600" s="1" t="s">
        <v>4342</v>
      </c>
      <c r="M1600" s="1">
        <v>5</v>
      </c>
      <c r="N1600" s="1" t="s">
        <v>4342</v>
      </c>
    </row>
    <row r="1601" spans="1:14" x14ac:dyDescent="0.15">
      <c r="A1601" s="1">
        <v>220</v>
      </c>
      <c r="B1601" s="1" t="s">
        <v>2886</v>
      </c>
      <c r="C1601" s="1" t="s">
        <v>2984</v>
      </c>
      <c r="D1601" s="1" t="s">
        <v>2985</v>
      </c>
      <c r="E1601" s="1" t="s">
        <v>2984</v>
      </c>
      <c r="F1601" s="1" t="s">
        <v>2985</v>
      </c>
      <c r="G1601" s="1" t="s">
        <v>2986</v>
      </c>
      <c r="H1601" s="1" t="s">
        <v>2985</v>
      </c>
      <c r="I1601" s="1" t="s">
        <v>13706</v>
      </c>
      <c r="J1601" s="1" t="s">
        <v>2990</v>
      </c>
      <c r="K1601" s="1">
        <v>4</v>
      </c>
      <c r="L1601" s="1" t="s">
        <v>4342</v>
      </c>
      <c r="M1601" s="1">
        <v>5</v>
      </c>
      <c r="N1601" s="1" t="s">
        <v>4342</v>
      </c>
    </row>
    <row r="1602" spans="1:14" x14ac:dyDescent="0.15">
      <c r="A1602" s="1">
        <v>220</v>
      </c>
      <c r="B1602" s="1" t="s">
        <v>2886</v>
      </c>
      <c r="C1602" s="1" t="s">
        <v>2984</v>
      </c>
      <c r="D1602" s="1" t="s">
        <v>2985</v>
      </c>
      <c r="E1602" s="1" t="s">
        <v>2984</v>
      </c>
      <c r="F1602" s="1" t="s">
        <v>2985</v>
      </c>
      <c r="G1602" s="1" t="s">
        <v>2986</v>
      </c>
      <c r="H1602" s="1" t="s">
        <v>2985</v>
      </c>
      <c r="I1602" s="1" t="s">
        <v>13710</v>
      </c>
      <c r="J1602" s="1" t="s">
        <v>13711</v>
      </c>
      <c r="K1602" s="1">
        <v>4</v>
      </c>
      <c r="L1602" s="1" t="s">
        <v>4342</v>
      </c>
      <c r="M1602" s="1">
        <v>5</v>
      </c>
      <c r="N1602" s="1" t="s">
        <v>4342</v>
      </c>
    </row>
    <row r="1603" spans="1:14" x14ac:dyDescent="0.15">
      <c r="A1603" s="1">
        <v>220</v>
      </c>
      <c r="B1603" s="1" t="s">
        <v>2886</v>
      </c>
      <c r="C1603" s="1" t="s">
        <v>2984</v>
      </c>
      <c r="D1603" s="1" t="s">
        <v>2985</v>
      </c>
      <c r="E1603" s="1" t="s">
        <v>2984</v>
      </c>
      <c r="F1603" s="1" t="s">
        <v>2985</v>
      </c>
      <c r="G1603" s="1" t="s">
        <v>2986</v>
      </c>
      <c r="H1603" s="1" t="s">
        <v>2985</v>
      </c>
      <c r="I1603" s="1" t="s">
        <v>13718</v>
      </c>
      <c r="J1603" s="1" t="s">
        <v>2991</v>
      </c>
      <c r="K1603" s="1">
        <v>4</v>
      </c>
      <c r="L1603" s="1" t="s">
        <v>4342</v>
      </c>
      <c r="M1603" s="1">
        <v>5</v>
      </c>
      <c r="N1603" s="1" t="s">
        <v>4342</v>
      </c>
    </row>
    <row r="1604" spans="1:14" x14ac:dyDescent="0.15">
      <c r="A1604" s="1">
        <v>220</v>
      </c>
      <c r="B1604" s="1" t="s">
        <v>2886</v>
      </c>
      <c r="C1604" s="1" t="s">
        <v>2984</v>
      </c>
      <c r="D1604" s="1" t="s">
        <v>2985</v>
      </c>
      <c r="E1604" s="1" t="s">
        <v>2984</v>
      </c>
      <c r="F1604" s="1" t="s">
        <v>2985</v>
      </c>
      <c r="G1604" s="1" t="s">
        <v>2986</v>
      </c>
      <c r="H1604" s="1" t="s">
        <v>2985</v>
      </c>
      <c r="I1604" s="1" t="s">
        <v>13722</v>
      </c>
      <c r="J1604" s="1" t="s">
        <v>13723</v>
      </c>
      <c r="K1604" s="1">
        <v>4</v>
      </c>
      <c r="L1604" s="1" t="s">
        <v>4342</v>
      </c>
      <c r="M1604" s="1">
        <v>5</v>
      </c>
      <c r="N1604" s="1" t="s">
        <v>4342</v>
      </c>
    </row>
    <row r="1605" spans="1:14" x14ac:dyDescent="0.15">
      <c r="A1605" s="1">
        <v>220</v>
      </c>
      <c r="B1605" s="1" t="s">
        <v>2886</v>
      </c>
      <c r="C1605" s="1" t="s">
        <v>2984</v>
      </c>
      <c r="D1605" s="1" t="s">
        <v>2985</v>
      </c>
      <c r="E1605" s="1" t="s">
        <v>2984</v>
      </c>
      <c r="F1605" s="1" t="s">
        <v>2985</v>
      </c>
      <c r="G1605" s="1" t="s">
        <v>2986</v>
      </c>
      <c r="H1605" s="1" t="s">
        <v>2985</v>
      </c>
      <c r="I1605" s="1" t="s">
        <v>13730</v>
      </c>
      <c r="J1605" s="1" t="s">
        <v>2992</v>
      </c>
      <c r="K1605" s="1">
        <v>4</v>
      </c>
      <c r="L1605" s="1" t="s">
        <v>4342</v>
      </c>
      <c r="M1605" s="1">
        <v>5</v>
      </c>
      <c r="N1605" s="1" t="s">
        <v>4342</v>
      </c>
    </row>
    <row r="1606" spans="1:14" x14ac:dyDescent="0.15">
      <c r="A1606" s="1">
        <v>220</v>
      </c>
      <c r="B1606" s="1" t="s">
        <v>2886</v>
      </c>
      <c r="C1606" s="1" t="s">
        <v>2984</v>
      </c>
      <c r="D1606" s="1" t="s">
        <v>2985</v>
      </c>
      <c r="E1606" s="1" t="s">
        <v>2984</v>
      </c>
      <c r="F1606" s="1" t="s">
        <v>2985</v>
      </c>
      <c r="G1606" s="1" t="s">
        <v>2986</v>
      </c>
      <c r="H1606" s="1" t="s">
        <v>2985</v>
      </c>
      <c r="I1606" s="1" t="s">
        <v>13734</v>
      </c>
      <c r="J1606" s="1" t="s">
        <v>2993</v>
      </c>
      <c r="K1606" s="1">
        <v>4</v>
      </c>
      <c r="L1606" s="1" t="s">
        <v>4342</v>
      </c>
      <c r="M1606" s="1">
        <v>5</v>
      </c>
      <c r="N1606" s="1" t="s">
        <v>4342</v>
      </c>
    </row>
    <row r="1607" spans="1:14" x14ac:dyDescent="0.15">
      <c r="A1607" s="1">
        <v>220</v>
      </c>
      <c r="B1607" s="1" t="s">
        <v>2886</v>
      </c>
      <c r="C1607" s="1" t="s">
        <v>2984</v>
      </c>
      <c r="D1607" s="1" t="s">
        <v>2985</v>
      </c>
      <c r="E1607" s="1" t="s">
        <v>2984</v>
      </c>
      <c r="F1607" s="1" t="s">
        <v>2985</v>
      </c>
      <c r="G1607" s="1" t="s">
        <v>2986</v>
      </c>
      <c r="H1607" s="1" t="s">
        <v>2985</v>
      </c>
      <c r="I1607" s="1" t="s">
        <v>13742</v>
      </c>
      <c r="J1607" s="1" t="s">
        <v>5043</v>
      </c>
      <c r="K1607" s="1">
        <v>4</v>
      </c>
      <c r="L1607" s="1" t="s">
        <v>4342</v>
      </c>
      <c r="M1607" s="1">
        <v>5</v>
      </c>
      <c r="N1607" s="1" t="s">
        <v>4342</v>
      </c>
    </row>
    <row r="1608" spans="1:14" x14ac:dyDescent="0.15">
      <c r="A1608" s="1">
        <v>220</v>
      </c>
      <c r="B1608" s="1" t="s">
        <v>2886</v>
      </c>
      <c r="C1608" s="1" t="s">
        <v>2984</v>
      </c>
      <c r="D1608" s="1" t="s">
        <v>2985</v>
      </c>
      <c r="E1608" s="1" t="s">
        <v>2984</v>
      </c>
      <c r="F1608" s="1" t="s">
        <v>2985</v>
      </c>
      <c r="G1608" s="1" t="s">
        <v>2986</v>
      </c>
      <c r="H1608" s="1" t="s">
        <v>2985</v>
      </c>
      <c r="I1608" s="1" t="s">
        <v>13746</v>
      </c>
      <c r="J1608" s="1" t="s">
        <v>13747</v>
      </c>
      <c r="K1608" s="1">
        <v>4</v>
      </c>
      <c r="L1608" s="1" t="s">
        <v>4342</v>
      </c>
      <c r="M1608" s="1">
        <v>5</v>
      </c>
      <c r="N1608" s="1" t="s">
        <v>4342</v>
      </c>
    </row>
    <row r="1609" spans="1:14" x14ac:dyDescent="0.15">
      <c r="A1609" s="1">
        <v>220</v>
      </c>
      <c r="B1609" s="1" t="s">
        <v>2886</v>
      </c>
      <c r="C1609" s="1" t="s">
        <v>2984</v>
      </c>
      <c r="D1609" s="1" t="s">
        <v>2985</v>
      </c>
      <c r="E1609" s="1" t="s">
        <v>2984</v>
      </c>
      <c r="F1609" s="1" t="s">
        <v>2985</v>
      </c>
      <c r="G1609" s="1" t="s">
        <v>2986</v>
      </c>
      <c r="H1609" s="1" t="s">
        <v>2985</v>
      </c>
      <c r="I1609" s="1" t="s">
        <v>13750</v>
      </c>
      <c r="J1609" s="1" t="s">
        <v>5045</v>
      </c>
      <c r="K1609" s="1">
        <v>4</v>
      </c>
      <c r="L1609" s="1" t="s">
        <v>4342</v>
      </c>
      <c r="M1609" s="1">
        <v>5</v>
      </c>
      <c r="N1609" s="1" t="s">
        <v>4342</v>
      </c>
    </row>
    <row r="1610" spans="1:14" x14ac:dyDescent="0.15">
      <c r="A1610" s="1">
        <v>220</v>
      </c>
      <c r="B1610" s="1" t="s">
        <v>2886</v>
      </c>
      <c r="C1610" s="1" t="s">
        <v>2984</v>
      </c>
      <c r="D1610" s="1" t="s">
        <v>2985</v>
      </c>
      <c r="E1610" s="1" t="s">
        <v>2984</v>
      </c>
      <c r="F1610" s="1" t="s">
        <v>2985</v>
      </c>
      <c r="G1610" s="1" t="s">
        <v>2986</v>
      </c>
      <c r="H1610" s="1" t="s">
        <v>2985</v>
      </c>
      <c r="I1610" s="1" t="s">
        <v>13754</v>
      </c>
      <c r="J1610" s="1" t="s">
        <v>2994</v>
      </c>
      <c r="K1610" s="1">
        <v>4</v>
      </c>
      <c r="L1610" s="1" t="s">
        <v>4342</v>
      </c>
      <c r="M1610" s="1">
        <v>5</v>
      </c>
      <c r="N1610" s="1" t="s">
        <v>4342</v>
      </c>
    </row>
    <row r="1611" spans="1:14" x14ac:dyDescent="0.15">
      <c r="A1611" s="1">
        <v>220</v>
      </c>
      <c r="B1611" s="1" t="s">
        <v>2886</v>
      </c>
      <c r="C1611" s="1" t="s">
        <v>2984</v>
      </c>
      <c r="D1611" s="1" t="s">
        <v>2985</v>
      </c>
      <c r="E1611" s="1" t="s">
        <v>2984</v>
      </c>
      <c r="F1611" s="1" t="s">
        <v>2985</v>
      </c>
      <c r="G1611" s="1" t="s">
        <v>2986</v>
      </c>
      <c r="H1611" s="1" t="s">
        <v>2985</v>
      </c>
      <c r="I1611" s="1" t="s">
        <v>13758</v>
      </c>
      <c r="J1611" s="1" t="s">
        <v>5044</v>
      </c>
      <c r="K1611" s="1">
        <v>4</v>
      </c>
      <c r="L1611" s="1" t="s">
        <v>4342</v>
      </c>
      <c r="M1611" s="1">
        <v>5</v>
      </c>
      <c r="N1611" s="1" t="s">
        <v>4342</v>
      </c>
    </row>
    <row r="1612" spans="1:14" x14ac:dyDescent="0.15">
      <c r="A1612" s="1">
        <v>220</v>
      </c>
      <c r="B1612" s="1" t="s">
        <v>2886</v>
      </c>
      <c r="C1612" s="1" t="s">
        <v>2984</v>
      </c>
      <c r="D1612" s="1" t="s">
        <v>2985</v>
      </c>
      <c r="E1612" s="1" t="s">
        <v>2984</v>
      </c>
      <c r="F1612" s="1" t="s">
        <v>2985</v>
      </c>
      <c r="G1612" s="1" t="s">
        <v>2986</v>
      </c>
      <c r="H1612" s="1" t="s">
        <v>2985</v>
      </c>
      <c r="I1612" s="1" t="s">
        <v>13762</v>
      </c>
      <c r="J1612" s="1" t="s">
        <v>5047</v>
      </c>
      <c r="K1612" s="1">
        <v>4</v>
      </c>
      <c r="L1612" s="1" t="s">
        <v>4342</v>
      </c>
      <c r="M1612" s="1">
        <v>5</v>
      </c>
      <c r="N1612" s="1" t="s">
        <v>4342</v>
      </c>
    </row>
    <row r="1613" spans="1:14" x14ac:dyDescent="0.15">
      <c r="A1613" s="1">
        <v>220</v>
      </c>
      <c r="B1613" s="1" t="s">
        <v>2886</v>
      </c>
      <c r="C1613" s="1" t="s">
        <v>2984</v>
      </c>
      <c r="D1613" s="1" t="s">
        <v>2985</v>
      </c>
      <c r="E1613" s="1" t="s">
        <v>2984</v>
      </c>
      <c r="F1613" s="1" t="s">
        <v>2985</v>
      </c>
      <c r="G1613" s="1" t="s">
        <v>2986</v>
      </c>
      <c r="H1613" s="1" t="s">
        <v>2985</v>
      </c>
      <c r="I1613" s="1" t="s">
        <v>13766</v>
      </c>
      <c r="J1613" s="1" t="s">
        <v>2995</v>
      </c>
      <c r="K1613" s="1">
        <v>4</v>
      </c>
      <c r="L1613" s="1" t="s">
        <v>4342</v>
      </c>
      <c r="M1613" s="1">
        <v>5</v>
      </c>
      <c r="N1613" s="1" t="s">
        <v>4342</v>
      </c>
    </row>
    <row r="1614" spans="1:14" x14ac:dyDescent="0.15">
      <c r="A1614" s="1">
        <v>220</v>
      </c>
      <c r="B1614" s="1" t="s">
        <v>2886</v>
      </c>
      <c r="C1614" s="1" t="s">
        <v>2984</v>
      </c>
      <c r="D1614" s="1" t="s">
        <v>2985</v>
      </c>
      <c r="E1614" s="1" t="s">
        <v>2984</v>
      </c>
      <c r="F1614" s="1" t="s">
        <v>2985</v>
      </c>
      <c r="G1614" s="1" t="s">
        <v>2986</v>
      </c>
      <c r="H1614" s="1" t="s">
        <v>2985</v>
      </c>
      <c r="I1614" s="1" t="s">
        <v>13770</v>
      </c>
      <c r="J1614" s="1" t="s">
        <v>2996</v>
      </c>
      <c r="K1614" s="1">
        <v>4</v>
      </c>
      <c r="L1614" s="1" t="s">
        <v>4342</v>
      </c>
      <c r="M1614" s="1">
        <v>5</v>
      </c>
      <c r="N1614" s="1" t="s">
        <v>4342</v>
      </c>
    </row>
    <row r="1615" spans="1:14" x14ac:dyDescent="0.15">
      <c r="A1615" s="1">
        <v>220</v>
      </c>
      <c r="B1615" s="1" t="s">
        <v>2886</v>
      </c>
      <c r="C1615" s="1" t="s">
        <v>2984</v>
      </c>
      <c r="D1615" s="1" t="s">
        <v>2985</v>
      </c>
      <c r="E1615" s="1" t="s">
        <v>2984</v>
      </c>
      <c r="F1615" s="1" t="s">
        <v>2985</v>
      </c>
      <c r="G1615" s="1" t="s">
        <v>2986</v>
      </c>
      <c r="H1615" s="1" t="s">
        <v>2985</v>
      </c>
      <c r="I1615" s="1" t="s">
        <v>13774</v>
      </c>
      <c r="J1615" s="1" t="s">
        <v>5050</v>
      </c>
      <c r="K1615" s="1">
        <v>4</v>
      </c>
      <c r="L1615" s="1" t="s">
        <v>4342</v>
      </c>
      <c r="M1615" s="1">
        <v>5</v>
      </c>
      <c r="N1615" s="1" t="s">
        <v>4342</v>
      </c>
    </row>
    <row r="1616" spans="1:14" x14ac:dyDescent="0.15">
      <c r="A1616" s="1">
        <v>220</v>
      </c>
      <c r="B1616" s="1" t="s">
        <v>2886</v>
      </c>
      <c r="C1616" s="1" t="s">
        <v>2984</v>
      </c>
      <c r="D1616" s="1" t="s">
        <v>2985</v>
      </c>
      <c r="E1616" s="1" t="s">
        <v>2984</v>
      </c>
      <c r="F1616" s="1" t="s">
        <v>2985</v>
      </c>
      <c r="G1616" s="1" t="s">
        <v>2986</v>
      </c>
      <c r="H1616" s="1" t="s">
        <v>2985</v>
      </c>
      <c r="I1616" s="1" t="s">
        <v>13778</v>
      </c>
      <c r="J1616" s="1" t="s">
        <v>2997</v>
      </c>
      <c r="K1616" s="1">
        <v>4</v>
      </c>
      <c r="L1616" s="1" t="s">
        <v>4342</v>
      </c>
      <c r="M1616" s="1">
        <v>5</v>
      </c>
      <c r="N1616" s="1" t="s">
        <v>4342</v>
      </c>
    </row>
    <row r="1617" spans="1:14" x14ac:dyDescent="0.15">
      <c r="A1617" s="1">
        <v>220</v>
      </c>
      <c r="B1617" s="1" t="s">
        <v>2886</v>
      </c>
      <c r="C1617" s="1" t="s">
        <v>2984</v>
      </c>
      <c r="D1617" s="1" t="s">
        <v>2985</v>
      </c>
      <c r="E1617" s="1" t="s">
        <v>2984</v>
      </c>
      <c r="F1617" s="1" t="s">
        <v>2985</v>
      </c>
      <c r="G1617" s="1" t="s">
        <v>2986</v>
      </c>
      <c r="H1617" s="1" t="s">
        <v>2985</v>
      </c>
      <c r="I1617" s="1" t="s">
        <v>8015</v>
      </c>
      <c r="J1617" s="1" t="s">
        <v>13727</v>
      </c>
      <c r="K1617" s="1">
        <v>4</v>
      </c>
      <c r="L1617" s="1" t="s">
        <v>4342</v>
      </c>
      <c r="M1617" s="1">
        <v>5</v>
      </c>
      <c r="N1617" s="1" t="s">
        <v>4342</v>
      </c>
    </row>
    <row r="1618" spans="1:14" x14ac:dyDescent="0.15">
      <c r="A1618" s="1">
        <v>220</v>
      </c>
      <c r="B1618" s="1" t="s">
        <v>2886</v>
      </c>
      <c r="C1618" s="1" t="s">
        <v>2984</v>
      </c>
      <c r="D1618" s="1" t="s">
        <v>2985</v>
      </c>
      <c r="E1618" s="1" t="s">
        <v>2984</v>
      </c>
      <c r="F1618" s="1" t="s">
        <v>2985</v>
      </c>
      <c r="G1618" s="1" t="s">
        <v>2986</v>
      </c>
      <c r="H1618" s="1" t="s">
        <v>2985</v>
      </c>
      <c r="I1618" s="1" t="s">
        <v>13470</v>
      </c>
      <c r="J1618" s="1" t="s">
        <v>2594</v>
      </c>
      <c r="K1618" s="1">
        <v>4</v>
      </c>
      <c r="L1618" s="1" t="s">
        <v>4342</v>
      </c>
      <c r="M1618" s="1">
        <v>5</v>
      </c>
      <c r="N1618" s="1" t="s">
        <v>4342</v>
      </c>
    </row>
    <row r="1619" spans="1:14" x14ac:dyDescent="0.15">
      <c r="A1619" s="1">
        <v>220</v>
      </c>
      <c r="B1619" s="1" t="s">
        <v>2886</v>
      </c>
      <c r="C1619" s="1" t="s">
        <v>2984</v>
      </c>
      <c r="D1619" s="1" t="s">
        <v>2985</v>
      </c>
      <c r="E1619" s="1" t="s">
        <v>2984</v>
      </c>
      <c r="F1619" s="1" t="s">
        <v>2985</v>
      </c>
      <c r="G1619" s="1" t="s">
        <v>2986</v>
      </c>
      <c r="H1619" s="1" t="s">
        <v>2985</v>
      </c>
      <c r="I1619" s="1" t="s">
        <v>13782</v>
      </c>
      <c r="J1619" s="1" t="s">
        <v>2998</v>
      </c>
      <c r="K1619" s="1">
        <v>4</v>
      </c>
      <c r="L1619" s="1" t="s">
        <v>4342</v>
      </c>
      <c r="M1619" s="1">
        <v>5</v>
      </c>
      <c r="N1619" s="1" t="s">
        <v>4342</v>
      </c>
    </row>
    <row r="1620" spans="1:14" x14ac:dyDescent="0.15">
      <c r="A1620" s="1">
        <v>220</v>
      </c>
      <c r="B1620" s="1" t="s">
        <v>2886</v>
      </c>
      <c r="C1620" s="1" t="s">
        <v>2984</v>
      </c>
      <c r="D1620" s="1" t="s">
        <v>2985</v>
      </c>
      <c r="E1620" s="1" t="s">
        <v>2984</v>
      </c>
      <c r="F1620" s="1" t="s">
        <v>2985</v>
      </c>
      <c r="G1620" s="1" t="s">
        <v>2986</v>
      </c>
      <c r="H1620" s="1" t="s">
        <v>2985</v>
      </c>
      <c r="I1620" s="1" t="s">
        <v>13790</v>
      </c>
      <c r="J1620" s="1" t="s">
        <v>5061</v>
      </c>
      <c r="K1620" s="1">
        <v>4</v>
      </c>
      <c r="L1620" s="1" t="s">
        <v>4342</v>
      </c>
      <c r="M1620" s="1">
        <v>5</v>
      </c>
      <c r="N1620" s="1" t="s">
        <v>4342</v>
      </c>
    </row>
    <row r="1621" spans="1:14" x14ac:dyDescent="0.15">
      <c r="A1621" s="1">
        <v>220</v>
      </c>
      <c r="B1621" s="1" t="s">
        <v>2886</v>
      </c>
      <c r="C1621" s="1" t="s">
        <v>2984</v>
      </c>
      <c r="D1621" s="1" t="s">
        <v>2985</v>
      </c>
      <c r="E1621" s="1" t="s">
        <v>2984</v>
      </c>
      <c r="F1621" s="1" t="s">
        <v>2985</v>
      </c>
      <c r="G1621" s="1" t="s">
        <v>2986</v>
      </c>
      <c r="H1621" s="1" t="s">
        <v>2985</v>
      </c>
      <c r="I1621" s="1" t="s">
        <v>13794</v>
      </c>
      <c r="J1621" s="1" t="s">
        <v>5062</v>
      </c>
      <c r="K1621" s="1">
        <v>4</v>
      </c>
      <c r="L1621" s="1" t="s">
        <v>4342</v>
      </c>
      <c r="M1621" s="1">
        <v>5</v>
      </c>
      <c r="N1621" s="1" t="s">
        <v>4342</v>
      </c>
    </row>
    <row r="1622" spans="1:14" x14ac:dyDescent="0.15">
      <c r="A1622" s="1">
        <v>220</v>
      </c>
      <c r="B1622" s="1" t="s">
        <v>2886</v>
      </c>
      <c r="C1622" s="1" t="s">
        <v>2984</v>
      </c>
      <c r="D1622" s="1" t="s">
        <v>2985</v>
      </c>
      <c r="E1622" s="1" t="s">
        <v>2984</v>
      </c>
      <c r="F1622" s="1" t="s">
        <v>2985</v>
      </c>
      <c r="G1622" s="1" t="s">
        <v>2986</v>
      </c>
      <c r="H1622" s="1" t="s">
        <v>2985</v>
      </c>
      <c r="I1622" s="1" t="s">
        <v>13798</v>
      </c>
      <c r="J1622" s="1" t="s">
        <v>13799</v>
      </c>
      <c r="K1622" s="1">
        <v>4</v>
      </c>
      <c r="L1622" s="1" t="s">
        <v>4342</v>
      </c>
      <c r="M1622" s="1">
        <v>5</v>
      </c>
      <c r="N1622" s="1" t="s">
        <v>4342</v>
      </c>
    </row>
    <row r="1623" spans="1:14" x14ac:dyDescent="0.15">
      <c r="A1623" s="1">
        <v>220</v>
      </c>
      <c r="B1623" s="1" t="s">
        <v>2886</v>
      </c>
      <c r="C1623" s="1" t="s">
        <v>2984</v>
      </c>
      <c r="D1623" s="1" t="s">
        <v>2985</v>
      </c>
      <c r="E1623" s="1" t="s">
        <v>2984</v>
      </c>
      <c r="F1623" s="1" t="s">
        <v>2985</v>
      </c>
      <c r="G1623" s="1" t="s">
        <v>2986</v>
      </c>
      <c r="H1623" s="1" t="s">
        <v>2985</v>
      </c>
      <c r="I1623" s="1" t="s">
        <v>13802</v>
      </c>
      <c r="J1623" s="1" t="s">
        <v>5063</v>
      </c>
      <c r="K1623" s="1">
        <v>4</v>
      </c>
      <c r="L1623" s="1" t="s">
        <v>4342</v>
      </c>
      <c r="M1623" s="1">
        <v>5</v>
      </c>
      <c r="N1623" s="1" t="s">
        <v>4342</v>
      </c>
    </row>
    <row r="1624" spans="1:14" x14ac:dyDescent="0.15">
      <c r="A1624" s="1">
        <v>220</v>
      </c>
      <c r="B1624" s="1" t="s">
        <v>2886</v>
      </c>
      <c r="C1624" s="1" t="s">
        <v>2984</v>
      </c>
      <c r="D1624" s="1" t="s">
        <v>2985</v>
      </c>
      <c r="E1624" s="1" t="s">
        <v>2984</v>
      </c>
      <c r="F1624" s="1" t="s">
        <v>2985</v>
      </c>
      <c r="G1624" s="1" t="s">
        <v>2986</v>
      </c>
      <c r="H1624" s="1" t="s">
        <v>2985</v>
      </c>
      <c r="I1624" s="1" t="s">
        <v>13806</v>
      </c>
      <c r="J1624" s="1" t="s">
        <v>5064</v>
      </c>
      <c r="K1624" s="1">
        <v>4</v>
      </c>
      <c r="L1624" s="1" t="s">
        <v>4342</v>
      </c>
      <c r="M1624" s="1">
        <v>5</v>
      </c>
      <c r="N1624" s="1" t="s">
        <v>4342</v>
      </c>
    </row>
    <row r="1625" spans="1:14" x14ac:dyDescent="0.15">
      <c r="A1625" s="1">
        <v>330</v>
      </c>
      <c r="B1625" s="1" t="s">
        <v>2999</v>
      </c>
      <c r="C1625" s="1" t="s">
        <v>3000</v>
      </c>
      <c r="D1625" s="1" t="s">
        <v>3001</v>
      </c>
      <c r="E1625" s="1" t="s">
        <v>3000</v>
      </c>
      <c r="F1625" s="1" t="s">
        <v>3001</v>
      </c>
      <c r="G1625" s="1" t="s">
        <v>3002</v>
      </c>
      <c r="H1625" s="1" t="s">
        <v>3001</v>
      </c>
      <c r="I1625" s="1" t="s">
        <v>13814</v>
      </c>
      <c r="J1625" s="1" t="s">
        <v>3003</v>
      </c>
      <c r="K1625" s="1">
        <v>4</v>
      </c>
      <c r="L1625" s="1" t="s">
        <v>4342</v>
      </c>
      <c r="M1625" s="1">
        <v>5</v>
      </c>
      <c r="N1625" s="1" t="s">
        <v>4342</v>
      </c>
    </row>
    <row r="1626" spans="1:14" x14ac:dyDescent="0.15">
      <c r="A1626" s="1">
        <v>220</v>
      </c>
      <c r="B1626" s="1" t="s">
        <v>2886</v>
      </c>
      <c r="C1626" s="1" t="s">
        <v>2984</v>
      </c>
      <c r="D1626" s="1" t="s">
        <v>2985</v>
      </c>
      <c r="E1626" s="1" t="s">
        <v>2984</v>
      </c>
      <c r="F1626" s="1" t="s">
        <v>2985</v>
      </c>
      <c r="G1626" s="1" t="s">
        <v>2986</v>
      </c>
      <c r="H1626" s="1" t="s">
        <v>2985</v>
      </c>
      <c r="I1626" s="1" t="s">
        <v>13822</v>
      </c>
      <c r="J1626" s="1" t="s">
        <v>13823</v>
      </c>
      <c r="K1626" s="1">
        <v>4</v>
      </c>
      <c r="L1626" s="1" t="s">
        <v>4342</v>
      </c>
      <c r="M1626" s="1">
        <v>5</v>
      </c>
      <c r="N1626" s="1" t="s">
        <v>4342</v>
      </c>
    </row>
    <row r="1627" spans="1:14" x14ac:dyDescent="0.15">
      <c r="A1627" s="1">
        <v>220</v>
      </c>
      <c r="B1627" s="1" t="s">
        <v>2886</v>
      </c>
      <c r="C1627" s="1" t="s">
        <v>2984</v>
      </c>
      <c r="D1627" s="1" t="s">
        <v>2985</v>
      </c>
      <c r="E1627" s="1" t="s">
        <v>2984</v>
      </c>
      <c r="F1627" s="1" t="s">
        <v>2985</v>
      </c>
      <c r="G1627" s="1" t="s">
        <v>2986</v>
      </c>
      <c r="H1627" s="1" t="s">
        <v>2985</v>
      </c>
      <c r="I1627" s="1" t="s">
        <v>13826</v>
      </c>
      <c r="J1627" s="1" t="s">
        <v>5076</v>
      </c>
      <c r="K1627" s="1">
        <v>4</v>
      </c>
      <c r="L1627" s="1" t="s">
        <v>4342</v>
      </c>
      <c r="M1627" s="1">
        <v>5</v>
      </c>
      <c r="N1627" s="1" t="s">
        <v>4342</v>
      </c>
    </row>
    <row r="1628" spans="1:14" x14ac:dyDescent="0.15">
      <c r="A1628" s="1">
        <v>220</v>
      </c>
      <c r="B1628" s="1" t="s">
        <v>2886</v>
      </c>
      <c r="C1628" s="1" t="s">
        <v>2984</v>
      </c>
      <c r="D1628" s="1" t="s">
        <v>2985</v>
      </c>
      <c r="E1628" s="1" t="s">
        <v>2984</v>
      </c>
      <c r="F1628" s="1" t="s">
        <v>2985</v>
      </c>
      <c r="G1628" s="1" t="s">
        <v>2986</v>
      </c>
      <c r="H1628" s="1" t="s">
        <v>2985</v>
      </c>
      <c r="I1628" s="1" t="s">
        <v>13830</v>
      </c>
      <c r="J1628" s="1" t="s">
        <v>13831</v>
      </c>
      <c r="K1628" s="1">
        <v>4</v>
      </c>
      <c r="L1628" s="1" t="s">
        <v>4342</v>
      </c>
      <c r="M1628" s="1">
        <v>5</v>
      </c>
      <c r="N1628" s="1" t="s">
        <v>4342</v>
      </c>
    </row>
    <row r="1629" spans="1:14" x14ac:dyDescent="0.15">
      <c r="A1629" s="1">
        <v>220</v>
      </c>
      <c r="B1629" s="1" t="s">
        <v>2886</v>
      </c>
      <c r="C1629" s="1" t="s">
        <v>2984</v>
      </c>
      <c r="D1629" s="1" t="s">
        <v>2985</v>
      </c>
      <c r="E1629" s="1" t="s">
        <v>2984</v>
      </c>
      <c r="F1629" s="1" t="s">
        <v>2985</v>
      </c>
      <c r="G1629" s="1" t="s">
        <v>2986</v>
      </c>
      <c r="H1629" s="1" t="s">
        <v>2985</v>
      </c>
      <c r="I1629" s="1" t="s">
        <v>8071</v>
      </c>
      <c r="J1629" s="1" t="s">
        <v>3004</v>
      </c>
      <c r="K1629" s="1">
        <v>4</v>
      </c>
      <c r="L1629" s="1" t="s">
        <v>4342</v>
      </c>
      <c r="M1629" s="1">
        <v>5</v>
      </c>
      <c r="N1629" s="1" t="s">
        <v>4342</v>
      </c>
    </row>
    <row r="1630" spans="1:14" x14ac:dyDescent="0.15">
      <c r="A1630" s="1">
        <v>220</v>
      </c>
      <c r="B1630" s="1" t="s">
        <v>2886</v>
      </c>
      <c r="C1630" s="1" t="s">
        <v>2984</v>
      </c>
      <c r="D1630" s="1" t="s">
        <v>2985</v>
      </c>
      <c r="E1630" s="1" t="s">
        <v>2984</v>
      </c>
      <c r="F1630" s="1" t="s">
        <v>2985</v>
      </c>
      <c r="G1630" s="1" t="s">
        <v>2986</v>
      </c>
      <c r="H1630" s="1" t="s">
        <v>2985</v>
      </c>
      <c r="I1630" s="1" t="s">
        <v>13838</v>
      </c>
      <c r="J1630" s="1" t="s">
        <v>5081</v>
      </c>
      <c r="K1630" s="1">
        <v>4</v>
      </c>
      <c r="L1630" s="1" t="s">
        <v>4342</v>
      </c>
      <c r="M1630" s="1">
        <v>5</v>
      </c>
      <c r="N1630" s="1" t="s">
        <v>4342</v>
      </c>
    </row>
    <row r="1631" spans="1:14" x14ac:dyDescent="0.15">
      <c r="A1631" s="1">
        <v>220</v>
      </c>
      <c r="B1631" s="1" t="s">
        <v>2886</v>
      </c>
      <c r="C1631" s="1" t="s">
        <v>2984</v>
      </c>
      <c r="D1631" s="1" t="s">
        <v>2985</v>
      </c>
      <c r="E1631" s="1" t="s">
        <v>2984</v>
      </c>
      <c r="F1631" s="1" t="s">
        <v>2985</v>
      </c>
      <c r="G1631" s="1" t="s">
        <v>2986</v>
      </c>
      <c r="H1631" s="1" t="s">
        <v>2985</v>
      </c>
      <c r="I1631" s="1" t="s">
        <v>13427</v>
      </c>
      <c r="J1631" s="1" t="s">
        <v>3005</v>
      </c>
      <c r="K1631" s="1">
        <v>4</v>
      </c>
      <c r="L1631" s="1" t="s">
        <v>4342</v>
      </c>
      <c r="M1631" s="1">
        <v>5</v>
      </c>
      <c r="N1631" s="1" t="s">
        <v>4342</v>
      </c>
    </row>
    <row r="1632" spans="1:14" x14ac:dyDescent="0.15">
      <c r="A1632" s="1">
        <v>220</v>
      </c>
      <c r="B1632" s="1" t="s">
        <v>2886</v>
      </c>
      <c r="C1632" s="1" t="s">
        <v>2984</v>
      </c>
      <c r="D1632" s="1" t="s">
        <v>2985</v>
      </c>
      <c r="E1632" s="1" t="s">
        <v>2984</v>
      </c>
      <c r="F1632" s="1" t="s">
        <v>2985</v>
      </c>
      <c r="G1632" s="1" t="s">
        <v>2986</v>
      </c>
      <c r="H1632" s="1" t="s">
        <v>2985</v>
      </c>
      <c r="I1632" s="1" t="s">
        <v>13431</v>
      </c>
      <c r="J1632" s="1" t="s">
        <v>3006</v>
      </c>
      <c r="K1632" s="1">
        <v>4</v>
      </c>
      <c r="L1632" s="1" t="s">
        <v>4342</v>
      </c>
      <c r="M1632" s="1">
        <v>5</v>
      </c>
      <c r="N1632" s="1" t="s">
        <v>4342</v>
      </c>
    </row>
    <row r="1633" spans="1:14" x14ac:dyDescent="0.15">
      <c r="A1633" s="1">
        <v>220</v>
      </c>
      <c r="B1633" s="1" t="s">
        <v>2886</v>
      </c>
      <c r="C1633" s="1" t="s">
        <v>2984</v>
      </c>
      <c r="D1633" s="1" t="s">
        <v>2985</v>
      </c>
      <c r="E1633" s="1" t="s">
        <v>2984</v>
      </c>
      <c r="F1633" s="1" t="s">
        <v>2985</v>
      </c>
      <c r="G1633" s="1" t="s">
        <v>2986</v>
      </c>
      <c r="H1633" s="1" t="s">
        <v>2985</v>
      </c>
      <c r="I1633" s="1" t="s">
        <v>13439</v>
      </c>
      <c r="J1633" s="1" t="s">
        <v>3007</v>
      </c>
      <c r="K1633" s="1">
        <v>4</v>
      </c>
      <c r="L1633" s="1" t="s">
        <v>4342</v>
      </c>
      <c r="M1633" s="1">
        <v>5</v>
      </c>
      <c r="N1633" s="1" t="s">
        <v>4342</v>
      </c>
    </row>
    <row r="1634" spans="1:14" x14ac:dyDescent="0.15">
      <c r="A1634" s="1">
        <v>220</v>
      </c>
      <c r="B1634" s="1" t="s">
        <v>2886</v>
      </c>
      <c r="C1634" s="1" t="s">
        <v>2984</v>
      </c>
      <c r="D1634" s="1" t="s">
        <v>2985</v>
      </c>
      <c r="E1634" s="1" t="s">
        <v>2984</v>
      </c>
      <c r="F1634" s="1" t="s">
        <v>2985</v>
      </c>
      <c r="G1634" s="1" t="s">
        <v>2986</v>
      </c>
      <c r="H1634" s="1" t="s">
        <v>2985</v>
      </c>
      <c r="I1634" s="1" t="s">
        <v>13454</v>
      </c>
      <c r="J1634" s="1" t="s">
        <v>5148</v>
      </c>
      <c r="K1634" s="1">
        <v>4</v>
      </c>
      <c r="L1634" s="1" t="s">
        <v>4342</v>
      </c>
      <c r="M1634" s="1">
        <v>5</v>
      </c>
      <c r="N1634" s="1" t="s">
        <v>4342</v>
      </c>
    </row>
    <row r="1635" spans="1:14" x14ac:dyDescent="0.15">
      <c r="A1635" s="1">
        <v>220</v>
      </c>
      <c r="B1635" s="1" t="s">
        <v>2886</v>
      </c>
      <c r="C1635" s="1" t="s">
        <v>2984</v>
      </c>
      <c r="D1635" s="1" t="s">
        <v>2985</v>
      </c>
      <c r="E1635" s="1" t="s">
        <v>2984</v>
      </c>
      <c r="F1635" s="1" t="s">
        <v>2985</v>
      </c>
      <c r="G1635" s="1" t="s">
        <v>2986</v>
      </c>
      <c r="H1635" s="1" t="s">
        <v>2985</v>
      </c>
      <c r="I1635" s="1" t="s">
        <v>13458</v>
      </c>
      <c r="J1635" s="1" t="s">
        <v>13459</v>
      </c>
      <c r="K1635" s="1">
        <v>4</v>
      </c>
      <c r="L1635" s="1" t="s">
        <v>4342</v>
      </c>
      <c r="M1635" s="1">
        <v>5</v>
      </c>
      <c r="N1635" s="1" t="s">
        <v>4342</v>
      </c>
    </row>
    <row r="1636" spans="1:14" x14ac:dyDescent="0.15">
      <c r="A1636" s="1">
        <v>220</v>
      </c>
      <c r="B1636" s="1" t="s">
        <v>2886</v>
      </c>
      <c r="C1636" s="1" t="s">
        <v>2984</v>
      </c>
      <c r="D1636" s="1" t="s">
        <v>2985</v>
      </c>
      <c r="E1636" s="1" t="s">
        <v>2984</v>
      </c>
      <c r="F1636" s="1" t="s">
        <v>2985</v>
      </c>
      <c r="G1636" s="1" t="s">
        <v>2986</v>
      </c>
      <c r="H1636" s="1" t="s">
        <v>2985</v>
      </c>
      <c r="I1636" s="1" t="s">
        <v>13474</v>
      </c>
      <c r="J1636" s="1" t="s">
        <v>13475</v>
      </c>
      <c r="K1636" s="1">
        <v>4</v>
      </c>
      <c r="L1636" s="1" t="s">
        <v>4342</v>
      </c>
      <c r="M1636" s="1">
        <v>5</v>
      </c>
      <c r="N1636" s="1" t="s">
        <v>4342</v>
      </c>
    </row>
    <row r="1637" spans="1:14" x14ac:dyDescent="0.15">
      <c r="A1637" s="1">
        <v>220</v>
      </c>
      <c r="B1637" s="1" t="s">
        <v>2886</v>
      </c>
      <c r="C1637" s="1" t="s">
        <v>2984</v>
      </c>
      <c r="D1637" s="1" t="s">
        <v>2985</v>
      </c>
      <c r="E1637" s="1" t="s">
        <v>2984</v>
      </c>
      <c r="F1637" s="1" t="s">
        <v>2985</v>
      </c>
      <c r="G1637" s="1" t="s">
        <v>2986</v>
      </c>
      <c r="H1637" s="1" t="s">
        <v>2985</v>
      </c>
      <c r="I1637" s="1" t="s">
        <v>13478</v>
      </c>
      <c r="J1637" s="1" t="s">
        <v>13479</v>
      </c>
      <c r="K1637" s="1">
        <v>4</v>
      </c>
      <c r="L1637" s="1" t="s">
        <v>4342</v>
      </c>
      <c r="M1637" s="1">
        <v>5</v>
      </c>
      <c r="N1637" s="1" t="s">
        <v>4342</v>
      </c>
    </row>
    <row r="1638" spans="1:14" x14ac:dyDescent="0.15">
      <c r="A1638" s="1">
        <v>220</v>
      </c>
      <c r="B1638" s="1" t="s">
        <v>2886</v>
      </c>
      <c r="C1638" s="1" t="s">
        <v>2984</v>
      </c>
      <c r="D1638" s="1" t="s">
        <v>2985</v>
      </c>
      <c r="E1638" s="1" t="s">
        <v>2984</v>
      </c>
      <c r="F1638" s="1" t="s">
        <v>2985</v>
      </c>
      <c r="G1638" s="1" t="s">
        <v>2986</v>
      </c>
      <c r="H1638" s="1" t="s">
        <v>2985</v>
      </c>
      <c r="I1638" s="1" t="s">
        <v>13490</v>
      </c>
      <c r="J1638" s="1" t="s">
        <v>5157</v>
      </c>
      <c r="K1638" s="1">
        <v>4</v>
      </c>
      <c r="L1638" s="1" t="s">
        <v>4342</v>
      </c>
      <c r="M1638" s="1">
        <v>5</v>
      </c>
      <c r="N1638" s="1" t="s">
        <v>4342</v>
      </c>
    </row>
    <row r="1639" spans="1:14" x14ac:dyDescent="0.15">
      <c r="A1639" s="1">
        <v>220</v>
      </c>
      <c r="B1639" s="1" t="s">
        <v>2886</v>
      </c>
      <c r="C1639" s="1" t="s">
        <v>2984</v>
      </c>
      <c r="D1639" s="1" t="s">
        <v>2985</v>
      </c>
      <c r="E1639" s="1" t="s">
        <v>2984</v>
      </c>
      <c r="F1639" s="1" t="s">
        <v>2985</v>
      </c>
      <c r="G1639" s="1" t="s">
        <v>2986</v>
      </c>
      <c r="H1639" s="1" t="s">
        <v>2985</v>
      </c>
      <c r="I1639" s="1" t="s">
        <v>13494</v>
      </c>
      <c r="J1639" s="1" t="s">
        <v>5158</v>
      </c>
      <c r="K1639" s="1">
        <v>4</v>
      </c>
      <c r="L1639" s="1" t="s">
        <v>4342</v>
      </c>
      <c r="M1639" s="1">
        <v>5</v>
      </c>
      <c r="N1639" s="1" t="s">
        <v>4342</v>
      </c>
    </row>
    <row r="1640" spans="1:14" x14ac:dyDescent="0.15">
      <c r="A1640" s="1">
        <v>220</v>
      </c>
      <c r="B1640" s="1" t="s">
        <v>2886</v>
      </c>
      <c r="C1640" s="1" t="s">
        <v>2984</v>
      </c>
      <c r="D1640" s="1" t="s">
        <v>2985</v>
      </c>
      <c r="E1640" s="1" t="s">
        <v>2984</v>
      </c>
      <c r="F1640" s="1" t="s">
        <v>2985</v>
      </c>
      <c r="G1640" s="1" t="s">
        <v>2986</v>
      </c>
      <c r="H1640" s="1" t="s">
        <v>2985</v>
      </c>
      <c r="I1640" s="1" t="s">
        <v>13506</v>
      </c>
      <c r="J1640" s="1" t="s">
        <v>5133</v>
      </c>
      <c r="K1640" s="1">
        <v>4</v>
      </c>
      <c r="L1640" s="1" t="s">
        <v>4342</v>
      </c>
      <c r="M1640" s="1">
        <v>5</v>
      </c>
      <c r="N1640" s="1" t="s">
        <v>4342</v>
      </c>
    </row>
    <row r="1641" spans="1:14" x14ac:dyDescent="0.15">
      <c r="A1641" s="1">
        <v>220</v>
      </c>
      <c r="B1641" s="1" t="s">
        <v>2886</v>
      </c>
      <c r="C1641" s="1" t="s">
        <v>2984</v>
      </c>
      <c r="D1641" s="1" t="s">
        <v>2985</v>
      </c>
      <c r="E1641" s="1" t="s">
        <v>2984</v>
      </c>
      <c r="F1641" s="1" t="s">
        <v>2985</v>
      </c>
      <c r="G1641" s="1" t="s">
        <v>2986</v>
      </c>
      <c r="H1641" s="1" t="s">
        <v>2985</v>
      </c>
      <c r="I1641" s="1" t="s">
        <v>13510</v>
      </c>
      <c r="J1641" s="1" t="s">
        <v>5134</v>
      </c>
      <c r="K1641" s="1">
        <v>4</v>
      </c>
      <c r="L1641" s="1" t="s">
        <v>4342</v>
      </c>
      <c r="M1641" s="1">
        <v>5</v>
      </c>
      <c r="N1641" s="1" t="s">
        <v>4342</v>
      </c>
    </row>
    <row r="1642" spans="1:14" x14ac:dyDescent="0.15">
      <c r="A1642" s="1">
        <v>220</v>
      </c>
      <c r="B1642" s="1" t="s">
        <v>2886</v>
      </c>
      <c r="C1642" s="1" t="s">
        <v>2984</v>
      </c>
      <c r="D1642" s="1" t="s">
        <v>2985</v>
      </c>
      <c r="E1642" s="1" t="s">
        <v>2984</v>
      </c>
      <c r="F1642" s="1" t="s">
        <v>2985</v>
      </c>
      <c r="G1642" s="1" t="s">
        <v>2986</v>
      </c>
      <c r="H1642" s="1" t="s">
        <v>2985</v>
      </c>
      <c r="I1642" s="1" t="s">
        <v>13514</v>
      </c>
      <c r="J1642" s="1" t="s">
        <v>5160</v>
      </c>
      <c r="K1642" s="1">
        <v>4</v>
      </c>
      <c r="L1642" s="1" t="s">
        <v>4342</v>
      </c>
      <c r="M1642" s="1">
        <v>5</v>
      </c>
      <c r="N1642" s="1" t="s">
        <v>4342</v>
      </c>
    </row>
    <row r="1643" spans="1:14" x14ac:dyDescent="0.15">
      <c r="A1643" s="1">
        <v>220</v>
      </c>
      <c r="B1643" s="1" t="s">
        <v>2886</v>
      </c>
      <c r="C1643" s="1" t="s">
        <v>2984</v>
      </c>
      <c r="D1643" s="1" t="s">
        <v>2985</v>
      </c>
      <c r="E1643" s="1" t="s">
        <v>2984</v>
      </c>
      <c r="F1643" s="1" t="s">
        <v>2985</v>
      </c>
      <c r="G1643" s="1" t="s">
        <v>2986</v>
      </c>
      <c r="H1643" s="1" t="s">
        <v>2985</v>
      </c>
      <c r="I1643" s="1" t="s">
        <v>13518</v>
      </c>
      <c r="J1643" s="1" t="s">
        <v>5161</v>
      </c>
      <c r="K1643" s="1">
        <v>4</v>
      </c>
      <c r="L1643" s="1" t="s">
        <v>4342</v>
      </c>
      <c r="M1643" s="1">
        <v>5</v>
      </c>
      <c r="N1643" s="1" t="s">
        <v>4342</v>
      </c>
    </row>
    <row r="1644" spans="1:14" x14ac:dyDescent="0.15">
      <c r="A1644" s="1">
        <v>220</v>
      </c>
      <c r="B1644" s="1" t="s">
        <v>2886</v>
      </c>
      <c r="C1644" s="1" t="s">
        <v>2984</v>
      </c>
      <c r="D1644" s="1" t="s">
        <v>2985</v>
      </c>
      <c r="E1644" s="1" t="s">
        <v>2984</v>
      </c>
      <c r="F1644" s="1" t="s">
        <v>2985</v>
      </c>
      <c r="G1644" s="1" t="s">
        <v>2986</v>
      </c>
      <c r="H1644" s="1" t="s">
        <v>2985</v>
      </c>
      <c r="I1644" s="1" t="s">
        <v>13522</v>
      </c>
      <c r="J1644" s="1" t="s">
        <v>5162</v>
      </c>
      <c r="K1644" s="1">
        <v>4</v>
      </c>
      <c r="L1644" s="1" t="s">
        <v>4342</v>
      </c>
      <c r="M1644" s="1">
        <v>5</v>
      </c>
      <c r="N1644" s="1" t="s">
        <v>4342</v>
      </c>
    </row>
    <row r="1645" spans="1:14" x14ac:dyDescent="0.15">
      <c r="A1645" s="1">
        <v>220</v>
      </c>
      <c r="B1645" s="1" t="s">
        <v>2886</v>
      </c>
      <c r="C1645" s="1" t="s">
        <v>2984</v>
      </c>
      <c r="D1645" s="1" t="s">
        <v>2985</v>
      </c>
      <c r="E1645" s="1" t="s">
        <v>2984</v>
      </c>
      <c r="F1645" s="1" t="s">
        <v>2985</v>
      </c>
      <c r="G1645" s="1" t="s">
        <v>2986</v>
      </c>
      <c r="H1645" s="1" t="s">
        <v>2985</v>
      </c>
      <c r="I1645" s="1" t="s">
        <v>13526</v>
      </c>
      <c r="J1645" s="1" t="s">
        <v>2787</v>
      </c>
      <c r="K1645" s="1">
        <v>4</v>
      </c>
      <c r="L1645" s="1" t="s">
        <v>4342</v>
      </c>
      <c r="M1645" s="1">
        <v>5</v>
      </c>
      <c r="N1645" s="1" t="s">
        <v>4342</v>
      </c>
    </row>
    <row r="1646" spans="1:14" x14ac:dyDescent="0.15">
      <c r="A1646" s="1">
        <v>220</v>
      </c>
      <c r="B1646" s="1" t="s">
        <v>2886</v>
      </c>
      <c r="C1646" s="1" t="s">
        <v>2984</v>
      </c>
      <c r="D1646" s="1" t="s">
        <v>2985</v>
      </c>
      <c r="E1646" s="1" t="s">
        <v>2984</v>
      </c>
      <c r="F1646" s="1" t="s">
        <v>2985</v>
      </c>
      <c r="G1646" s="1" t="s">
        <v>2986</v>
      </c>
      <c r="H1646" s="1" t="s">
        <v>2985</v>
      </c>
      <c r="I1646" s="1" t="s">
        <v>13530</v>
      </c>
      <c r="J1646" s="1" t="s">
        <v>3008</v>
      </c>
      <c r="K1646" s="1">
        <v>4</v>
      </c>
      <c r="L1646" s="1" t="s">
        <v>4342</v>
      </c>
      <c r="M1646" s="1">
        <v>5</v>
      </c>
      <c r="N1646" s="1" t="s">
        <v>4342</v>
      </c>
    </row>
    <row r="1647" spans="1:14" x14ac:dyDescent="0.15">
      <c r="A1647" s="1">
        <v>220</v>
      </c>
      <c r="B1647" s="1" t="s">
        <v>2886</v>
      </c>
      <c r="C1647" s="1" t="s">
        <v>2984</v>
      </c>
      <c r="D1647" s="1" t="s">
        <v>2985</v>
      </c>
      <c r="E1647" s="1" t="s">
        <v>2984</v>
      </c>
      <c r="F1647" s="1" t="s">
        <v>2985</v>
      </c>
      <c r="G1647" s="1" t="s">
        <v>2986</v>
      </c>
      <c r="H1647" s="1" t="s">
        <v>2985</v>
      </c>
      <c r="I1647" s="1" t="s">
        <v>13538</v>
      </c>
      <c r="J1647" s="1" t="s">
        <v>5166</v>
      </c>
      <c r="K1647" s="1">
        <v>4</v>
      </c>
      <c r="L1647" s="1" t="s">
        <v>4342</v>
      </c>
      <c r="M1647" s="1">
        <v>5</v>
      </c>
      <c r="N1647" s="1" t="s">
        <v>4342</v>
      </c>
    </row>
    <row r="1648" spans="1:14" x14ac:dyDescent="0.15">
      <c r="A1648" s="1">
        <v>220</v>
      </c>
      <c r="B1648" s="1" t="s">
        <v>2886</v>
      </c>
      <c r="C1648" s="1" t="s">
        <v>2984</v>
      </c>
      <c r="D1648" s="1" t="s">
        <v>2985</v>
      </c>
      <c r="E1648" s="1" t="s">
        <v>2984</v>
      </c>
      <c r="F1648" s="1" t="s">
        <v>2985</v>
      </c>
      <c r="G1648" s="1" t="s">
        <v>2986</v>
      </c>
      <c r="H1648" s="1" t="s">
        <v>2985</v>
      </c>
      <c r="I1648" s="1" t="s">
        <v>13545</v>
      </c>
      <c r="J1648" s="1" t="s">
        <v>5171</v>
      </c>
      <c r="K1648" s="1">
        <v>4</v>
      </c>
      <c r="L1648" s="1" t="s">
        <v>4342</v>
      </c>
      <c r="M1648" s="1">
        <v>5</v>
      </c>
      <c r="N1648" s="1" t="s">
        <v>4342</v>
      </c>
    </row>
    <row r="1649" spans="1:14" x14ac:dyDescent="0.15">
      <c r="A1649" s="1">
        <v>220</v>
      </c>
      <c r="B1649" s="1" t="s">
        <v>2886</v>
      </c>
      <c r="C1649" s="1" t="s">
        <v>2984</v>
      </c>
      <c r="D1649" s="1" t="s">
        <v>2985</v>
      </c>
      <c r="E1649" s="1" t="s">
        <v>2984</v>
      </c>
      <c r="F1649" s="1" t="s">
        <v>2985</v>
      </c>
      <c r="G1649" s="1" t="s">
        <v>2986</v>
      </c>
      <c r="H1649" s="1" t="s">
        <v>2985</v>
      </c>
      <c r="I1649" s="1" t="s">
        <v>14200</v>
      </c>
      <c r="J1649" s="1" t="s">
        <v>4980</v>
      </c>
      <c r="K1649" s="1">
        <v>4</v>
      </c>
      <c r="L1649" s="1" t="s">
        <v>4342</v>
      </c>
      <c r="M1649" s="1">
        <v>5</v>
      </c>
      <c r="N1649" s="1" t="s">
        <v>4342</v>
      </c>
    </row>
    <row r="1650" spans="1:14" x14ac:dyDescent="0.15">
      <c r="A1650" s="1">
        <v>220</v>
      </c>
      <c r="B1650" s="1" t="s">
        <v>2886</v>
      </c>
      <c r="C1650" s="1" t="s">
        <v>2984</v>
      </c>
      <c r="D1650" s="1" t="s">
        <v>2985</v>
      </c>
      <c r="E1650" s="1" t="s">
        <v>2984</v>
      </c>
      <c r="F1650" s="1" t="s">
        <v>2985</v>
      </c>
      <c r="G1650" s="1" t="s">
        <v>2986</v>
      </c>
      <c r="H1650" s="1" t="s">
        <v>2985</v>
      </c>
      <c r="I1650" s="1" t="s">
        <v>7812</v>
      </c>
      <c r="J1650" s="1" t="s">
        <v>5131</v>
      </c>
      <c r="K1650" s="1">
        <v>4</v>
      </c>
      <c r="L1650" s="1" t="s">
        <v>4342</v>
      </c>
      <c r="M1650" s="1">
        <v>5</v>
      </c>
      <c r="N1650" s="1" t="s">
        <v>4342</v>
      </c>
    </row>
    <row r="1651" spans="1:14" x14ac:dyDescent="0.15">
      <c r="A1651" s="1">
        <v>220</v>
      </c>
      <c r="B1651" s="1" t="s">
        <v>2886</v>
      </c>
      <c r="C1651" s="1" t="s">
        <v>2984</v>
      </c>
      <c r="D1651" s="1" t="s">
        <v>2985</v>
      </c>
      <c r="E1651" s="1" t="s">
        <v>2984</v>
      </c>
      <c r="F1651" s="1" t="s">
        <v>2985</v>
      </c>
      <c r="G1651" s="1" t="s">
        <v>2986</v>
      </c>
      <c r="H1651" s="1" t="s">
        <v>2985</v>
      </c>
      <c r="I1651" s="1" t="s">
        <v>7793</v>
      </c>
      <c r="J1651" s="1" t="s">
        <v>6840</v>
      </c>
      <c r="K1651" s="1">
        <v>4</v>
      </c>
      <c r="L1651" s="1" t="s">
        <v>4342</v>
      </c>
      <c r="M1651" s="1">
        <v>5</v>
      </c>
      <c r="N1651" s="1" t="s">
        <v>4342</v>
      </c>
    </row>
    <row r="1652" spans="1:14" x14ac:dyDescent="0.15">
      <c r="A1652" s="1">
        <v>220</v>
      </c>
      <c r="B1652" s="1" t="s">
        <v>2886</v>
      </c>
      <c r="C1652" s="1" t="s">
        <v>2984</v>
      </c>
      <c r="D1652" s="1" t="s">
        <v>2985</v>
      </c>
      <c r="E1652" s="1" t="s">
        <v>2984</v>
      </c>
      <c r="F1652" s="1" t="s">
        <v>2985</v>
      </c>
      <c r="G1652" s="1" t="s">
        <v>2986</v>
      </c>
      <c r="H1652" s="1" t="s">
        <v>2985</v>
      </c>
      <c r="I1652" s="1" t="s">
        <v>7796</v>
      </c>
      <c r="J1652" s="1" t="s">
        <v>3009</v>
      </c>
      <c r="K1652" s="1">
        <v>4</v>
      </c>
      <c r="L1652" s="1" t="s">
        <v>4342</v>
      </c>
      <c r="M1652" s="1">
        <v>5</v>
      </c>
      <c r="N1652" s="1" t="s">
        <v>4342</v>
      </c>
    </row>
    <row r="1653" spans="1:14" x14ac:dyDescent="0.15">
      <c r="A1653" s="1">
        <v>220</v>
      </c>
      <c r="B1653" s="1" t="s">
        <v>2886</v>
      </c>
      <c r="C1653" s="1" t="s">
        <v>2984</v>
      </c>
      <c r="D1653" s="1" t="s">
        <v>2985</v>
      </c>
      <c r="E1653" s="1" t="s">
        <v>2984</v>
      </c>
      <c r="F1653" s="1" t="s">
        <v>2985</v>
      </c>
      <c r="G1653" s="1" t="s">
        <v>2986</v>
      </c>
      <c r="H1653" s="1" t="s">
        <v>2985</v>
      </c>
      <c r="I1653" s="1" t="s">
        <v>7796</v>
      </c>
      <c r="J1653" s="1" t="s">
        <v>3010</v>
      </c>
      <c r="K1653" s="1">
        <v>4</v>
      </c>
      <c r="L1653" s="1" t="s">
        <v>4342</v>
      </c>
      <c r="M1653" s="1">
        <v>5</v>
      </c>
      <c r="N1653" s="1" t="s">
        <v>4342</v>
      </c>
    </row>
    <row r="1654" spans="1:14" x14ac:dyDescent="0.15">
      <c r="A1654" s="1">
        <v>220</v>
      </c>
      <c r="B1654" s="1" t="s">
        <v>2886</v>
      </c>
      <c r="C1654" s="1" t="s">
        <v>3011</v>
      </c>
      <c r="D1654" s="1" t="s">
        <v>3012</v>
      </c>
      <c r="E1654" s="1" t="s">
        <v>3011</v>
      </c>
      <c r="F1654" s="1" t="s">
        <v>3012</v>
      </c>
      <c r="G1654" s="1" t="s">
        <v>3013</v>
      </c>
      <c r="H1654" s="1" t="s">
        <v>3012</v>
      </c>
      <c r="I1654" s="1" t="s">
        <v>8071</v>
      </c>
      <c r="J1654" s="1" t="s">
        <v>3004</v>
      </c>
      <c r="K1654" s="1">
        <v>4</v>
      </c>
      <c r="L1654" s="1" t="s">
        <v>4342</v>
      </c>
      <c r="M1654" s="1">
        <v>5</v>
      </c>
      <c r="N1654" s="1" t="s">
        <v>4342</v>
      </c>
    </row>
    <row r="1655" spans="1:14" x14ac:dyDescent="0.15">
      <c r="A1655" s="1">
        <v>220</v>
      </c>
      <c r="B1655" s="1" t="s">
        <v>2886</v>
      </c>
      <c r="C1655" s="1" t="s">
        <v>3011</v>
      </c>
      <c r="D1655" s="1" t="s">
        <v>3012</v>
      </c>
      <c r="E1655" s="1" t="s">
        <v>3011</v>
      </c>
      <c r="F1655" s="1" t="s">
        <v>3012</v>
      </c>
      <c r="G1655" s="1" t="s">
        <v>3013</v>
      </c>
      <c r="H1655" s="1" t="s">
        <v>3012</v>
      </c>
      <c r="I1655" s="1" t="s">
        <v>13320</v>
      </c>
      <c r="J1655" s="1" t="s">
        <v>5100</v>
      </c>
      <c r="K1655" s="1">
        <v>4</v>
      </c>
      <c r="L1655" s="1" t="s">
        <v>4342</v>
      </c>
      <c r="M1655" s="1">
        <v>5</v>
      </c>
      <c r="N1655" s="1" t="s">
        <v>4342</v>
      </c>
    </row>
    <row r="1656" spans="1:14" x14ac:dyDescent="0.15">
      <c r="A1656" s="1">
        <v>220</v>
      </c>
      <c r="B1656" s="1" t="s">
        <v>2886</v>
      </c>
      <c r="C1656" s="1" t="s">
        <v>3011</v>
      </c>
      <c r="D1656" s="1" t="s">
        <v>3012</v>
      </c>
      <c r="E1656" s="1" t="s">
        <v>3011</v>
      </c>
      <c r="F1656" s="1" t="s">
        <v>3012</v>
      </c>
      <c r="G1656" s="1" t="s">
        <v>3013</v>
      </c>
      <c r="H1656" s="1" t="s">
        <v>3012</v>
      </c>
      <c r="I1656" s="1" t="s">
        <v>13328</v>
      </c>
      <c r="J1656" s="1" t="s">
        <v>5101</v>
      </c>
      <c r="K1656" s="1">
        <v>4</v>
      </c>
      <c r="L1656" s="1" t="s">
        <v>4342</v>
      </c>
      <c r="M1656" s="1">
        <v>5</v>
      </c>
      <c r="N1656" s="1" t="s">
        <v>4342</v>
      </c>
    </row>
    <row r="1657" spans="1:14" x14ac:dyDescent="0.15">
      <c r="A1657" s="1">
        <v>220</v>
      </c>
      <c r="B1657" s="1" t="s">
        <v>2886</v>
      </c>
      <c r="C1657" s="1" t="s">
        <v>3011</v>
      </c>
      <c r="D1657" s="1" t="s">
        <v>3012</v>
      </c>
      <c r="E1657" s="1" t="s">
        <v>3011</v>
      </c>
      <c r="F1657" s="1" t="s">
        <v>3012</v>
      </c>
      <c r="G1657" s="1" t="s">
        <v>3013</v>
      </c>
      <c r="H1657" s="1" t="s">
        <v>3012</v>
      </c>
      <c r="I1657" s="1" t="s">
        <v>13332</v>
      </c>
      <c r="J1657" s="1" t="s">
        <v>5102</v>
      </c>
      <c r="K1657" s="1">
        <v>4</v>
      </c>
      <c r="L1657" s="1" t="s">
        <v>4342</v>
      </c>
      <c r="M1657" s="1">
        <v>5</v>
      </c>
      <c r="N1657" s="1" t="s">
        <v>4342</v>
      </c>
    </row>
    <row r="1658" spans="1:14" x14ac:dyDescent="0.15">
      <c r="A1658" s="1">
        <v>220</v>
      </c>
      <c r="B1658" s="1" t="s">
        <v>2886</v>
      </c>
      <c r="C1658" s="1" t="s">
        <v>3011</v>
      </c>
      <c r="D1658" s="1" t="s">
        <v>3012</v>
      </c>
      <c r="E1658" s="1" t="s">
        <v>3011</v>
      </c>
      <c r="F1658" s="1" t="s">
        <v>3012</v>
      </c>
      <c r="G1658" s="1" t="s">
        <v>3013</v>
      </c>
      <c r="H1658" s="1" t="s">
        <v>3012</v>
      </c>
      <c r="I1658" s="1" t="s">
        <v>13336</v>
      </c>
      <c r="J1658" s="1" t="s">
        <v>5104</v>
      </c>
      <c r="K1658" s="1">
        <v>4</v>
      </c>
      <c r="L1658" s="1" t="s">
        <v>4342</v>
      </c>
      <c r="M1658" s="1">
        <v>5</v>
      </c>
      <c r="N1658" s="1" t="s">
        <v>4342</v>
      </c>
    </row>
    <row r="1659" spans="1:14" x14ac:dyDescent="0.15">
      <c r="A1659" s="1">
        <v>220</v>
      </c>
      <c r="B1659" s="1" t="s">
        <v>2886</v>
      </c>
      <c r="C1659" s="1" t="s">
        <v>3011</v>
      </c>
      <c r="D1659" s="1" t="s">
        <v>3012</v>
      </c>
      <c r="E1659" s="1" t="s">
        <v>3011</v>
      </c>
      <c r="F1659" s="1" t="s">
        <v>3012</v>
      </c>
      <c r="G1659" s="1" t="s">
        <v>3013</v>
      </c>
      <c r="H1659" s="1" t="s">
        <v>3012</v>
      </c>
      <c r="I1659" s="1" t="s">
        <v>13340</v>
      </c>
      <c r="J1659" s="1" t="s">
        <v>3014</v>
      </c>
      <c r="K1659" s="1">
        <v>4</v>
      </c>
      <c r="L1659" s="1" t="s">
        <v>4342</v>
      </c>
      <c r="M1659" s="1">
        <v>5</v>
      </c>
      <c r="N1659" s="1" t="s">
        <v>4342</v>
      </c>
    </row>
    <row r="1660" spans="1:14" x14ac:dyDescent="0.15">
      <c r="A1660" s="1">
        <v>220</v>
      </c>
      <c r="B1660" s="1" t="s">
        <v>2886</v>
      </c>
      <c r="C1660" s="1" t="s">
        <v>3011</v>
      </c>
      <c r="D1660" s="1" t="s">
        <v>3012</v>
      </c>
      <c r="E1660" s="1" t="s">
        <v>3011</v>
      </c>
      <c r="F1660" s="1" t="s">
        <v>3012</v>
      </c>
      <c r="G1660" s="1" t="s">
        <v>3013</v>
      </c>
      <c r="H1660" s="1" t="s">
        <v>3012</v>
      </c>
      <c r="I1660" s="1" t="s">
        <v>13344</v>
      </c>
      <c r="J1660" s="1" t="s">
        <v>5106</v>
      </c>
      <c r="K1660" s="1">
        <v>4</v>
      </c>
      <c r="L1660" s="1" t="s">
        <v>4342</v>
      </c>
      <c r="M1660" s="1">
        <v>5</v>
      </c>
      <c r="N1660" s="1" t="s">
        <v>4342</v>
      </c>
    </row>
    <row r="1661" spans="1:14" x14ac:dyDescent="0.15">
      <c r="A1661" s="1">
        <v>220</v>
      </c>
      <c r="B1661" s="1" t="s">
        <v>2886</v>
      </c>
      <c r="C1661" s="1" t="s">
        <v>3011</v>
      </c>
      <c r="D1661" s="1" t="s">
        <v>3012</v>
      </c>
      <c r="E1661" s="1" t="s">
        <v>3011</v>
      </c>
      <c r="F1661" s="1" t="s">
        <v>3012</v>
      </c>
      <c r="G1661" s="1" t="s">
        <v>3013</v>
      </c>
      <c r="H1661" s="1" t="s">
        <v>3012</v>
      </c>
      <c r="I1661" s="1" t="s">
        <v>13348</v>
      </c>
      <c r="J1661" s="1" t="s">
        <v>5108</v>
      </c>
      <c r="K1661" s="1">
        <v>4</v>
      </c>
      <c r="L1661" s="1" t="s">
        <v>4342</v>
      </c>
      <c r="M1661" s="1">
        <v>5</v>
      </c>
      <c r="N1661" s="1" t="s">
        <v>4342</v>
      </c>
    </row>
    <row r="1662" spans="1:14" x14ac:dyDescent="0.15">
      <c r="A1662" s="1">
        <v>220</v>
      </c>
      <c r="B1662" s="1" t="s">
        <v>2886</v>
      </c>
      <c r="C1662" s="1" t="s">
        <v>3011</v>
      </c>
      <c r="D1662" s="1" t="s">
        <v>3012</v>
      </c>
      <c r="E1662" s="1" t="s">
        <v>3011</v>
      </c>
      <c r="F1662" s="1" t="s">
        <v>3012</v>
      </c>
      <c r="G1662" s="1" t="s">
        <v>3013</v>
      </c>
      <c r="H1662" s="1" t="s">
        <v>3012</v>
      </c>
      <c r="I1662" s="1" t="s">
        <v>13352</v>
      </c>
      <c r="J1662" s="1" t="s">
        <v>5109</v>
      </c>
      <c r="K1662" s="1">
        <v>4</v>
      </c>
      <c r="L1662" s="1" t="s">
        <v>4342</v>
      </c>
      <c r="M1662" s="1">
        <v>5</v>
      </c>
      <c r="N1662" s="1" t="s">
        <v>4342</v>
      </c>
    </row>
    <row r="1663" spans="1:14" x14ac:dyDescent="0.15">
      <c r="A1663" s="1">
        <v>220</v>
      </c>
      <c r="B1663" s="1" t="s">
        <v>2886</v>
      </c>
      <c r="C1663" s="1" t="s">
        <v>3011</v>
      </c>
      <c r="D1663" s="1" t="s">
        <v>3012</v>
      </c>
      <c r="E1663" s="1" t="s">
        <v>3011</v>
      </c>
      <c r="F1663" s="1" t="s">
        <v>3012</v>
      </c>
      <c r="G1663" s="1" t="s">
        <v>3013</v>
      </c>
      <c r="H1663" s="1" t="s">
        <v>3012</v>
      </c>
      <c r="I1663" s="1" t="s">
        <v>13356</v>
      </c>
      <c r="J1663" s="1" t="s">
        <v>5112</v>
      </c>
      <c r="K1663" s="1">
        <v>4</v>
      </c>
      <c r="L1663" s="1" t="s">
        <v>4342</v>
      </c>
      <c r="M1663" s="1">
        <v>5</v>
      </c>
      <c r="N1663" s="1" t="s">
        <v>4342</v>
      </c>
    </row>
    <row r="1664" spans="1:14" x14ac:dyDescent="0.15">
      <c r="A1664" s="1">
        <v>220</v>
      </c>
      <c r="B1664" s="1" t="s">
        <v>2886</v>
      </c>
      <c r="C1664" s="1" t="s">
        <v>3011</v>
      </c>
      <c r="D1664" s="1" t="s">
        <v>3012</v>
      </c>
      <c r="E1664" s="1" t="s">
        <v>3011</v>
      </c>
      <c r="F1664" s="1" t="s">
        <v>3012</v>
      </c>
      <c r="G1664" s="1" t="s">
        <v>3013</v>
      </c>
      <c r="H1664" s="1" t="s">
        <v>3012</v>
      </c>
      <c r="I1664" s="1" t="s">
        <v>13360</v>
      </c>
      <c r="J1664" s="1" t="s">
        <v>5111</v>
      </c>
      <c r="K1664" s="1">
        <v>4</v>
      </c>
      <c r="L1664" s="1" t="s">
        <v>4342</v>
      </c>
      <c r="M1664" s="1">
        <v>5</v>
      </c>
      <c r="N1664" s="1" t="s">
        <v>4342</v>
      </c>
    </row>
    <row r="1665" spans="1:14" x14ac:dyDescent="0.15">
      <c r="A1665" s="1">
        <v>220</v>
      </c>
      <c r="B1665" s="1" t="s">
        <v>2886</v>
      </c>
      <c r="C1665" s="1" t="s">
        <v>3011</v>
      </c>
      <c r="D1665" s="1" t="s">
        <v>3012</v>
      </c>
      <c r="E1665" s="1" t="s">
        <v>3011</v>
      </c>
      <c r="F1665" s="1" t="s">
        <v>3012</v>
      </c>
      <c r="G1665" s="1" t="s">
        <v>3013</v>
      </c>
      <c r="H1665" s="1" t="s">
        <v>3012</v>
      </c>
      <c r="I1665" s="1" t="s">
        <v>13364</v>
      </c>
      <c r="J1665" s="1" t="s">
        <v>3015</v>
      </c>
      <c r="K1665" s="1">
        <v>4</v>
      </c>
      <c r="L1665" s="1" t="s">
        <v>4342</v>
      </c>
      <c r="M1665" s="1">
        <v>5</v>
      </c>
      <c r="N1665" s="1" t="s">
        <v>4342</v>
      </c>
    </row>
    <row r="1666" spans="1:14" x14ac:dyDescent="0.15">
      <c r="A1666" s="1">
        <v>220</v>
      </c>
      <c r="B1666" s="1" t="s">
        <v>2886</v>
      </c>
      <c r="C1666" s="1" t="s">
        <v>3011</v>
      </c>
      <c r="D1666" s="1" t="s">
        <v>3012</v>
      </c>
      <c r="E1666" s="1" t="s">
        <v>3011</v>
      </c>
      <c r="F1666" s="1" t="s">
        <v>3012</v>
      </c>
      <c r="G1666" s="1" t="s">
        <v>3013</v>
      </c>
      <c r="H1666" s="1" t="s">
        <v>3012</v>
      </c>
      <c r="I1666" s="1" t="s">
        <v>8163</v>
      </c>
      <c r="J1666" s="1" t="s">
        <v>3016</v>
      </c>
      <c r="K1666" s="1">
        <v>4</v>
      </c>
      <c r="L1666" s="1" t="s">
        <v>4342</v>
      </c>
      <c r="M1666" s="1">
        <v>5</v>
      </c>
      <c r="N1666" s="1" t="s">
        <v>4342</v>
      </c>
    </row>
    <row r="1667" spans="1:14" x14ac:dyDescent="0.15">
      <c r="A1667" s="1">
        <v>220</v>
      </c>
      <c r="B1667" s="1" t="s">
        <v>2886</v>
      </c>
      <c r="C1667" s="1" t="s">
        <v>3011</v>
      </c>
      <c r="D1667" s="1" t="s">
        <v>3012</v>
      </c>
      <c r="E1667" s="1" t="s">
        <v>3011</v>
      </c>
      <c r="F1667" s="1" t="s">
        <v>3012</v>
      </c>
      <c r="G1667" s="1" t="s">
        <v>3013</v>
      </c>
      <c r="H1667" s="1" t="s">
        <v>3012</v>
      </c>
      <c r="I1667" s="1" t="s">
        <v>13380</v>
      </c>
      <c r="J1667" s="1" t="s">
        <v>13381</v>
      </c>
      <c r="K1667" s="1">
        <v>4</v>
      </c>
      <c r="L1667" s="1" t="s">
        <v>4342</v>
      </c>
      <c r="M1667" s="1">
        <v>5</v>
      </c>
      <c r="N1667" s="1" t="s">
        <v>4342</v>
      </c>
    </row>
    <row r="1668" spans="1:14" x14ac:dyDescent="0.15">
      <c r="A1668" s="1">
        <v>220</v>
      </c>
      <c r="B1668" s="1" t="s">
        <v>2886</v>
      </c>
      <c r="C1668" s="1" t="s">
        <v>3017</v>
      </c>
      <c r="D1668" s="1" t="s">
        <v>3018</v>
      </c>
      <c r="E1668" s="1" t="s">
        <v>3017</v>
      </c>
      <c r="F1668" s="1" t="s">
        <v>3018</v>
      </c>
      <c r="G1668" s="1" t="s">
        <v>3019</v>
      </c>
      <c r="H1668" s="1" t="s">
        <v>3018</v>
      </c>
      <c r="I1668" s="1" t="s">
        <v>16921</v>
      </c>
      <c r="J1668" s="1" t="s">
        <v>16918</v>
      </c>
      <c r="K1668" s="1">
        <v>4</v>
      </c>
      <c r="L1668" s="1" t="s">
        <v>4342</v>
      </c>
      <c r="M1668" s="1">
        <v>5</v>
      </c>
      <c r="N1668" s="1" t="s">
        <v>4342</v>
      </c>
    </row>
    <row r="1669" spans="1:14" x14ac:dyDescent="0.15">
      <c r="A1669" s="1">
        <v>220</v>
      </c>
      <c r="B1669" s="1" t="s">
        <v>2886</v>
      </c>
      <c r="C1669" s="1" t="s">
        <v>3017</v>
      </c>
      <c r="D1669" s="1" t="s">
        <v>3018</v>
      </c>
      <c r="E1669" s="1" t="s">
        <v>3017</v>
      </c>
      <c r="F1669" s="1" t="s">
        <v>3018</v>
      </c>
      <c r="G1669" s="1" t="s">
        <v>3019</v>
      </c>
      <c r="H1669" s="1" t="s">
        <v>3018</v>
      </c>
      <c r="I1669" s="1" t="s">
        <v>16527</v>
      </c>
      <c r="J1669" s="1" t="s">
        <v>6939</v>
      </c>
      <c r="K1669" s="1">
        <v>4</v>
      </c>
      <c r="L1669" s="1" t="s">
        <v>4342</v>
      </c>
      <c r="M1669" s="1">
        <v>5</v>
      </c>
      <c r="N1669" s="1" t="s">
        <v>4342</v>
      </c>
    </row>
    <row r="1670" spans="1:14" x14ac:dyDescent="0.15">
      <c r="A1670" s="1">
        <v>220</v>
      </c>
      <c r="B1670" s="1" t="s">
        <v>2886</v>
      </c>
      <c r="C1670" s="1" t="s">
        <v>3017</v>
      </c>
      <c r="D1670" s="1" t="s">
        <v>3018</v>
      </c>
      <c r="E1670" s="1" t="s">
        <v>3017</v>
      </c>
      <c r="F1670" s="1" t="s">
        <v>3018</v>
      </c>
      <c r="G1670" s="1" t="s">
        <v>3019</v>
      </c>
      <c r="H1670" s="1" t="s">
        <v>3018</v>
      </c>
      <c r="I1670" s="1" t="s">
        <v>16531</v>
      </c>
      <c r="J1670" s="1" t="s">
        <v>16532</v>
      </c>
      <c r="K1670" s="1">
        <v>4</v>
      </c>
      <c r="L1670" s="1" t="s">
        <v>4342</v>
      </c>
      <c r="M1670" s="1">
        <v>5</v>
      </c>
      <c r="N1670" s="1" t="s">
        <v>4342</v>
      </c>
    </row>
    <row r="1671" spans="1:14" x14ac:dyDescent="0.15">
      <c r="A1671" s="1">
        <v>220</v>
      </c>
      <c r="B1671" s="1" t="s">
        <v>2886</v>
      </c>
      <c r="C1671" s="1" t="s">
        <v>3017</v>
      </c>
      <c r="D1671" s="1" t="s">
        <v>3018</v>
      </c>
      <c r="E1671" s="1" t="s">
        <v>3017</v>
      </c>
      <c r="F1671" s="1" t="s">
        <v>3018</v>
      </c>
      <c r="G1671" s="1" t="s">
        <v>3019</v>
      </c>
      <c r="H1671" s="1" t="s">
        <v>3018</v>
      </c>
      <c r="I1671" s="1" t="s">
        <v>16535</v>
      </c>
      <c r="J1671" s="1" t="s">
        <v>6828</v>
      </c>
      <c r="K1671" s="1">
        <v>4</v>
      </c>
      <c r="L1671" s="1" t="s">
        <v>4342</v>
      </c>
      <c r="M1671" s="1">
        <v>5</v>
      </c>
      <c r="N1671" s="1" t="s">
        <v>4342</v>
      </c>
    </row>
    <row r="1672" spans="1:14" x14ac:dyDescent="0.15">
      <c r="A1672" s="1">
        <v>220</v>
      </c>
      <c r="B1672" s="1" t="s">
        <v>2886</v>
      </c>
      <c r="C1672" s="1" t="s">
        <v>3017</v>
      </c>
      <c r="D1672" s="1" t="s">
        <v>3018</v>
      </c>
      <c r="E1672" s="1" t="s">
        <v>3017</v>
      </c>
      <c r="F1672" s="1" t="s">
        <v>3018</v>
      </c>
      <c r="G1672" s="1" t="s">
        <v>3019</v>
      </c>
      <c r="H1672" s="1" t="s">
        <v>3018</v>
      </c>
      <c r="I1672" s="1" t="s">
        <v>16539</v>
      </c>
      <c r="J1672" s="1" t="s">
        <v>16540</v>
      </c>
      <c r="K1672" s="1">
        <v>4</v>
      </c>
      <c r="L1672" s="1" t="s">
        <v>4342</v>
      </c>
      <c r="M1672" s="1">
        <v>5</v>
      </c>
      <c r="N1672" s="1" t="s">
        <v>4342</v>
      </c>
    </row>
    <row r="1673" spans="1:14" x14ac:dyDescent="0.15">
      <c r="A1673" s="1">
        <v>220</v>
      </c>
      <c r="B1673" s="1" t="s">
        <v>2886</v>
      </c>
      <c r="C1673" s="1" t="s">
        <v>3017</v>
      </c>
      <c r="D1673" s="1" t="s">
        <v>3018</v>
      </c>
      <c r="E1673" s="1" t="s">
        <v>3017</v>
      </c>
      <c r="F1673" s="1" t="s">
        <v>3018</v>
      </c>
      <c r="G1673" s="1" t="s">
        <v>3019</v>
      </c>
      <c r="H1673" s="1" t="s">
        <v>3018</v>
      </c>
      <c r="I1673" s="1" t="s">
        <v>16543</v>
      </c>
      <c r="J1673" s="1" t="s">
        <v>6698</v>
      </c>
      <c r="K1673" s="1">
        <v>4</v>
      </c>
      <c r="L1673" s="1" t="s">
        <v>4342</v>
      </c>
      <c r="M1673" s="1">
        <v>5</v>
      </c>
      <c r="N1673" s="1" t="s">
        <v>4342</v>
      </c>
    </row>
    <row r="1674" spans="1:14" x14ac:dyDescent="0.15">
      <c r="A1674" s="1">
        <v>220</v>
      </c>
      <c r="B1674" s="1" t="s">
        <v>2886</v>
      </c>
      <c r="C1674" s="1" t="s">
        <v>3017</v>
      </c>
      <c r="D1674" s="1" t="s">
        <v>3018</v>
      </c>
      <c r="E1674" s="1" t="s">
        <v>3017</v>
      </c>
      <c r="F1674" s="1" t="s">
        <v>3018</v>
      </c>
      <c r="G1674" s="1" t="s">
        <v>3019</v>
      </c>
      <c r="H1674" s="1" t="s">
        <v>3018</v>
      </c>
      <c r="I1674" s="1" t="s">
        <v>16547</v>
      </c>
      <c r="J1674" s="1" t="s">
        <v>6805</v>
      </c>
      <c r="K1674" s="1">
        <v>4</v>
      </c>
      <c r="L1674" s="1" t="s">
        <v>4342</v>
      </c>
      <c r="M1674" s="1">
        <v>5</v>
      </c>
      <c r="N1674" s="1" t="s">
        <v>4342</v>
      </c>
    </row>
    <row r="1675" spans="1:14" x14ac:dyDescent="0.15">
      <c r="A1675" s="1">
        <v>220</v>
      </c>
      <c r="B1675" s="1" t="s">
        <v>2886</v>
      </c>
      <c r="C1675" s="1" t="s">
        <v>3017</v>
      </c>
      <c r="D1675" s="1" t="s">
        <v>3018</v>
      </c>
      <c r="E1675" s="1" t="s">
        <v>3017</v>
      </c>
      <c r="F1675" s="1" t="s">
        <v>3018</v>
      </c>
      <c r="G1675" s="1" t="s">
        <v>3019</v>
      </c>
      <c r="H1675" s="1" t="s">
        <v>3018</v>
      </c>
      <c r="I1675" s="1" t="s">
        <v>16551</v>
      </c>
      <c r="J1675" s="1" t="s">
        <v>16552</v>
      </c>
      <c r="K1675" s="1">
        <v>4</v>
      </c>
      <c r="L1675" s="1" t="s">
        <v>4342</v>
      </c>
      <c r="M1675" s="1">
        <v>5</v>
      </c>
      <c r="N1675" s="1" t="s">
        <v>4342</v>
      </c>
    </row>
    <row r="1676" spans="1:14" x14ac:dyDescent="0.15">
      <c r="A1676" s="1">
        <v>220</v>
      </c>
      <c r="B1676" s="1" t="s">
        <v>2886</v>
      </c>
      <c r="C1676" s="1" t="s">
        <v>3017</v>
      </c>
      <c r="D1676" s="1" t="s">
        <v>3018</v>
      </c>
      <c r="E1676" s="1" t="s">
        <v>3017</v>
      </c>
      <c r="F1676" s="1" t="s">
        <v>3018</v>
      </c>
      <c r="G1676" s="1" t="s">
        <v>3019</v>
      </c>
      <c r="H1676" s="1" t="s">
        <v>3018</v>
      </c>
      <c r="I1676" s="1" t="s">
        <v>16555</v>
      </c>
      <c r="J1676" s="1" t="s">
        <v>3020</v>
      </c>
      <c r="K1676" s="1">
        <v>4</v>
      </c>
      <c r="L1676" s="1" t="s">
        <v>4342</v>
      </c>
      <c r="M1676" s="1">
        <v>5</v>
      </c>
      <c r="N1676" s="1" t="s">
        <v>4342</v>
      </c>
    </row>
    <row r="1677" spans="1:14" x14ac:dyDescent="0.15">
      <c r="A1677" s="1">
        <v>220</v>
      </c>
      <c r="B1677" s="1" t="s">
        <v>2886</v>
      </c>
      <c r="C1677" s="1" t="s">
        <v>3017</v>
      </c>
      <c r="D1677" s="1" t="s">
        <v>3018</v>
      </c>
      <c r="E1677" s="1" t="s">
        <v>3017</v>
      </c>
      <c r="F1677" s="1" t="s">
        <v>3018</v>
      </c>
      <c r="G1677" s="1" t="s">
        <v>3019</v>
      </c>
      <c r="H1677" s="1" t="s">
        <v>3018</v>
      </c>
      <c r="I1677" s="1" t="s">
        <v>16559</v>
      </c>
      <c r="J1677" s="1" t="s">
        <v>6942</v>
      </c>
      <c r="K1677" s="1">
        <v>4</v>
      </c>
      <c r="L1677" s="1" t="s">
        <v>4342</v>
      </c>
      <c r="M1677" s="1">
        <v>5</v>
      </c>
      <c r="N1677" s="1" t="s">
        <v>4342</v>
      </c>
    </row>
    <row r="1678" spans="1:14" x14ac:dyDescent="0.15">
      <c r="A1678" s="1">
        <v>220</v>
      </c>
      <c r="B1678" s="1" t="s">
        <v>2886</v>
      </c>
      <c r="C1678" s="1" t="s">
        <v>3017</v>
      </c>
      <c r="D1678" s="1" t="s">
        <v>3018</v>
      </c>
      <c r="E1678" s="1" t="s">
        <v>3017</v>
      </c>
      <c r="F1678" s="1" t="s">
        <v>3018</v>
      </c>
      <c r="G1678" s="1" t="s">
        <v>3019</v>
      </c>
      <c r="H1678" s="1" t="s">
        <v>3018</v>
      </c>
      <c r="I1678" s="1" t="s">
        <v>16563</v>
      </c>
      <c r="J1678" s="1" t="s">
        <v>3021</v>
      </c>
      <c r="K1678" s="1">
        <v>4</v>
      </c>
      <c r="L1678" s="1" t="s">
        <v>4342</v>
      </c>
      <c r="M1678" s="1">
        <v>5</v>
      </c>
      <c r="N1678" s="1" t="s">
        <v>4342</v>
      </c>
    </row>
    <row r="1679" spans="1:14" x14ac:dyDescent="0.15">
      <c r="A1679" s="1">
        <v>220</v>
      </c>
      <c r="B1679" s="1" t="s">
        <v>2886</v>
      </c>
      <c r="C1679" s="1" t="s">
        <v>3017</v>
      </c>
      <c r="D1679" s="1" t="s">
        <v>3018</v>
      </c>
      <c r="E1679" s="1" t="s">
        <v>3017</v>
      </c>
      <c r="F1679" s="1" t="s">
        <v>3018</v>
      </c>
      <c r="G1679" s="1" t="s">
        <v>3019</v>
      </c>
      <c r="H1679" s="1" t="s">
        <v>3018</v>
      </c>
      <c r="I1679" s="1" t="s">
        <v>16567</v>
      </c>
      <c r="J1679" s="1" t="s">
        <v>16568</v>
      </c>
      <c r="K1679" s="1">
        <v>4</v>
      </c>
      <c r="L1679" s="1" t="s">
        <v>4342</v>
      </c>
      <c r="M1679" s="1">
        <v>5</v>
      </c>
      <c r="N1679" s="1" t="s">
        <v>4342</v>
      </c>
    </row>
    <row r="1680" spans="1:14" x14ac:dyDescent="0.15">
      <c r="A1680" s="1">
        <v>220</v>
      </c>
      <c r="B1680" s="1" t="s">
        <v>2886</v>
      </c>
      <c r="C1680" s="1" t="s">
        <v>3017</v>
      </c>
      <c r="D1680" s="1" t="s">
        <v>3018</v>
      </c>
      <c r="E1680" s="1" t="s">
        <v>3017</v>
      </c>
      <c r="F1680" s="1" t="s">
        <v>3018</v>
      </c>
      <c r="G1680" s="1" t="s">
        <v>3019</v>
      </c>
      <c r="H1680" s="1" t="s">
        <v>3018</v>
      </c>
      <c r="I1680" s="1" t="s">
        <v>16571</v>
      </c>
      <c r="J1680" s="1" t="s">
        <v>16572</v>
      </c>
      <c r="K1680" s="1">
        <v>4</v>
      </c>
      <c r="L1680" s="1" t="s">
        <v>4342</v>
      </c>
      <c r="M1680" s="1">
        <v>5</v>
      </c>
      <c r="N1680" s="1" t="s">
        <v>4342</v>
      </c>
    </row>
    <row r="1681" spans="1:14" x14ac:dyDescent="0.15">
      <c r="A1681" s="1">
        <v>220</v>
      </c>
      <c r="B1681" s="1" t="s">
        <v>2886</v>
      </c>
      <c r="C1681" s="1" t="s">
        <v>3017</v>
      </c>
      <c r="D1681" s="1" t="s">
        <v>3018</v>
      </c>
      <c r="E1681" s="1" t="s">
        <v>3017</v>
      </c>
      <c r="F1681" s="1" t="s">
        <v>3018</v>
      </c>
      <c r="G1681" s="1" t="s">
        <v>3019</v>
      </c>
      <c r="H1681" s="1" t="s">
        <v>3018</v>
      </c>
      <c r="I1681" s="1" t="s">
        <v>16575</v>
      </c>
      <c r="J1681" s="1" t="s">
        <v>16576</v>
      </c>
      <c r="K1681" s="1">
        <v>4</v>
      </c>
      <c r="L1681" s="1" t="s">
        <v>4342</v>
      </c>
      <c r="M1681" s="1">
        <v>5</v>
      </c>
      <c r="N1681" s="1" t="s">
        <v>4342</v>
      </c>
    </row>
    <row r="1682" spans="1:14" x14ac:dyDescent="0.15">
      <c r="A1682" s="1">
        <v>220</v>
      </c>
      <c r="B1682" s="1" t="s">
        <v>2886</v>
      </c>
      <c r="C1682" s="1" t="s">
        <v>3017</v>
      </c>
      <c r="D1682" s="1" t="s">
        <v>3018</v>
      </c>
      <c r="E1682" s="1" t="s">
        <v>3017</v>
      </c>
      <c r="F1682" s="1" t="s">
        <v>3018</v>
      </c>
      <c r="G1682" s="1" t="s">
        <v>3019</v>
      </c>
      <c r="H1682" s="1" t="s">
        <v>3018</v>
      </c>
      <c r="I1682" s="1" t="s">
        <v>16579</v>
      </c>
      <c r="J1682" s="1" t="s">
        <v>16580</v>
      </c>
      <c r="K1682" s="1">
        <v>4</v>
      </c>
      <c r="L1682" s="1" t="s">
        <v>4342</v>
      </c>
      <c r="M1682" s="1">
        <v>5</v>
      </c>
      <c r="N1682" s="1" t="s">
        <v>4342</v>
      </c>
    </row>
    <row r="1683" spans="1:14" x14ac:dyDescent="0.15">
      <c r="A1683" s="1">
        <v>220</v>
      </c>
      <c r="B1683" s="1" t="s">
        <v>2886</v>
      </c>
      <c r="C1683" s="1" t="s">
        <v>3017</v>
      </c>
      <c r="D1683" s="1" t="s">
        <v>3018</v>
      </c>
      <c r="E1683" s="1" t="s">
        <v>3017</v>
      </c>
      <c r="F1683" s="1" t="s">
        <v>3018</v>
      </c>
      <c r="G1683" s="1" t="s">
        <v>3019</v>
      </c>
      <c r="H1683" s="1" t="s">
        <v>3018</v>
      </c>
      <c r="I1683" s="1" t="s">
        <v>16583</v>
      </c>
      <c r="J1683" s="1" t="s">
        <v>6946</v>
      </c>
      <c r="K1683" s="1">
        <v>4</v>
      </c>
      <c r="L1683" s="1" t="s">
        <v>4342</v>
      </c>
      <c r="M1683" s="1">
        <v>5</v>
      </c>
      <c r="N1683" s="1" t="s">
        <v>4342</v>
      </c>
    </row>
    <row r="1684" spans="1:14" x14ac:dyDescent="0.15">
      <c r="A1684" s="1">
        <v>220</v>
      </c>
      <c r="B1684" s="1" t="s">
        <v>2886</v>
      </c>
      <c r="C1684" s="1" t="s">
        <v>3017</v>
      </c>
      <c r="D1684" s="1" t="s">
        <v>3018</v>
      </c>
      <c r="E1684" s="1" t="s">
        <v>3017</v>
      </c>
      <c r="F1684" s="1" t="s">
        <v>3018</v>
      </c>
      <c r="G1684" s="1" t="s">
        <v>3019</v>
      </c>
      <c r="H1684" s="1" t="s">
        <v>3018</v>
      </c>
      <c r="I1684" s="1" t="s">
        <v>16587</v>
      </c>
      <c r="J1684" s="1" t="s">
        <v>16588</v>
      </c>
      <c r="K1684" s="1">
        <v>4</v>
      </c>
      <c r="L1684" s="1" t="s">
        <v>4342</v>
      </c>
      <c r="M1684" s="1">
        <v>5</v>
      </c>
      <c r="N1684" s="1" t="s">
        <v>4342</v>
      </c>
    </row>
    <row r="1685" spans="1:14" x14ac:dyDescent="0.15">
      <c r="A1685" s="1">
        <v>220</v>
      </c>
      <c r="B1685" s="1" t="s">
        <v>2886</v>
      </c>
      <c r="C1685" s="1" t="s">
        <v>3017</v>
      </c>
      <c r="D1685" s="1" t="s">
        <v>3018</v>
      </c>
      <c r="E1685" s="1" t="s">
        <v>3017</v>
      </c>
      <c r="F1685" s="1" t="s">
        <v>3018</v>
      </c>
      <c r="G1685" s="1" t="s">
        <v>3019</v>
      </c>
      <c r="H1685" s="1" t="s">
        <v>3018</v>
      </c>
      <c r="I1685" s="1" t="s">
        <v>16591</v>
      </c>
      <c r="J1685" s="1" t="s">
        <v>16592</v>
      </c>
      <c r="K1685" s="1">
        <v>4</v>
      </c>
      <c r="L1685" s="1" t="s">
        <v>4342</v>
      </c>
      <c r="M1685" s="1">
        <v>5</v>
      </c>
      <c r="N1685" s="1" t="s">
        <v>4342</v>
      </c>
    </row>
    <row r="1686" spans="1:14" x14ac:dyDescent="0.15">
      <c r="A1686" s="1">
        <v>220</v>
      </c>
      <c r="B1686" s="1" t="s">
        <v>2886</v>
      </c>
      <c r="C1686" s="1" t="s">
        <v>3017</v>
      </c>
      <c r="D1686" s="1" t="s">
        <v>3018</v>
      </c>
      <c r="E1686" s="1" t="s">
        <v>3017</v>
      </c>
      <c r="F1686" s="1" t="s">
        <v>3018</v>
      </c>
      <c r="G1686" s="1" t="s">
        <v>3019</v>
      </c>
      <c r="H1686" s="1" t="s">
        <v>3018</v>
      </c>
      <c r="I1686" s="1" t="s">
        <v>16595</v>
      </c>
      <c r="J1686" s="1" t="s">
        <v>6947</v>
      </c>
      <c r="K1686" s="1">
        <v>4</v>
      </c>
      <c r="L1686" s="1" t="s">
        <v>4342</v>
      </c>
      <c r="M1686" s="1">
        <v>5</v>
      </c>
      <c r="N1686" s="1" t="s">
        <v>4342</v>
      </c>
    </row>
    <row r="1687" spans="1:14" x14ac:dyDescent="0.15">
      <c r="A1687" s="1">
        <v>220</v>
      </c>
      <c r="B1687" s="1" t="s">
        <v>2886</v>
      </c>
      <c r="C1687" s="1" t="s">
        <v>3017</v>
      </c>
      <c r="D1687" s="1" t="s">
        <v>3018</v>
      </c>
      <c r="E1687" s="1" t="s">
        <v>3017</v>
      </c>
      <c r="F1687" s="1" t="s">
        <v>3018</v>
      </c>
      <c r="G1687" s="1" t="s">
        <v>3019</v>
      </c>
      <c r="H1687" s="1" t="s">
        <v>3018</v>
      </c>
      <c r="I1687" s="1" t="s">
        <v>16599</v>
      </c>
      <c r="J1687" s="1" t="s">
        <v>3022</v>
      </c>
      <c r="K1687" s="1">
        <v>4</v>
      </c>
      <c r="L1687" s="1" t="s">
        <v>4342</v>
      </c>
      <c r="M1687" s="1">
        <v>5</v>
      </c>
      <c r="N1687" s="1" t="s">
        <v>4342</v>
      </c>
    </row>
    <row r="1688" spans="1:14" x14ac:dyDescent="0.15">
      <c r="A1688" s="1">
        <v>220</v>
      </c>
      <c r="B1688" s="1" t="s">
        <v>2886</v>
      </c>
      <c r="C1688" s="1" t="s">
        <v>3017</v>
      </c>
      <c r="D1688" s="1" t="s">
        <v>3018</v>
      </c>
      <c r="E1688" s="1" t="s">
        <v>3017</v>
      </c>
      <c r="F1688" s="1" t="s">
        <v>3018</v>
      </c>
      <c r="G1688" s="1" t="s">
        <v>3019</v>
      </c>
      <c r="H1688" s="1" t="s">
        <v>3018</v>
      </c>
      <c r="I1688" s="1" t="s">
        <v>16603</v>
      </c>
      <c r="J1688" s="1" t="s">
        <v>16604</v>
      </c>
      <c r="K1688" s="1">
        <v>4</v>
      </c>
      <c r="L1688" s="1" t="s">
        <v>4342</v>
      </c>
      <c r="M1688" s="1">
        <v>5</v>
      </c>
      <c r="N1688" s="1" t="s">
        <v>4342</v>
      </c>
    </row>
    <row r="1689" spans="1:14" x14ac:dyDescent="0.15">
      <c r="A1689" s="1">
        <v>220</v>
      </c>
      <c r="B1689" s="1" t="s">
        <v>2886</v>
      </c>
      <c r="C1689" s="1" t="s">
        <v>3017</v>
      </c>
      <c r="D1689" s="1" t="s">
        <v>3018</v>
      </c>
      <c r="E1689" s="1" t="s">
        <v>3017</v>
      </c>
      <c r="F1689" s="1" t="s">
        <v>3018</v>
      </c>
      <c r="G1689" s="1" t="s">
        <v>3019</v>
      </c>
      <c r="H1689" s="1" t="s">
        <v>3018</v>
      </c>
      <c r="I1689" s="1" t="s">
        <v>16607</v>
      </c>
      <c r="J1689" s="1" t="s">
        <v>16608</v>
      </c>
      <c r="K1689" s="1">
        <v>4</v>
      </c>
      <c r="L1689" s="1" t="s">
        <v>4342</v>
      </c>
      <c r="M1689" s="1">
        <v>5</v>
      </c>
      <c r="N1689" s="1" t="s">
        <v>4342</v>
      </c>
    </row>
    <row r="1690" spans="1:14" x14ac:dyDescent="0.15">
      <c r="A1690" s="1">
        <v>220</v>
      </c>
      <c r="B1690" s="1" t="s">
        <v>2886</v>
      </c>
      <c r="C1690" s="1" t="s">
        <v>3017</v>
      </c>
      <c r="D1690" s="1" t="s">
        <v>3018</v>
      </c>
      <c r="E1690" s="1" t="s">
        <v>3017</v>
      </c>
      <c r="F1690" s="1" t="s">
        <v>3018</v>
      </c>
      <c r="G1690" s="1" t="s">
        <v>3019</v>
      </c>
      <c r="H1690" s="1" t="s">
        <v>3018</v>
      </c>
      <c r="I1690" s="1" t="s">
        <v>16611</v>
      </c>
      <c r="J1690" s="1" t="s">
        <v>16612</v>
      </c>
      <c r="K1690" s="1">
        <v>4</v>
      </c>
      <c r="L1690" s="1" t="s">
        <v>4342</v>
      </c>
      <c r="M1690" s="1">
        <v>5</v>
      </c>
      <c r="N1690" s="1" t="s">
        <v>4342</v>
      </c>
    </row>
    <row r="1691" spans="1:14" x14ac:dyDescent="0.15">
      <c r="A1691" s="1">
        <v>220</v>
      </c>
      <c r="B1691" s="1" t="s">
        <v>2886</v>
      </c>
      <c r="C1691" s="1" t="s">
        <v>3017</v>
      </c>
      <c r="D1691" s="1" t="s">
        <v>3018</v>
      </c>
      <c r="E1691" s="1" t="s">
        <v>3017</v>
      </c>
      <c r="F1691" s="1" t="s">
        <v>3018</v>
      </c>
      <c r="G1691" s="1" t="s">
        <v>3019</v>
      </c>
      <c r="H1691" s="1" t="s">
        <v>3018</v>
      </c>
      <c r="I1691" s="1" t="s">
        <v>16615</v>
      </c>
      <c r="J1691" s="1" t="s">
        <v>16616</v>
      </c>
      <c r="K1691" s="1">
        <v>4</v>
      </c>
      <c r="L1691" s="1" t="s">
        <v>4342</v>
      </c>
      <c r="M1691" s="1">
        <v>5</v>
      </c>
      <c r="N1691" s="1" t="s">
        <v>4342</v>
      </c>
    </row>
    <row r="1692" spans="1:14" x14ac:dyDescent="0.15">
      <c r="A1692" s="1">
        <v>220</v>
      </c>
      <c r="B1692" s="1" t="s">
        <v>2886</v>
      </c>
      <c r="C1692" s="1" t="s">
        <v>3017</v>
      </c>
      <c r="D1692" s="1" t="s">
        <v>3018</v>
      </c>
      <c r="E1692" s="1" t="s">
        <v>3017</v>
      </c>
      <c r="F1692" s="1" t="s">
        <v>3018</v>
      </c>
      <c r="G1692" s="1" t="s">
        <v>3019</v>
      </c>
      <c r="H1692" s="1" t="s">
        <v>3018</v>
      </c>
      <c r="I1692" s="1" t="s">
        <v>16619</v>
      </c>
      <c r="J1692" s="1" t="s">
        <v>16620</v>
      </c>
      <c r="K1692" s="1">
        <v>4</v>
      </c>
      <c r="L1692" s="1" t="s">
        <v>4342</v>
      </c>
      <c r="M1692" s="1">
        <v>5</v>
      </c>
      <c r="N1692" s="1" t="s">
        <v>4342</v>
      </c>
    </row>
    <row r="1693" spans="1:14" x14ac:dyDescent="0.15">
      <c r="A1693" s="1">
        <v>220</v>
      </c>
      <c r="B1693" s="1" t="s">
        <v>2886</v>
      </c>
      <c r="C1693" s="1" t="s">
        <v>3017</v>
      </c>
      <c r="D1693" s="1" t="s">
        <v>3018</v>
      </c>
      <c r="E1693" s="1" t="s">
        <v>3017</v>
      </c>
      <c r="F1693" s="1" t="s">
        <v>3018</v>
      </c>
      <c r="G1693" s="1" t="s">
        <v>3019</v>
      </c>
      <c r="H1693" s="1" t="s">
        <v>3018</v>
      </c>
      <c r="I1693" s="1" t="s">
        <v>16623</v>
      </c>
      <c r="J1693" s="1" t="s">
        <v>16624</v>
      </c>
      <c r="K1693" s="1">
        <v>4</v>
      </c>
      <c r="L1693" s="1" t="s">
        <v>4342</v>
      </c>
      <c r="M1693" s="1">
        <v>5</v>
      </c>
      <c r="N1693" s="1" t="s">
        <v>4342</v>
      </c>
    </row>
    <row r="1694" spans="1:14" x14ac:dyDescent="0.15">
      <c r="A1694" s="1">
        <v>220</v>
      </c>
      <c r="B1694" s="1" t="s">
        <v>2886</v>
      </c>
      <c r="C1694" s="1" t="s">
        <v>3017</v>
      </c>
      <c r="D1694" s="1" t="s">
        <v>3018</v>
      </c>
      <c r="E1694" s="1" t="s">
        <v>3017</v>
      </c>
      <c r="F1694" s="1" t="s">
        <v>3018</v>
      </c>
      <c r="G1694" s="1" t="s">
        <v>3019</v>
      </c>
      <c r="H1694" s="1" t="s">
        <v>3018</v>
      </c>
      <c r="I1694" s="1" t="s">
        <v>16627</v>
      </c>
      <c r="J1694" s="1" t="s">
        <v>6952</v>
      </c>
      <c r="K1694" s="1">
        <v>4</v>
      </c>
      <c r="L1694" s="1" t="s">
        <v>4342</v>
      </c>
      <c r="M1694" s="1">
        <v>5</v>
      </c>
      <c r="N1694" s="1" t="s">
        <v>4342</v>
      </c>
    </row>
    <row r="1695" spans="1:14" x14ac:dyDescent="0.15">
      <c r="A1695" s="1">
        <v>220</v>
      </c>
      <c r="B1695" s="1" t="s">
        <v>2886</v>
      </c>
      <c r="C1695" s="1" t="s">
        <v>3017</v>
      </c>
      <c r="D1695" s="1" t="s">
        <v>3018</v>
      </c>
      <c r="E1695" s="1" t="s">
        <v>3017</v>
      </c>
      <c r="F1695" s="1" t="s">
        <v>3018</v>
      </c>
      <c r="G1695" s="1" t="s">
        <v>3019</v>
      </c>
      <c r="H1695" s="1" t="s">
        <v>3018</v>
      </c>
      <c r="I1695" s="1" t="s">
        <v>16631</v>
      </c>
      <c r="J1695" s="1" t="s">
        <v>16632</v>
      </c>
      <c r="K1695" s="1">
        <v>4</v>
      </c>
      <c r="L1695" s="1" t="s">
        <v>4342</v>
      </c>
      <c r="M1695" s="1">
        <v>5</v>
      </c>
      <c r="N1695" s="1" t="s">
        <v>4342</v>
      </c>
    </row>
    <row r="1696" spans="1:14" x14ac:dyDescent="0.15">
      <c r="A1696" s="1">
        <v>220</v>
      </c>
      <c r="B1696" s="1" t="s">
        <v>2886</v>
      </c>
      <c r="C1696" s="1" t="s">
        <v>3017</v>
      </c>
      <c r="D1696" s="1" t="s">
        <v>3018</v>
      </c>
      <c r="E1696" s="1" t="s">
        <v>3017</v>
      </c>
      <c r="F1696" s="1" t="s">
        <v>3018</v>
      </c>
      <c r="G1696" s="1" t="s">
        <v>3019</v>
      </c>
      <c r="H1696" s="1" t="s">
        <v>3018</v>
      </c>
      <c r="I1696" s="1" t="s">
        <v>16635</v>
      </c>
      <c r="J1696" s="1" t="s">
        <v>16636</v>
      </c>
      <c r="K1696" s="1">
        <v>4</v>
      </c>
      <c r="L1696" s="1" t="s">
        <v>4342</v>
      </c>
      <c r="M1696" s="1">
        <v>5</v>
      </c>
      <c r="N1696" s="1" t="s">
        <v>4342</v>
      </c>
    </row>
    <row r="1697" spans="1:14" x14ac:dyDescent="0.15">
      <c r="A1697" s="1">
        <v>220</v>
      </c>
      <c r="B1697" s="1" t="s">
        <v>2886</v>
      </c>
      <c r="C1697" s="1" t="s">
        <v>3017</v>
      </c>
      <c r="D1697" s="1" t="s">
        <v>3018</v>
      </c>
      <c r="E1697" s="1" t="s">
        <v>3017</v>
      </c>
      <c r="F1697" s="1" t="s">
        <v>3018</v>
      </c>
      <c r="G1697" s="1" t="s">
        <v>3019</v>
      </c>
      <c r="H1697" s="1" t="s">
        <v>3018</v>
      </c>
      <c r="I1697" s="1" t="s">
        <v>16639</v>
      </c>
      <c r="J1697" s="1" t="s">
        <v>16640</v>
      </c>
      <c r="K1697" s="1">
        <v>4</v>
      </c>
      <c r="L1697" s="1" t="s">
        <v>4342</v>
      </c>
      <c r="M1697" s="1">
        <v>5</v>
      </c>
      <c r="N1697" s="1" t="s">
        <v>4342</v>
      </c>
    </row>
    <row r="1698" spans="1:14" x14ac:dyDescent="0.15">
      <c r="A1698" s="1">
        <v>220</v>
      </c>
      <c r="B1698" s="1" t="s">
        <v>2886</v>
      </c>
      <c r="C1698" s="1" t="s">
        <v>3017</v>
      </c>
      <c r="D1698" s="1" t="s">
        <v>3018</v>
      </c>
      <c r="E1698" s="1" t="s">
        <v>3017</v>
      </c>
      <c r="F1698" s="1" t="s">
        <v>3018</v>
      </c>
      <c r="G1698" s="1" t="s">
        <v>3019</v>
      </c>
      <c r="H1698" s="1" t="s">
        <v>3018</v>
      </c>
      <c r="I1698" s="1" t="s">
        <v>16643</v>
      </c>
      <c r="J1698" s="1" t="s">
        <v>16644</v>
      </c>
      <c r="K1698" s="1">
        <v>4</v>
      </c>
      <c r="L1698" s="1" t="s">
        <v>4342</v>
      </c>
      <c r="M1698" s="1">
        <v>5</v>
      </c>
      <c r="N1698" s="1" t="s">
        <v>4342</v>
      </c>
    </row>
    <row r="1699" spans="1:14" x14ac:dyDescent="0.15">
      <c r="A1699" s="1">
        <v>220</v>
      </c>
      <c r="B1699" s="1" t="s">
        <v>2886</v>
      </c>
      <c r="C1699" s="1" t="s">
        <v>3017</v>
      </c>
      <c r="D1699" s="1" t="s">
        <v>3018</v>
      </c>
      <c r="E1699" s="1" t="s">
        <v>3017</v>
      </c>
      <c r="F1699" s="1" t="s">
        <v>3018</v>
      </c>
      <c r="G1699" s="1" t="s">
        <v>3019</v>
      </c>
      <c r="H1699" s="1" t="s">
        <v>3018</v>
      </c>
      <c r="I1699" s="1" t="s">
        <v>10743</v>
      </c>
      <c r="J1699" s="1" t="s">
        <v>2970</v>
      </c>
      <c r="K1699" s="1">
        <v>4</v>
      </c>
      <c r="L1699" s="1" t="s">
        <v>4342</v>
      </c>
      <c r="M1699" s="1">
        <v>5</v>
      </c>
      <c r="N1699" s="1" t="s">
        <v>4342</v>
      </c>
    </row>
    <row r="1700" spans="1:14" x14ac:dyDescent="0.15">
      <c r="A1700" s="1">
        <v>220</v>
      </c>
      <c r="B1700" s="1" t="s">
        <v>2886</v>
      </c>
      <c r="C1700" s="1" t="s">
        <v>3017</v>
      </c>
      <c r="D1700" s="1" t="s">
        <v>3018</v>
      </c>
      <c r="E1700" s="1" t="s">
        <v>3017</v>
      </c>
      <c r="F1700" s="1" t="s">
        <v>3018</v>
      </c>
      <c r="G1700" s="1" t="s">
        <v>3019</v>
      </c>
      <c r="H1700" s="1" t="s">
        <v>3018</v>
      </c>
      <c r="I1700" s="1" t="s">
        <v>16647</v>
      </c>
      <c r="J1700" s="1" t="s">
        <v>2901</v>
      </c>
      <c r="K1700" s="1">
        <v>4</v>
      </c>
      <c r="L1700" s="1" t="s">
        <v>4342</v>
      </c>
      <c r="M1700" s="1">
        <v>5</v>
      </c>
      <c r="N1700" s="1" t="s">
        <v>4342</v>
      </c>
    </row>
    <row r="1701" spans="1:14" x14ac:dyDescent="0.15">
      <c r="A1701" s="1">
        <v>220</v>
      </c>
      <c r="B1701" s="1" t="s">
        <v>2886</v>
      </c>
      <c r="C1701" s="1" t="s">
        <v>3023</v>
      </c>
      <c r="D1701" s="1" t="s">
        <v>3024</v>
      </c>
      <c r="E1701" s="1" t="s">
        <v>3023</v>
      </c>
      <c r="F1701" s="1" t="s">
        <v>3024</v>
      </c>
      <c r="G1701" s="1" t="s">
        <v>3025</v>
      </c>
      <c r="H1701" s="1" t="s">
        <v>3024</v>
      </c>
      <c r="I1701" s="1" t="s">
        <v>16647</v>
      </c>
      <c r="J1701" s="1" t="s">
        <v>2901</v>
      </c>
      <c r="K1701" s="1">
        <v>4</v>
      </c>
      <c r="L1701" s="1" t="s">
        <v>4342</v>
      </c>
      <c r="M1701" s="1">
        <v>5</v>
      </c>
      <c r="N1701" s="1" t="s">
        <v>4342</v>
      </c>
    </row>
    <row r="1702" spans="1:14" x14ac:dyDescent="0.15">
      <c r="A1702" s="1">
        <v>220</v>
      </c>
      <c r="B1702" s="1" t="s">
        <v>2886</v>
      </c>
      <c r="C1702" s="1" t="s">
        <v>3023</v>
      </c>
      <c r="D1702" s="1" t="s">
        <v>3024</v>
      </c>
      <c r="E1702" s="1" t="s">
        <v>3023</v>
      </c>
      <c r="F1702" s="1" t="s">
        <v>3024</v>
      </c>
      <c r="G1702" s="1" t="s">
        <v>3025</v>
      </c>
      <c r="H1702" s="1" t="s">
        <v>3024</v>
      </c>
      <c r="I1702" s="1" t="s">
        <v>15787</v>
      </c>
      <c r="J1702" s="1" t="s">
        <v>15784</v>
      </c>
      <c r="K1702" s="1">
        <v>4</v>
      </c>
      <c r="L1702" s="1" t="s">
        <v>4342</v>
      </c>
      <c r="M1702" s="1">
        <v>5</v>
      </c>
      <c r="N1702" s="1" t="s">
        <v>4342</v>
      </c>
    </row>
    <row r="1703" spans="1:14" x14ac:dyDescent="0.15">
      <c r="A1703" s="1">
        <v>220</v>
      </c>
      <c r="B1703" s="1" t="s">
        <v>2886</v>
      </c>
      <c r="C1703" s="1" t="s">
        <v>3026</v>
      </c>
      <c r="D1703" s="1" t="s">
        <v>3027</v>
      </c>
      <c r="E1703" s="1" t="s">
        <v>3026</v>
      </c>
      <c r="F1703" s="1" t="s">
        <v>3027</v>
      </c>
      <c r="G1703" s="1" t="s">
        <v>3028</v>
      </c>
      <c r="H1703" s="1" t="s">
        <v>3027</v>
      </c>
      <c r="I1703" s="1" t="s">
        <v>16647</v>
      </c>
      <c r="J1703" s="1" t="s">
        <v>2901</v>
      </c>
      <c r="K1703" s="1">
        <v>4</v>
      </c>
      <c r="L1703" s="1" t="s">
        <v>4342</v>
      </c>
      <c r="M1703" s="1">
        <v>5</v>
      </c>
      <c r="N1703" s="1" t="s">
        <v>4342</v>
      </c>
    </row>
    <row r="1704" spans="1:14" x14ac:dyDescent="0.15">
      <c r="A1704" s="1">
        <v>220</v>
      </c>
      <c r="B1704" s="1" t="s">
        <v>2886</v>
      </c>
      <c r="C1704" s="1" t="s">
        <v>3026</v>
      </c>
      <c r="D1704" s="1" t="s">
        <v>3027</v>
      </c>
      <c r="E1704" s="1" t="s">
        <v>3026</v>
      </c>
      <c r="F1704" s="1" t="s">
        <v>3027</v>
      </c>
      <c r="G1704" s="1" t="s">
        <v>3028</v>
      </c>
      <c r="H1704" s="1" t="s">
        <v>3027</v>
      </c>
      <c r="I1704" s="1" t="s">
        <v>16842</v>
      </c>
      <c r="J1704" s="1" t="s">
        <v>6242</v>
      </c>
      <c r="K1704" s="1">
        <v>4</v>
      </c>
      <c r="L1704" s="1" t="s">
        <v>4342</v>
      </c>
      <c r="M1704" s="1">
        <v>5</v>
      </c>
      <c r="N1704" s="1" t="s">
        <v>4342</v>
      </c>
    </row>
    <row r="1705" spans="1:14" x14ac:dyDescent="0.15">
      <c r="A1705" s="1">
        <v>220</v>
      </c>
      <c r="B1705" s="1" t="s">
        <v>2886</v>
      </c>
      <c r="C1705" s="1" t="s">
        <v>3026</v>
      </c>
      <c r="D1705" s="1" t="s">
        <v>3027</v>
      </c>
      <c r="E1705" s="1" t="s">
        <v>3026</v>
      </c>
      <c r="F1705" s="1" t="s">
        <v>3027</v>
      </c>
      <c r="G1705" s="1" t="s">
        <v>3028</v>
      </c>
      <c r="H1705" s="1" t="s">
        <v>3027</v>
      </c>
      <c r="I1705" s="1" t="s">
        <v>14590</v>
      </c>
      <c r="J1705" s="1" t="s">
        <v>14591</v>
      </c>
      <c r="K1705" s="1">
        <v>4</v>
      </c>
      <c r="L1705" s="1" t="s">
        <v>4342</v>
      </c>
      <c r="M1705" s="1">
        <v>5</v>
      </c>
      <c r="N1705" s="1" t="s">
        <v>4342</v>
      </c>
    </row>
    <row r="1706" spans="1:14" x14ac:dyDescent="0.15">
      <c r="A1706" s="1">
        <v>220</v>
      </c>
      <c r="B1706" s="1" t="s">
        <v>2886</v>
      </c>
      <c r="C1706" s="1" t="s">
        <v>3026</v>
      </c>
      <c r="D1706" s="1" t="s">
        <v>3027</v>
      </c>
      <c r="E1706" s="1" t="s">
        <v>3026</v>
      </c>
      <c r="F1706" s="1" t="s">
        <v>3027</v>
      </c>
      <c r="G1706" s="1" t="s">
        <v>3028</v>
      </c>
      <c r="H1706" s="1" t="s">
        <v>3027</v>
      </c>
      <c r="I1706" s="1" t="s">
        <v>14594</v>
      </c>
      <c r="J1706" s="1" t="s">
        <v>6243</v>
      </c>
      <c r="K1706" s="1">
        <v>4</v>
      </c>
      <c r="L1706" s="1" t="s">
        <v>4342</v>
      </c>
      <c r="M1706" s="1">
        <v>5</v>
      </c>
      <c r="N1706" s="1" t="s">
        <v>4342</v>
      </c>
    </row>
    <row r="1707" spans="1:14" x14ac:dyDescent="0.15">
      <c r="A1707" s="1">
        <v>220</v>
      </c>
      <c r="B1707" s="1" t="s">
        <v>2886</v>
      </c>
      <c r="C1707" s="1" t="s">
        <v>3026</v>
      </c>
      <c r="D1707" s="1" t="s">
        <v>3027</v>
      </c>
      <c r="E1707" s="1" t="s">
        <v>3026</v>
      </c>
      <c r="F1707" s="1" t="s">
        <v>3027</v>
      </c>
      <c r="G1707" s="1" t="s">
        <v>3028</v>
      </c>
      <c r="H1707" s="1" t="s">
        <v>3027</v>
      </c>
      <c r="I1707" s="1" t="s">
        <v>14598</v>
      </c>
      <c r="J1707" s="1" t="s">
        <v>2756</v>
      </c>
      <c r="K1707" s="1">
        <v>4</v>
      </c>
      <c r="L1707" s="1" t="s">
        <v>4342</v>
      </c>
      <c r="M1707" s="1">
        <v>5</v>
      </c>
      <c r="N1707" s="1" t="s">
        <v>4342</v>
      </c>
    </row>
    <row r="1708" spans="1:14" x14ac:dyDescent="0.15">
      <c r="A1708" s="1">
        <v>220</v>
      </c>
      <c r="B1708" s="1" t="s">
        <v>2886</v>
      </c>
      <c r="C1708" s="1" t="s">
        <v>3026</v>
      </c>
      <c r="D1708" s="1" t="s">
        <v>3027</v>
      </c>
      <c r="E1708" s="1" t="s">
        <v>3026</v>
      </c>
      <c r="F1708" s="1" t="s">
        <v>3027</v>
      </c>
      <c r="G1708" s="1" t="s">
        <v>3028</v>
      </c>
      <c r="H1708" s="1" t="s">
        <v>3027</v>
      </c>
      <c r="I1708" s="1" t="s">
        <v>14602</v>
      </c>
      <c r="J1708" s="1" t="s">
        <v>6245</v>
      </c>
      <c r="K1708" s="1">
        <v>4</v>
      </c>
      <c r="L1708" s="1" t="s">
        <v>4342</v>
      </c>
      <c r="M1708" s="1">
        <v>5</v>
      </c>
      <c r="N1708" s="1" t="s">
        <v>4342</v>
      </c>
    </row>
    <row r="1709" spans="1:14" x14ac:dyDescent="0.15">
      <c r="A1709" s="1">
        <v>220</v>
      </c>
      <c r="B1709" s="1" t="s">
        <v>2886</v>
      </c>
      <c r="C1709" s="1" t="s">
        <v>3026</v>
      </c>
      <c r="D1709" s="1" t="s">
        <v>3027</v>
      </c>
      <c r="E1709" s="1" t="s">
        <v>3026</v>
      </c>
      <c r="F1709" s="1" t="s">
        <v>3027</v>
      </c>
      <c r="G1709" s="1" t="s">
        <v>3028</v>
      </c>
      <c r="H1709" s="1" t="s">
        <v>3027</v>
      </c>
      <c r="I1709" s="1" t="s">
        <v>14606</v>
      </c>
      <c r="J1709" s="1" t="s">
        <v>14607</v>
      </c>
      <c r="K1709" s="1">
        <v>4</v>
      </c>
      <c r="L1709" s="1" t="s">
        <v>4342</v>
      </c>
      <c r="M1709" s="1">
        <v>5</v>
      </c>
      <c r="N1709" s="1" t="s">
        <v>4342</v>
      </c>
    </row>
    <row r="1710" spans="1:14" x14ac:dyDescent="0.15">
      <c r="A1710" s="1">
        <v>220</v>
      </c>
      <c r="B1710" s="1" t="s">
        <v>2886</v>
      </c>
      <c r="C1710" s="1" t="s">
        <v>3026</v>
      </c>
      <c r="D1710" s="1" t="s">
        <v>3027</v>
      </c>
      <c r="E1710" s="1" t="s">
        <v>3026</v>
      </c>
      <c r="F1710" s="1" t="s">
        <v>3027</v>
      </c>
      <c r="G1710" s="1" t="s">
        <v>3028</v>
      </c>
      <c r="H1710" s="1" t="s">
        <v>3027</v>
      </c>
      <c r="I1710" s="1" t="s">
        <v>8760</v>
      </c>
      <c r="J1710" s="1" t="s">
        <v>2798</v>
      </c>
      <c r="K1710" s="1">
        <v>4</v>
      </c>
      <c r="L1710" s="1" t="s">
        <v>4342</v>
      </c>
      <c r="M1710" s="1">
        <v>5</v>
      </c>
      <c r="N1710" s="1" t="s">
        <v>4342</v>
      </c>
    </row>
    <row r="1711" spans="1:14" x14ac:dyDescent="0.15">
      <c r="A1711" s="1">
        <v>220</v>
      </c>
      <c r="B1711" s="1" t="s">
        <v>2886</v>
      </c>
      <c r="C1711" s="1" t="s">
        <v>3026</v>
      </c>
      <c r="D1711" s="1" t="s">
        <v>3027</v>
      </c>
      <c r="E1711" s="1" t="s">
        <v>3026</v>
      </c>
      <c r="F1711" s="1" t="s">
        <v>3027</v>
      </c>
      <c r="G1711" s="1" t="s">
        <v>3028</v>
      </c>
      <c r="H1711" s="1" t="s">
        <v>3027</v>
      </c>
      <c r="I1711" s="1" t="s">
        <v>8763</v>
      </c>
      <c r="J1711" s="1" t="s">
        <v>3029</v>
      </c>
      <c r="K1711" s="1">
        <v>4</v>
      </c>
      <c r="L1711" s="1" t="s">
        <v>4342</v>
      </c>
      <c r="M1711" s="1">
        <v>5</v>
      </c>
      <c r="N1711" s="1" t="s">
        <v>4342</v>
      </c>
    </row>
    <row r="1712" spans="1:14" x14ac:dyDescent="0.15">
      <c r="A1712" s="1">
        <v>220</v>
      </c>
      <c r="B1712" s="1" t="s">
        <v>2886</v>
      </c>
      <c r="C1712" s="1" t="s">
        <v>3026</v>
      </c>
      <c r="D1712" s="1" t="s">
        <v>3027</v>
      </c>
      <c r="E1712" s="1" t="s">
        <v>3026</v>
      </c>
      <c r="F1712" s="1" t="s">
        <v>3027</v>
      </c>
      <c r="G1712" s="1" t="s">
        <v>3028</v>
      </c>
      <c r="H1712" s="1" t="s">
        <v>3027</v>
      </c>
      <c r="I1712" s="1" t="s">
        <v>8769</v>
      </c>
      <c r="J1712" s="1" t="s">
        <v>3030</v>
      </c>
      <c r="K1712" s="1">
        <v>4</v>
      </c>
      <c r="L1712" s="1" t="s">
        <v>4342</v>
      </c>
      <c r="M1712" s="1">
        <v>5</v>
      </c>
      <c r="N1712" s="1" t="s">
        <v>4342</v>
      </c>
    </row>
    <row r="1713" spans="1:14" x14ac:dyDescent="0.15">
      <c r="A1713" s="1">
        <v>220</v>
      </c>
      <c r="B1713" s="1" t="s">
        <v>2886</v>
      </c>
      <c r="C1713" s="1" t="s">
        <v>3026</v>
      </c>
      <c r="D1713" s="1" t="s">
        <v>3027</v>
      </c>
      <c r="E1713" s="1" t="s">
        <v>3026</v>
      </c>
      <c r="F1713" s="1" t="s">
        <v>3027</v>
      </c>
      <c r="G1713" s="1" t="s">
        <v>3028</v>
      </c>
      <c r="H1713" s="1" t="s">
        <v>3027</v>
      </c>
      <c r="I1713" s="1" t="s">
        <v>14610</v>
      </c>
      <c r="J1713" s="1" t="s">
        <v>14611</v>
      </c>
      <c r="K1713" s="1">
        <v>4</v>
      </c>
      <c r="L1713" s="1" t="s">
        <v>4342</v>
      </c>
      <c r="M1713" s="1">
        <v>5</v>
      </c>
      <c r="N1713" s="1" t="s">
        <v>4342</v>
      </c>
    </row>
    <row r="1714" spans="1:14" x14ac:dyDescent="0.15">
      <c r="A1714" s="1">
        <v>220</v>
      </c>
      <c r="B1714" s="1" t="s">
        <v>2886</v>
      </c>
      <c r="C1714" s="1" t="s">
        <v>3031</v>
      </c>
      <c r="D1714" s="1" t="s">
        <v>3032</v>
      </c>
      <c r="E1714" s="1" t="s">
        <v>3031</v>
      </c>
      <c r="F1714" s="1" t="s">
        <v>3032</v>
      </c>
      <c r="G1714" s="1" t="s">
        <v>3033</v>
      </c>
      <c r="H1714" s="1" t="s">
        <v>3032</v>
      </c>
      <c r="I1714" s="1" t="s">
        <v>15665</v>
      </c>
      <c r="J1714" s="1" t="s">
        <v>5964</v>
      </c>
      <c r="K1714" s="1">
        <v>4</v>
      </c>
      <c r="L1714" s="1" t="s">
        <v>4342</v>
      </c>
      <c r="M1714" s="1">
        <v>5</v>
      </c>
      <c r="N1714" s="1" t="s">
        <v>4342</v>
      </c>
    </row>
    <row r="1715" spans="1:14" x14ac:dyDescent="0.15">
      <c r="A1715" s="1">
        <v>220</v>
      </c>
      <c r="B1715" s="1" t="s">
        <v>2886</v>
      </c>
      <c r="C1715" s="1" t="s">
        <v>3034</v>
      </c>
      <c r="D1715" s="1" t="s">
        <v>3035</v>
      </c>
      <c r="E1715" s="1" t="s">
        <v>3034</v>
      </c>
      <c r="F1715" s="1" t="s">
        <v>3035</v>
      </c>
      <c r="G1715" s="1" t="s">
        <v>3036</v>
      </c>
      <c r="H1715" s="1" t="s">
        <v>3035</v>
      </c>
      <c r="I1715" s="1" t="s">
        <v>16647</v>
      </c>
      <c r="J1715" s="1" t="s">
        <v>2901</v>
      </c>
      <c r="K1715" s="1">
        <v>4</v>
      </c>
      <c r="L1715" s="1" t="s">
        <v>4342</v>
      </c>
      <c r="M1715" s="1">
        <v>5</v>
      </c>
      <c r="N1715" s="1" t="s">
        <v>4342</v>
      </c>
    </row>
    <row r="1716" spans="1:14" x14ac:dyDescent="0.15">
      <c r="A1716" s="1">
        <v>220</v>
      </c>
      <c r="B1716" s="1" t="s">
        <v>2886</v>
      </c>
      <c r="C1716" s="1" t="s">
        <v>3034</v>
      </c>
      <c r="D1716" s="1" t="s">
        <v>3035</v>
      </c>
      <c r="E1716" s="1" t="s">
        <v>3034</v>
      </c>
      <c r="F1716" s="1" t="s">
        <v>3035</v>
      </c>
      <c r="G1716" s="1" t="s">
        <v>3036</v>
      </c>
      <c r="H1716" s="1" t="s">
        <v>3035</v>
      </c>
      <c r="I1716" s="1" t="s">
        <v>14671</v>
      </c>
      <c r="J1716" s="1" t="s">
        <v>14668</v>
      </c>
      <c r="K1716" s="1">
        <v>4</v>
      </c>
      <c r="L1716" s="1" t="s">
        <v>4342</v>
      </c>
      <c r="M1716" s="1">
        <v>5</v>
      </c>
      <c r="N1716" s="1" t="s">
        <v>4342</v>
      </c>
    </row>
    <row r="1717" spans="1:14" x14ac:dyDescent="0.15">
      <c r="A1717" s="1">
        <v>220</v>
      </c>
      <c r="B1717" s="1" t="s">
        <v>2886</v>
      </c>
      <c r="C1717" s="1" t="s">
        <v>3034</v>
      </c>
      <c r="D1717" s="1" t="s">
        <v>3035</v>
      </c>
      <c r="E1717" s="1" t="s">
        <v>3034</v>
      </c>
      <c r="F1717" s="1" t="s">
        <v>3035</v>
      </c>
      <c r="G1717" s="1" t="s">
        <v>3036</v>
      </c>
      <c r="H1717" s="1" t="s">
        <v>3035</v>
      </c>
      <c r="I1717" s="1" t="s">
        <v>13308</v>
      </c>
      <c r="J1717" s="1" t="s">
        <v>5095</v>
      </c>
      <c r="K1717" s="1">
        <v>4</v>
      </c>
      <c r="L1717" s="1" t="s">
        <v>4342</v>
      </c>
      <c r="M1717" s="1">
        <v>5</v>
      </c>
      <c r="N1717" s="1" t="s">
        <v>4342</v>
      </c>
    </row>
    <row r="1718" spans="1:14" x14ac:dyDescent="0.15">
      <c r="A1718" s="1">
        <v>220</v>
      </c>
      <c r="B1718" s="1" t="s">
        <v>2886</v>
      </c>
      <c r="C1718" s="1" t="s">
        <v>3037</v>
      </c>
      <c r="D1718" s="1" t="s">
        <v>3038</v>
      </c>
      <c r="E1718" s="1" t="s">
        <v>3037</v>
      </c>
      <c r="F1718" s="1" t="s">
        <v>3038</v>
      </c>
      <c r="G1718" s="1" t="s">
        <v>3039</v>
      </c>
      <c r="H1718" s="1" t="s">
        <v>3038</v>
      </c>
      <c r="I1718" s="1" t="s">
        <v>13989</v>
      </c>
      <c r="J1718" s="1" t="s">
        <v>3040</v>
      </c>
      <c r="K1718" s="1">
        <v>4</v>
      </c>
      <c r="L1718" s="1" t="s">
        <v>4342</v>
      </c>
      <c r="M1718" s="1">
        <v>5</v>
      </c>
      <c r="N1718" s="1" t="s">
        <v>4342</v>
      </c>
    </row>
    <row r="1719" spans="1:14" x14ac:dyDescent="0.15">
      <c r="A1719" s="1">
        <v>220</v>
      </c>
      <c r="B1719" s="1" t="s">
        <v>2886</v>
      </c>
      <c r="C1719" s="1" t="s">
        <v>3037</v>
      </c>
      <c r="D1719" s="1" t="s">
        <v>3038</v>
      </c>
      <c r="E1719" s="1" t="s">
        <v>3037</v>
      </c>
      <c r="F1719" s="1" t="s">
        <v>3038</v>
      </c>
      <c r="G1719" s="1" t="s">
        <v>3039</v>
      </c>
      <c r="H1719" s="1" t="s">
        <v>3038</v>
      </c>
      <c r="I1719" s="1" t="s">
        <v>13996</v>
      </c>
      <c r="J1719" s="1" t="s">
        <v>3041</v>
      </c>
      <c r="K1719" s="1">
        <v>4</v>
      </c>
      <c r="L1719" s="1" t="s">
        <v>4342</v>
      </c>
      <c r="M1719" s="1">
        <v>5</v>
      </c>
      <c r="N1719" s="1" t="s">
        <v>4342</v>
      </c>
    </row>
    <row r="1720" spans="1:14" x14ac:dyDescent="0.15">
      <c r="A1720" s="1">
        <v>220</v>
      </c>
      <c r="B1720" s="1" t="s">
        <v>2886</v>
      </c>
      <c r="C1720" s="1" t="s">
        <v>3037</v>
      </c>
      <c r="D1720" s="1" t="s">
        <v>3038</v>
      </c>
      <c r="E1720" s="1" t="s">
        <v>3037</v>
      </c>
      <c r="F1720" s="1" t="s">
        <v>3038</v>
      </c>
      <c r="G1720" s="1" t="s">
        <v>3039</v>
      </c>
      <c r="H1720" s="1" t="s">
        <v>3038</v>
      </c>
      <c r="I1720" s="1" t="s">
        <v>14003</v>
      </c>
      <c r="J1720" s="1" t="s">
        <v>4919</v>
      </c>
      <c r="K1720" s="1">
        <v>4</v>
      </c>
      <c r="L1720" s="1" t="s">
        <v>4342</v>
      </c>
      <c r="M1720" s="1">
        <v>5</v>
      </c>
      <c r="N1720" s="1" t="s">
        <v>4342</v>
      </c>
    </row>
    <row r="1721" spans="1:14" x14ac:dyDescent="0.15">
      <c r="A1721" s="1">
        <v>220</v>
      </c>
      <c r="B1721" s="1" t="s">
        <v>2886</v>
      </c>
      <c r="C1721" s="1" t="s">
        <v>3037</v>
      </c>
      <c r="D1721" s="1" t="s">
        <v>3038</v>
      </c>
      <c r="E1721" s="1" t="s">
        <v>3037</v>
      </c>
      <c r="F1721" s="1" t="s">
        <v>3038</v>
      </c>
      <c r="G1721" s="1" t="s">
        <v>3039</v>
      </c>
      <c r="H1721" s="1" t="s">
        <v>3038</v>
      </c>
      <c r="I1721" s="1" t="s">
        <v>14010</v>
      </c>
      <c r="J1721" s="1" t="s">
        <v>3042</v>
      </c>
      <c r="K1721" s="1">
        <v>4</v>
      </c>
      <c r="L1721" s="1" t="s">
        <v>4342</v>
      </c>
      <c r="M1721" s="1">
        <v>5</v>
      </c>
      <c r="N1721" s="1" t="s">
        <v>4342</v>
      </c>
    </row>
    <row r="1722" spans="1:14" x14ac:dyDescent="0.15">
      <c r="A1722" s="1">
        <v>220</v>
      </c>
      <c r="B1722" s="1" t="s">
        <v>2886</v>
      </c>
      <c r="C1722" s="1" t="s">
        <v>3037</v>
      </c>
      <c r="D1722" s="1" t="s">
        <v>3038</v>
      </c>
      <c r="E1722" s="1" t="s">
        <v>3037</v>
      </c>
      <c r="F1722" s="1" t="s">
        <v>3038</v>
      </c>
      <c r="G1722" s="1" t="s">
        <v>3039</v>
      </c>
      <c r="H1722" s="1" t="s">
        <v>3038</v>
      </c>
      <c r="I1722" s="1" t="s">
        <v>14018</v>
      </c>
      <c r="J1722" s="1" t="s">
        <v>14019</v>
      </c>
      <c r="K1722" s="1">
        <v>4</v>
      </c>
      <c r="L1722" s="1" t="s">
        <v>4342</v>
      </c>
      <c r="M1722" s="1">
        <v>5</v>
      </c>
      <c r="N1722" s="1" t="s">
        <v>4342</v>
      </c>
    </row>
    <row r="1723" spans="1:14" x14ac:dyDescent="0.15">
      <c r="A1723" s="1">
        <v>220</v>
      </c>
      <c r="B1723" s="1" t="s">
        <v>2886</v>
      </c>
      <c r="C1723" s="1" t="s">
        <v>3037</v>
      </c>
      <c r="D1723" s="1" t="s">
        <v>3038</v>
      </c>
      <c r="E1723" s="1" t="s">
        <v>3037</v>
      </c>
      <c r="F1723" s="1" t="s">
        <v>3038</v>
      </c>
      <c r="G1723" s="1" t="s">
        <v>3039</v>
      </c>
      <c r="H1723" s="1" t="s">
        <v>3038</v>
      </c>
      <c r="I1723" s="1" t="s">
        <v>14022</v>
      </c>
      <c r="J1723" s="1" t="s">
        <v>14023</v>
      </c>
      <c r="K1723" s="1">
        <v>4</v>
      </c>
      <c r="L1723" s="1" t="s">
        <v>4342</v>
      </c>
      <c r="M1723" s="1">
        <v>5</v>
      </c>
      <c r="N1723" s="1" t="s">
        <v>4342</v>
      </c>
    </row>
    <row r="1724" spans="1:14" x14ac:dyDescent="0.15">
      <c r="A1724" s="1">
        <v>220</v>
      </c>
      <c r="B1724" s="1" t="s">
        <v>2886</v>
      </c>
      <c r="C1724" s="1" t="s">
        <v>3037</v>
      </c>
      <c r="D1724" s="1" t="s">
        <v>3038</v>
      </c>
      <c r="E1724" s="1" t="s">
        <v>3037</v>
      </c>
      <c r="F1724" s="1" t="s">
        <v>3038</v>
      </c>
      <c r="G1724" s="1" t="s">
        <v>3039</v>
      </c>
      <c r="H1724" s="1" t="s">
        <v>3038</v>
      </c>
      <c r="I1724" s="1" t="s">
        <v>14026</v>
      </c>
      <c r="J1724" s="1" t="s">
        <v>4928</v>
      </c>
      <c r="K1724" s="1">
        <v>4</v>
      </c>
      <c r="L1724" s="1" t="s">
        <v>4342</v>
      </c>
      <c r="M1724" s="1">
        <v>5</v>
      </c>
      <c r="N1724" s="1" t="s">
        <v>4342</v>
      </c>
    </row>
    <row r="1725" spans="1:14" x14ac:dyDescent="0.15">
      <c r="A1725" s="1">
        <v>220</v>
      </c>
      <c r="B1725" s="1" t="s">
        <v>2886</v>
      </c>
      <c r="C1725" s="1" t="s">
        <v>3037</v>
      </c>
      <c r="D1725" s="1" t="s">
        <v>3038</v>
      </c>
      <c r="E1725" s="1" t="s">
        <v>3037</v>
      </c>
      <c r="F1725" s="1" t="s">
        <v>3038</v>
      </c>
      <c r="G1725" s="1" t="s">
        <v>3039</v>
      </c>
      <c r="H1725" s="1" t="s">
        <v>3038</v>
      </c>
      <c r="I1725" s="1" t="s">
        <v>14030</v>
      </c>
      <c r="J1725" s="1" t="s">
        <v>14031</v>
      </c>
      <c r="K1725" s="1">
        <v>4</v>
      </c>
      <c r="L1725" s="1" t="s">
        <v>4342</v>
      </c>
      <c r="M1725" s="1">
        <v>5</v>
      </c>
      <c r="N1725" s="1" t="s">
        <v>4342</v>
      </c>
    </row>
    <row r="1726" spans="1:14" x14ac:dyDescent="0.15">
      <c r="A1726" s="1">
        <v>220</v>
      </c>
      <c r="B1726" s="1" t="s">
        <v>2886</v>
      </c>
      <c r="C1726" s="1" t="s">
        <v>3037</v>
      </c>
      <c r="D1726" s="1" t="s">
        <v>3038</v>
      </c>
      <c r="E1726" s="1" t="s">
        <v>3037</v>
      </c>
      <c r="F1726" s="1" t="s">
        <v>3038</v>
      </c>
      <c r="G1726" s="1" t="s">
        <v>3039</v>
      </c>
      <c r="H1726" s="1" t="s">
        <v>3038</v>
      </c>
      <c r="I1726" s="1" t="s">
        <v>11054</v>
      </c>
      <c r="J1726" s="1" t="s">
        <v>3043</v>
      </c>
      <c r="K1726" s="1">
        <v>4</v>
      </c>
      <c r="L1726" s="1" t="s">
        <v>4342</v>
      </c>
      <c r="M1726" s="1">
        <v>5</v>
      </c>
      <c r="N1726" s="1" t="s">
        <v>4342</v>
      </c>
    </row>
    <row r="1727" spans="1:14" x14ac:dyDescent="0.15">
      <c r="A1727" s="1">
        <v>220</v>
      </c>
      <c r="B1727" s="1" t="s">
        <v>2886</v>
      </c>
      <c r="C1727" s="1" t="s">
        <v>3037</v>
      </c>
      <c r="D1727" s="1" t="s">
        <v>3038</v>
      </c>
      <c r="E1727" s="1" t="s">
        <v>3037</v>
      </c>
      <c r="F1727" s="1" t="s">
        <v>3038</v>
      </c>
      <c r="G1727" s="1" t="s">
        <v>3039</v>
      </c>
      <c r="H1727" s="1" t="s">
        <v>3038</v>
      </c>
      <c r="I1727" s="1" t="s">
        <v>14034</v>
      </c>
      <c r="J1727" s="1" t="s">
        <v>14035</v>
      </c>
      <c r="K1727" s="1">
        <v>4</v>
      </c>
      <c r="L1727" s="1" t="s">
        <v>4342</v>
      </c>
      <c r="M1727" s="1">
        <v>5</v>
      </c>
      <c r="N1727" s="1" t="s">
        <v>4342</v>
      </c>
    </row>
    <row r="1728" spans="1:14" x14ac:dyDescent="0.15">
      <c r="A1728" s="1">
        <v>220</v>
      </c>
      <c r="B1728" s="1" t="s">
        <v>2886</v>
      </c>
      <c r="C1728" s="1" t="s">
        <v>3037</v>
      </c>
      <c r="D1728" s="1" t="s">
        <v>3038</v>
      </c>
      <c r="E1728" s="1" t="s">
        <v>3037</v>
      </c>
      <c r="F1728" s="1" t="s">
        <v>3038</v>
      </c>
      <c r="G1728" s="1" t="s">
        <v>3039</v>
      </c>
      <c r="H1728" s="1" t="s">
        <v>3038</v>
      </c>
      <c r="I1728" s="1" t="s">
        <v>14042</v>
      </c>
      <c r="J1728" s="1" t="s">
        <v>3044</v>
      </c>
      <c r="K1728" s="1">
        <v>4</v>
      </c>
      <c r="L1728" s="1" t="s">
        <v>4342</v>
      </c>
      <c r="M1728" s="1">
        <v>5</v>
      </c>
      <c r="N1728" s="1" t="s">
        <v>4342</v>
      </c>
    </row>
    <row r="1729" spans="1:14" x14ac:dyDescent="0.15">
      <c r="A1729" s="1">
        <v>220</v>
      </c>
      <c r="B1729" s="1" t="s">
        <v>2886</v>
      </c>
      <c r="C1729" s="1" t="s">
        <v>3037</v>
      </c>
      <c r="D1729" s="1" t="s">
        <v>3038</v>
      </c>
      <c r="E1729" s="1" t="s">
        <v>3037</v>
      </c>
      <c r="F1729" s="1" t="s">
        <v>3038</v>
      </c>
      <c r="G1729" s="1" t="s">
        <v>3039</v>
      </c>
      <c r="H1729" s="1" t="s">
        <v>3038</v>
      </c>
      <c r="I1729" s="1" t="s">
        <v>14046</v>
      </c>
      <c r="J1729" s="1" t="s">
        <v>3045</v>
      </c>
      <c r="K1729" s="1">
        <v>4</v>
      </c>
      <c r="L1729" s="1" t="s">
        <v>4342</v>
      </c>
      <c r="M1729" s="1">
        <v>5</v>
      </c>
      <c r="N1729" s="1" t="s">
        <v>4342</v>
      </c>
    </row>
    <row r="1730" spans="1:14" x14ac:dyDescent="0.15">
      <c r="A1730" s="1">
        <v>220</v>
      </c>
      <c r="B1730" s="1" t="s">
        <v>2886</v>
      </c>
      <c r="C1730" s="1" t="s">
        <v>3037</v>
      </c>
      <c r="D1730" s="1" t="s">
        <v>3038</v>
      </c>
      <c r="E1730" s="1" t="s">
        <v>3037</v>
      </c>
      <c r="F1730" s="1" t="s">
        <v>3038</v>
      </c>
      <c r="G1730" s="1" t="s">
        <v>3039</v>
      </c>
      <c r="H1730" s="1" t="s">
        <v>3038</v>
      </c>
      <c r="I1730" s="1" t="s">
        <v>14054</v>
      </c>
      <c r="J1730" s="1" t="s">
        <v>14055</v>
      </c>
      <c r="K1730" s="1">
        <v>4</v>
      </c>
      <c r="L1730" s="1" t="s">
        <v>4342</v>
      </c>
      <c r="M1730" s="1">
        <v>5</v>
      </c>
      <c r="N1730" s="1" t="s">
        <v>4342</v>
      </c>
    </row>
    <row r="1731" spans="1:14" x14ac:dyDescent="0.15">
      <c r="A1731" s="1">
        <v>220</v>
      </c>
      <c r="B1731" s="1" t="s">
        <v>2886</v>
      </c>
      <c r="C1731" s="1" t="s">
        <v>3037</v>
      </c>
      <c r="D1731" s="1" t="s">
        <v>3038</v>
      </c>
      <c r="E1731" s="1" t="s">
        <v>3037</v>
      </c>
      <c r="F1731" s="1" t="s">
        <v>3038</v>
      </c>
      <c r="G1731" s="1" t="s">
        <v>3039</v>
      </c>
      <c r="H1731" s="1" t="s">
        <v>3038</v>
      </c>
      <c r="I1731" s="1" t="s">
        <v>14058</v>
      </c>
      <c r="J1731" s="1" t="s">
        <v>3046</v>
      </c>
      <c r="K1731" s="1">
        <v>4</v>
      </c>
      <c r="L1731" s="1" t="s">
        <v>4342</v>
      </c>
      <c r="M1731" s="1">
        <v>5</v>
      </c>
      <c r="N1731" s="1" t="s">
        <v>4342</v>
      </c>
    </row>
    <row r="1732" spans="1:14" x14ac:dyDescent="0.15">
      <c r="A1732" s="1">
        <v>220</v>
      </c>
      <c r="B1732" s="1" t="s">
        <v>2886</v>
      </c>
      <c r="C1732" s="1" t="s">
        <v>3037</v>
      </c>
      <c r="D1732" s="1" t="s">
        <v>3038</v>
      </c>
      <c r="E1732" s="1" t="s">
        <v>3037</v>
      </c>
      <c r="F1732" s="1" t="s">
        <v>3038</v>
      </c>
      <c r="G1732" s="1" t="s">
        <v>3039</v>
      </c>
      <c r="H1732" s="1" t="s">
        <v>3038</v>
      </c>
      <c r="I1732" s="1" t="s">
        <v>8379</v>
      </c>
      <c r="J1732" s="1" t="s">
        <v>4939</v>
      </c>
      <c r="K1732" s="1">
        <v>4</v>
      </c>
      <c r="L1732" s="1" t="s">
        <v>4342</v>
      </c>
      <c r="M1732" s="1">
        <v>5</v>
      </c>
      <c r="N1732" s="1" t="s">
        <v>4342</v>
      </c>
    </row>
    <row r="1733" spans="1:14" x14ac:dyDescent="0.15">
      <c r="A1733" s="1">
        <v>220</v>
      </c>
      <c r="B1733" s="1" t="s">
        <v>2886</v>
      </c>
      <c r="C1733" s="1" t="s">
        <v>3037</v>
      </c>
      <c r="D1733" s="1" t="s">
        <v>3038</v>
      </c>
      <c r="E1733" s="1" t="s">
        <v>3037</v>
      </c>
      <c r="F1733" s="1" t="s">
        <v>3038</v>
      </c>
      <c r="G1733" s="1" t="s">
        <v>3039</v>
      </c>
      <c r="H1733" s="1" t="s">
        <v>3038</v>
      </c>
      <c r="I1733" s="1" t="s">
        <v>8382</v>
      </c>
      <c r="J1733" s="1" t="s">
        <v>4455</v>
      </c>
      <c r="K1733" s="1">
        <v>4</v>
      </c>
      <c r="L1733" s="1" t="s">
        <v>4342</v>
      </c>
      <c r="M1733" s="1">
        <v>5</v>
      </c>
      <c r="N1733" s="1" t="s">
        <v>4342</v>
      </c>
    </row>
    <row r="1734" spans="1:14" x14ac:dyDescent="0.15">
      <c r="A1734" s="1">
        <v>220</v>
      </c>
      <c r="B1734" s="1" t="s">
        <v>2886</v>
      </c>
      <c r="C1734" s="1" t="s">
        <v>3037</v>
      </c>
      <c r="D1734" s="1" t="s">
        <v>3038</v>
      </c>
      <c r="E1734" s="1" t="s">
        <v>3037</v>
      </c>
      <c r="F1734" s="1" t="s">
        <v>3038</v>
      </c>
      <c r="G1734" s="1" t="s">
        <v>3039</v>
      </c>
      <c r="H1734" s="1" t="s">
        <v>3038</v>
      </c>
      <c r="I1734" s="1" t="s">
        <v>14062</v>
      </c>
      <c r="J1734" s="1" t="s">
        <v>3047</v>
      </c>
      <c r="K1734" s="1">
        <v>4</v>
      </c>
      <c r="L1734" s="1" t="s">
        <v>4342</v>
      </c>
      <c r="M1734" s="1">
        <v>5</v>
      </c>
      <c r="N1734" s="1" t="s">
        <v>4342</v>
      </c>
    </row>
    <row r="1735" spans="1:14" x14ac:dyDescent="0.15">
      <c r="A1735" s="1">
        <v>220</v>
      </c>
      <c r="B1735" s="1" t="s">
        <v>2886</v>
      </c>
      <c r="C1735" s="1" t="s">
        <v>3037</v>
      </c>
      <c r="D1735" s="1" t="s">
        <v>3038</v>
      </c>
      <c r="E1735" s="1" t="s">
        <v>3037</v>
      </c>
      <c r="F1735" s="1" t="s">
        <v>3038</v>
      </c>
      <c r="G1735" s="1" t="s">
        <v>3039</v>
      </c>
      <c r="H1735" s="1" t="s">
        <v>3038</v>
      </c>
      <c r="I1735" s="1" t="s">
        <v>14070</v>
      </c>
      <c r="J1735" s="1" t="s">
        <v>14071</v>
      </c>
      <c r="K1735" s="1">
        <v>4</v>
      </c>
      <c r="L1735" s="1" t="s">
        <v>4342</v>
      </c>
      <c r="M1735" s="1">
        <v>5</v>
      </c>
      <c r="N1735" s="1" t="s">
        <v>4342</v>
      </c>
    </row>
    <row r="1736" spans="1:14" x14ac:dyDescent="0.15">
      <c r="A1736" s="1">
        <v>220</v>
      </c>
      <c r="B1736" s="1" t="s">
        <v>2886</v>
      </c>
      <c r="C1736" s="1" t="s">
        <v>3037</v>
      </c>
      <c r="D1736" s="1" t="s">
        <v>3038</v>
      </c>
      <c r="E1736" s="1" t="s">
        <v>3037</v>
      </c>
      <c r="F1736" s="1" t="s">
        <v>3038</v>
      </c>
      <c r="G1736" s="1" t="s">
        <v>3039</v>
      </c>
      <c r="H1736" s="1" t="s">
        <v>3038</v>
      </c>
      <c r="I1736" s="1" t="s">
        <v>14074</v>
      </c>
      <c r="J1736" s="1" t="s">
        <v>3048</v>
      </c>
      <c r="K1736" s="1">
        <v>4</v>
      </c>
      <c r="L1736" s="1" t="s">
        <v>4342</v>
      </c>
      <c r="M1736" s="1">
        <v>5</v>
      </c>
      <c r="N1736" s="1" t="s">
        <v>4342</v>
      </c>
    </row>
    <row r="1737" spans="1:14" x14ac:dyDescent="0.15">
      <c r="A1737" s="1">
        <v>220</v>
      </c>
      <c r="B1737" s="1" t="s">
        <v>2886</v>
      </c>
      <c r="C1737" s="1" t="s">
        <v>3037</v>
      </c>
      <c r="D1737" s="1" t="s">
        <v>3038</v>
      </c>
      <c r="E1737" s="1" t="s">
        <v>3037</v>
      </c>
      <c r="F1737" s="1" t="s">
        <v>3038</v>
      </c>
      <c r="G1737" s="1" t="s">
        <v>3039</v>
      </c>
      <c r="H1737" s="1" t="s">
        <v>3038</v>
      </c>
      <c r="I1737" s="1" t="s">
        <v>14078</v>
      </c>
      <c r="J1737" s="1" t="s">
        <v>14079</v>
      </c>
      <c r="K1737" s="1">
        <v>4</v>
      </c>
      <c r="L1737" s="1" t="s">
        <v>4342</v>
      </c>
      <c r="M1737" s="1">
        <v>5</v>
      </c>
      <c r="N1737" s="1" t="s">
        <v>4342</v>
      </c>
    </row>
    <row r="1738" spans="1:14" x14ac:dyDescent="0.15">
      <c r="A1738" s="1">
        <v>220</v>
      </c>
      <c r="B1738" s="1" t="s">
        <v>2886</v>
      </c>
      <c r="C1738" s="1" t="s">
        <v>3037</v>
      </c>
      <c r="D1738" s="1" t="s">
        <v>3038</v>
      </c>
      <c r="E1738" s="1" t="s">
        <v>3037</v>
      </c>
      <c r="F1738" s="1" t="s">
        <v>3038</v>
      </c>
      <c r="G1738" s="1" t="s">
        <v>3039</v>
      </c>
      <c r="H1738" s="1" t="s">
        <v>3038</v>
      </c>
      <c r="I1738" s="1" t="s">
        <v>14082</v>
      </c>
      <c r="J1738" s="1" t="s">
        <v>14083</v>
      </c>
      <c r="K1738" s="1">
        <v>4</v>
      </c>
      <c r="L1738" s="1" t="s">
        <v>4342</v>
      </c>
      <c r="M1738" s="1">
        <v>5</v>
      </c>
      <c r="N1738" s="1" t="s">
        <v>4342</v>
      </c>
    </row>
    <row r="1739" spans="1:14" x14ac:dyDescent="0.15">
      <c r="A1739" s="1">
        <v>220</v>
      </c>
      <c r="B1739" s="1" t="s">
        <v>2886</v>
      </c>
      <c r="C1739" s="1" t="s">
        <v>3037</v>
      </c>
      <c r="D1739" s="1" t="s">
        <v>3038</v>
      </c>
      <c r="E1739" s="1" t="s">
        <v>3037</v>
      </c>
      <c r="F1739" s="1" t="s">
        <v>3038</v>
      </c>
      <c r="G1739" s="1" t="s">
        <v>3039</v>
      </c>
      <c r="H1739" s="1" t="s">
        <v>3038</v>
      </c>
      <c r="I1739" s="1" t="s">
        <v>14090</v>
      </c>
      <c r="J1739" s="1" t="s">
        <v>4960</v>
      </c>
      <c r="K1739" s="1">
        <v>4</v>
      </c>
      <c r="L1739" s="1" t="s">
        <v>4342</v>
      </c>
      <c r="M1739" s="1">
        <v>5</v>
      </c>
      <c r="N1739" s="1" t="s">
        <v>4342</v>
      </c>
    </row>
    <row r="1740" spans="1:14" x14ac:dyDescent="0.15">
      <c r="A1740" s="1">
        <v>220</v>
      </c>
      <c r="B1740" s="1" t="s">
        <v>2886</v>
      </c>
      <c r="C1740" s="1" t="s">
        <v>3037</v>
      </c>
      <c r="D1740" s="1" t="s">
        <v>3038</v>
      </c>
      <c r="E1740" s="1" t="s">
        <v>3037</v>
      </c>
      <c r="F1740" s="1" t="s">
        <v>3038</v>
      </c>
      <c r="G1740" s="1" t="s">
        <v>3039</v>
      </c>
      <c r="H1740" s="1" t="s">
        <v>3038</v>
      </c>
      <c r="I1740" s="1" t="s">
        <v>14094</v>
      </c>
      <c r="J1740" s="1" t="s">
        <v>4961</v>
      </c>
      <c r="K1740" s="1">
        <v>4</v>
      </c>
      <c r="L1740" s="1" t="s">
        <v>4342</v>
      </c>
      <c r="M1740" s="1">
        <v>5</v>
      </c>
      <c r="N1740" s="1" t="s">
        <v>4342</v>
      </c>
    </row>
    <row r="1741" spans="1:14" x14ac:dyDescent="0.15">
      <c r="A1741" s="1">
        <v>220</v>
      </c>
      <c r="B1741" s="1" t="s">
        <v>2886</v>
      </c>
      <c r="C1741" s="1" t="s">
        <v>3037</v>
      </c>
      <c r="D1741" s="1" t="s">
        <v>3038</v>
      </c>
      <c r="E1741" s="1" t="s">
        <v>3037</v>
      </c>
      <c r="F1741" s="1" t="s">
        <v>3038</v>
      </c>
      <c r="G1741" s="1" t="s">
        <v>3039</v>
      </c>
      <c r="H1741" s="1" t="s">
        <v>3038</v>
      </c>
      <c r="I1741" s="1" t="s">
        <v>14098</v>
      </c>
      <c r="J1741" s="1" t="s">
        <v>14099</v>
      </c>
      <c r="K1741" s="1">
        <v>4</v>
      </c>
      <c r="L1741" s="1" t="s">
        <v>4342</v>
      </c>
      <c r="M1741" s="1">
        <v>5</v>
      </c>
      <c r="N1741" s="1" t="s">
        <v>4342</v>
      </c>
    </row>
    <row r="1742" spans="1:14" x14ac:dyDescent="0.15">
      <c r="A1742" s="1">
        <v>220</v>
      </c>
      <c r="B1742" s="1" t="s">
        <v>2886</v>
      </c>
      <c r="C1742" s="1" t="s">
        <v>3037</v>
      </c>
      <c r="D1742" s="1" t="s">
        <v>3038</v>
      </c>
      <c r="E1742" s="1" t="s">
        <v>3037</v>
      </c>
      <c r="F1742" s="1" t="s">
        <v>3038</v>
      </c>
      <c r="G1742" s="1" t="s">
        <v>3039</v>
      </c>
      <c r="H1742" s="1" t="s">
        <v>3038</v>
      </c>
      <c r="I1742" s="1" t="s">
        <v>14102</v>
      </c>
      <c r="J1742" s="1" t="s">
        <v>14103</v>
      </c>
      <c r="K1742" s="1">
        <v>4</v>
      </c>
      <c r="L1742" s="1" t="s">
        <v>4342</v>
      </c>
      <c r="M1742" s="1">
        <v>5</v>
      </c>
      <c r="N1742" s="1" t="s">
        <v>4342</v>
      </c>
    </row>
    <row r="1743" spans="1:14" x14ac:dyDescent="0.15">
      <c r="A1743" s="1">
        <v>220</v>
      </c>
      <c r="B1743" s="1" t="s">
        <v>2886</v>
      </c>
      <c r="C1743" s="1" t="s">
        <v>3037</v>
      </c>
      <c r="D1743" s="1" t="s">
        <v>3038</v>
      </c>
      <c r="E1743" s="1" t="s">
        <v>3037</v>
      </c>
      <c r="F1743" s="1" t="s">
        <v>3038</v>
      </c>
      <c r="G1743" s="1" t="s">
        <v>3039</v>
      </c>
      <c r="H1743" s="1" t="s">
        <v>3038</v>
      </c>
      <c r="I1743" s="1" t="s">
        <v>14110</v>
      </c>
      <c r="J1743" s="1" t="s">
        <v>4963</v>
      </c>
      <c r="K1743" s="1">
        <v>4</v>
      </c>
      <c r="L1743" s="1" t="s">
        <v>4342</v>
      </c>
      <c r="M1743" s="1">
        <v>5</v>
      </c>
      <c r="N1743" s="1" t="s">
        <v>4342</v>
      </c>
    </row>
    <row r="1744" spans="1:14" x14ac:dyDescent="0.15">
      <c r="A1744" s="1">
        <v>220</v>
      </c>
      <c r="B1744" s="1" t="s">
        <v>2886</v>
      </c>
      <c r="C1744" s="1" t="s">
        <v>3037</v>
      </c>
      <c r="D1744" s="1" t="s">
        <v>3038</v>
      </c>
      <c r="E1744" s="1" t="s">
        <v>3037</v>
      </c>
      <c r="F1744" s="1" t="s">
        <v>3038</v>
      </c>
      <c r="G1744" s="1" t="s">
        <v>3039</v>
      </c>
      <c r="H1744" s="1" t="s">
        <v>3038</v>
      </c>
      <c r="I1744" s="1" t="s">
        <v>14114</v>
      </c>
      <c r="J1744" s="1" t="s">
        <v>14115</v>
      </c>
      <c r="K1744" s="1">
        <v>4</v>
      </c>
      <c r="L1744" s="1" t="s">
        <v>4342</v>
      </c>
      <c r="M1744" s="1">
        <v>5</v>
      </c>
      <c r="N1744" s="1" t="s">
        <v>4342</v>
      </c>
    </row>
    <row r="1745" spans="1:14" x14ac:dyDescent="0.15">
      <c r="A1745" s="1">
        <v>220</v>
      </c>
      <c r="B1745" s="1" t="s">
        <v>2886</v>
      </c>
      <c r="C1745" s="1" t="s">
        <v>3037</v>
      </c>
      <c r="D1745" s="1" t="s">
        <v>3038</v>
      </c>
      <c r="E1745" s="1" t="s">
        <v>3037</v>
      </c>
      <c r="F1745" s="1" t="s">
        <v>3038</v>
      </c>
      <c r="G1745" s="1" t="s">
        <v>3039</v>
      </c>
      <c r="H1745" s="1" t="s">
        <v>3038</v>
      </c>
      <c r="I1745" s="1" t="s">
        <v>14118</v>
      </c>
      <c r="J1745" s="1" t="s">
        <v>14119</v>
      </c>
      <c r="K1745" s="1">
        <v>4</v>
      </c>
      <c r="L1745" s="1" t="s">
        <v>4342</v>
      </c>
      <c r="M1745" s="1">
        <v>5</v>
      </c>
      <c r="N1745" s="1" t="s">
        <v>4342</v>
      </c>
    </row>
    <row r="1746" spans="1:14" x14ac:dyDescent="0.15">
      <c r="A1746" s="1">
        <v>220</v>
      </c>
      <c r="B1746" s="1" t="s">
        <v>2886</v>
      </c>
      <c r="C1746" s="1" t="s">
        <v>3037</v>
      </c>
      <c r="D1746" s="1" t="s">
        <v>3038</v>
      </c>
      <c r="E1746" s="1" t="s">
        <v>3037</v>
      </c>
      <c r="F1746" s="1" t="s">
        <v>3038</v>
      </c>
      <c r="G1746" s="1" t="s">
        <v>3039</v>
      </c>
      <c r="H1746" s="1" t="s">
        <v>3038</v>
      </c>
      <c r="I1746" s="1" t="s">
        <v>14122</v>
      </c>
      <c r="J1746" s="1" t="s">
        <v>14123</v>
      </c>
      <c r="K1746" s="1">
        <v>4</v>
      </c>
      <c r="L1746" s="1" t="s">
        <v>4342</v>
      </c>
      <c r="M1746" s="1">
        <v>5</v>
      </c>
      <c r="N1746" s="1" t="s">
        <v>4342</v>
      </c>
    </row>
    <row r="1747" spans="1:14" x14ac:dyDescent="0.15">
      <c r="A1747" s="1">
        <v>220</v>
      </c>
      <c r="B1747" s="1" t="s">
        <v>2886</v>
      </c>
      <c r="C1747" s="1" t="s">
        <v>3037</v>
      </c>
      <c r="D1747" s="1" t="s">
        <v>3038</v>
      </c>
      <c r="E1747" s="1" t="s">
        <v>3037</v>
      </c>
      <c r="F1747" s="1" t="s">
        <v>3038</v>
      </c>
      <c r="G1747" s="1" t="s">
        <v>3039</v>
      </c>
      <c r="H1747" s="1" t="s">
        <v>3038</v>
      </c>
      <c r="I1747" s="1" t="s">
        <v>14126</v>
      </c>
      <c r="J1747" s="1" t="s">
        <v>14127</v>
      </c>
      <c r="K1747" s="1">
        <v>4</v>
      </c>
      <c r="L1747" s="1" t="s">
        <v>4342</v>
      </c>
      <c r="M1747" s="1">
        <v>5</v>
      </c>
      <c r="N1747" s="1" t="s">
        <v>4342</v>
      </c>
    </row>
    <row r="1748" spans="1:14" x14ac:dyDescent="0.15">
      <c r="A1748" s="1">
        <v>220</v>
      </c>
      <c r="B1748" s="1" t="s">
        <v>2886</v>
      </c>
      <c r="C1748" s="1" t="s">
        <v>3037</v>
      </c>
      <c r="D1748" s="1" t="s">
        <v>3038</v>
      </c>
      <c r="E1748" s="1" t="s">
        <v>3037</v>
      </c>
      <c r="F1748" s="1" t="s">
        <v>3038</v>
      </c>
      <c r="G1748" s="1" t="s">
        <v>3039</v>
      </c>
      <c r="H1748" s="1" t="s">
        <v>3038</v>
      </c>
      <c r="I1748" s="1" t="s">
        <v>14130</v>
      </c>
      <c r="J1748" s="1" t="s">
        <v>14131</v>
      </c>
      <c r="K1748" s="1">
        <v>4</v>
      </c>
      <c r="L1748" s="1" t="s">
        <v>4342</v>
      </c>
      <c r="M1748" s="1">
        <v>5</v>
      </c>
      <c r="N1748" s="1" t="s">
        <v>4342</v>
      </c>
    </row>
    <row r="1749" spans="1:14" x14ac:dyDescent="0.15">
      <c r="A1749" s="1">
        <v>220</v>
      </c>
      <c r="B1749" s="1" t="s">
        <v>2886</v>
      </c>
      <c r="C1749" s="1" t="s">
        <v>3037</v>
      </c>
      <c r="D1749" s="1" t="s">
        <v>3038</v>
      </c>
      <c r="E1749" s="1" t="s">
        <v>3037</v>
      </c>
      <c r="F1749" s="1" t="s">
        <v>3038</v>
      </c>
      <c r="G1749" s="1" t="s">
        <v>3039</v>
      </c>
      <c r="H1749" s="1" t="s">
        <v>3038</v>
      </c>
      <c r="I1749" s="1" t="s">
        <v>14134</v>
      </c>
      <c r="J1749" s="1" t="s">
        <v>14135</v>
      </c>
      <c r="K1749" s="1">
        <v>4</v>
      </c>
      <c r="L1749" s="1" t="s">
        <v>4342</v>
      </c>
      <c r="M1749" s="1">
        <v>5</v>
      </c>
      <c r="N1749" s="1" t="s">
        <v>4342</v>
      </c>
    </row>
    <row r="1750" spans="1:14" x14ac:dyDescent="0.15">
      <c r="A1750" s="1">
        <v>220</v>
      </c>
      <c r="B1750" s="1" t="s">
        <v>2886</v>
      </c>
      <c r="C1750" s="1" t="s">
        <v>3037</v>
      </c>
      <c r="D1750" s="1" t="s">
        <v>3038</v>
      </c>
      <c r="E1750" s="1" t="s">
        <v>3037</v>
      </c>
      <c r="F1750" s="1" t="s">
        <v>3038</v>
      </c>
      <c r="G1750" s="1" t="s">
        <v>3039</v>
      </c>
      <c r="H1750" s="1" t="s">
        <v>3038</v>
      </c>
      <c r="I1750" s="1" t="s">
        <v>14138</v>
      </c>
      <c r="J1750" s="1" t="s">
        <v>14139</v>
      </c>
      <c r="K1750" s="1">
        <v>4</v>
      </c>
      <c r="L1750" s="1" t="s">
        <v>4342</v>
      </c>
      <c r="M1750" s="1">
        <v>5</v>
      </c>
      <c r="N1750" s="1" t="s">
        <v>4342</v>
      </c>
    </row>
    <row r="1751" spans="1:14" x14ac:dyDescent="0.15">
      <c r="A1751" s="1">
        <v>220</v>
      </c>
      <c r="B1751" s="1" t="s">
        <v>2886</v>
      </c>
      <c r="C1751" s="1" t="s">
        <v>3037</v>
      </c>
      <c r="D1751" s="1" t="s">
        <v>3038</v>
      </c>
      <c r="E1751" s="1" t="s">
        <v>3037</v>
      </c>
      <c r="F1751" s="1" t="s">
        <v>3038</v>
      </c>
      <c r="G1751" s="1" t="s">
        <v>3039</v>
      </c>
      <c r="H1751" s="1" t="s">
        <v>3038</v>
      </c>
      <c r="I1751" s="1" t="s">
        <v>14149</v>
      </c>
      <c r="J1751" s="1" t="s">
        <v>3049</v>
      </c>
      <c r="K1751" s="1">
        <v>4</v>
      </c>
      <c r="L1751" s="1" t="s">
        <v>4342</v>
      </c>
      <c r="M1751" s="1">
        <v>5</v>
      </c>
      <c r="N1751" s="1" t="s">
        <v>4342</v>
      </c>
    </row>
    <row r="1752" spans="1:14" x14ac:dyDescent="0.15">
      <c r="A1752" s="1">
        <v>220</v>
      </c>
      <c r="B1752" s="1" t="s">
        <v>2886</v>
      </c>
      <c r="C1752" s="1" t="s">
        <v>3037</v>
      </c>
      <c r="D1752" s="1" t="s">
        <v>3038</v>
      </c>
      <c r="E1752" s="1" t="s">
        <v>3037</v>
      </c>
      <c r="F1752" s="1" t="s">
        <v>3038</v>
      </c>
      <c r="G1752" s="1" t="s">
        <v>3039</v>
      </c>
      <c r="H1752" s="1" t="s">
        <v>3038</v>
      </c>
      <c r="I1752" s="1" t="s">
        <v>14153</v>
      </c>
      <c r="J1752" s="1" t="s">
        <v>4972</v>
      </c>
      <c r="K1752" s="1">
        <v>4</v>
      </c>
      <c r="L1752" s="1" t="s">
        <v>4342</v>
      </c>
      <c r="M1752" s="1">
        <v>5</v>
      </c>
      <c r="N1752" s="1" t="s">
        <v>4342</v>
      </c>
    </row>
    <row r="1753" spans="1:14" x14ac:dyDescent="0.15">
      <c r="A1753" s="1">
        <v>220</v>
      </c>
      <c r="B1753" s="1" t="s">
        <v>2886</v>
      </c>
      <c r="C1753" s="1" t="s">
        <v>3037</v>
      </c>
      <c r="D1753" s="1" t="s">
        <v>3038</v>
      </c>
      <c r="E1753" s="1" t="s">
        <v>3037</v>
      </c>
      <c r="F1753" s="1" t="s">
        <v>3038</v>
      </c>
      <c r="G1753" s="1" t="s">
        <v>3039</v>
      </c>
      <c r="H1753" s="1" t="s">
        <v>3038</v>
      </c>
      <c r="I1753" s="1" t="s">
        <v>14157</v>
      </c>
      <c r="J1753" s="1" t="s">
        <v>14158</v>
      </c>
      <c r="K1753" s="1">
        <v>4</v>
      </c>
      <c r="L1753" s="1" t="s">
        <v>4342</v>
      </c>
      <c r="M1753" s="1">
        <v>5</v>
      </c>
      <c r="N1753" s="1" t="s">
        <v>4342</v>
      </c>
    </row>
    <row r="1754" spans="1:14" x14ac:dyDescent="0.15">
      <c r="A1754" s="1">
        <v>220</v>
      </c>
      <c r="B1754" s="1" t="s">
        <v>2886</v>
      </c>
      <c r="C1754" s="1" t="s">
        <v>3037</v>
      </c>
      <c r="D1754" s="1" t="s">
        <v>3038</v>
      </c>
      <c r="E1754" s="1" t="s">
        <v>3037</v>
      </c>
      <c r="F1754" s="1" t="s">
        <v>3038</v>
      </c>
      <c r="G1754" s="1" t="s">
        <v>3039</v>
      </c>
      <c r="H1754" s="1" t="s">
        <v>3038</v>
      </c>
      <c r="I1754" s="1" t="s">
        <v>14161</v>
      </c>
      <c r="J1754" s="1" t="s">
        <v>14162</v>
      </c>
      <c r="K1754" s="1">
        <v>4</v>
      </c>
      <c r="L1754" s="1" t="s">
        <v>4342</v>
      </c>
      <c r="M1754" s="1">
        <v>5</v>
      </c>
      <c r="N1754" s="1" t="s">
        <v>4342</v>
      </c>
    </row>
    <row r="1755" spans="1:14" x14ac:dyDescent="0.15">
      <c r="A1755" s="1">
        <v>220</v>
      </c>
      <c r="B1755" s="1" t="s">
        <v>2886</v>
      </c>
      <c r="C1755" s="1" t="s">
        <v>3037</v>
      </c>
      <c r="D1755" s="1" t="s">
        <v>3038</v>
      </c>
      <c r="E1755" s="1" t="s">
        <v>3037</v>
      </c>
      <c r="F1755" s="1" t="s">
        <v>3038</v>
      </c>
      <c r="G1755" s="1" t="s">
        <v>3039</v>
      </c>
      <c r="H1755" s="1" t="s">
        <v>3038</v>
      </c>
      <c r="I1755" s="1" t="s">
        <v>14165</v>
      </c>
      <c r="J1755" s="1" t="s">
        <v>4942</v>
      </c>
      <c r="K1755" s="1">
        <v>4</v>
      </c>
      <c r="L1755" s="1" t="s">
        <v>4342</v>
      </c>
      <c r="M1755" s="1">
        <v>5</v>
      </c>
      <c r="N1755" s="1" t="s">
        <v>4342</v>
      </c>
    </row>
    <row r="1756" spans="1:14" x14ac:dyDescent="0.15">
      <c r="A1756" s="1">
        <v>220</v>
      </c>
      <c r="B1756" s="1" t="s">
        <v>2886</v>
      </c>
      <c r="C1756" s="1" t="s">
        <v>3037</v>
      </c>
      <c r="D1756" s="1" t="s">
        <v>3038</v>
      </c>
      <c r="E1756" s="1" t="s">
        <v>3037</v>
      </c>
      <c r="F1756" s="1" t="s">
        <v>3038</v>
      </c>
      <c r="G1756" s="1" t="s">
        <v>3039</v>
      </c>
      <c r="H1756" s="1" t="s">
        <v>3038</v>
      </c>
      <c r="I1756" s="1" t="s">
        <v>14169</v>
      </c>
      <c r="J1756" s="1" t="s">
        <v>3050</v>
      </c>
      <c r="K1756" s="1">
        <v>4</v>
      </c>
      <c r="L1756" s="1" t="s">
        <v>4342</v>
      </c>
      <c r="M1756" s="1">
        <v>5</v>
      </c>
      <c r="N1756" s="1" t="s">
        <v>4342</v>
      </c>
    </row>
    <row r="1757" spans="1:14" x14ac:dyDescent="0.15">
      <c r="A1757" s="1">
        <v>220</v>
      </c>
      <c r="B1757" s="1" t="s">
        <v>2886</v>
      </c>
      <c r="C1757" s="1" t="s">
        <v>3037</v>
      </c>
      <c r="D1757" s="1" t="s">
        <v>3038</v>
      </c>
      <c r="E1757" s="1" t="s">
        <v>3037</v>
      </c>
      <c r="F1757" s="1" t="s">
        <v>3038</v>
      </c>
      <c r="G1757" s="1" t="s">
        <v>3039</v>
      </c>
      <c r="H1757" s="1" t="s">
        <v>3038</v>
      </c>
      <c r="I1757" s="1" t="s">
        <v>14173</v>
      </c>
      <c r="J1757" s="1" t="s">
        <v>3051</v>
      </c>
      <c r="K1757" s="1">
        <v>4</v>
      </c>
      <c r="L1757" s="1" t="s">
        <v>4342</v>
      </c>
      <c r="M1757" s="1">
        <v>5</v>
      </c>
      <c r="N1757" s="1" t="s">
        <v>4342</v>
      </c>
    </row>
    <row r="1758" spans="1:14" x14ac:dyDescent="0.15">
      <c r="A1758" s="1">
        <v>220</v>
      </c>
      <c r="B1758" s="1" t="s">
        <v>2886</v>
      </c>
      <c r="C1758" s="1" t="s">
        <v>3037</v>
      </c>
      <c r="D1758" s="1" t="s">
        <v>3038</v>
      </c>
      <c r="E1758" s="1" t="s">
        <v>3037</v>
      </c>
      <c r="F1758" s="1" t="s">
        <v>3038</v>
      </c>
      <c r="G1758" s="1" t="s">
        <v>3039</v>
      </c>
      <c r="H1758" s="1" t="s">
        <v>3038</v>
      </c>
      <c r="I1758" s="1" t="s">
        <v>14177</v>
      </c>
      <c r="J1758" s="1" t="s">
        <v>3052</v>
      </c>
      <c r="K1758" s="1">
        <v>4</v>
      </c>
      <c r="L1758" s="1" t="s">
        <v>4342</v>
      </c>
      <c r="M1758" s="1">
        <v>5</v>
      </c>
      <c r="N1758" s="1" t="s">
        <v>4342</v>
      </c>
    </row>
    <row r="1759" spans="1:14" x14ac:dyDescent="0.15">
      <c r="A1759" s="1">
        <v>220</v>
      </c>
      <c r="B1759" s="1" t="s">
        <v>2886</v>
      </c>
      <c r="C1759" s="1" t="s">
        <v>3037</v>
      </c>
      <c r="D1759" s="1" t="s">
        <v>3038</v>
      </c>
      <c r="E1759" s="1" t="s">
        <v>3037</v>
      </c>
      <c r="F1759" s="1" t="s">
        <v>3038</v>
      </c>
      <c r="G1759" s="1" t="s">
        <v>3039</v>
      </c>
      <c r="H1759" s="1" t="s">
        <v>3038</v>
      </c>
      <c r="I1759" s="1" t="s">
        <v>8439</v>
      </c>
      <c r="J1759" s="1" t="s">
        <v>3053</v>
      </c>
      <c r="K1759" s="1">
        <v>4</v>
      </c>
      <c r="L1759" s="1" t="s">
        <v>4342</v>
      </c>
      <c r="M1759" s="1">
        <v>5</v>
      </c>
      <c r="N1759" s="1" t="s">
        <v>4342</v>
      </c>
    </row>
    <row r="1760" spans="1:14" x14ac:dyDescent="0.15">
      <c r="A1760" s="1">
        <v>220</v>
      </c>
      <c r="B1760" s="1" t="s">
        <v>2886</v>
      </c>
      <c r="C1760" s="1" t="s">
        <v>3037</v>
      </c>
      <c r="D1760" s="1" t="s">
        <v>3038</v>
      </c>
      <c r="E1760" s="1" t="s">
        <v>3037</v>
      </c>
      <c r="F1760" s="1" t="s">
        <v>3038</v>
      </c>
      <c r="G1760" s="1" t="s">
        <v>3039</v>
      </c>
      <c r="H1760" s="1" t="s">
        <v>3038</v>
      </c>
      <c r="I1760" s="1" t="s">
        <v>8442</v>
      </c>
      <c r="J1760" s="1" t="s">
        <v>3054</v>
      </c>
      <c r="K1760" s="1">
        <v>4</v>
      </c>
      <c r="L1760" s="1" t="s">
        <v>4342</v>
      </c>
      <c r="M1760" s="1">
        <v>5</v>
      </c>
      <c r="N1760" s="1" t="s">
        <v>4342</v>
      </c>
    </row>
    <row r="1761" spans="1:14" x14ac:dyDescent="0.15">
      <c r="A1761" s="1">
        <v>220</v>
      </c>
      <c r="B1761" s="1" t="s">
        <v>2886</v>
      </c>
      <c r="C1761" s="1" t="s">
        <v>3037</v>
      </c>
      <c r="D1761" s="1" t="s">
        <v>3038</v>
      </c>
      <c r="E1761" s="1" t="s">
        <v>3037</v>
      </c>
      <c r="F1761" s="1" t="s">
        <v>3038</v>
      </c>
      <c r="G1761" s="1" t="s">
        <v>3039</v>
      </c>
      <c r="H1761" s="1" t="s">
        <v>3038</v>
      </c>
      <c r="I1761" s="1" t="s">
        <v>8445</v>
      </c>
      <c r="J1761" s="1" t="s">
        <v>3055</v>
      </c>
      <c r="K1761" s="1">
        <v>4</v>
      </c>
      <c r="L1761" s="1" t="s">
        <v>4342</v>
      </c>
      <c r="M1761" s="1">
        <v>5</v>
      </c>
      <c r="N1761" s="1" t="s">
        <v>4342</v>
      </c>
    </row>
    <row r="1762" spans="1:14" x14ac:dyDescent="0.15">
      <c r="A1762" s="1">
        <v>220</v>
      </c>
      <c r="B1762" s="1" t="s">
        <v>2886</v>
      </c>
      <c r="C1762" s="1" t="s">
        <v>3037</v>
      </c>
      <c r="D1762" s="1" t="s">
        <v>3038</v>
      </c>
      <c r="E1762" s="1" t="s">
        <v>3037</v>
      </c>
      <c r="F1762" s="1" t="s">
        <v>3038</v>
      </c>
      <c r="G1762" s="1" t="s">
        <v>3039</v>
      </c>
      <c r="H1762" s="1" t="s">
        <v>3038</v>
      </c>
      <c r="I1762" s="1" t="s">
        <v>14181</v>
      </c>
      <c r="J1762" s="1" t="s">
        <v>14182</v>
      </c>
      <c r="K1762" s="1">
        <v>4</v>
      </c>
      <c r="L1762" s="1" t="s">
        <v>4342</v>
      </c>
      <c r="M1762" s="1">
        <v>5</v>
      </c>
      <c r="N1762" s="1" t="s">
        <v>4342</v>
      </c>
    </row>
    <row r="1763" spans="1:14" x14ac:dyDescent="0.15">
      <c r="A1763" s="1">
        <v>220</v>
      </c>
      <c r="B1763" s="1" t="s">
        <v>2886</v>
      </c>
      <c r="C1763" s="1" t="s">
        <v>3037</v>
      </c>
      <c r="D1763" s="1" t="s">
        <v>3038</v>
      </c>
      <c r="E1763" s="1" t="s">
        <v>3037</v>
      </c>
      <c r="F1763" s="1" t="s">
        <v>3038</v>
      </c>
      <c r="G1763" s="1" t="s">
        <v>3039</v>
      </c>
      <c r="H1763" s="1" t="s">
        <v>3038</v>
      </c>
      <c r="I1763" s="1" t="s">
        <v>14189</v>
      </c>
      <c r="J1763" s="1" t="s">
        <v>14186</v>
      </c>
      <c r="K1763" s="1">
        <v>4</v>
      </c>
      <c r="L1763" s="1" t="s">
        <v>4342</v>
      </c>
      <c r="M1763" s="1">
        <v>5</v>
      </c>
      <c r="N1763" s="1" t="s">
        <v>4342</v>
      </c>
    </row>
    <row r="1764" spans="1:14" x14ac:dyDescent="0.15">
      <c r="A1764" s="1">
        <v>220</v>
      </c>
      <c r="B1764" s="1" t="s">
        <v>2886</v>
      </c>
      <c r="C1764" s="1" t="s">
        <v>3056</v>
      </c>
      <c r="D1764" s="1" t="s">
        <v>3057</v>
      </c>
      <c r="E1764" s="1" t="s">
        <v>3056</v>
      </c>
      <c r="F1764" s="1" t="s">
        <v>3057</v>
      </c>
      <c r="G1764" s="1" t="s">
        <v>3058</v>
      </c>
      <c r="H1764" s="1" t="s">
        <v>3057</v>
      </c>
      <c r="I1764" s="1" t="s">
        <v>17725</v>
      </c>
      <c r="J1764" s="1" t="s">
        <v>3059</v>
      </c>
      <c r="K1764" s="1">
        <v>4</v>
      </c>
      <c r="L1764" s="1" t="s">
        <v>4342</v>
      </c>
      <c r="M1764" s="1">
        <v>5</v>
      </c>
      <c r="N1764" s="1" t="s">
        <v>4342</v>
      </c>
    </row>
    <row r="1765" spans="1:14" x14ac:dyDescent="0.15">
      <c r="A1765" s="1">
        <v>220</v>
      </c>
      <c r="B1765" s="1" t="s">
        <v>2886</v>
      </c>
      <c r="C1765" s="1" t="s">
        <v>3056</v>
      </c>
      <c r="D1765" s="1" t="s">
        <v>3057</v>
      </c>
      <c r="E1765" s="1" t="s">
        <v>3056</v>
      </c>
      <c r="F1765" s="1" t="s">
        <v>3057</v>
      </c>
      <c r="G1765" s="1" t="s">
        <v>3058</v>
      </c>
      <c r="H1765" s="1" t="s">
        <v>3057</v>
      </c>
      <c r="I1765" s="1" t="s">
        <v>11485</v>
      </c>
      <c r="J1765" s="1" t="s">
        <v>3060</v>
      </c>
      <c r="K1765" s="1">
        <v>4</v>
      </c>
      <c r="L1765" s="1" t="s">
        <v>4342</v>
      </c>
      <c r="M1765" s="1">
        <v>5</v>
      </c>
      <c r="N1765" s="1" t="s">
        <v>4342</v>
      </c>
    </row>
    <row r="1766" spans="1:14" x14ac:dyDescent="0.15">
      <c r="A1766" s="1">
        <v>220</v>
      </c>
      <c r="B1766" s="1" t="s">
        <v>2886</v>
      </c>
      <c r="C1766" s="1" t="s">
        <v>3056</v>
      </c>
      <c r="D1766" s="1" t="s">
        <v>3057</v>
      </c>
      <c r="E1766" s="1" t="s">
        <v>3056</v>
      </c>
      <c r="F1766" s="1" t="s">
        <v>3057</v>
      </c>
      <c r="G1766" s="1" t="s">
        <v>3058</v>
      </c>
      <c r="H1766" s="1" t="s">
        <v>3057</v>
      </c>
      <c r="I1766" s="1" t="s">
        <v>17739</v>
      </c>
      <c r="J1766" s="1" t="s">
        <v>17740</v>
      </c>
      <c r="K1766" s="1">
        <v>4</v>
      </c>
      <c r="L1766" s="1" t="s">
        <v>4342</v>
      </c>
      <c r="M1766" s="1">
        <v>5</v>
      </c>
      <c r="N1766" s="1" t="s">
        <v>4342</v>
      </c>
    </row>
    <row r="1767" spans="1:14" x14ac:dyDescent="0.15">
      <c r="A1767" s="1">
        <v>220</v>
      </c>
      <c r="B1767" s="1" t="s">
        <v>2886</v>
      </c>
      <c r="C1767" s="1" t="s">
        <v>3056</v>
      </c>
      <c r="D1767" s="1" t="s">
        <v>3057</v>
      </c>
      <c r="E1767" s="1" t="s">
        <v>3056</v>
      </c>
      <c r="F1767" s="1" t="s">
        <v>3057</v>
      </c>
      <c r="G1767" s="1" t="s">
        <v>3058</v>
      </c>
      <c r="H1767" s="1" t="s">
        <v>3057</v>
      </c>
      <c r="I1767" s="1" t="s">
        <v>17743</v>
      </c>
      <c r="J1767" s="1" t="s">
        <v>17744</v>
      </c>
      <c r="K1767" s="1">
        <v>4</v>
      </c>
      <c r="L1767" s="1" t="s">
        <v>4342</v>
      </c>
      <c r="M1767" s="1">
        <v>5</v>
      </c>
      <c r="N1767" s="1" t="s">
        <v>4342</v>
      </c>
    </row>
    <row r="1768" spans="1:14" x14ac:dyDescent="0.15">
      <c r="A1768" s="1">
        <v>220</v>
      </c>
      <c r="B1768" s="1" t="s">
        <v>2886</v>
      </c>
      <c r="C1768" s="1" t="s">
        <v>3056</v>
      </c>
      <c r="D1768" s="1" t="s">
        <v>3057</v>
      </c>
      <c r="E1768" s="1" t="s">
        <v>3056</v>
      </c>
      <c r="F1768" s="1" t="s">
        <v>3057</v>
      </c>
      <c r="G1768" s="1" t="s">
        <v>3058</v>
      </c>
      <c r="H1768" s="1" t="s">
        <v>3057</v>
      </c>
      <c r="I1768" s="1" t="s">
        <v>17751</v>
      </c>
      <c r="J1768" s="1" t="s">
        <v>6768</v>
      </c>
      <c r="K1768" s="1">
        <v>4</v>
      </c>
      <c r="L1768" s="1" t="s">
        <v>4342</v>
      </c>
      <c r="M1768" s="1">
        <v>5</v>
      </c>
      <c r="N1768" s="1" t="s">
        <v>4342</v>
      </c>
    </row>
    <row r="1769" spans="1:14" x14ac:dyDescent="0.15">
      <c r="A1769" s="1">
        <v>220</v>
      </c>
      <c r="B1769" s="1" t="s">
        <v>2886</v>
      </c>
      <c r="C1769" s="1" t="s">
        <v>3056</v>
      </c>
      <c r="D1769" s="1" t="s">
        <v>3057</v>
      </c>
      <c r="E1769" s="1" t="s">
        <v>3056</v>
      </c>
      <c r="F1769" s="1" t="s">
        <v>3057</v>
      </c>
      <c r="G1769" s="1" t="s">
        <v>3058</v>
      </c>
      <c r="H1769" s="1" t="s">
        <v>3057</v>
      </c>
      <c r="I1769" s="1" t="s">
        <v>17766</v>
      </c>
      <c r="J1769" s="1" t="s">
        <v>3061</v>
      </c>
      <c r="K1769" s="1">
        <v>4</v>
      </c>
      <c r="L1769" s="1" t="s">
        <v>4342</v>
      </c>
      <c r="M1769" s="1">
        <v>5</v>
      </c>
      <c r="N1769" s="1" t="s">
        <v>4342</v>
      </c>
    </row>
    <row r="1770" spans="1:14" x14ac:dyDescent="0.15">
      <c r="A1770" s="1">
        <v>220</v>
      </c>
      <c r="B1770" s="1" t="s">
        <v>2886</v>
      </c>
      <c r="C1770" s="1" t="s">
        <v>3056</v>
      </c>
      <c r="D1770" s="1" t="s">
        <v>3057</v>
      </c>
      <c r="E1770" s="1" t="s">
        <v>3056</v>
      </c>
      <c r="F1770" s="1" t="s">
        <v>3057</v>
      </c>
      <c r="G1770" s="1" t="s">
        <v>3058</v>
      </c>
      <c r="H1770" s="1" t="s">
        <v>3057</v>
      </c>
      <c r="I1770" s="1" t="s">
        <v>10979</v>
      </c>
      <c r="J1770" s="1" t="s">
        <v>3062</v>
      </c>
      <c r="K1770" s="1">
        <v>4</v>
      </c>
      <c r="L1770" s="1" t="s">
        <v>4342</v>
      </c>
      <c r="M1770" s="1">
        <v>5</v>
      </c>
      <c r="N1770" s="1" t="s">
        <v>4342</v>
      </c>
    </row>
    <row r="1771" spans="1:14" x14ac:dyDescent="0.15">
      <c r="A1771" s="1">
        <v>220</v>
      </c>
      <c r="B1771" s="1" t="s">
        <v>2886</v>
      </c>
      <c r="C1771" s="1" t="s">
        <v>3056</v>
      </c>
      <c r="D1771" s="1" t="s">
        <v>3057</v>
      </c>
      <c r="E1771" s="1" t="s">
        <v>3056</v>
      </c>
      <c r="F1771" s="1" t="s">
        <v>3057</v>
      </c>
      <c r="G1771" s="1" t="s">
        <v>3058</v>
      </c>
      <c r="H1771" s="1" t="s">
        <v>3057</v>
      </c>
      <c r="I1771" s="1" t="s">
        <v>10993</v>
      </c>
      <c r="J1771" s="1" t="s">
        <v>4218</v>
      </c>
      <c r="K1771" s="1">
        <v>4</v>
      </c>
      <c r="L1771" s="1" t="s">
        <v>4342</v>
      </c>
      <c r="M1771" s="1">
        <v>5</v>
      </c>
      <c r="N1771" s="1" t="s">
        <v>4342</v>
      </c>
    </row>
    <row r="1772" spans="1:14" x14ac:dyDescent="0.15">
      <c r="A1772" s="1">
        <v>220</v>
      </c>
      <c r="B1772" s="1" t="s">
        <v>2886</v>
      </c>
      <c r="C1772" s="1" t="s">
        <v>3056</v>
      </c>
      <c r="D1772" s="1" t="s">
        <v>3057</v>
      </c>
      <c r="E1772" s="1" t="s">
        <v>3056</v>
      </c>
      <c r="F1772" s="1" t="s">
        <v>3057</v>
      </c>
      <c r="G1772" s="1" t="s">
        <v>3058</v>
      </c>
      <c r="H1772" s="1" t="s">
        <v>3057</v>
      </c>
      <c r="I1772" s="1" t="s">
        <v>10996</v>
      </c>
      <c r="J1772" s="1" t="s">
        <v>4221</v>
      </c>
      <c r="K1772" s="1">
        <v>4</v>
      </c>
      <c r="L1772" s="1" t="s">
        <v>4342</v>
      </c>
      <c r="M1772" s="1">
        <v>5</v>
      </c>
      <c r="N1772" s="1" t="s">
        <v>4342</v>
      </c>
    </row>
    <row r="1773" spans="1:14" x14ac:dyDescent="0.15">
      <c r="A1773" s="1">
        <v>220</v>
      </c>
      <c r="B1773" s="1" t="s">
        <v>2886</v>
      </c>
      <c r="C1773" s="1" t="s">
        <v>3056</v>
      </c>
      <c r="D1773" s="1" t="s">
        <v>3057</v>
      </c>
      <c r="E1773" s="1" t="s">
        <v>3056</v>
      </c>
      <c r="F1773" s="1" t="s">
        <v>3057</v>
      </c>
      <c r="G1773" s="1" t="s">
        <v>3058</v>
      </c>
      <c r="H1773" s="1" t="s">
        <v>3057</v>
      </c>
      <c r="I1773" s="1" t="s">
        <v>11000</v>
      </c>
      <c r="J1773" s="1" t="s">
        <v>3063</v>
      </c>
      <c r="K1773" s="1">
        <v>4</v>
      </c>
      <c r="L1773" s="1" t="s">
        <v>4342</v>
      </c>
      <c r="M1773" s="1">
        <v>5</v>
      </c>
      <c r="N1773" s="1" t="s">
        <v>4342</v>
      </c>
    </row>
    <row r="1774" spans="1:14" x14ac:dyDescent="0.15">
      <c r="A1774" s="1">
        <v>220</v>
      </c>
      <c r="B1774" s="1" t="s">
        <v>2886</v>
      </c>
      <c r="C1774" s="1" t="s">
        <v>3056</v>
      </c>
      <c r="D1774" s="1" t="s">
        <v>3057</v>
      </c>
      <c r="E1774" s="1" t="s">
        <v>3056</v>
      </c>
      <c r="F1774" s="1" t="s">
        <v>3057</v>
      </c>
      <c r="G1774" s="1" t="s">
        <v>3058</v>
      </c>
      <c r="H1774" s="1" t="s">
        <v>3057</v>
      </c>
      <c r="I1774" s="1" t="s">
        <v>11003</v>
      </c>
      <c r="J1774" s="1" t="s">
        <v>2815</v>
      </c>
      <c r="K1774" s="1">
        <v>4</v>
      </c>
      <c r="L1774" s="1" t="s">
        <v>4342</v>
      </c>
      <c r="M1774" s="1">
        <v>5</v>
      </c>
      <c r="N1774" s="1" t="s">
        <v>4342</v>
      </c>
    </row>
    <row r="1775" spans="1:14" x14ac:dyDescent="0.15">
      <c r="A1775" s="1">
        <v>220</v>
      </c>
      <c r="B1775" s="1" t="s">
        <v>2886</v>
      </c>
      <c r="C1775" s="1" t="s">
        <v>3056</v>
      </c>
      <c r="D1775" s="1" t="s">
        <v>3057</v>
      </c>
      <c r="E1775" s="1" t="s">
        <v>3056</v>
      </c>
      <c r="F1775" s="1" t="s">
        <v>3057</v>
      </c>
      <c r="G1775" s="1" t="s">
        <v>3058</v>
      </c>
      <c r="H1775" s="1" t="s">
        <v>3057</v>
      </c>
      <c r="I1775" s="1" t="s">
        <v>17773</v>
      </c>
      <c r="J1775" s="1" t="s">
        <v>3064</v>
      </c>
      <c r="K1775" s="1">
        <v>4</v>
      </c>
      <c r="L1775" s="1" t="s">
        <v>4342</v>
      </c>
      <c r="M1775" s="1">
        <v>5</v>
      </c>
      <c r="N1775" s="1" t="s">
        <v>4342</v>
      </c>
    </row>
    <row r="1776" spans="1:14" x14ac:dyDescent="0.15">
      <c r="A1776" s="1">
        <v>220</v>
      </c>
      <c r="B1776" s="1" t="s">
        <v>2886</v>
      </c>
      <c r="C1776" s="1" t="s">
        <v>3065</v>
      </c>
      <c r="D1776" s="1" t="s">
        <v>3066</v>
      </c>
      <c r="E1776" s="1" t="s">
        <v>3065</v>
      </c>
      <c r="F1776" s="1" t="s">
        <v>3066</v>
      </c>
      <c r="G1776" s="1" t="s">
        <v>3067</v>
      </c>
      <c r="H1776" s="1" t="s">
        <v>3066</v>
      </c>
      <c r="I1776" s="1" t="s">
        <v>10197</v>
      </c>
      <c r="J1776" s="1" t="s">
        <v>15698</v>
      </c>
      <c r="K1776" s="1">
        <v>4</v>
      </c>
      <c r="L1776" s="1" t="s">
        <v>4342</v>
      </c>
      <c r="M1776" s="1">
        <v>5</v>
      </c>
      <c r="N1776" s="1" t="s">
        <v>4342</v>
      </c>
    </row>
    <row r="1777" spans="1:14" x14ac:dyDescent="0.15">
      <c r="A1777" s="1">
        <v>220</v>
      </c>
      <c r="B1777" s="1" t="s">
        <v>2886</v>
      </c>
      <c r="C1777" s="1" t="s">
        <v>3065</v>
      </c>
      <c r="D1777" s="1" t="s">
        <v>3066</v>
      </c>
      <c r="E1777" s="1" t="s">
        <v>3065</v>
      </c>
      <c r="F1777" s="1" t="s">
        <v>3066</v>
      </c>
      <c r="G1777" s="1" t="s">
        <v>3067</v>
      </c>
      <c r="H1777" s="1" t="s">
        <v>3066</v>
      </c>
      <c r="I1777" s="1" t="s">
        <v>15694</v>
      </c>
      <c r="J1777" s="1" t="s">
        <v>15691</v>
      </c>
      <c r="K1777" s="1">
        <v>4</v>
      </c>
      <c r="L1777" s="1" t="s">
        <v>4342</v>
      </c>
      <c r="M1777" s="1">
        <v>5</v>
      </c>
      <c r="N1777" s="1" t="s">
        <v>4342</v>
      </c>
    </row>
    <row r="1778" spans="1:14" x14ac:dyDescent="0.15">
      <c r="A1778" s="1">
        <v>220</v>
      </c>
      <c r="B1778" s="1" t="s">
        <v>2886</v>
      </c>
      <c r="C1778" s="1" t="s">
        <v>3065</v>
      </c>
      <c r="D1778" s="1" t="s">
        <v>3066</v>
      </c>
      <c r="E1778" s="1" t="s">
        <v>3065</v>
      </c>
      <c r="F1778" s="1" t="s">
        <v>3066</v>
      </c>
      <c r="G1778" s="1" t="s">
        <v>3067</v>
      </c>
      <c r="H1778" s="1" t="s">
        <v>3066</v>
      </c>
      <c r="I1778" s="1" t="s">
        <v>15708</v>
      </c>
      <c r="J1778" s="1" t="s">
        <v>15705</v>
      </c>
      <c r="K1778" s="1">
        <v>4</v>
      </c>
      <c r="L1778" s="1" t="s">
        <v>4342</v>
      </c>
      <c r="M1778" s="1">
        <v>5</v>
      </c>
      <c r="N1778" s="1" t="s">
        <v>4342</v>
      </c>
    </row>
    <row r="1779" spans="1:14" x14ac:dyDescent="0.15">
      <c r="A1779" s="1">
        <v>220</v>
      </c>
      <c r="B1779" s="1" t="s">
        <v>2886</v>
      </c>
      <c r="C1779" s="1" t="s">
        <v>3065</v>
      </c>
      <c r="D1779" s="1" t="s">
        <v>3066</v>
      </c>
      <c r="E1779" s="1" t="s">
        <v>3065</v>
      </c>
      <c r="F1779" s="1" t="s">
        <v>3066</v>
      </c>
      <c r="G1779" s="1" t="s">
        <v>3067</v>
      </c>
      <c r="H1779" s="1" t="s">
        <v>3066</v>
      </c>
      <c r="I1779" s="1" t="s">
        <v>15715</v>
      </c>
      <c r="J1779" s="1" t="s">
        <v>12397</v>
      </c>
      <c r="K1779" s="1">
        <v>4</v>
      </c>
      <c r="L1779" s="1" t="s">
        <v>4342</v>
      </c>
      <c r="M1779" s="1">
        <v>5</v>
      </c>
      <c r="N1779" s="1" t="s">
        <v>4342</v>
      </c>
    </row>
    <row r="1780" spans="1:14" x14ac:dyDescent="0.15">
      <c r="A1780" s="1">
        <v>220</v>
      </c>
      <c r="B1780" s="1" t="s">
        <v>2886</v>
      </c>
      <c r="C1780" s="1" t="s">
        <v>3065</v>
      </c>
      <c r="D1780" s="1" t="s">
        <v>3066</v>
      </c>
      <c r="E1780" s="1" t="s">
        <v>3065</v>
      </c>
      <c r="F1780" s="1" t="s">
        <v>3066</v>
      </c>
      <c r="G1780" s="1" t="s">
        <v>3067</v>
      </c>
      <c r="H1780" s="1" t="s">
        <v>3066</v>
      </c>
      <c r="I1780" s="1" t="s">
        <v>15722</v>
      </c>
      <c r="J1780" s="1" t="s">
        <v>15719</v>
      </c>
      <c r="K1780" s="1">
        <v>4</v>
      </c>
      <c r="L1780" s="1" t="s">
        <v>4342</v>
      </c>
      <c r="M1780" s="1">
        <v>5</v>
      </c>
      <c r="N1780" s="1" t="s">
        <v>4342</v>
      </c>
    </row>
    <row r="1781" spans="1:14" x14ac:dyDescent="0.15">
      <c r="A1781" s="1">
        <v>220</v>
      </c>
      <c r="B1781" s="1" t="s">
        <v>2886</v>
      </c>
      <c r="C1781" s="1" t="s">
        <v>3065</v>
      </c>
      <c r="D1781" s="1" t="s">
        <v>3066</v>
      </c>
      <c r="E1781" s="1" t="s">
        <v>3065</v>
      </c>
      <c r="F1781" s="1" t="s">
        <v>3066</v>
      </c>
      <c r="G1781" s="1" t="s">
        <v>3067</v>
      </c>
      <c r="H1781" s="1" t="s">
        <v>3066</v>
      </c>
      <c r="I1781" s="1" t="s">
        <v>11378</v>
      </c>
      <c r="J1781" s="1" t="s">
        <v>3068</v>
      </c>
      <c r="K1781" s="1">
        <v>4</v>
      </c>
      <c r="L1781" s="1" t="s">
        <v>4342</v>
      </c>
      <c r="M1781" s="1">
        <v>5</v>
      </c>
      <c r="N1781" s="1" t="s">
        <v>4342</v>
      </c>
    </row>
    <row r="1782" spans="1:14" x14ac:dyDescent="0.15">
      <c r="A1782" s="1">
        <v>220</v>
      </c>
      <c r="B1782" s="1" t="s">
        <v>2886</v>
      </c>
      <c r="C1782" s="1" t="s">
        <v>3065</v>
      </c>
      <c r="D1782" s="1" t="s">
        <v>3066</v>
      </c>
      <c r="E1782" s="1" t="s">
        <v>3065</v>
      </c>
      <c r="F1782" s="1" t="s">
        <v>3066</v>
      </c>
      <c r="G1782" s="1" t="s">
        <v>3067</v>
      </c>
      <c r="H1782" s="1" t="s">
        <v>3066</v>
      </c>
      <c r="I1782" s="1" t="s">
        <v>15729</v>
      </c>
      <c r="J1782" s="1" t="s">
        <v>15726</v>
      </c>
      <c r="K1782" s="1">
        <v>4</v>
      </c>
      <c r="L1782" s="1" t="s">
        <v>4342</v>
      </c>
      <c r="M1782" s="1">
        <v>5</v>
      </c>
      <c r="N1782" s="1" t="s">
        <v>4342</v>
      </c>
    </row>
    <row r="1783" spans="1:14" x14ac:dyDescent="0.15">
      <c r="A1783" s="1">
        <v>220</v>
      </c>
      <c r="B1783" s="1" t="s">
        <v>2886</v>
      </c>
      <c r="C1783" s="1" t="s">
        <v>3065</v>
      </c>
      <c r="D1783" s="1" t="s">
        <v>3066</v>
      </c>
      <c r="E1783" s="1" t="s">
        <v>3065</v>
      </c>
      <c r="F1783" s="1" t="s">
        <v>3066</v>
      </c>
      <c r="G1783" s="1" t="s">
        <v>3067</v>
      </c>
      <c r="H1783" s="1" t="s">
        <v>3066</v>
      </c>
      <c r="I1783" s="1" t="s">
        <v>15743</v>
      </c>
      <c r="J1783" s="1" t="s">
        <v>3069</v>
      </c>
      <c r="K1783" s="1">
        <v>4</v>
      </c>
      <c r="L1783" s="1" t="s">
        <v>4342</v>
      </c>
      <c r="M1783" s="1">
        <v>5</v>
      </c>
      <c r="N1783" s="1" t="s">
        <v>4342</v>
      </c>
    </row>
    <row r="1784" spans="1:14" x14ac:dyDescent="0.15">
      <c r="A1784" s="1">
        <v>220</v>
      </c>
      <c r="B1784" s="1" t="s">
        <v>2886</v>
      </c>
      <c r="C1784" s="1" t="s">
        <v>3065</v>
      </c>
      <c r="D1784" s="1" t="s">
        <v>3066</v>
      </c>
      <c r="E1784" s="1" t="s">
        <v>3065</v>
      </c>
      <c r="F1784" s="1" t="s">
        <v>3066</v>
      </c>
      <c r="G1784" s="1" t="s">
        <v>3067</v>
      </c>
      <c r="H1784" s="1" t="s">
        <v>3066</v>
      </c>
      <c r="I1784" s="1" t="s">
        <v>15750</v>
      </c>
      <c r="J1784" s="1" t="s">
        <v>15747</v>
      </c>
      <c r="K1784" s="1">
        <v>4</v>
      </c>
      <c r="L1784" s="1" t="s">
        <v>4342</v>
      </c>
      <c r="M1784" s="1">
        <v>5</v>
      </c>
      <c r="N1784" s="1" t="s">
        <v>4342</v>
      </c>
    </row>
    <row r="1785" spans="1:14" x14ac:dyDescent="0.15">
      <c r="A1785" s="1">
        <v>220</v>
      </c>
      <c r="B1785" s="1" t="s">
        <v>2886</v>
      </c>
      <c r="C1785" s="1" t="s">
        <v>3070</v>
      </c>
      <c r="D1785" s="1" t="s">
        <v>3071</v>
      </c>
      <c r="E1785" s="1" t="s">
        <v>3070</v>
      </c>
      <c r="F1785" s="1" t="s">
        <v>3071</v>
      </c>
      <c r="G1785" s="1" t="s">
        <v>3072</v>
      </c>
      <c r="H1785" s="1" t="s">
        <v>3071</v>
      </c>
      <c r="I1785" s="1" t="s">
        <v>10747</v>
      </c>
      <c r="J1785" s="1" t="s">
        <v>3073</v>
      </c>
      <c r="K1785" s="1">
        <v>4</v>
      </c>
      <c r="L1785" s="1" t="s">
        <v>4342</v>
      </c>
      <c r="M1785" s="1">
        <v>5</v>
      </c>
      <c r="N1785" s="1" t="s">
        <v>4342</v>
      </c>
    </row>
    <row r="1786" spans="1:14" x14ac:dyDescent="0.15">
      <c r="A1786" s="1">
        <v>220</v>
      </c>
      <c r="B1786" s="1" t="s">
        <v>2886</v>
      </c>
      <c r="C1786" s="1" t="s">
        <v>3070</v>
      </c>
      <c r="D1786" s="1" t="s">
        <v>3071</v>
      </c>
      <c r="E1786" s="1" t="s">
        <v>3070</v>
      </c>
      <c r="F1786" s="1" t="s">
        <v>3071</v>
      </c>
      <c r="G1786" s="1" t="s">
        <v>3072</v>
      </c>
      <c r="H1786" s="1" t="s">
        <v>3071</v>
      </c>
      <c r="I1786" s="1" t="s">
        <v>15971</v>
      </c>
      <c r="J1786" s="1" t="s">
        <v>3074</v>
      </c>
      <c r="K1786" s="1">
        <v>4</v>
      </c>
      <c r="L1786" s="1" t="s">
        <v>4342</v>
      </c>
      <c r="M1786" s="1">
        <v>5</v>
      </c>
      <c r="N1786" s="1" t="s">
        <v>4342</v>
      </c>
    </row>
    <row r="1787" spans="1:14" x14ac:dyDescent="0.15">
      <c r="A1787" s="1">
        <v>220</v>
      </c>
      <c r="B1787" s="1" t="s">
        <v>2886</v>
      </c>
      <c r="C1787" s="1" t="s">
        <v>3070</v>
      </c>
      <c r="D1787" s="1" t="s">
        <v>3071</v>
      </c>
      <c r="E1787" s="1" t="s">
        <v>3070</v>
      </c>
      <c r="F1787" s="1" t="s">
        <v>3071</v>
      </c>
      <c r="G1787" s="1" t="s">
        <v>3072</v>
      </c>
      <c r="H1787" s="1" t="s">
        <v>3071</v>
      </c>
      <c r="I1787" s="1" t="s">
        <v>15975</v>
      </c>
      <c r="J1787" s="1" t="s">
        <v>15976</v>
      </c>
      <c r="K1787" s="1">
        <v>4</v>
      </c>
      <c r="L1787" s="1" t="s">
        <v>4342</v>
      </c>
      <c r="M1787" s="1">
        <v>5</v>
      </c>
      <c r="N1787" s="1" t="s">
        <v>4342</v>
      </c>
    </row>
    <row r="1788" spans="1:14" x14ac:dyDescent="0.15">
      <c r="A1788" s="1">
        <v>220</v>
      </c>
      <c r="B1788" s="1" t="s">
        <v>2886</v>
      </c>
      <c r="C1788" s="1" t="s">
        <v>3070</v>
      </c>
      <c r="D1788" s="1" t="s">
        <v>3071</v>
      </c>
      <c r="E1788" s="1" t="s">
        <v>3070</v>
      </c>
      <c r="F1788" s="1" t="s">
        <v>3071</v>
      </c>
      <c r="G1788" s="1" t="s">
        <v>3072</v>
      </c>
      <c r="H1788" s="1" t="s">
        <v>3071</v>
      </c>
      <c r="I1788" s="1" t="s">
        <v>15979</v>
      </c>
      <c r="J1788" s="1" t="s">
        <v>3075</v>
      </c>
      <c r="K1788" s="1">
        <v>4</v>
      </c>
      <c r="L1788" s="1" t="s">
        <v>4342</v>
      </c>
      <c r="M1788" s="1">
        <v>5</v>
      </c>
      <c r="N1788" s="1" t="s">
        <v>4342</v>
      </c>
    </row>
    <row r="1789" spans="1:14" x14ac:dyDescent="0.15">
      <c r="A1789" s="1">
        <v>220</v>
      </c>
      <c r="B1789" s="1" t="s">
        <v>2886</v>
      </c>
      <c r="C1789" s="1" t="s">
        <v>3070</v>
      </c>
      <c r="D1789" s="1" t="s">
        <v>3071</v>
      </c>
      <c r="E1789" s="1" t="s">
        <v>3070</v>
      </c>
      <c r="F1789" s="1" t="s">
        <v>3071</v>
      </c>
      <c r="G1789" s="1" t="s">
        <v>3072</v>
      </c>
      <c r="H1789" s="1" t="s">
        <v>3071</v>
      </c>
      <c r="I1789" s="1" t="s">
        <v>11566</v>
      </c>
      <c r="J1789" s="1" t="s">
        <v>3076</v>
      </c>
      <c r="K1789" s="1">
        <v>4</v>
      </c>
      <c r="L1789" s="1" t="s">
        <v>4342</v>
      </c>
      <c r="M1789" s="1">
        <v>5</v>
      </c>
      <c r="N1789" s="1" t="s">
        <v>4342</v>
      </c>
    </row>
    <row r="1790" spans="1:14" x14ac:dyDescent="0.15">
      <c r="A1790" s="1">
        <v>220</v>
      </c>
      <c r="B1790" s="1" t="s">
        <v>2886</v>
      </c>
      <c r="C1790" s="1" t="s">
        <v>3070</v>
      </c>
      <c r="D1790" s="1" t="s">
        <v>3071</v>
      </c>
      <c r="E1790" s="1" t="s">
        <v>3070</v>
      </c>
      <c r="F1790" s="1" t="s">
        <v>3071</v>
      </c>
      <c r="G1790" s="1" t="s">
        <v>3072</v>
      </c>
      <c r="H1790" s="1" t="s">
        <v>3071</v>
      </c>
      <c r="I1790" s="1" t="s">
        <v>11332</v>
      </c>
      <c r="J1790" s="1" t="s">
        <v>3077</v>
      </c>
      <c r="K1790" s="1">
        <v>4</v>
      </c>
      <c r="L1790" s="1" t="s">
        <v>4342</v>
      </c>
      <c r="M1790" s="1">
        <v>5</v>
      </c>
      <c r="N1790" s="1" t="s">
        <v>4342</v>
      </c>
    </row>
    <row r="1791" spans="1:14" x14ac:dyDescent="0.15">
      <c r="A1791" s="1">
        <v>220</v>
      </c>
      <c r="B1791" s="1" t="s">
        <v>2886</v>
      </c>
      <c r="C1791" s="1" t="s">
        <v>3070</v>
      </c>
      <c r="D1791" s="1" t="s">
        <v>3071</v>
      </c>
      <c r="E1791" s="1" t="s">
        <v>3070</v>
      </c>
      <c r="F1791" s="1" t="s">
        <v>3071</v>
      </c>
      <c r="G1791" s="1" t="s">
        <v>3072</v>
      </c>
      <c r="H1791" s="1" t="s">
        <v>3071</v>
      </c>
      <c r="I1791" s="1" t="s">
        <v>15987</v>
      </c>
      <c r="J1791" s="1" t="s">
        <v>15988</v>
      </c>
      <c r="K1791" s="1">
        <v>4</v>
      </c>
      <c r="L1791" s="1" t="s">
        <v>4342</v>
      </c>
      <c r="M1791" s="1">
        <v>5</v>
      </c>
      <c r="N1791" s="1" t="s">
        <v>4342</v>
      </c>
    </row>
    <row r="1792" spans="1:14" x14ac:dyDescent="0.15">
      <c r="A1792" s="1">
        <v>220</v>
      </c>
      <c r="B1792" s="1" t="s">
        <v>2886</v>
      </c>
      <c r="C1792" s="1" t="s">
        <v>3070</v>
      </c>
      <c r="D1792" s="1" t="s">
        <v>3071</v>
      </c>
      <c r="E1792" s="1" t="s">
        <v>3070</v>
      </c>
      <c r="F1792" s="1" t="s">
        <v>3071</v>
      </c>
      <c r="G1792" s="1" t="s">
        <v>3072</v>
      </c>
      <c r="H1792" s="1" t="s">
        <v>3071</v>
      </c>
      <c r="I1792" s="1" t="s">
        <v>15991</v>
      </c>
      <c r="J1792" s="1" t="s">
        <v>15992</v>
      </c>
      <c r="K1792" s="1">
        <v>4</v>
      </c>
      <c r="L1792" s="1" t="s">
        <v>4342</v>
      </c>
      <c r="M1792" s="1">
        <v>5</v>
      </c>
      <c r="N1792" s="1" t="s">
        <v>4342</v>
      </c>
    </row>
    <row r="1793" spans="1:14" x14ac:dyDescent="0.15">
      <c r="A1793" s="1">
        <v>220</v>
      </c>
      <c r="B1793" s="1" t="s">
        <v>2886</v>
      </c>
      <c r="C1793" s="1" t="s">
        <v>3070</v>
      </c>
      <c r="D1793" s="1" t="s">
        <v>3071</v>
      </c>
      <c r="E1793" s="1" t="s">
        <v>3070</v>
      </c>
      <c r="F1793" s="1" t="s">
        <v>3071</v>
      </c>
      <c r="G1793" s="1" t="s">
        <v>3072</v>
      </c>
      <c r="H1793" s="1" t="s">
        <v>3071</v>
      </c>
      <c r="I1793" s="1" t="s">
        <v>11427</v>
      </c>
      <c r="J1793" s="1" t="s">
        <v>3078</v>
      </c>
      <c r="K1793" s="1">
        <v>4</v>
      </c>
      <c r="L1793" s="1" t="s">
        <v>4342</v>
      </c>
      <c r="M1793" s="1">
        <v>5</v>
      </c>
      <c r="N1793" s="1" t="s">
        <v>4342</v>
      </c>
    </row>
    <row r="1794" spans="1:14" x14ac:dyDescent="0.15">
      <c r="A1794" s="1">
        <v>220</v>
      </c>
      <c r="B1794" s="1" t="s">
        <v>2886</v>
      </c>
      <c r="C1794" s="1" t="s">
        <v>3070</v>
      </c>
      <c r="D1794" s="1" t="s">
        <v>3071</v>
      </c>
      <c r="E1794" s="1" t="s">
        <v>3070</v>
      </c>
      <c r="F1794" s="1" t="s">
        <v>3071</v>
      </c>
      <c r="G1794" s="1" t="s">
        <v>3072</v>
      </c>
      <c r="H1794" s="1" t="s">
        <v>3071</v>
      </c>
      <c r="I1794" s="1" t="s">
        <v>11440</v>
      </c>
      <c r="J1794" s="1" t="s">
        <v>3079</v>
      </c>
      <c r="K1794" s="1">
        <v>4</v>
      </c>
      <c r="L1794" s="1" t="s">
        <v>4342</v>
      </c>
      <c r="M1794" s="1">
        <v>5</v>
      </c>
      <c r="N1794" s="1" t="s">
        <v>4342</v>
      </c>
    </row>
    <row r="1795" spans="1:14" x14ac:dyDescent="0.15">
      <c r="A1795" s="1">
        <v>220</v>
      </c>
      <c r="B1795" s="1" t="s">
        <v>2886</v>
      </c>
      <c r="C1795" s="1" t="s">
        <v>3070</v>
      </c>
      <c r="D1795" s="1" t="s">
        <v>3071</v>
      </c>
      <c r="E1795" s="1" t="s">
        <v>3070</v>
      </c>
      <c r="F1795" s="1" t="s">
        <v>3071</v>
      </c>
      <c r="G1795" s="1" t="s">
        <v>3072</v>
      </c>
      <c r="H1795" s="1" t="s">
        <v>3071</v>
      </c>
      <c r="I1795" s="1" t="s">
        <v>15995</v>
      </c>
      <c r="J1795" s="1" t="s">
        <v>3080</v>
      </c>
      <c r="K1795" s="1">
        <v>4</v>
      </c>
      <c r="L1795" s="1" t="s">
        <v>4342</v>
      </c>
      <c r="M1795" s="1">
        <v>5</v>
      </c>
      <c r="N1795" s="1" t="s">
        <v>4342</v>
      </c>
    </row>
    <row r="1796" spans="1:14" x14ac:dyDescent="0.15">
      <c r="A1796" s="1">
        <v>220</v>
      </c>
      <c r="B1796" s="1" t="s">
        <v>2886</v>
      </c>
      <c r="C1796" s="1" t="s">
        <v>3070</v>
      </c>
      <c r="D1796" s="1" t="s">
        <v>3071</v>
      </c>
      <c r="E1796" s="1" t="s">
        <v>3070</v>
      </c>
      <c r="F1796" s="1" t="s">
        <v>3071</v>
      </c>
      <c r="G1796" s="1" t="s">
        <v>3072</v>
      </c>
      <c r="H1796" s="1" t="s">
        <v>3071</v>
      </c>
      <c r="I1796" s="1" t="s">
        <v>11341</v>
      </c>
      <c r="J1796" s="1" t="s">
        <v>3081</v>
      </c>
      <c r="K1796" s="1">
        <v>4</v>
      </c>
      <c r="L1796" s="1" t="s">
        <v>4342</v>
      </c>
      <c r="M1796" s="1">
        <v>5</v>
      </c>
      <c r="N1796" s="1" t="s">
        <v>4342</v>
      </c>
    </row>
    <row r="1797" spans="1:14" x14ac:dyDescent="0.15">
      <c r="A1797" s="1">
        <v>220</v>
      </c>
      <c r="B1797" s="1" t="s">
        <v>2886</v>
      </c>
      <c r="C1797" s="1" t="s">
        <v>3070</v>
      </c>
      <c r="D1797" s="1" t="s">
        <v>3071</v>
      </c>
      <c r="E1797" s="1" t="s">
        <v>3070</v>
      </c>
      <c r="F1797" s="1" t="s">
        <v>3071</v>
      </c>
      <c r="G1797" s="1" t="s">
        <v>3072</v>
      </c>
      <c r="H1797" s="1" t="s">
        <v>3071</v>
      </c>
      <c r="I1797" s="1" t="s">
        <v>11346</v>
      </c>
      <c r="J1797" s="1" t="s">
        <v>3082</v>
      </c>
      <c r="K1797" s="1">
        <v>4</v>
      </c>
      <c r="L1797" s="1" t="s">
        <v>4342</v>
      </c>
      <c r="M1797" s="1">
        <v>5</v>
      </c>
      <c r="N1797" s="1" t="s">
        <v>4342</v>
      </c>
    </row>
    <row r="1798" spans="1:14" x14ac:dyDescent="0.15">
      <c r="A1798" s="1">
        <v>220</v>
      </c>
      <c r="B1798" s="1" t="s">
        <v>2886</v>
      </c>
      <c r="C1798" s="1" t="s">
        <v>3070</v>
      </c>
      <c r="D1798" s="1" t="s">
        <v>3071</v>
      </c>
      <c r="E1798" s="1" t="s">
        <v>3070</v>
      </c>
      <c r="F1798" s="1" t="s">
        <v>3071</v>
      </c>
      <c r="G1798" s="1" t="s">
        <v>3072</v>
      </c>
      <c r="H1798" s="1" t="s">
        <v>3071</v>
      </c>
      <c r="I1798" s="1" t="s">
        <v>16003</v>
      </c>
      <c r="J1798" s="1" t="s">
        <v>16004</v>
      </c>
      <c r="K1798" s="1">
        <v>4</v>
      </c>
      <c r="L1798" s="1" t="s">
        <v>4342</v>
      </c>
      <c r="M1798" s="1">
        <v>5</v>
      </c>
      <c r="N1798" s="1" t="s">
        <v>4342</v>
      </c>
    </row>
    <row r="1799" spans="1:14" x14ac:dyDescent="0.15">
      <c r="A1799" s="1">
        <v>220</v>
      </c>
      <c r="B1799" s="1" t="s">
        <v>2886</v>
      </c>
      <c r="C1799" s="1" t="s">
        <v>3070</v>
      </c>
      <c r="D1799" s="1" t="s">
        <v>3071</v>
      </c>
      <c r="E1799" s="1" t="s">
        <v>3070</v>
      </c>
      <c r="F1799" s="1" t="s">
        <v>3071</v>
      </c>
      <c r="G1799" s="1" t="s">
        <v>3072</v>
      </c>
      <c r="H1799" s="1" t="s">
        <v>3071</v>
      </c>
      <c r="I1799" s="1" t="s">
        <v>10223</v>
      </c>
      <c r="J1799" s="1" t="s">
        <v>3083</v>
      </c>
      <c r="K1799" s="1">
        <v>4</v>
      </c>
      <c r="L1799" s="1" t="s">
        <v>4342</v>
      </c>
      <c r="M1799" s="1">
        <v>5</v>
      </c>
      <c r="N1799" s="1" t="s">
        <v>4342</v>
      </c>
    </row>
    <row r="1800" spans="1:14" x14ac:dyDescent="0.15">
      <c r="A1800" s="1">
        <v>220</v>
      </c>
      <c r="B1800" s="1" t="s">
        <v>2886</v>
      </c>
      <c r="C1800" s="1" t="s">
        <v>3070</v>
      </c>
      <c r="D1800" s="1" t="s">
        <v>3071</v>
      </c>
      <c r="E1800" s="1" t="s">
        <v>3070</v>
      </c>
      <c r="F1800" s="1" t="s">
        <v>3071</v>
      </c>
      <c r="G1800" s="1" t="s">
        <v>3072</v>
      </c>
      <c r="H1800" s="1" t="s">
        <v>3071</v>
      </c>
      <c r="I1800" s="1" t="s">
        <v>10226</v>
      </c>
      <c r="J1800" s="1" t="s">
        <v>3084</v>
      </c>
      <c r="K1800" s="1">
        <v>4</v>
      </c>
      <c r="L1800" s="1" t="s">
        <v>4342</v>
      </c>
      <c r="M1800" s="1">
        <v>5</v>
      </c>
      <c r="N1800" s="1" t="s">
        <v>4342</v>
      </c>
    </row>
    <row r="1801" spans="1:14" x14ac:dyDescent="0.15">
      <c r="A1801" s="1">
        <v>220</v>
      </c>
      <c r="B1801" s="1" t="s">
        <v>2886</v>
      </c>
      <c r="C1801" s="1" t="s">
        <v>3070</v>
      </c>
      <c r="D1801" s="1" t="s">
        <v>3071</v>
      </c>
      <c r="E1801" s="1" t="s">
        <v>3070</v>
      </c>
      <c r="F1801" s="1" t="s">
        <v>3071</v>
      </c>
      <c r="G1801" s="1" t="s">
        <v>3072</v>
      </c>
      <c r="H1801" s="1" t="s">
        <v>3071</v>
      </c>
      <c r="I1801" s="1" t="s">
        <v>16011</v>
      </c>
      <c r="J1801" s="1" t="s">
        <v>3085</v>
      </c>
      <c r="K1801" s="1">
        <v>4</v>
      </c>
      <c r="L1801" s="1" t="s">
        <v>4342</v>
      </c>
      <c r="M1801" s="1">
        <v>5</v>
      </c>
      <c r="N1801" s="1" t="s">
        <v>4342</v>
      </c>
    </row>
    <row r="1802" spans="1:14" x14ac:dyDescent="0.15">
      <c r="A1802" s="1">
        <v>220</v>
      </c>
      <c r="B1802" s="1" t="s">
        <v>2886</v>
      </c>
      <c r="C1802" s="1" t="s">
        <v>3070</v>
      </c>
      <c r="D1802" s="1" t="s">
        <v>3071</v>
      </c>
      <c r="E1802" s="1" t="s">
        <v>3070</v>
      </c>
      <c r="F1802" s="1" t="s">
        <v>3071</v>
      </c>
      <c r="G1802" s="1" t="s">
        <v>3072</v>
      </c>
      <c r="H1802" s="1" t="s">
        <v>3071</v>
      </c>
      <c r="I1802" s="1" t="s">
        <v>11432</v>
      </c>
      <c r="J1802" s="1" t="s">
        <v>3086</v>
      </c>
      <c r="K1802" s="1">
        <v>4</v>
      </c>
      <c r="L1802" s="1" t="s">
        <v>4342</v>
      </c>
      <c r="M1802" s="1">
        <v>5</v>
      </c>
      <c r="N1802" s="1" t="s">
        <v>4342</v>
      </c>
    </row>
    <row r="1803" spans="1:14" x14ac:dyDescent="0.15">
      <c r="A1803" s="1">
        <v>220</v>
      </c>
      <c r="B1803" s="1" t="s">
        <v>2886</v>
      </c>
      <c r="C1803" s="1" t="s">
        <v>3070</v>
      </c>
      <c r="D1803" s="1" t="s">
        <v>3071</v>
      </c>
      <c r="E1803" s="1" t="s">
        <v>3070</v>
      </c>
      <c r="F1803" s="1" t="s">
        <v>3071</v>
      </c>
      <c r="G1803" s="1" t="s">
        <v>3072</v>
      </c>
      <c r="H1803" s="1" t="s">
        <v>3071</v>
      </c>
      <c r="I1803" s="1" t="s">
        <v>10232</v>
      </c>
      <c r="J1803" s="1" t="s">
        <v>3087</v>
      </c>
      <c r="K1803" s="1">
        <v>4</v>
      </c>
      <c r="L1803" s="1" t="s">
        <v>4342</v>
      </c>
      <c r="M1803" s="1">
        <v>5</v>
      </c>
      <c r="N1803" s="1" t="s">
        <v>4342</v>
      </c>
    </row>
    <row r="1804" spans="1:14" x14ac:dyDescent="0.15">
      <c r="A1804" s="1">
        <v>220</v>
      </c>
      <c r="B1804" s="1" t="s">
        <v>2886</v>
      </c>
      <c r="C1804" s="1" t="s">
        <v>3070</v>
      </c>
      <c r="D1804" s="1" t="s">
        <v>3071</v>
      </c>
      <c r="E1804" s="1" t="s">
        <v>3070</v>
      </c>
      <c r="F1804" s="1" t="s">
        <v>3071</v>
      </c>
      <c r="G1804" s="1" t="s">
        <v>3072</v>
      </c>
      <c r="H1804" s="1" t="s">
        <v>3071</v>
      </c>
      <c r="I1804" s="1" t="s">
        <v>10235</v>
      </c>
      <c r="J1804" s="1" t="s">
        <v>3088</v>
      </c>
      <c r="K1804" s="1">
        <v>4</v>
      </c>
      <c r="L1804" s="1" t="s">
        <v>4342</v>
      </c>
      <c r="M1804" s="1">
        <v>5</v>
      </c>
      <c r="N1804" s="1" t="s">
        <v>4342</v>
      </c>
    </row>
    <row r="1805" spans="1:14" x14ac:dyDescent="0.15">
      <c r="A1805" s="1">
        <v>220</v>
      </c>
      <c r="B1805" s="1" t="s">
        <v>2886</v>
      </c>
      <c r="C1805" s="1" t="s">
        <v>3070</v>
      </c>
      <c r="D1805" s="1" t="s">
        <v>3071</v>
      </c>
      <c r="E1805" s="1" t="s">
        <v>3070</v>
      </c>
      <c r="F1805" s="1" t="s">
        <v>3071</v>
      </c>
      <c r="G1805" s="1" t="s">
        <v>3072</v>
      </c>
      <c r="H1805" s="1" t="s">
        <v>3071</v>
      </c>
      <c r="I1805" s="1" t="s">
        <v>11445</v>
      </c>
      <c r="J1805" s="1" t="s">
        <v>3089</v>
      </c>
      <c r="K1805" s="1">
        <v>4</v>
      </c>
      <c r="L1805" s="1" t="s">
        <v>4342</v>
      </c>
      <c r="M1805" s="1">
        <v>5</v>
      </c>
      <c r="N1805" s="1" t="s">
        <v>4342</v>
      </c>
    </row>
    <row r="1806" spans="1:14" x14ac:dyDescent="0.15">
      <c r="A1806" s="1">
        <v>220</v>
      </c>
      <c r="B1806" s="1" t="s">
        <v>2886</v>
      </c>
      <c r="C1806" s="1" t="s">
        <v>3070</v>
      </c>
      <c r="D1806" s="1" t="s">
        <v>3071</v>
      </c>
      <c r="E1806" s="1" t="s">
        <v>3070</v>
      </c>
      <c r="F1806" s="1" t="s">
        <v>3071</v>
      </c>
      <c r="G1806" s="1" t="s">
        <v>3072</v>
      </c>
      <c r="H1806" s="1" t="s">
        <v>3071</v>
      </c>
      <c r="I1806" s="1" t="s">
        <v>16013</v>
      </c>
      <c r="J1806" s="1" t="s">
        <v>3090</v>
      </c>
      <c r="K1806" s="1">
        <v>4</v>
      </c>
      <c r="L1806" s="1" t="s">
        <v>4342</v>
      </c>
      <c r="M1806" s="1">
        <v>5</v>
      </c>
      <c r="N1806" s="1" t="s">
        <v>4342</v>
      </c>
    </row>
    <row r="1807" spans="1:14" x14ac:dyDescent="0.15">
      <c r="A1807" s="1">
        <v>220</v>
      </c>
      <c r="B1807" s="1" t="s">
        <v>2886</v>
      </c>
      <c r="C1807" s="1" t="s">
        <v>3070</v>
      </c>
      <c r="D1807" s="1" t="s">
        <v>3071</v>
      </c>
      <c r="E1807" s="1" t="s">
        <v>3070</v>
      </c>
      <c r="F1807" s="1" t="s">
        <v>3071</v>
      </c>
      <c r="G1807" s="1" t="s">
        <v>3072</v>
      </c>
      <c r="H1807" s="1" t="s">
        <v>3071</v>
      </c>
      <c r="I1807" s="1" t="s">
        <v>11335</v>
      </c>
      <c r="J1807" s="1" t="s">
        <v>3091</v>
      </c>
      <c r="K1807" s="1">
        <v>4</v>
      </c>
      <c r="L1807" s="1" t="s">
        <v>4342</v>
      </c>
      <c r="M1807" s="1">
        <v>5</v>
      </c>
      <c r="N1807" s="1" t="s">
        <v>4342</v>
      </c>
    </row>
    <row r="1808" spans="1:14" x14ac:dyDescent="0.15">
      <c r="A1808" s="1">
        <v>220</v>
      </c>
      <c r="B1808" s="1" t="s">
        <v>2886</v>
      </c>
      <c r="C1808" s="1" t="s">
        <v>3070</v>
      </c>
      <c r="D1808" s="1" t="s">
        <v>3071</v>
      </c>
      <c r="E1808" s="1" t="s">
        <v>3070</v>
      </c>
      <c r="F1808" s="1" t="s">
        <v>3071</v>
      </c>
      <c r="G1808" s="1" t="s">
        <v>3072</v>
      </c>
      <c r="H1808" s="1" t="s">
        <v>3071</v>
      </c>
      <c r="I1808" s="1" t="s">
        <v>16021</v>
      </c>
      <c r="J1808" s="1" t="s">
        <v>16022</v>
      </c>
      <c r="K1808" s="1">
        <v>4</v>
      </c>
      <c r="L1808" s="1" t="s">
        <v>4342</v>
      </c>
      <c r="M1808" s="1">
        <v>5</v>
      </c>
      <c r="N1808" s="1" t="s">
        <v>4342</v>
      </c>
    </row>
    <row r="1809" spans="1:14" x14ac:dyDescent="0.15">
      <c r="A1809" s="1">
        <v>220</v>
      </c>
      <c r="B1809" s="1" t="s">
        <v>2886</v>
      </c>
      <c r="C1809" s="1" t="s">
        <v>3070</v>
      </c>
      <c r="D1809" s="1" t="s">
        <v>3071</v>
      </c>
      <c r="E1809" s="1" t="s">
        <v>3070</v>
      </c>
      <c r="F1809" s="1" t="s">
        <v>3071</v>
      </c>
      <c r="G1809" s="1" t="s">
        <v>3072</v>
      </c>
      <c r="H1809" s="1" t="s">
        <v>3071</v>
      </c>
      <c r="I1809" s="1" t="s">
        <v>16025</v>
      </c>
      <c r="J1809" s="1" t="s">
        <v>3092</v>
      </c>
      <c r="K1809" s="1">
        <v>4</v>
      </c>
      <c r="L1809" s="1" t="s">
        <v>4342</v>
      </c>
      <c r="M1809" s="1">
        <v>5</v>
      </c>
      <c r="N1809" s="1" t="s">
        <v>4342</v>
      </c>
    </row>
    <row r="1810" spans="1:14" x14ac:dyDescent="0.15">
      <c r="A1810" s="1">
        <v>220</v>
      </c>
      <c r="B1810" s="1" t="s">
        <v>2886</v>
      </c>
      <c r="C1810" s="1" t="s">
        <v>3070</v>
      </c>
      <c r="D1810" s="1" t="s">
        <v>3071</v>
      </c>
      <c r="E1810" s="1" t="s">
        <v>3070</v>
      </c>
      <c r="F1810" s="1" t="s">
        <v>3071</v>
      </c>
      <c r="G1810" s="1" t="s">
        <v>3072</v>
      </c>
      <c r="H1810" s="1" t="s">
        <v>3071</v>
      </c>
      <c r="I1810" s="1" t="s">
        <v>10246</v>
      </c>
      <c r="J1810" s="1" t="s">
        <v>3093</v>
      </c>
      <c r="K1810" s="1">
        <v>4</v>
      </c>
      <c r="L1810" s="1" t="s">
        <v>4342</v>
      </c>
      <c r="M1810" s="1">
        <v>5</v>
      </c>
      <c r="N1810" s="1" t="s">
        <v>4342</v>
      </c>
    </row>
    <row r="1811" spans="1:14" x14ac:dyDescent="0.15">
      <c r="A1811" s="1">
        <v>220</v>
      </c>
      <c r="B1811" s="1" t="s">
        <v>2886</v>
      </c>
      <c r="C1811" s="1" t="s">
        <v>3070</v>
      </c>
      <c r="D1811" s="1" t="s">
        <v>3071</v>
      </c>
      <c r="E1811" s="1" t="s">
        <v>3070</v>
      </c>
      <c r="F1811" s="1" t="s">
        <v>3071</v>
      </c>
      <c r="G1811" s="1" t="s">
        <v>3072</v>
      </c>
      <c r="H1811" s="1" t="s">
        <v>3071</v>
      </c>
      <c r="I1811" s="1" t="s">
        <v>10249</v>
      </c>
      <c r="J1811" s="1" t="s">
        <v>3094</v>
      </c>
      <c r="K1811" s="1">
        <v>4</v>
      </c>
      <c r="L1811" s="1" t="s">
        <v>4342</v>
      </c>
      <c r="M1811" s="1">
        <v>5</v>
      </c>
      <c r="N1811" s="1" t="s">
        <v>4342</v>
      </c>
    </row>
    <row r="1812" spans="1:14" x14ac:dyDescent="0.15">
      <c r="A1812" s="1">
        <v>220</v>
      </c>
      <c r="B1812" s="1" t="s">
        <v>2886</v>
      </c>
      <c r="C1812" s="1" t="s">
        <v>3070</v>
      </c>
      <c r="D1812" s="1" t="s">
        <v>3071</v>
      </c>
      <c r="E1812" s="1" t="s">
        <v>3070</v>
      </c>
      <c r="F1812" s="1" t="s">
        <v>3071</v>
      </c>
      <c r="G1812" s="1" t="s">
        <v>3072</v>
      </c>
      <c r="H1812" s="1" t="s">
        <v>3071</v>
      </c>
      <c r="I1812" s="1" t="s">
        <v>10252</v>
      </c>
      <c r="J1812" s="1" t="s">
        <v>3095</v>
      </c>
      <c r="K1812" s="1">
        <v>4</v>
      </c>
      <c r="L1812" s="1" t="s">
        <v>4342</v>
      </c>
      <c r="M1812" s="1">
        <v>5</v>
      </c>
      <c r="N1812" s="1" t="s">
        <v>4342</v>
      </c>
    </row>
    <row r="1813" spans="1:14" x14ac:dyDescent="0.15">
      <c r="A1813" s="1">
        <v>220</v>
      </c>
      <c r="B1813" s="1" t="s">
        <v>2886</v>
      </c>
      <c r="C1813" s="1" t="s">
        <v>3070</v>
      </c>
      <c r="D1813" s="1" t="s">
        <v>3071</v>
      </c>
      <c r="E1813" s="1" t="s">
        <v>3070</v>
      </c>
      <c r="F1813" s="1" t="s">
        <v>3071</v>
      </c>
      <c r="G1813" s="1" t="s">
        <v>3072</v>
      </c>
      <c r="H1813" s="1" t="s">
        <v>3071</v>
      </c>
      <c r="I1813" s="1" t="s">
        <v>10255</v>
      </c>
      <c r="J1813" s="1" t="s">
        <v>3096</v>
      </c>
      <c r="K1813" s="1">
        <v>4</v>
      </c>
      <c r="L1813" s="1" t="s">
        <v>4342</v>
      </c>
      <c r="M1813" s="1">
        <v>5</v>
      </c>
      <c r="N1813" s="1" t="s">
        <v>4342</v>
      </c>
    </row>
    <row r="1814" spans="1:14" x14ac:dyDescent="0.15">
      <c r="A1814" s="1">
        <v>220</v>
      </c>
      <c r="B1814" s="1" t="s">
        <v>2886</v>
      </c>
      <c r="C1814" s="1" t="s">
        <v>3070</v>
      </c>
      <c r="D1814" s="1" t="s">
        <v>3071</v>
      </c>
      <c r="E1814" s="1" t="s">
        <v>3070</v>
      </c>
      <c r="F1814" s="1" t="s">
        <v>3071</v>
      </c>
      <c r="G1814" s="1" t="s">
        <v>3072</v>
      </c>
      <c r="H1814" s="1" t="s">
        <v>3071</v>
      </c>
      <c r="I1814" s="1" t="s">
        <v>16029</v>
      </c>
      <c r="J1814" s="1" t="s">
        <v>3097</v>
      </c>
      <c r="K1814" s="1">
        <v>4</v>
      </c>
      <c r="L1814" s="1" t="s">
        <v>4342</v>
      </c>
      <c r="M1814" s="1">
        <v>5</v>
      </c>
      <c r="N1814" s="1" t="s">
        <v>4342</v>
      </c>
    </row>
    <row r="1815" spans="1:14" x14ac:dyDescent="0.15">
      <c r="A1815" s="1">
        <v>220</v>
      </c>
      <c r="B1815" s="1" t="s">
        <v>2886</v>
      </c>
      <c r="C1815" s="1" t="s">
        <v>3070</v>
      </c>
      <c r="D1815" s="1" t="s">
        <v>3071</v>
      </c>
      <c r="E1815" s="1" t="s">
        <v>3070</v>
      </c>
      <c r="F1815" s="1" t="s">
        <v>3071</v>
      </c>
      <c r="G1815" s="1" t="s">
        <v>3072</v>
      </c>
      <c r="H1815" s="1" t="s">
        <v>3071</v>
      </c>
      <c r="I1815" s="1" t="s">
        <v>16037</v>
      </c>
      <c r="J1815" s="1" t="s">
        <v>3098</v>
      </c>
      <c r="K1815" s="1">
        <v>4</v>
      </c>
      <c r="L1815" s="1" t="s">
        <v>4342</v>
      </c>
      <c r="M1815" s="1">
        <v>5</v>
      </c>
      <c r="N1815" s="1" t="s">
        <v>4342</v>
      </c>
    </row>
    <row r="1816" spans="1:14" x14ac:dyDescent="0.15">
      <c r="A1816" s="1">
        <v>220</v>
      </c>
      <c r="B1816" s="1" t="s">
        <v>2886</v>
      </c>
      <c r="C1816" s="1" t="s">
        <v>3070</v>
      </c>
      <c r="D1816" s="1" t="s">
        <v>3071</v>
      </c>
      <c r="E1816" s="1" t="s">
        <v>3070</v>
      </c>
      <c r="F1816" s="1" t="s">
        <v>3071</v>
      </c>
      <c r="G1816" s="1" t="s">
        <v>3072</v>
      </c>
      <c r="H1816" s="1" t="s">
        <v>3071</v>
      </c>
      <c r="I1816" s="1" t="s">
        <v>11318</v>
      </c>
      <c r="J1816" s="1" t="s">
        <v>3099</v>
      </c>
      <c r="K1816" s="1">
        <v>4</v>
      </c>
      <c r="L1816" s="1" t="s">
        <v>4342</v>
      </c>
      <c r="M1816" s="1">
        <v>5</v>
      </c>
      <c r="N1816" s="1" t="s">
        <v>4342</v>
      </c>
    </row>
    <row r="1817" spans="1:14" x14ac:dyDescent="0.15">
      <c r="A1817" s="1">
        <v>220</v>
      </c>
      <c r="B1817" s="1" t="s">
        <v>2886</v>
      </c>
      <c r="C1817" s="1" t="s">
        <v>3070</v>
      </c>
      <c r="D1817" s="1" t="s">
        <v>3071</v>
      </c>
      <c r="E1817" s="1" t="s">
        <v>3070</v>
      </c>
      <c r="F1817" s="1" t="s">
        <v>3071</v>
      </c>
      <c r="G1817" s="1" t="s">
        <v>3072</v>
      </c>
      <c r="H1817" s="1" t="s">
        <v>3071</v>
      </c>
      <c r="I1817" s="1" t="s">
        <v>10266</v>
      </c>
      <c r="J1817" s="1" t="s">
        <v>3100</v>
      </c>
      <c r="K1817" s="1">
        <v>4</v>
      </c>
      <c r="L1817" s="1" t="s">
        <v>4342</v>
      </c>
      <c r="M1817" s="1">
        <v>5</v>
      </c>
      <c r="N1817" s="1" t="s">
        <v>4342</v>
      </c>
    </row>
    <row r="1818" spans="1:14" x14ac:dyDescent="0.15">
      <c r="A1818" s="1">
        <v>220</v>
      </c>
      <c r="B1818" s="1" t="s">
        <v>2886</v>
      </c>
      <c r="C1818" s="1" t="s">
        <v>3070</v>
      </c>
      <c r="D1818" s="1" t="s">
        <v>3071</v>
      </c>
      <c r="E1818" s="1" t="s">
        <v>3070</v>
      </c>
      <c r="F1818" s="1" t="s">
        <v>3071</v>
      </c>
      <c r="G1818" s="1" t="s">
        <v>3072</v>
      </c>
      <c r="H1818" s="1" t="s">
        <v>3071</v>
      </c>
      <c r="I1818" s="1" t="s">
        <v>10269</v>
      </c>
      <c r="J1818" s="1" t="s">
        <v>3101</v>
      </c>
      <c r="K1818" s="1">
        <v>4</v>
      </c>
      <c r="L1818" s="1" t="s">
        <v>4342</v>
      </c>
      <c r="M1818" s="1">
        <v>5</v>
      </c>
      <c r="N1818" s="1" t="s">
        <v>4342</v>
      </c>
    </row>
    <row r="1819" spans="1:14" x14ac:dyDescent="0.15">
      <c r="A1819" s="1">
        <v>220</v>
      </c>
      <c r="B1819" s="1" t="s">
        <v>2886</v>
      </c>
      <c r="C1819" s="1" t="s">
        <v>3070</v>
      </c>
      <c r="D1819" s="1" t="s">
        <v>3071</v>
      </c>
      <c r="E1819" s="1" t="s">
        <v>3070</v>
      </c>
      <c r="F1819" s="1" t="s">
        <v>3071</v>
      </c>
      <c r="G1819" s="1" t="s">
        <v>3072</v>
      </c>
      <c r="H1819" s="1" t="s">
        <v>3071</v>
      </c>
      <c r="I1819" s="1" t="s">
        <v>10275</v>
      </c>
      <c r="J1819" s="1" t="s">
        <v>3102</v>
      </c>
      <c r="K1819" s="1">
        <v>4</v>
      </c>
      <c r="L1819" s="1" t="s">
        <v>4342</v>
      </c>
      <c r="M1819" s="1">
        <v>5</v>
      </c>
      <c r="N1819" s="1" t="s">
        <v>4342</v>
      </c>
    </row>
    <row r="1820" spans="1:14" x14ac:dyDescent="0.15">
      <c r="A1820" s="1">
        <v>220</v>
      </c>
      <c r="B1820" s="1" t="s">
        <v>2886</v>
      </c>
      <c r="C1820" s="1" t="s">
        <v>3070</v>
      </c>
      <c r="D1820" s="1" t="s">
        <v>3071</v>
      </c>
      <c r="E1820" s="1" t="s">
        <v>3070</v>
      </c>
      <c r="F1820" s="1" t="s">
        <v>3071</v>
      </c>
      <c r="G1820" s="1" t="s">
        <v>3072</v>
      </c>
      <c r="H1820" s="1" t="s">
        <v>3071</v>
      </c>
      <c r="I1820" s="1" t="s">
        <v>10278</v>
      </c>
      <c r="J1820" s="1" t="s">
        <v>3103</v>
      </c>
      <c r="K1820" s="1">
        <v>4</v>
      </c>
      <c r="L1820" s="1" t="s">
        <v>4342</v>
      </c>
      <c r="M1820" s="1">
        <v>5</v>
      </c>
      <c r="N1820" s="1" t="s">
        <v>4342</v>
      </c>
    </row>
    <row r="1821" spans="1:14" x14ac:dyDescent="0.15">
      <c r="A1821" s="1">
        <v>220</v>
      </c>
      <c r="B1821" s="1" t="s">
        <v>2886</v>
      </c>
      <c r="C1821" s="1" t="s">
        <v>3070</v>
      </c>
      <c r="D1821" s="1" t="s">
        <v>3071</v>
      </c>
      <c r="E1821" s="1" t="s">
        <v>3070</v>
      </c>
      <c r="F1821" s="1" t="s">
        <v>3071</v>
      </c>
      <c r="G1821" s="1" t="s">
        <v>3072</v>
      </c>
      <c r="H1821" s="1" t="s">
        <v>3071</v>
      </c>
      <c r="I1821" s="1" t="s">
        <v>10281</v>
      </c>
      <c r="J1821" s="1" t="s">
        <v>3104</v>
      </c>
      <c r="K1821" s="1">
        <v>4</v>
      </c>
      <c r="L1821" s="1" t="s">
        <v>4342</v>
      </c>
      <c r="M1821" s="1">
        <v>5</v>
      </c>
      <c r="N1821" s="1" t="s">
        <v>4342</v>
      </c>
    </row>
    <row r="1822" spans="1:14" x14ac:dyDescent="0.15">
      <c r="A1822" s="1">
        <v>220</v>
      </c>
      <c r="B1822" s="1" t="s">
        <v>2886</v>
      </c>
      <c r="C1822" s="1" t="s">
        <v>3070</v>
      </c>
      <c r="D1822" s="1" t="s">
        <v>3071</v>
      </c>
      <c r="E1822" s="1" t="s">
        <v>3070</v>
      </c>
      <c r="F1822" s="1" t="s">
        <v>3071</v>
      </c>
      <c r="G1822" s="1" t="s">
        <v>3072</v>
      </c>
      <c r="H1822" s="1" t="s">
        <v>3071</v>
      </c>
      <c r="I1822" s="1" t="s">
        <v>9844</v>
      </c>
      <c r="J1822" s="1" t="s">
        <v>3105</v>
      </c>
      <c r="K1822" s="1">
        <v>4</v>
      </c>
      <c r="L1822" s="1" t="s">
        <v>4342</v>
      </c>
      <c r="M1822" s="1">
        <v>5</v>
      </c>
      <c r="N1822" s="1" t="s">
        <v>4342</v>
      </c>
    </row>
    <row r="1823" spans="1:14" x14ac:dyDescent="0.15">
      <c r="A1823" s="1">
        <v>220</v>
      </c>
      <c r="B1823" s="1" t="s">
        <v>2886</v>
      </c>
      <c r="C1823" s="1" t="s">
        <v>3070</v>
      </c>
      <c r="D1823" s="1" t="s">
        <v>3071</v>
      </c>
      <c r="E1823" s="1" t="s">
        <v>3070</v>
      </c>
      <c r="F1823" s="1" t="s">
        <v>3071</v>
      </c>
      <c r="G1823" s="1" t="s">
        <v>3072</v>
      </c>
      <c r="H1823" s="1" t="s">
        <v>3071</v>
      </c>
      <c r="I1823" s="1" t="s">
        <v>9847</v>
      </c>
      <c r="J1823" s="1" t="s">
        <v>3106</v>
      </c>
      <c r="K1823" s="1">
        <v>4</v>
      </c>
      <c r="L1823" s="1" t="s">
        <v>4342</v>
      </c>
      <c r="M1823" s="1">
        <v>5</v>
      </c>
      <c r="N1823" s="1" t="s">
        <v>4342</v>
      </c>
    </row>
    <row r="1824" spans="1:14" x14ac:dyDescent="0.15">
      <c r="A1824" s="1">
        <v>220</v>
      </c>
      <c r="B1824" s="1" t="s">
        <v>2886</v>
      </c>
      <c r="C1824" s="1" t="s">
        <v>3070</v>
      </c>
      <c r="D1824" s="1" t="s">
        <v>3071</v>
      </c>
      <c r="E1824" s="1" t="s">
        <v>3070</v>
      </c>
      <c r="F1824" s="1" t="s">
        <v>3071</v>
      </c>
      <c r="G1824" s="1" t="s">
        <v>3072</v>
      </c>
      <c r="H1824" s="1" t="s">
        <v>3071</v>
      </c>
      <c r="I1824" s="1" t="s">
        <v>9853</v>
      </c>
      <c r="J1824" s="1" t="s">
        <v>3107</v>
      </c>
      <c r="K1824" s="1">
        <v>4</v>
      </c>
      <c r="L1824" s="1" t="s">
        <v>4342</v>
      </c>
      <c r="M1824" s="1">
        <v>5</v>
      </c>
      <c r="N1824" s="1" t="s">
        <v>4342</v>
      </c>
    </row>
    <row r="1825" spans="1:14" x14ac:dyDescent="0.15">
      <c r="A1825" s="1">
        <v>220</v>
      </c>
      <c r="B1825" s="1" t="s">
        <v>2886</v>
      </c>
      <c r="C1825" s="1" t="s">
        <v>3070</v>
      </c>
      <c r="D1825" s="1" t="s">
        <v>3071</v>
      </c>
      <c r="E1825" s="1" t="s">
        <v>3070</v>
      </c>
      <c r="F1825" s="1" t="s">
        <v>3071</v>
      </c>
      <c r="G1825" s="1" t="s">
        <v>3072</v>
      </c>
      <c r="H1825" s="1" t="s">
        <v>3071</v>
      </c>
      <c r="I1825" s="1" t="s">
        <v>11339</v>
      </c>
      <c r="J1825" s="1" t="s">
        <v>3108</v>
      </c>
      <c r="K1825" s="1">
        <v>4</v>
      </c>
      <c r="L1825" s="1" t="s">
        <v>4342</v>
      </c>
      <c r="M1825" s="1">
        <v>5</v>
      </c>
      <c r="N1825" s="1" t="s">
        <v>4342</v>
      </c>
    </row>
    <row r="1826" spans="1:14" x14ac:dyDescent="0.15">
      <c r="A1826" s="1">
        <v>220</v>
      </c>
      <c r="B1826" s="1" t="s">
        <v>2886</v>
      </c>
      <c r="C1826" s="1" t="s">
        <v>3070</v>
      </c>
      <c r="D1826" s="1" t="s">
        <v>3071</v>
      </c>
      <c r="E1826" s="1" t="s">
        <v>3070</v>
      </c>
      <c r="F1826" s="1" t="s">
        <v>3071</v>
      </c>
      <c r="G1826" s="1" t="s">
        <v>3072</v>
      </c>
      <c r="H1826" s="1" t="s">
        <v>3071</v>
      </c>
      <c r="I1826" s="1" t="s">
        <v>16051</v>
      </c>
      <c r="J1826" s="1" t="s">
        <v>16052</v>
      </c>
      <c r="K1826" s="1">
        <v>4</v>
      </c>
      <c r="L1826" s="1" t="s">
        <v>4342</v>
      </c>
      <c r="M1826" s="1">
        <v>5</v>
      </c>
      <c r="N1826" s="1" t="s">
        <v>4342</v>
      </c>
    </row>
    <row r="1827" spans="1:14" x14ac:dyDescent="0.15">
      <c r="A1827" s="1">
        <v>220</v>
      </c>
      <c r="B1827" s="1" t="s">
        <v>2886</v>
      </c>
      <c r="C1827" s="1" t="s">
        <v>3070</v>
      </c>
      <c r="D1827" s="1" t="s">
        <v>3071</v>
      </c>
      <c r="E1827" s="1" t="s">
        <v>3070</v>
      </c>
      <c r="F1827" s="1" t="s">
        <v>3071</v>
      </c>
      <c r="G1827" s="1" t="s">
        <v>3072</v>
      </c>
      <c r="H1827" s="1" t="s">
        <v>3071</v>
      </c>
      <c r="I1827" s="1" t="s">
        <v>16055</v>
      </c>
      <c r="J1827" s="1" t="s">
        <v>16056</v>
      </c>
      <c r="K1827" s="1">
        <v>4</v>
      </c>
      <c r="L1827" s="1" t="s">
        <v>4342</v>
      </c>
      <c r="M1827" s="1">
        <v>5</v>
      </c>
      <c r="N1827" s="1" t="s">
        <v>4342</v>
      </c>
    </row>
    <row r="1828" spans="1:14" x14ac:dyDescent="0.15">
      <c r="A1828" s="1">
        <v>220</v>
      </c>
      <c r="B1828" s="1" t="s">
        <v>2886</v>
      </c>
      <c r="C1828" s="1" t="s">
        <v>3070</v>
      </c>
      <c r="D1828" s="1" t="s">
        <v>3071</v>
      </c>
      <c r="E1828" s="1" t="s">
        <v>3070</v>
      </c>
      <c r="F1828" s="1" t="s">
        <v>3071</v>
      </c>
      <c r="G1828" s="1" t="s">
        <v>3072</v>
      </c>
      <c r="H1828" s="1" t="s">
        <v>3071</v>
      </c>
      <c r="I1828" s="1" t="s">
        <v>16059</v>
      </c>
      <c r="J1828" s="1" t="s">
        <v>16060</v>
      </c>
      <c r="K1828" s="1">
        <v>4</v>
      </c>
      <c r="L1828" s="1" t="s">
        <v>4342</v>
      </c>
      <c r="M1828" s="1">
        <v>5</v>
      </c>
      <c r="N1828" s="1" t="s">
        <v>4342</v>
      </c>
    </row>
    <row r="1829" spans="1:14" x14ac:dyDescent="0.15">
      <c r="A1829" s="1">
        <v>220</v>
      </c>
      <c r="B1829" s="1" t="s">
        <v>2886</v>
      </c>
      <c r="C1829" s="1" t="s">
        <v>3070</v>
      </c>
      <c r="D1829" s="1" t="s">
        <v>3071</v>
      </c>
      <c r="E1829" s="1" t="s">
        <v>3070</v>
      </c>
      <c r="F1829" s="1" t="s">
        <v>3071</v>
      </c>
      <c r="G1829" s="1" t="s">
        <v>3072</v>
      </c>
      <c r="H1829" s="1" t="s">
        <v>3071</v>
      </c>
      <c r="I1829" s="1" t="s">
        <v>16063</v>
      </c>
      <c r="J1829" s="1" t="s">
        <v>16064</v>
      </c>
      <c r="K1829" s="1">
        <v>4</v>
      </c>
      <c r="L1829" s="1" t="s">
        <v>4342</v>
      </c>
      <c r="M1829" s="1">
        <v>5</v>
      </c>
      <c r="N1829" s="1" t="s">
        <v>4342</v>
      </c>
    </row>
    <row r="1830" spans="1:14" x14ac:dyDescent="0.15">
      <c r="A1830" s="1">
        <v>220</v>
      </c>
      <c r="B1830" s="1" t="s">
        <v>2886</v>
      </c>
      <c r="C1830" s="1" t="s">
        <v>3070</v>
      </c>
      <c r="D1830" s="1" t="s">
        <v>3071</v>
      </c>
      <c r="E1830" s="1" t="s">
        <v>3070</v>
      </c>
      <c r="F1830" s="1" t="s">
        <v>3071</v>
      </c>
      <c r="G1830" s="1" t="s">
        <v>3072</v>
      </c>
      <c r="H1830" s="1" t="s">
        <v>3071</v>
      </c>
      <c r="I1830" s="1" t="s">
        <v>9863</v>
      </c>
      <c r="J1830" s="1" t="s">
        <v>3109</v>
      </c>
      <c r="K1830" s="1">
        <v>4</v>
      </c>
      <c r="L1830" s="1" t="s">
        <v>4342</v>
      </c>
      <c r="M1830" s="1">
        <v>5</v>
      </c>
      <c r="N1830" s="1" t="s">
        <v>4342</v>
      </c>
    </row>
    <row r="1831" spans="1:14" x14ac:dyDescent="0.15">
      <c r="A1831" s="1">
        <v>220</v>
      </c>
      <c r="B1831" s="1" t="s">
        <v>2886</v>
      </c>
      <c r="C1831" s="1" t="s">
        <v>3070</v>
      </c>
      <c r="D1831" s="1" t="s">
        <v>3071</v>
      </c>
      <c r="E1831" s="1" t="s">
        <v>3070</v>
      </c>
      <c r="F1831" s="1" t="s">
        <v>3071</v>
      </c>
      <c r="G1831" s="1" t="s">
        <v>3072</v>
      </c>
      <c r="H1831" s="1" t="s">
        <v>3071</v>
      </c>
      <c r="I1831" s="1" t="s">
        <v>9866</v>
      </c>
      <c r="J1831" s="1" t="s">
        <v>3110</v>
      </c>
      <c r="K1831" s="1">
        <v>4</v>
      </c>
      <c r="L1831" s="1" t="s">
        <v>4342</v>
      </c>
      <c r="M1831" s="1">
        <v>5</v>
      </c>
      <c r="N1831" s="1" t="s">
        <v>4342</v>
      </c>
    </row>
    <row r="1832" spans="1:14" x14ac:dyDescent="0.15">
      <c r="A1832" s="1">
        <v>220</v>
      </c>
      <c r="B1832" s="1" t="s">
        <v>2886</v>
      </c>
      <c r="C1832" s="1" t="s">
        <v>3070</v>
      </c>
      <c r="D1832" s="1" t="s">
        <v>3071</v>
      </c>
      <c r="E1832" s="1" t="s">
        <v>3070</v>
      </c>
      <c r="F1832" s="1" t="s">
        <v>3071</v>
      </c>
      <c r="G1832" s="1" t="s">
        <v>3072</v>
      </c>
      <c r="H1832" s="1" t="s">
        <v>3071</v>
      </c>
      <c r="I1832" s="1" t="s">
        <v>16067</v>
      </c>
      <c r="J1832" s="1" t="s">
        <v>3111</v>
      </c>
      <c r="K1832" s="1">
        <v>4</v>
      </c>
      <c r="L1832" s="1" t="s">
        <v>4342</v>
      </c>
      <c r="M1832" s="1">
        <v>5</v>
      </c>
      <c r="N1832" s="1" t="s">
        <v>4342</v>
      </c>
    </row>
    <row r="1833" spans="1:14" x14ac:dyDescent="0.15">
      <c r="A1833" s="1">
        <v>220</v>
      </c>
      <c r="B1833" s="1" t="s">
        <v>2886</v>
      </c>
      <c r="C1833" s="1" t="s">
        <v>3070</v>
      </c>
      <c r="D1833" s="1" t="s">
        <v>3071</v>
      </c>
      <c r="E1833" s="1" t="s">
        <v>3070</v>
      </c>
      <c r="F1833" s="1" t="s">
        <v>3071</v>
      </c>
      <c r="G1833" s="1" t="s">
        <v>3072</v>
      </c>
      <c r="H1833" s="1" t="s">
        <v>3071</v>
      </c>
      <c r="I1833" s="1" t="s">
        <v>11356</v>
      </c>
      <c r="J1833" s="1" t="s">
        <v>3112</v>
      </c>
      <c r="K1833" s="1">
        <v>4</v>
      </c>
      <c r="L1833" s="1" t="s">
        <v>4342</v>
      </c>
      <c r="M1833" s="1">
        <v>5</v>
      </c>
      <c r="N1833" s="1" t="s">
        <v>4342</v>
      </c>
    </row>
    <row r="1834" spans="1:14" x14ac:dyDescent="0.15">
      <c r="A1834" s="1">
        <v>220</v>
      </c>
      <c r="B1834" s="1" t="s">
        <v>2886</v>
      </c>
      <c r="C1834" s="1" t="s">
        <v>3070</v>
      </c>
      <c r="D1834" s="1" t="s">
        <v>3071</v>
      </c>
      <c r="E1834" s="1" t="s">
        <v>3070</v>
      </c>
      <c r="F1834" s="1" t="s">
        <v>3071</v>
      </c>
      <c r="G1834" s="1" t="s">
        <v>3072</v>
      </c>
      <c r="H1834" s="1" t="s">
        <v>3071</v>
      </c>
      <c r="I1834" s="1" t="s">
        <v>11338</v>
      </c>
      <c r="J1834" s="1" t="s">
        <v>3113</v>
      </c>
      <c r="K1834" s="1">
        <v>4</v>
      </c>
      <c r="L1834" s="1" t="s">
        <v>4342</v>
      </c>
      <c r="M1834" s="1">
        <v>5</v>
      </c>
      <c r="N1834" s="1" t="s">
        <v>4342</v>
      </c>
    </row>
    <row r="1835" spans="1:14" x14ac:dyDescent="0.15">
      <c r="A1835" s="1">
        <v>220</v>
      </c>
      <c r="B1835" s="1" t="s">
        <v>2886</v>
      </c>
      <c r="C1835" s="1" t="s">
        <v>3070</v>
      </c>
      <c r="D1835" s="1" t="s">
        <v>3071</v>
      </c>
      <c r="E1835" s="1" t="s">
        <v>3070</v>
      </c>
      <c r="F1835" s="1" t="s">
        <v>3071</v>
      </c>
      <c r="G1835" s="1" t="s">
        <v>3072</v>
      </c>
      <c r="H1835" s="1" t="s">
        <v>3071</v>
      </c>
      <c r="I1835" s="1" t="s">
        <v>16075</v>
      </c>
      <c r="J1835" s="1" t="s">
        <v>16076</v>
      </c>
      <c r="K1835" s="1">
        <v>4</v>
      </c>
      <c r="L1835" s="1" t="s">
        <v>4342</v>
      </c>
      <c r="M1835" s="1">
        <v>5</v>
      </c>
      <c r="N1835" s="1" t="s">
        <v>4342</v>
      </c>
    </row>
    <row r="1836" spans="1:14" x14ac:dyDescent="0.15">
      <c r="A1836" s="1">
        <v>220</v>
      </c>
      <c r="B1836" s="1" t="s">
        <v>2886</v>
      </c>
      <c r="C1836" s="1" t="s">
        <v>3070</v>
      </c>
      <c r="D1836" s="1" t="s">
        <v>3071</v>
      </c>
      <c r="E1836" s="1" t="s">
        <v>3070</v>
      </c>
      <c r="F1836" s="1" t="s">
        <v>3071</v>
      </c>
      <c r="G1836" s="1" t="s">
        <v>3072</v>
      </c>
      <c r="H1836" s="1" t="s">
        <v>3071</v>
      </c>
      <c r="I1836" s="1" t="s">
        <v>16079</v>
      </c>
      <c r="J1836" s="1" t="s">
        <v>16080</v>
      </c>
      <c r="K1836" s="1">
        <v>4</v>
      </c>
      <c r="L1836" s="1" t="s">
        <v>4342</v>
      </c>
      <c r="M1836" s="1">
        <v>5</v>
      </c>
      <c r="N1836" s="1" t="s">
        <v>4342</v>
      </c>
    </row>
    <row r="1837" spans="1:14" x14ac:dyDescent="0.15">
      <c r="A1837" s="1">
        <v>220</v>
      </c>
      <c r="B1837" s="1" t="s">
        <v>2886</v>
      </c>
      <c r="C1837" s="1" t="s">
        <v>3070</v>
      </c>
      <c r="D1837" s="1" t="s">
        <v>3071</v>
      </c>
      <c r="E1837" s="1" t="s">
        <v>3070</v>
      </c>
      <c r="F1837" s="1" t="s">
        <v>3071</v>
      </c>
      <c r="G1837" s="1" t="s">
        <v>3072</v>
      </c>
      <c r="H1837" s="1" t="s">
        <v>3071</v>
      </c>
      <c r="I1837" s="1" t="s">
        <v>9885</v>
      </c>
      <c r="J1837" s="1" t="s">
        <v>3114</v>
      </c>
      <c r="K1837" s="1">
        <v>4</v>
      </c>
      <c r="L1837" s="1" t="s">
        <v>4342</v>
      </c>
      <c r="M1837" s="1">
        <v>5</v>
      </c>
      <c r="N1837" s="1" t="s">
        <v>4342</v>
      </c>
    </row>
    <row r="1838" spans="1:14" x14ac:dyDescent="0.15">
      <c r="A1838" s="1">
        <v>220</v>
      </c>
      <c r="B1838" s="1" t="s">
        <v>2886</v>
      </c>
      <c r="C1838" s="1" t="s">
        <v>3070</v>
      </c>
      <c r="D1838" s="1" t="s">
        <v>3071</v>
      </c>
      <c r="E1838" s="1" t="s">
        <v>3070</v>
      </c>
      <c r="F1838" s="1" t="s">
        <v>3071</v>
      </c>
      <c r="G1838" s="1" t="s">
        <v>3072</v>
      </c>
      <c r="H1838" s="1" t="s">
        <v>3071</v>
      </c>
      <c r="I1838" s="1" t="s">
        <v>16083</v>
      </c>
      <c r="J1838" s="1" t="s">
        <v>3115</v>
      </c>
      <c r="K1838" s="1">
        <v>4</v>
      </c>
      <c r="L1838" s="1" t="s">
        <v>4342</v>
      </c>
      <c r="M1838" s="1">
        <v>5</v>
      </c>
      <c r="N1838" s="1" t="s">
        <v>4342</v>
      </c>
    </row>
    <row r="1839" spans="1:14" x14ac:dyDescent="0.15">
      <c r="A1839" s="1">
        <v>220</v>
      </c>
      <c r="B1839" s="1" t="s">
        <v>2886</v>
      </c>
      <c r="C1839" s="1" t="s">
        <v>3070</v>
      </c>
      <c r="D1839" s="1" t="s">
        <v>3071</v>
      </c>
      <c r="E1839" s="1" t="s">
        <v>3070</v>
      </c>
      <c r="F1839" s="1" t="s">
        <v>3071</v>
      </c>
      <c r="G1839" s="1" t="s">
        <v>3072</v>
      </c>
      <c r="H1839" s="1" t="s">
        <v>3071</v>
      </c>
      <c r="I1839" s="1" t="s">
        <v>9891</v>
      </c>
      <c r="J1839" s="1" t="s">
        <v>3116</v>
      </c>
      <c r="K1839" s="1">
        <v>4</v>
      </c>
      <c r="L1839" s="1" t="s">
        <v>4342</v>
      </c>
      <c r="M1839" s="1">
        <v>5</v>
      </c>
      <c r="N1839" s="1" t="s">
        <v>4342</v>
      </c>
    </row>
    <row r="1840" spans="1:14" x14ac:dyDescent="0.15">
      <c r="A1840" s="1">
        <v>220</v>
      </c>
      <c r="B1840" s="1" t="s">
        <v>2886</v>
      </c>
      <c r="C1840" s="1" t="s">
        <v>3070</v>
      </c>
      <c r="D1840" s="1" t="s">
        <v>3071</v>
      </c>
      <c r="E1840" s="1" t="s">
        <v>3070</v>
      </c>
      <c r="F1840" s="1" t="s">
        <v>3071</v>
      </c>
      <c r="G1840" s="1" t="s">
        <v>3072</v>
      </c>
      <c r="H1840" s="1" t="s">
        <v>3071</v>
      </c>
      <c r="I1840" s="1" t="s">
        <v>16095</v>
      </c>
      <c r="J1840" s="1" t="s">
        <v>3117</v>
      </c>
      <c r="K1840" s="1">
        <v>4</v>
      </c>
      <c r="L1840" s="1" t="s">
        <v>4342</v>
      </c>
      <c r="M1840" s="1">
        <v>5</v>
      </c>
      <c r="N1840" s="1" t="s">
        <v>4342</v>
      </c>
    </row>
    <row r="1841" spans="1:14" x14ac:dyDescent="0.15">
      <c r="A1841" s="1">
        <v>220</v>
      </c>
      <c r="B1841" s="1" t="s">
        <v>2886</v>
      </c>
      <c r="C1841" s="1" t="s">
        <v>3070</v>
      </c>
      <c r="D1841" s="1" t="s">
        <v>3071</v>
      </c>
      <c r="E1841" s="1" t="s">
        <v>3070</v>
      </c>
      <c r="F1841" s="1" t="s">
        <v>3071</v>
      </c>
      <c r="G1841" s="1" t="s">
        <v>3072</v>
      </c>
      <c r="H1841" s="1" t="s">
        <v>3071</v>
      </c>
      <c r="I1841" s="1" t="s">
        <v>16099</v>
      </c>
      <c r="J1841" s="1" t="s">
        <v>3118</v>
      </c>
      <c r="K1841" s="1">
        <v>4</v>
      </c>
      <c r="L1841" s="1" t="s">
        <v>4342</v>
      </c>
      <c r="M1841" s="1">
        <v>5</v>
      </c>
      <c r="N1841" s="1" t="s">
        <v>4342</v>
      </c>
    </row>
    <row r="1842" spans="1:14" x14ac:dyDescent="0.15">
      <c r="A1842" s="1">
        <v>220</v>
      </c>
      <c r="B1842" s="1" t="s">
        <v>2886</v>
      </c>
      <c r="C1842" s="1" t="s">
        <v>3070</v>
      </c>
      <c r="D1842" s="1" t="s">
        <v>3071</v>
      </c>
      <c r="E1842" s="1" t="s">
        <v>3070</v>
      </c>
      <c r="F1842" s="1" t="s">
        <v>3071</v>
      </c>
      <c r="G1842" s="1" t="s">
        <v>3072</v>
      </c>
      <c r="H1842" s="1" t="s">
        <v>3071</v>
      </c>
      <c r="I1842" s="1" t="s">
        <v>16103</v>
      </c>
      <c r="J1842" s="1" t="s">
        <v>3119</v>
      </c>
      <c r="K1842" s="1">
        <v>4</v>
      </c>
      <c r="L1842" s="1" t="s">
        <v>4342</v>
      </c>
      <c r="M1842" s="1">
        <v>5</v>
      </c>
      <c r="N1842" s="1" t="s">
        <v>4342</v>
      </c>
    </row>
    <row r="1843" spans="1:14" x14ac:dyDescent="0.15">
      <c r="A1843" s="1">
        <v>220</v>
      </c>
      <c r="B1843" s="1" t="s">
        <v>2886</v>
      </c>
      <c r="C1843" s="1" t="s">
        <v>3070</v>
      </c>
      <c r="D1843" s="1" t="s">
        <v>3071</v>
      </c>
      <c r="E1843" s="1" t="s">
        <v>3070</v>
      </c>
      <c r="F1843" s="1" t="s">
        <v>3071</v>
      </c>
      <c r="G1843" s="1" t="s">
        <v>3072</v>
      </c>
      <c r="H1843" s="1" t="s">
        <v>3071</v>
      </c>
      <c r="I1843" s="1" t="s">
        <v>11348</v>
      </c>
      <c r="J1843" s="1" t="s">
        <v>3120</v>
      </c>
      <c r="K1843" s="1">
        <v>4</v>
      </c>
      <c r="L1843" s="1" t="s">
        <v>4342</v>
      </c>
      <c r="M1843" s="1">
        <v>5</v>
      </c>
      <c r="N1843" s="1" t="s">
        <v>4342</v>
      </c>
    </row>
    <row r="1844" spans="1:14" x14ac:dyDescent="0.15">
      <c r="A1844" s="1">
        <v>220</v>
      </c>
      <c r="B1844" s="1" t="s">
        <v>2886</v>
      </c>
      <c r="C1844" s="1" t="s">
        <v>3070</v>
      </c>
      <c r="D1844" s="1" t="s">
        <v>3071</v>
      </c>
      <c r="E1844" s="1" t="s">
        <v>3070</v>
      </c>
      <c r="F1844" s="1" t="s">
        <v>3071</v>
      </c>
      <c r="G1844" s="1" t="s">
        <v>3072</v>
      </c>
      <c r="H1844" s="1" t="s">
        <v>3071</v>
      </c>
      <c r="I1844" s="1" t="s">
        <v>11320</v>
      </c>
      <c r="J1844" s="1" t="s">
        <v>3121</v>
      </c>
      <c r="K1844" s="1">
        <v>4</v>
      </c>
      <c r="L1844" s="1" t="s">
        <v>4342</v>
      </c>
      <c r="M1844" s="1">
        <v>5</v>
      </c>
      <c r="N1844" s="1" t="s">
        <v>4342</v>
      </c>
    </row>
    <row r="1845" spans="1:14" x14ac:dyDescent="0.15">
      <c r="A1845" s="1">
        <v>220</v>
      </c>
      <c r="B1845" s="1" t="s">
        <v>2886</v>
      </c>
      <c r="C1845" s="1" t="s">
        <v>3070</v>
      </c>
      <c r="D1845" s="1" t="s">
        <v>3071</v>
      </c>
      <c r="E1845" s="1" t="s">
        <v>3070</v>
      </c>
      <c r="F1845" s="1" t="s">
        <v>3071</v>
      </c>
      <c r="G1845" s="1" t="s">
        <v>3072</v>
      </c>
      <c r="H1845" s="1" t="s">
        <v>3071</v>
      </c>
      <c r="I1845" s="1" t="s">
        <v>9914</v>
      </c>
      <c r="J1845" s="1" t="s">
        <v>3122</v>
      </c>
      <c r="K1845" s="1">
        <v>4</v>
      </c>
      <c r="L1845" s="1" t="s">
        <v>4342</v>
      </c>
      <c r="M1845" s="1">
        <v>5</v>
      </c>
      <c r="N1845" s="1" t="s">
        <v>4342</v>
      </c>
    </row>
    <row r="1846" spans="1:14" x14ac:dyDescent="0.15">
      <c r="A1846" s="1">
        <v>220</v>
      </c>
      <c r="B1846" s="1" t="s">
        <v>2886</v>
      </c>
      <c r="C1846" s="1" t="s">
        <v>3070</v>
      </c>
      <c r="D1846" s="1" t="s">
        <v>3071</v>
      </c>
      <c r="E1846" s="1" t="s">
        <v>3070</v>
      </c>
      <c r="F1846" s="1" t="s">
        <v>3071</v>
      </c>
      <c r="G1846" s="1" t="s">
        <v>3072</v>
      </c>
      <c r="H1846" s="1" t="s">
        <v>3071</v>
      </c>
      <c r="I1846" s="1" t="s">
        <v>9917</v>
      </c>
      <c r="J1846" s="1" t="s">
        <v>3123</v>
      </c>
      <c r="K1846" s="1">
        <v>4</v>
      </c>
      <c r="L1846" s="1" t="s">
        <v>4342</v>
      </c>
      <c r="M1846" s="1">
        <v>5</v>
      </c>
      <c r="N1846" s="1" t="s">
        <v>4342</v>
      </c>
    </row>
    <row r="1847" spans="1:14" x14ac:dyDescent="0.15">
      <c r="A1847" s="1">
        <v>220</v>
      </c>
      <c r="B1847" s="1" t="s">
        <v>2886</v>
      </c>
      <c r="C1847" s="1" t="s">
        <v>3070</v>
      </c>
      <c r="D1847" s="1" t="s">
        <v>3071</v>
      </c>
      <c r="E1847" s="1" t="s">
        <v>3070</v>
      </c>
      <c r="F1847" s="1" t="s">
        <v>3071</v>
      </c>
      <c r="G1847" s="1" t="s">
        <v>3072</v>
      </c>
      <c r="H1847" s="1" t="s">
        <v>3071</v>
      </c>
      <c r="I1847" s="1" t="s">
        <v>9920</v>
      </c>
      <c r="J1847" s="1" t="s">
        <v>3124</v>
      </c>
      <c r="K1847" s="1">
        <v>4</v>
      </c>
      <c r="L1847" s="1" t="s">
        <v>4342</v>
      </c>
      <c r="M1847" s="1">
        <v>5</v>
      </c>
      <c r="N1847" s="1" t="s">
        <v>4342</v>
      </c>
    </row>
    <row r="1848" spans="1:14" x14ac:dyDescent="0.15">
      <c r="A1848" s="1">
        <v>220</v>
      </c>
      <c r="B1848" s="1" t="s">
        <v>2886</v>
      </c>
      <c r="C1848" s="1" t="s">
        <v>3070</v>
      </c>
      <c r="D1848" s="1" t="s">
        <v>3071</v>
      </c>
      <c r="E1848" s="1" t="s">
        <v>3070</v>
      </c>
      <c r="F1848" s="1" t="s">
        <v>3071</v>
      </c>
      <c r="G1848" s="1" t="s">
        <v>3072</v>
      </c>
      <c r="H1848" s="1" t="s">
        <v>3071</v>
      </c>
      <c r="I1848" s="1" t="s">
        <v>9923</v>
      </c>
      <c r="J1848" s="1" t="s">
        <v>3125</v>
      </c>
      <c r="K1848" s="1">
        <v>4</v>
      </c>
      <c r="L1848" s="1" t="s">
        <v>4342</v>
      </c>
      <c r="M1848" s="1">
        <v>5</v>
      </c>
      <c r="N1848" s="1" t="s">
        <v>4342</v>
      </c>
    </row>
    <row r="1849" spans="1:14" x14ac:dyDescent="0.15">
      <c r="A1849" s="1">
        <v>220</v>
      </c>
      <c r="B1849" s="1" t="s">
        <v>2886</v>
      </c>
      <c r="C1849" s="1" t="s">
        <v>3070</v>
      </c>
      <c r="D1849" s="1" t="s">
        <v>3071</v>
      </c>
      <c r="E1849" s="1" t="s">
        <v>3070</v>
      </c>
      <c r="F1849" s="1" t="s">
        <v>3071</v>
      </c>
      <c r="G1849" s="1" t="s">
        <v>3072</v>
      </c>
      <c r="H1849" s="1" t="s">
        <v>3071</v>
      </c>
      <c r="I1849" s="1" t="s">
        <v>9926</v>
      </c>
      <c r="J1849" s="1" t="s">
        <v>3126</v>
      </c>
      <c r="K1849" s="1">
        <v>4</v>
      </c>
      <c r="L1849" s="1" t="s">
        <v>4342</v>
      </c>
      <c r="M1849" s="1">
        <v>5</v>
      </c>
      <c r="N1849" s="1" t="s">
        <v>4342</v>
      </c>
    </row>
    <row r="1850" spans="1:14" x14ac:dyDescent="0.15">
      <c r="A1850" s="1">
        <v>220</v>
      </c>
      <c r="B1850" s="1" t="s">
        <v>2886</v>
      </c>
      <c r="C1850" s="1" t="s">
        <v>3070</v>
      </c>
      <c r="D1850" s="1" t="s">
        <v>3071</v>
      </c>
      <c r="E1850" s="1" t="s">
        <v>3070</v>
      </c>
      <c r="F1850" s="1" t="s">
        <v>3071</v>
      </c>
      <c r="G1850" s="1" t="s">
        <v>3072</v>
      </c>
      <c r="H1850" s="1" t="s">
        <v>3071</v>
      </c>
      <c r="I1850" s="1" t="s">
        <v>9929</v>
      </c>
      <c r="J1850" s="1" t="s">
        <v>3127</v>
      </c>
      <c r="K1850" s="1">
        <v>4</v>
      </c>
      <c r="L1850" s="1" t="s">
        <v>4342</v>
      </c>
      <c r="M1850" s="1">
        <v>5</v>
      </c>
      <c r="N1850" s="1" t="s">
        <v>4342</v>
      </c>
    </row>
    <row r="1851" spans="1:14" x14ac:dyDescent="0.15">
      <c r="A1851" s="1">
        <v>220</v>
      </c>
      <c r="B1851" s="1" t="s">
        <v>2886</v>
      </c>
      <c r="C1851" s="1" t="s">
        <v>3070</v>
      </c>
      <c r="D1851" s="1" t="s">
        <v>3071</v>
      </c>
      <c r="E1851" s="1" t="s">
        <v>3070</v>
      </c>
      <c r="F1851" s="1" t="s">
        <v>3071</v>
      </c>
      <c r="G1851" s="1" t="s">
        <v>3072</v>
      </c>
      <c r="H1851" s="1" t="s">
        <v>3071</v>
      </c>
      <c r="I1851" s="1" t="s">
        <v>9932</v>
      </c>
      <c r="J1851" s="1" t="s">
        <v>3128</v>
      </c>
      <c r="K1851" s="1">
        <v>4</v>
      </c>
      <c r="L1851" s="1" t="s">
        <v>4342</v>
      </c>
      <c r="M1851" s="1">
        <v>5</v>
      </c>
      <c r="N1851" s="1" t="s">
        <v>4342</v>
      </c>
    </row>
    <row r="1852" spans="1:14" x14ac:dyDescent="0.15">
      <c r="A1852" s="1">
        <v>220</v>
      </c>
      <c r="B1852" s="1" t="s">
        <v>2886</v>
      </c>
      <c r="C1852" s="1" t="s">
        <v>3070</v>
      </c>
      <c r="D1852" s="1" t="s">
        <v>3071</v>
      </c>
      <c r="E1852" s="1" t="s">
        <v>3070</v>
      </c>
      <c r="F1852" s="1" t="s">
        <v>3071</v>
      </c>
      <c r="G1852" s="1" t="s">
        <v>3072</v>
      </c>
      <c r="H1852" s="1" t="s">
        <v>3071</v>
      </c>
      <c r="I1852" s="1" t="s">
        <v>9935</v>
      </c>
      <c r="J1852" s="1" t="s">
        <v>3129</v>
      </c>
      <c r="K1852" s="1">
        <v>4</v>
      </c>
      <c r="L1852" s="1" t="s">
        <v>4342</v>
      </c>
      <c r="M1852" s="1">
        <v>5</v>
      </c>
      <c r="N1852" s="1" t="s">
        <v>4342</v>
      </c>
    </row>
    <row r="1853" spans="1:14" x14ac:dyDescent="0.15">
      <c r="A1853" s="1">
        <v>220</v>
      </c>
      <c r="B1853" s="1" t="s">
        <v>2886</v>
      </c>
      <c r="C1853" s="1" t="s">
        <v>3070</v>
      </c>
      <c r="D1853" s="1" t="s">
        <v>3071</v>
      </c>
      <c r="E1853" s="1" t="s">
        <v>3070</v>
      </c>
      <c r="F1853" s="1" t="s">
        <v>3071</v>
      </c>
      <c r="G1853" s="1" t="s">
        <v>3072</v>
      </c>
      <c r="H1853" s="1" t="s">
        <v>3071</v>
      </c>
      <c r="I1853" s="1" t="s">
        <v>9938</v>
      </c>
      <c r="J1853" s="1" t="s">
        <v>3130</v>
      </c>
      <c r="K1853" s="1">
        <v>4</v>
      </c>
      <c r="L1853" s="1" t="s">
        <v>4342</v>
      </c>
      <c r="M1853" s="1">
        <v>5</v>
      </c>
      <c r="N1853" s="1" t="s">
        <v>4342</v>
      </c>
    </row>
    <row r="1854" spans="1:14" x14ac:dyDescent="0.15">
      <c r="A1854" s="1">
        <v>220</v>
      </c>
      <c r="B1854" s="1" t="s">
        <v>2886</v>
      </c>
      <c r="C1854" s="1" t="s">
        <v>3070</v>
      </c>
      <c r="D1854" s="1" t="s">
        <v>3071</v>
      </c>
      <c r="E1854" s="1" t="s">
        <v>3070</v>
      </c>
      <c r="F1854" s="1" t="s">
        <v>3071</v>
      </c>
      <c r="G1854" s="1" t="s">
        <v>3072</v>
      </c>
      <c r="H1854" s="1" t="s">
        <v>3071</v>
      </c>
      <c r="I1854" s="1" t="s">
        <v>9943</v>
      </c>
      <c r="J1854" s="1" t="s">
        <v>3131</v>
      </c>
      <c r="K1854" s="1">
        <v>4</v>
      </c>
      <c r="L1854" s="1" t="s">
        <v>4342</v>
      </c>
      <c r="M1854" s="1">
        <v>5</v>
      </c>
      <c r="N1854" s="1" t="s">
        <v>4342</v>
      </c>
    </row>
    <row r="1855" spans="1:14" x14ac:dyDescent="0.15">
      <c r="A1855" s="1">
        <v>220</v>
      </c>
      <c r="B1855" s="1" t="s">
        <v>2886</v>
      </c>
      <c r="C1855" s="1" t="s">
        <v>3070</v>
      </c>
      <c r="D1855" s="1" t="s">
        <v>3071</v>
      </c>
      <c r="E1855" s="1" t="s">
        <v>3070</v>
      </c>
      <c r="F1855" s="1" t="s">
        <v>3071</v>
      </c>
      <c r="G1855" s="1" t="s">
        <v>3072</v>
      </c>
      <c r="H1855" s="1" t="s">
        <v>3071</v>
      </c>
      <c r="I1855" s="1" t="s">
        <v>9946</v>
      </c>
      <c r="J1855" s="1" t="s">
        <v>3132</v>
      </c>
      <c r="K1855" s="1">
        <v>4</v>
      </c>
      <c r="L1855" s="1" t="s">
        <v>4342</v>
      </c>
      <c r="M1855" s="1">
        <v>5</v>
      </c>
      <c r="N1855" s="1" t="s">
        <v>4342</v>
      </c>
    </row>
    <row r="1856" spans="1:14" x14ac:dyDescent="0.15">
      <c r="A1856" s="1">
        <v>220</v>
      </c>
      <c r="B1856" s="1" t="s">
        <v>2886</v>
      </c>
      <c r="C1856" s="1" t="s">
        <v>3070</v>
      </c>
      <c r="D1856" s="1" t="s">
        <v>3071</v>
      </c>
      <c r="E1856" s="1" t="s">
        <v>3070</v>
      </c>
      <c r="F1856" s="1" t="s">
        <v>3071</v>
      </c>
      <c r="G1856" s="1" t="s">
        <v>3072</v>
      </c>
      <c r="H1856" s="1" t="s">
        <v>3071</v>
      </c>
      <c r="I1856" s="1" t="s">
        <v>9949</v>
      </c>
      <c r="J1856" s="1" t="s">
        <v>3133</v>
      </c>
      <c r="K1856" s="1">
        <v>4</v>
      </c>
      <c r="L1856" s="1" t="s">
        <v>4342</v>
      </c>
      <c r="M1856" s="1">
        <v>5</v>
      </c>
      <c r="N1856" s="1" t="s">
        <v>4342</v>
      </c>
    </row>
    <row r="1857" spans="1:14" x14ac:dyDescent="0.15">
      <c r="A1857" s="1">
        <v>220</v>
      </c>
      <c r="B1857" s="1" t="s">
        <v>2886</v>
      </c>
      <c r="C1857" s="1" t="s">
        <v>3070</v>
      </c>
      <c r="D1857" s="1" t="s">
        <v>3071</v>
      </c>
      <c r="E1857" s="1" t="s">
        <v>3070</v>
      </c>
      <c r="F1857" s="1" t="s">
        <v>3071</v>
      </c>
      <c r="G1857" s="1" t="s">
        <v>3072</v>
      </c>
      <c r="H1857" s="1" t="s">
        <v>3071</v>
      </c>
      <c r="I1857" s="1" t="s">
        <v>9952</v>
      </c>
      <c r="J1857" s="1" t="s">
        <v>3134</v>
      </c>
      <c r="K1857" s="1">
        <v>4</v>
      </c>
      <c r="L1857" s="1" t="s">
        <v>4342</v>
      </c>
      <c r="M1857" s="1">
        <v>5</v>
      </c>
      <c r="N1857" s="1" t="s">
        <v>4342</v>
      </c>
    </row>
    <row r="1858" spans="1:14" x14ac:dyDescent="0.15">
      <c r="A1858" s="1">
        <v>220</v>
      </c>
      <c r="B1858" s="1" t="s">
        <v>2886</v>
      </c>
      <c r="C1858" s="1" t="s">
        <v>3070</v>
      </c>
      <c r="D1858" s="1" t="s">
        <v>3071</v>
      </c>
      <c r="E1858" s="1" t="s">
        <v>3070</v>
      </c>
      <c r="F1858" s="1" t="s">
        <v>3071</v>
      </c>
      <c r="G1858" s="1" t="s">
        <v>3072</v>
      </c>
      <c r="H1858" s="1" t="s">
        <v>3071</v>
      </c>
      <c r="I1858" s="1" t="s">
        <v>9955</v>
      </c>
      <c r="J1858" s="1" t="s">
        <v>3135</v>
      </c>
      <c r="K1858" s="1">
        <v>4</v>
      </c>
      <c r="L1858" s="1" t="s">
        <v>4342</v>
      </c>
      <c r="M1858" s="1">
        <v>5</v>
      </c>
      <c r="N1858" s="1" t="s">
        <v>4342</v>
      </c>
    </row>
    <row r="1859" spans="1:14" x14ac:dyDescent="0.15">
      <c r="A1859" s="1">
        <v>220</v>
      </c>
      <c r="B1859" s="1" t="s">
        <v>2886</v>
      </c>
      <c r="C1859" s="1" t="s">
        <v>3070</v>
      </c>
      <c r="D1859" s="1" t="s">
        <v>3071</v>
      </c>
      <c r="E1859" s="1" t="s">
        <v>3070</v>
      </c>
      <c r="F1859" s="1" t="s">
        <v>3071</v>
      </c>
      <c r="G1859" s="1" t="s">
        <v>3072</v>
      </c>
      <c r="H1859" s="1" t="s">
        <v>3071</v>
      </c>
      <c r="I1859" s="1" t="s">
        <v>16111</v>
      </c>
      <c r="J1859" s="1" t="s">
        <v>3136</v>
      </c>
      <c r="K1859" s="1">
        <v>4</v>
      </c>
      <c r="L1859" s="1" t="s">
        <v>4342</v>
      </c>
      <c r="M1859" s="1">
        <v>5</v>
      </c>
      <c r="N1859" s="1" t="s">
        <v>4342</v>
      </c>
    </row>
    <row r="1860" spans="1:14" x14ac:dyDescent="0.15">
      <c r="A1860" s="1">
        <v>220</v>
      </c>
      <c r="B1860" s="1" t="s">
        <v>2886</v>
      </c>
      <c r="C1860" s="1" t="s">
        <v>3137</v>
      </c>
      <c r="D1860" s="1" t="s">
        <v>3138</v>
      </c>
      <c r="E1860" s="1" t="s">
        <v>3137</v>
      </c>
      <c r="F1860" s="1" t="s">
        <v>3138</v>
      </c>
      <c r="G1860" s="1" t="s">
        <v>3139</v>
      </c>
      <c r="H1860" s="1" t="s">
        <v>3138</v>
      </c>
      <c r="I1860" s="1" t="s">
        <v>7314</v>
      </c>
      <c r="J1860" s="1" t="s">
        <v>14765</v>
      </c>
      <c r="K1860" s="1">
        <v>4</v>
      </c>
      <c r="L1860" s="1" t="s">
        <v>4342</v>
      </c>
      <c r="M1860" s="1">
        <v>5</v>
      </c>
      <c r="N1860" s="1" t="s">
        <v>4342</v>
      </c>
    </row>
    <row r="1861" spans="1:14" x14ac:dyDescent="0.15">
      <c r="A1861" s="1">
        <v>220</v>
      </c>
      <c r="B1861" s="1" t="s">
        <v>2886</v>
      </c>
      <c r="C1861" s="1" t="s">
        <v>3137</v>
      </c>
      <c r="D1861" s="1" t="s">
        <v>3138</v>
      </c>
      <c r="E1861" s="1" t="s">
        <v>3137</v>
      </c>
      <c r="F1861" s="1" t="s">
        <v>3138</v>
      </c>
      <c r="G1861" s="1" t="s">
        <v>3139</v>
      </c>
      <c r="H1861" s="1" t="s">
        <v>3138</v>
      </c>
      <c r="I1861" s="1" t="s">
        <v>11571</v>
      </c>
      <c r="J1861" s="1" t="s">
        <v>2700</v>
      </c>
      <c r="K1861" s="1">
        <v>4</v>
      </c>
      <c r="L1861" s="1" t="s">
        <v>4342</v>
      </c>
      <c r="M1861" s="1">
        <v>5</v>
      </c>
      <c r="N1861" s="1" t="s">
        <v>4342</v>
      </c>
    </row>
    <row r="1862" spans="1:14" x14ac:dyDescent="0.15">
      <c r="A1862" s="1">
        <v>220</v>
      </c>
      <c r="B1862" s="1" t="s">
        <v>2886</v>
      </c>
      <c r="C1862" s="1" t="s">
        <v>3137</v>
      </c>
      <c r="D1862" s="1" t="s">
        <v>3138</v>
      </c>
      <c r="E1862" s="1" t="s">
        <v>3137</v>
      </c>
      <c r="F1862" s="1" t="s">
        <v>3138</v>
      </c>
      <c r="G1862" s="1" t="s">
        <v>3139</v>
      </c>
      <c r="H1862" s="1" t="s">
        <v>3138</v>
      </c>
      <c r="I1862" s="1" t="s">
        <v>11352</v>
      </c>
      <c r="J1862" s="1" t="s">
        <v>14773</v>
      </c>
      <c r="K1862" s="1">
        <v>4</v>
      </c>
      <c r="L1862" s="1" t="s">
        <v>4342</v>
      </c>
      <c r="M1862" s="1">
        <v>5</v>
      </c>
      <c r="N1862" s="1" t="s">
        <v>4342</v>
      </c>
    </row>
    <row r="1863" spans="1:14" x14ac:dyDescent="0.15">
      <c r="A1863" s="1">
        <v>220</v>
      </c>
      <c r="B1863" s="1" t="s">
        <v>2886</v>
      </c>
      <c r="C1863" s="1" t="s">
        <v>3137</v>
      </c>
      <c r="D1863" s="1" t="s">
        <v>3138</v>
      </c>
      <c r="E1863" s="1" t="s">
        <v>3137</v>
      </c>
      <c r="F1863" s="1" t="s">
        <v>3138</v>
      </c>
      <c r="G1863" s="1" t="s">
        <v>3139</v>
      </c>
      <c r="H1863" s="1" t="s">
        <v>3138</v>
      </c>
      <c r="I1863" s="1" t="s">
        <v>11543</v>
      </c>
      <c r="J1863" s="1" t="s">
        <v>2701</v>
      </c>
      <c r="K1863" s="1">
        <v>4</v>
      </c>
      <c r="L1863" s="1" t="s">
        <v>4342</v>
      </c>
      <c r="M1863" s="1">
        <v>5</v>
      </c>
      <c r="N1863" s="1" t="s">
        <v>4342</v>
      </c>
    </row>
    <row r="1864" spans="1:14" x14ac:dyDescent="0.15">
      <c r="A1864" s="1">
        <v>220</v>
      </c>
      <c r="B1864" s="1" t="s">
        <v>2886</v>
      </c>
      <c r="C1864" s="1" t="s">
        <v>3137</v>
      </c>
      <c r="D1864" s="1" t="s">
        <v>3138</v>
      </c>
      <c r="E1864" s="1" t="s">
        <v>3137</v>
      </c>
      <c r="F1864" s="1" t="s">
        <v>3138</v>
      </c>
      <c r="G1864" s="1" t="s">
        <v>3139</v>
      </c>
      <c r="H1864" s="1" t="s">
        <v>3138</v>
      </c>
      <c r="I1864" s="1" t="s">
        <v>9740</v>
      </c>
      <c r="J1864" s="1" t="s">
        <v>14781</v>
      </c>
      <c r="K1864" s="1">
        <v>4</v>
      </c>
      <c r="L1864" s="1" t="s">
        <v>4342</v>
      </c>
      <c r="M1864" s="1">
        <v>5</v>
      </c>
      <c r="N1864" s="1" t="s">
        <v>4342</v>
      </c>
    </row>
    <row r="1865" spans="1:14" x14ac:dyDescent="0.15">
      <c r="A1865" s="1">
        <v>220</v>
      </c>
      <c r="B1865" s="1" t="s">
        <v>2886</v>
      </c>
      <c r="C1865" s="1" t="s">
        <v>3137</v>
      </c>
      <c r="D1865" s="1" t="s">
        <v>3138</v>
      </c>
      <c r="E1865" s="1" t="s">
        <v>3137</v>
      </c>
      <c r="F1865" s="1" t="s">
        <v>3138</v>
      </c>
      <c r="G1865" s="1" t="s">
        <v>3139</v>
      </c>
      <c r="H1865" s="1" t="s">
        <v>3138</v>
      </c>
      <c r="I1865" s="1" t="s">
        <v>11328</v>
      </c>
      <c r="J1865" s="1" t="s">
        <v>2702</v>
      </c>
      <c r="K1865" s="1">
        <v>4</v>
      </c>
      <c r="L1865" s="1" t="s">
        <v>4342</v>
      </c>
      <c r="M1865" s="1">
        <v>5</v>
      </c>
      <c r="N1865" s="1" t="s">
        <v>4342</v>
      </c>
    </row>
    <row r="1866" spans="1:14" x14ac:dyDescent="0.15">
      <c r="A1866" s="1">
        <v>220</v>
      </c>
      <c r="B1866" s="1" t="s">
        <v>2886</v>
      </c>
      <c r="C1866" s="1" t="s">
        <v>3137</v>
      </c>
      <c r="D1866" s="1" t="s">
        <v>3138</v>
      </c>
      <c r="E1866" s="1" t="s">
        <v>3137</v>
      </c>
      <c r="F1866" s="1" t="s">
        <v>3138</v>
      </c>
      <c r="G1866" s="1" t="s">
        <v>3139</v>
      </c>
      <c r="H1866" s="1" t="s">
        <v>3138</v>
      </c>
      <c r="I1866" s="1" t="s">
        <v>11381</v>
      </c>
      <c r="J1866" s="1" t="s">
        <v>2703</v>
      </c>
      <c r="K1866" s="1">
        <v>4</v>
      </c>
      <c r="L1866" s="1" t="s">
        <v>4342</v>
      </c>
      <c r="M1866" s="1">
        <v>5</v>
      </c>
      <c r="N1866" s="1" t="s">
        <v>4342</v>
      </c>
    </row>
    <row r="1867" spans="1:14" x14ac:dyDescent="0.15">
      <c r="A1867" s="1">
        <v>220</v>
      </c>
      <c r="B1867" s="1" t="s">
        <v>2886</v>
      </c>
      <c r="C1867" s="1" t="s">
        <v>3137</v>
      </c>
      <c r="D1867" s="1" t="s">
        <v>3138</v>
      </c>
      <c r="E1867" s="1" t="s">
        <v>3137</v>
      </c>
      <c r="F1867" s="1" t="s">
        <v>3138</v>
      </c>
      <c r="G1867" s="1" t="s">
        <v>3139</v>
      </c>
      <c r="H1867" s="1" t="s">
        <v>3138</v>
      </c>
      <c r="I1867" s="1" t="s">
        <v>7323</v>
      </c>
      <c r="J1867" s="1" t="s">
        <v>14785</v>
      </c>
      <c r="K1867" s="1">
        <v>4</v>
      </c>
      <c r="L1867" s="1" t="s">
        <v>4342</v>
      </c>
      <c r="M1867" s="1">
        <v>5</v>
      </c>
      <c r="N1867" s="1" t="s">
        <v>4342</v>
      </c>
    </row>
    <row r="1868" spans="1:14" x14ac:dyDescent="0.15">
      <c r="A1868" s="1">
        <v>220</v>
      </c>
      <c r="B1868" s="1" t="s">
        <v>2886</v>
      </c>
      <c r="C1868" s="1" t="s">
        <v>3140</v>
      </c>
      <c r="D1868" s="1" t="s">
        <v>2962</v>
      </c>
      <c r="E1868" s="1" t="s">
        <v>3140</v>
      </c>
      <c r="F1868" s="1" t="s">
        <v>2962</v>
      </c>
      <c r="G1868" s="1" t="s">
        <v>3141</v>
      </c>
      <c r="H1868" s="1" t="s">
        <v>2962</v>
      </c>
      <c r="I1868" s="1" t="s">
        <v>15568</v>
      </c>
      <c r="J1868" s="1" t="s">
        <v>15565</v>
      </c>
      <c r="K1868" s="1">
        <v>4</v>
      </c>
      <c r="L1868" s="1" t="s">
        <v>4342</v>
      </c>
      <c r="M1868" s="1">
        <v>5</v>
      </c>
      <c r="N1868" s="1" t="s">
        <v>4342</v>
      </c>
    </row>
    <row r="1869" spans="1:14" x14ac:dyDescent="0.15">
      <c r="A1869" s="1">
        <v>220</v>
      </c>
      <c r="B1869" s="1" t="s">
        <v>2886</v>
      </c>
      <c r="C1869" s="1" t="s">
        <v>3140</v>
      </c>
      <c r="D1869" s="1" t="s">
        <v>2962</v>
      </c>
      <c r="E1869" s="1" t="s">
        <v>3140</v>
      </c>
      <c r="F1869" s="1" t="s">
        <v>2962</v>
      </c>
      <c r="G1869" s="1" t="s">
        <v>3141</v>
      </c>
      <c r="H1869" s="1" t="s">
        <v>2962</v>
      </c>
      <c r="I1869" s="1" t="s">
        <v>9333</v>
      </c>
      <c r="J1869" s="1" t="s">
        <v>3142</v>
      </c>
      <c r="K1869" s="1">
        <v>4</v>
      </c>
      <c r="L1869" s="1" t="s">
        <v>4342</v>
      </c>
      <c r="M1869" s="1">
        <v>5</v>
      </c>
      <c r="N1869" s="1" t="s">
        <v>4342</v>
      </c>
    </row>
    <row r="1870" spans="1:14" x14ac:dyDescent="0.15">
      <c r="A1870" s="1">
        <v>220</v>
      </c>
      <c r="B1870" s="1" t="s">
        <v>2886</v>
      </c>
      <c r="C1870" s="1" t="s">
        <v>3140</v>
      </c>
      <c r="D1870" s="1" t="s">
        <v>2962</v>
      </c>
      <c r="E1870" s="1" t="s">
        <v>3140</v>
      </c>
      <c r="F1870" s="1" t="s">
        <v>2962</v>
      </c>
      <c r="G1870" s="1" t="s">
        <v>3141</v>
      </c>
      <c r="H1870" s="1" t="s">
        <v>2962</v>
      </c>
      <c r="I1870" s="1" t="s">
        <v>9336</v>
      </c>
      <c r="J1870" s="1" t="s">
        <v>3143</v>
      </c>
      <c r="K1870" s="1">
        <v>4</v>
      </c>
      <c r="L1870" s="1" t="s">
        <v>4342</v>
      </c>
      <c r="M1870" s="1">
        <v>5</v>
      </c>
      <c r="N1870" s="1" t="s">
        <v>4342</v>
      </c>
    </row>
    <row r="1871" spans="1:14" x14ac:dyDescent="0.15">
      <c r="A1871" s="1">
        <v>220</v>
      </c>
      <c r="B1871" s="1" t="s">
        <v>2886</v>
      </c>
      <c r="C1871" s="1" t="s">
        <v>3140</v>
      </c>
      <c r="D1871" s="1" t="s">
        <v>2962</v>
      </c>
      <c r="E1871" s="1" t="s">
        <v>3140</v>
      </c>
      <c r="F1871" s="1" t="s">
        <v>2962</v>
      </c>
      <c r="G1871" s="1" t="s">
        <v>3141</v>
      </c>
      <c r="H1871" s="1" t="s">
        <v>2962</v>
      </c>
      <c r="I1871" s="1" t="s">
        <v>15575</v>
      </c>
      <c r="J1871" s="1" t="s">
        <v>15572</v>
      </c>
      <c r="K1871" s="1">
        <v>4</v>
      </c>
      <c r="L1871" s="1" t="s">
        <v>4342</v>
      </c>
      <c r="M1871" s="1">
        <v>5</v>
      </c>
      <c r="N1871" s="1" t="s">
        <v>4342</v>
      </c>
    </row>
    <row r="1872" spans="1:14" x14ac:dyDescent="0.15">
      <c r="A1872" s="1">
        <v>220</v>
      </c>
      <c r="B1872" s="1" t="s">
        <v>2886</v>
      </c>
      <c r="C1872" s="1" t="s">
        <v>3140</v>
      </c>
      <c r="D1872" s="1" t="s">
        <v>2962</v>
      </c>
      <c r="E1872" s="1" t="s">
        <v>3140</v>
      </c>
      <c r="F1872" s="1" t="s">
        <v>2962</v>
      </c>
      <c r="G1872" s="1" t="s">
        <v>3141</v>
      </c>
      <c r="H1872" s="1" t="s">
        <v>2962</v>
      </c>
      <c r="I1872" s="1" t="s">
        <v>11322</v>
      </c>
      <c r="J1872" s="1" t="s">
        <v>3144</v>
      </c>
      <c r="K1872" s="1">
        <v>4</v>
      </c>
      <c r="L1872" s="1" t="s">
        <v>4342</v>
      </c>
      <c r="M1872" s="1">
        <v>5</v>
      </c>
      <c r="N1872" s="1" t="s">
        <v>4342</v>
      </c>
    </row>
    <row r="1873" spans="1:14" x14ac:dyDescent="0.15">
      <c r="A1873" s="1">
        <v>220</v>
      </c>
      <c r="B1873" s="1" t="s">
        <v>2886</v>
      </c>
      <c r="C1873" s="1" t="s">
        <v>3140</v>
      </c>
      <c r="D1873" s="1" t="s">
        <v>2962</v>
      </c>
      <c r="E1873" s="1" t="s">
        <v>3140</v>
      </c>
      <c r="F1873" s="1" t="s">
        <v>2962</v>
      </c>
      <c r="G1873" s="1" t="s">
        <v>3141</v>
      </c>
      <c r="H1873" s="1" t="s">
        <v>2962</v>
      </c>
      <c r="I1873" s="1" t="s">
        <v>9344</v>
      </c>
      <c r="J1873" s="1" t="s">
        <v>3145</v>
      </c>
      <c r="K1873" s="1">
        <v>4</v>
      </c>
      <c r="L1873" s="1" t="s">
        <v>4342</v>
      </c>
      <c r="M1873" s="1">
        <v>5</v>
      </c>
      <c r="N1873" s="1" t="s">
        <v>4342</v>
      </c>
    </row>
    <row r="1874" spans="1:14" x14ac:dyDescent="0.15">
      <c r="A1874" s="1">
        <v>220</v>
      </c>
      <c r="B1874" s="1" t="s">
        <v>2886</v>
      </c>
      <c r="C1874" s="1" t="s">
        <v>3140</v>
      </c>
      <c r="D1874" s="1" t="s">
        <v>2962</v>
      </c>
      <c r="E1874" s="1" t="s">
        <v>3140</v>
      </c>
      <c r="F1874" s="1" t="s">
        <v>2962</v>
      </c>
      <c r="G1874" s="1" t="s">
        <v>3141</v>
      </c>
      <c r="H1874" s="1" t="s">
        <v>2962</v>
      </c>
      <c r="I1874" s="1" t="s">
        <v>10272</v>
      </c>
      <c r="J1874" s="1" t="s">
        <v>3146</v>
      </c>
      <c r="K1874" s="1">
        <v>4</v>
      </c>
      <c r="L1874" s="1" t="s">
        <v>4342</v>
      </c>
      <c r="M1874" s="1">
        <v>5</v>
      </c>
      <c r="N1874" s="1" t="s">
        <v>4342</v>
      </c>
    </row>
    <row r="1875" spans="1:14" x14ac:dyDescent="0.15">
      <c r="A1875" s="1">
        <v>220</v>
      </c>
      <c r="B1875" s="1" t="s">
        <v>2886</v>
      </c>
      <c r="C1875" s="1" t="s">
        <v>3140</v>
      </c>
      <c r="D1875" s="1" t="s">
        <v>2962</v>
      </c>
      <c r="E1875" s="1" t="s">
        <v>3140</v>
      </c>
      <c r="F1875" s="1" t="s">
        <v>2962</v>
      </c>
      <c r="G1875" s="1" t="s">
        <v>3141</v>
      </c>
      <c r="H1875" s="1" t="s">
        <v>2962</v>
      </c>
      <c r="I1875" s="1" t="s">
        <v>14852</v>
      </c>
      <c r="J1875" s="1" t="s">
        <v>14849</v>
      </c>
      <c r="K1875" s="1">
        <v>4</v>
      </c>
      <c r="L1875" s="1" t="s">
        <v>4342</v>
      </c>
      <c r="M1875" s="1">
        <v>5</v>
      </c>
      <c r="N1875" s="1" t="s">
        <v>4342</v>
      </c>
    </row>
    <row r="1876" spans="1:14" x14ac:dyDescent="0.15">
      <c r="A1876" s="1">
        <v>220</v>
      </c>
      <c r="B1876" s="1" t="s">
        <v>2886</v>
      </c>
      <c r="C1876" s="1" t="s">
        <v>3140</v>
      </c>
      <c r="D1876" s="1" t="s">
        <v>2962</v>
      </c>
      <c r="E1876" s="1" t="s">
        <v>3140</v>
      </c>
      <c r="F1876" s="1" t="s">
        <v>2962</v>
      </c>
      <c r="G1876" s="1" t="s">
        <v>3141</v>
      </c>
      <c r="H1876" s="1" t="s">
        <v>2962</v>
      </c>
      <c r="I1876" s="1" t="s">
        <v>14871</v>
      </c>
      <c r="J1876" s="1" t="s">
        <v>14868</v>
      </c>
      <c r="K1876" s="1">
        <v>4</v>
      </c>
      <c r="L1876" s="1" t="s">
        <v>4342</v>
      </c>
      <c r="M1876" s="1">
        <v>5</v>
      </c>
      <c r="N1876" s="1" t="s">
        <v>4342</v>
      </c>
    </row>
    <row r="1877" spans="1:14" x14ac:dyDescent="0.15">
      <c r="A1877" s="1">
        <v>220</v>
      </c>
      <c r="B1877" s="1" t="s">
        <v>2886</v>
      </c>
      <c r="C1877" s="1" t="s">
        <v>3140</v>
      </c>
      <c r="D1877" s="1" t="s">
        <v>2962</v>
      </c>
      <c r="E1877" s="1" t="s">
        <v>3140</v>
      </c>
      <c r="F1877" s="1" t="s">
        <v>2962</v>
      </c>
      <c r="G1877" s="1" t="s">
        <v>3141</v>
      </c>
      <c r="H1877" s="1" t="s">
        <v>2962</v>
      </c>
      <c r="I1877" s="1" t="s">
        <v>14878</v>
      </c>
      <c r="J1877" s="1" t="s">
        <v>2833</v>
      </c>
      <c r="K1877" s="1">
        <v>4</v>
      </c>
      <c r="L1877" s="1" t="s">
        <v>4342</v>
      </c>
      <c r="M1877" s="1">
        <v>5</v>
      </c>
      <c r="N1877" s="1" t="s">
        <v>4342</v>
      </c>
    </row>
    <row r="1878" spans="1:14" x14ac:dyDescent="0.15">
      <c r="A1878" s="1">
        <v>220</v>
      </c>
      <c r="B1878" s="1" t="s">
        <v>2886</v>
      </c>
      <c r="C1878" s="1" t="s">
        <v>3140</v>
      </c>
      <c r="D1878" s="1" t="s">
        <v>2962</v>
      </c>
      <c r="E1878" s="1" t="s">
        <v>3140</v>
      </c>
      <c r="F1878" s="1" t="s">
        <v>2962</v>
      </c>
      <c r="G1878" s="1" t="s">
        <v>3141</v>
      </c>
      <c r="H1878" s="1" t="s">
        <v>2962</v>
      </c>
      <c r="I1878" s="1" t="s">
        <v>14885</v>
      </c>
      <c r="J1878" s="1" t="s">
        <v>14882</v>
      </c>
      <c r="K1878" s="1">
        <v>4</v>
      </c>
      <c r="L1878" s="1" t="s">
        <v>4342</v>
      </c>
      <c r="M1878" s="1">
        <v>5</v>
      </c>
      <c r="N1878" s="1" t="s">
        <v>4342</v>
      </c>
    </row>
    <row r="1879" spans="1:14" x14ac:dyDescent="0.15">
      <c r="A1879" s="1">
        <v>220</v>
      </c>
      <c r="B1879" s="1" t="s">
        <v>2886</v>
      </c>
      <c r="C1879" s="1" t="s">
        <v>3140</v>
      </c>
      <c r="D1879" s="1" t="s">
        <v>2962</v>
      </c>
      <c r="E1879" s="1" t="s">
        <v>3140</v>
      </c>
      <c r="F1879" s="1" t="s">
        <v>2962</v>
      </c>
      <c r="G1879" s="1" t="s">
        <v>3141</v>
      </c>
      <c r="H1879" s="1" t="s">
        <v>2962</v>
      </c>
      <c r="I1879" s="1" t="s">
        <v>14892</v>
      </c>
      <c r="J1879" s="1" t="s">
        <v>14889</v>
      </c>
      <c r="K1879" s="1">
        <v>4</v>
      </c>
      <c r="L1879" s="1" t="s">
        <v>4342</v>
      </c>
      <c r="M1879" s="1">
        <v>5</v>
      </c>
      <c r="N1879" s="1" t="s">
        <v>4342</v>
      </c>
    </row>
    <row r="1880" spans="1:14" x14ac:dyDescent="0.15">
      <c r="A1880" s="1">
        <v>220</v>
      </c>
      <c r="B1880" s="1" t="s">
        <v>2886</v>
      </c>
      <c r="C1880" s="1" t="s">
        <v>3140</v>
      </c>
      <c r="D1880" s="1" t="s">
        <v>2962</v>
      </c>
      <c r="E1880" s="1" t="s">
        <v>3140</v>
      </c>
      <c r="F1880" s="1" t="s">
        <v>2962</v>
      </c>
      <c r="G1880" s="1" t="s">
        <v>3141</v>
      </c>
      <c r="H1880" s="1" t="s">
        <v>2962</v>
      </c>
      <c r="I1880" s="1" t="s">
        <v>14899</v>
      </c>
      <c r="J1880" s="1" t="s">
        <v>14900</v>
      </c>
      <c r="K1880" s="1">
        <v>4</v>
      </c>
      <c r="L1880" s="1" t="s">
        <v>4342</v>
      </c>
      <c r="M1880" s="1">
        <v>5</v>
      </c>
      <c r="N1880" s="1" t="s">
        <v>4342</v>
      </c>
    </row>
    <row r="1881" spans="1:14" x14ac:dyDescent="0.15">
      <c r="A1881" s="1">
        <v>220</v>
      </c>
      <c r="B1881" s="1" t="s">
        <v>2886</v>
      </c>
      <c r="C1881" s="1" t="s">
        <v>3140</v>
      </c>
      <c r="D1881" s="1" t="s">
        <v>2962</v>
      </c>
      <c r="E1881" s="1" t="s">
        <v>3140</v>
      </c>
      <c r="F1881" s="1" t="s">
        <v>2962</v>
      </c>
      <c r="G1881" s="1" t="s">
        <v>3141</v>
      </c>
      <c r="H1881" s="1" t="s">
        <v>2962</v>
      </c>
      <c r="I1881" s="1" t="s">
        <v>14903</v>
      </c>
      <c r="J1881" s="1" t="s">
        <v>6169</v>
      </c>
      <c r="K1881" s="1">
        <v>4</v>
      </c>
      <c r="L1881" s="1" t="s">
        <v>4342</v>
      </c>
      <c r="M1881" s="1">
        <v>5</v>
      </c>
      <c r="N1881" s="1" t="s">
        <v>4342</v>
      </c>
    </row>
    <row r="1882" spans="1:14" x14ac:dyDescent="0.15">
      <c r="A1882" s="1">
        <v>220</v>
      </c>
      <c r="B1882" s="1" t="s">
        <v>2886</v>
      </c>
      <c r="C1882" s="1" t="s">
        <v>3140</v>
      </c>
      <c r="D1882" s="1" t="s">
        <v>2962</v>
      </c>
      <c r="E1882" s="1" t="s">
        <v>3140</v>
      </c>
      <c r="F1882" s="1" t="s">
        <v>2962</v>
      </c>
      <c r="G1882" s="1" t="s">
        <v>3141</v>
      </c>
      <c r="H1882" s="1" t="s">
        <v>2962</v>
      </c>
      <c r="I1882" s="1" t="s">
        <v>9881</v>
      </c>
      <c r="J1882" s="1" t="s">
        <v>2828</v>
      </c>
      <c r="K1882" s="1">
        <v>4</v>
      </c>
      <c r="L1882" s="1" t="s">
        <v>4342</v>
      </c>
      <c r="M1882" s="1">
        <v>5</v>
      </c>
      <c r="N1882" s="1" t="s">
        <v>4342</v>
      </c>
    </row>
    <row r="1883" spans="1:14" x14ac:dyDescent="0.15">
      <c r="A1883" s="1">
        <v>220</v>
      </c>
      <c r="B1883" s="1" t="s">
        <v>2886</v>
      </c>
      <c r="C1883" s="1" t="s">
        <v>3140</v>
      </c>
      <c r="D1883" s="1" t="s">
        <v>2962</v>
      </c>
      <c r="E1883" s="1" t="s">
        <v>3140</v>
      </c>
      <c r="F1883" s="1" t="s">
        <v>2962</v>
      </c>
      <c r="G1883" s="1" t="s">
        <v>3141</v>
      </c>
      <c r="H1883" s="1" t="s">
        <v>2962</v>
      </c>
      <c r="I1883" s="1" t="s">
        <v>14911</v>
      </c>
      <c r="J1883" s="1" t="s">
        <v>14912</v>
      </c>
      <c r="K1883" s="1">
        <v>4</v>
      </c>
      <c r="L1883" s="1" t="s">
        <v>4342</v>
      </c>
      <c r="M1883" s="1">
        <v>5</v>
      </c>
      <c r="N1883" s="1" t="s">
        <v>4342</v>
      </c>
    </row>
    <row r="1884" spans="1:14" x14ac:dyDescent="0.15">
      <c r="A1884" s="1">
        <v>220</v>
      </c>
      <c r="B1884" s="1" t="s">
        <v>2886</v>
      </c>
      <c r="C1884" s="1" t="s">
        <v>3140</v>
      </c>
      <c r="D1884" s="1" t="s">
        <v>2962</v>
      </c>
      <c r="E1884" s="1" t="s">
        <v>3140</v>
      </c>
      <c r="F1884" s="1" t="s">
        <v>2962</v>
      </c>
      <c r="G1884" s="1" t="s">
        <v>3141</v>
      </c>
      <c r="H1884" s="1" t="s">
        <v>2962</v>
      </c>
      <c r="I1884" s="1" t="s">
        <v>9883</v>
      </c>
      <c r="J1884" s="1" t="s">
        <v>3147</v>
      </c>
      <c r="K1884" s="1">
        <v>4</v>
      </c>
      <c r="L1884" s="1" t="s">
        <v>4342</v>
      </c>
      <c r="M1884" s="1">
        <v>5</v>
      </c>
      <c r="N1884" s="1" t="s">
        <v>4342</v>
      </c>
    </row>
    <row r="1885" spans="1:14" x14ac:dyDescent="0.15">
      <c r="A1885" s="1">
        <v>220</v>
      </c>
      <c r="B1885" s="1" t="s">
        <v>2886</v>
      </c>
      <c r="C1885" s="1" t="s">
        <v>3140</v>
      </c>
      <c r="D1885" s="1" t="s">
        <v>2962</v>
      </c>
      <c r="E1885" s="1" t="s">
        <v>3140</v>
      </c>
      <c r="F1885" s="1" t="s">
        <v>2962</v>
      </c>
      <c r="G1885" s="1" t="s">
        <v>3141</v>
      </c>
      <c r="H1885" s="1" t="s">
        <v>2962</v>
      </c>
      <c r="I1885" s="1" t="s">
        <v>14915</v>
      </c>
      <c r="J1885" s="1" t="s">
        <v>2829</v>
      </c>
      <c r="K1885" s="1">
        <v>4</v>
      </c>
      <c r="L1885" s="1" t="s">
        <v>4342</v>
      </c>
      <c r="M1885" s="1">
        <v>5</v>
      </c>
      <c r="N1885" s="1" t="s">
        <v>4342</v>
      </c>
    </row>
    <row r="1886" spans="1:14" x14ac:dyDescent="0.15">
      <c r="A1886" s="1">
        <v>220</v>
      </c>
      <c r="B1886" s="1" t="s">
        <v>2886</v>
      </c>
      <c r="C1886" s="1" t="s">
        <v>3140</v>
      </c>
      <c r="D1886" s="1" t="s">
        <v>2962</v>
      </c>
      <c r="E1886" s="1" t="s">
        <v>3140</v>
      </c>
      <c r="F1886" s="1" t="s">
        <v>2962</v>
      </c>
      <c r="G1886" s="1" t="s">
        <v>3141</v>
      </c>
      <c r="H1886" s="1" t="s">
        <v>2962</v>
      </c>
      <c r="I1886" s="1" t="s">
        <v>14923</v>
      </c>
      <c r="J1886" s="1" t="s">
        <v>6175</v>
      </c>
      <c r="K1886" s="1">
        <v>4</v>
      </c>
      <c r="L1886" s="1" t="s">
        <v>4342</v>
      </c>
      <c r="M1886" s="1">
        <v>5</v>
      </c>
      <c r="N1886" s="1" t="s">
        <v>4342</v>
      </c>
    </row>
    <row r="1887" spans="1:14" x14ac:dyDescent="0.15">
      <c r="A1887" s="1">
        <v>220</v>
      </c>
      <c r="B1887" s="1" t="s">
        <v>2886</v>
      </c>
      <c r="C1887" s="1" t="s">
        <v>3140</v>
      </c>
      <c r="D1887" s="1" t="s">
        <v>2962</v>
      </c>
      <c r="E1887" s="1" t="s">
        <v>3140</v>
      </c>
      <c r="F1887" s="1" t="s">
        <v>2962</v>
      </c>
      <c r="G1887" s="1" t="s">
        <v>3141</v>
      </c>
      <c r="H1887" s="1" t="s">
        <v>2962</v>
      </c>
      <c r="I1887" s="1" t="s">
        <v>9398</v>
      </c>
      <c r="J1887" s="1" t="s">
        <v>2652</v>
      </c>
      <c r="K1887" s="1">
        <v>4</v>
      </c>
      <c r="L1887" s="1" t="s">
        <v>4342</v>
      </c>
      <c r="M1887" s="1">
        <v>5</v>
      </c>
      <c r="N1887" s="1" t="s">
        <v>4342</v>
      </c>
    </row>
    <row r="1888" spans="1:14" x14ac:dyDescent="0.15">
      <c r="A1888" s="1">
        <v>220</v>
      </c>
      <c r="B1888" s="1" t="s">
        <v>2886</v>
      </c>
      <c r="C1888" s="1" t="s">
        <v>3140</v>
      </c>
      <c r="D1888" s="1" t="s">
        <v>2962</v>
      </c>
      <c r="E1888" s="1" t="s">
        <v>3140</v>
      </c>
      <c r="F1888" s="1" t="s">
        <v>2962</v>
      </c>
      <c r="G1888" s="1" t="s">
        <v>3141</v>
      </c>
      <c r="H1888" s="1" t="s">
        <v>2962</v>
      </c>
      <c r="I1888" s="1" t="s">
        <v>14930</v>
      </c>
      <c r="J1888" s="1" t="s">
        <v>14927</v>
      </c>
      <c r="K1888" s="1">
        <v>4</v>
      </c>
      <c r="L1888" s="1" t="s">
        <v>4342</v>
      </c>
      <c r="M1888" s="1">
        <v>5</v>
      </c>
      <c r="N1888" s="1" t="s">
        <v>4342</v>
      </c>
    </row>
    <row r="1889" spans="1:14" x14ac:dyDescent="0.15">
      <c r="A1889" s="1">
        <v>220</v>
      </c>
      <c r="B1889" s="1" t="s">
        <v>2886</v>
      </c>
      <c r="C1889" s="1" t="s">
        <v>3148</v>
      </c>
      <c r="D1889" s="1" t="s">
        <v>3149</v>
      </c>
      <c r="E1889" s="1" t="s">
        <v>3148</v>
      </c>
      <c r="F1889" s="1" t="s">
        <v>3149</v>
      </c>
      <c r="G1889" s="1" t="s">
        <v>3150</v>
      </c>
      <c r="H1889" s="1" t="s">
        <v>3149</v>
      </c>
      <c r="I1889" s="1" t="s">
        <v>4494</v>
      </c>
      <c r="J1889" s="1" t="s">
        <v>4495</v>
      </c>
      <c r="K1889" s="1">
        <v>4</v>
      </c>
      <c r="L1889" s="1" t="s">
        <v>4342</v>
      </c>
      <c r="M1889" s="1">
        <v>5</v>
      </c>
      <c r="N1889" s="1" t="s">
        <v>4342</v>
      </c>
    </row>
    <row r="1890" spans="1:14" x14ac:dyDescent="0.15">
      <c r="A1890" s="1">
        <v>220</v>
      </c>
      <c r="B1890" s="1" t="s">
        <v>2886</v>
      </c>
      <c r="C1890" s="1" t="s">
        <v>3151</v>
      </c>
      <c r="D1890" s="1" t="s">
        <v>3152</v>
      </c>
      <c r="E1890" s="1" t="s">
        <v>3151</v>
      </c>
      <c r="F1890" s="1" t="s">
        <v>3152</v>
      </c>
      <c r="G1890" s="1" t="s">
        <v>3153</v>
      </c>
      <c r="H1890" s="1" t="s">
        <v>3152</v>
      </c>
      <c r="I1890" s="1" t="s">
        <v>17137</v>
      </c>
      <c r="J1890" s="1" t="s">
        <v>3154</v>
      </c>
      <c r="K1890" s="1">
        <v>4</v>
      </c>
      <c r="L1890" s="1" t="s">
        <v>4342</v>
      </c>
      <c r="M1890" s="1">
        <v>5</v>
      </c>
      <c r="N1890" s="1" t="s">
        <v>4342</v>
      </c>
    </row>
    <row r="1891" spans="1:14" x14ac:dyDescent="0.15">
      <c r="A1891" s="1">
        <v>220</v>
      </c>
      <c r="B1891" s="1" t="s">
        <v>2886</v>
      </c>
      <c r="C1891" s="1" t="s">
        <v>3151</v>
      </c>
      <c r="D1891" s="1" t="s">
        <v>3152</v>
      </c>
      <c r="E1891" s="1" t="s">
        <v>3151</v>
      </c>
      <c r="F1891" s="1" t="s">
        <v>3152</v>
      </c>
      <c r="G1891" s="1" t="s">
        <v>3153</v>
      </c>
      <c r="H1891" s="1" t="s">
        <v>3152</v>
      </c>
      <c r="I1891" s="1" t="s">
        <v>17145</v>
      </c>
      <c r="J1891" s="1" t="s">
        <v>3155</v>
      </c>
      <c r="K1891" s="1">
        <v>4</v>
      </c>
      <c r="L1891" s="1" t="s">
        <v>4342</v>
      </c>
      <c r="M1891" s="1">
        <v>5</v>
      </c>
      <c r="N1891" s="1" t="s">
        <v>4342</v>
      </c>
    </row>
    <row r="1892" spans="1:14" x14ac:dyDescent="0.15">
      <c r="A1892" s="1">
        <v>220</v>
      </c>
      <c r="B1892" s="1" t="s">
        <v>2886</v>
      </c>
      <c r="C1892" s="1" t="s">
        <v>3151</v>
      </c>
      <c r="D1892" s="1" t="s">
        <v>3152</v>
      </c>
      <c r="E1892" s="1" t="s">
        <v>3151</v>
      </c>
      <c r="F1892" s="1" t="s">
        <v>3152</v>
      </c>
      <c r="G1892" s="1" t="s">
        <v>3153</v>
      </c>
      <c r="H1892" s="1" t="s">
        <v>3152</v>
      </c>
      <c r="I1892" s="1" t="s">
        <v>17192</v>
      </c>
      <c r="J1892" s="1" t="s">
        <v>5911</v>
      </c>
      <c r="K1892" s="1">
        <v>4</v>
      </c>
      <c r="L1892" s="1" t="s">
        <v>4342</v>
      </c>
      <c r="M1892" s="1">
        <v>5</v>
      </c>
      <c r="N1892" s="1" t="s">
        <v>4342</v>
      </c>
    </row>
    <row r="1893" spans="1:14" x14ac:dyDescent="0.15">
      <c r="A1893" s="1">
        <v>220</v>
      </c>
      <c r="B1893" s="1" t="s">
        <v>2886</v>
      </c>
      <c r="C1893" s="1" t="s">
        <v>3151</v>
      </c>
      <c r="D1893" s="1" t="s">
        <v>3152</v>
      </c>
      <c r="E1893" s="1" t="s">
        <v>3151</v>
      </c>
      <c r="F1893" s="1" t="s">
        <v>3152</v>
      </c>
      <c r="G1893" s="1" t="s">
        <v>3153</v>
      </c>
      <c r="H1893" s="1" t="s">
        <v>3152</v>
      </c>
      <c r="I1893" s="1" t="s">
        <v>17220</v>
      </c>
      <c r="J1893" s="1" t="s">
        <v>3156</v>
      </c>
      <c r="K1893" s="1">
        <v>4</v>
      </c>
      <c r="L1893" s="1" t="s">
        <v>4342</v>
      </c>
      <c r="M1893" s="1">
        <v>5</v>
      </c>
      <c r="N1893" s="1" t="s">
        <v>4342</v>
      </c>
    </row>
    <row r="1894" spans="1:14" x14ac:dyDescent="0.15">
      <c r="A1894" s="1">
        <v>220</v>
      </c>
      <c r="B1894" s="1" t="s">
        <v>2886</v>
      </c>
      <c r="C1894" s="1" t="s">
        <v>3151</v>
      </c>
      <c r="D1894" s="1" t="s">
        <v>3152</v>
      </c>
      <c r="E1894" s="1" t="s">
        <v>3151</v>
      </c>
      <c r="F1894" s="1" t="s">
        <v>3152</v>
      </c>
      <c r="G1894" s="1" t="s">
        <v>3153</v>
      </c>
      <c r="H1894" s="1" t="s">
        <v>3152</v>
      </c>
      <c r="I1894" s="1" t="s">
        <v>10073</v>
      </c>
      <c r="J1894" s="1" t="s">
        <v>3157</v>
      </c>
      <c r="K1894" s="1">
        <v>4</v>
      </c>
      <c r="L1894" s="1" t="s">
        <v>4342</v>
      </c>
      <c r="M1894" s="1">
        <v>5</v>
      </c>
      <c r="N1894" s="1" t="s">
        <v>4342</v>
      </c>
    </row>
    <row r="1895" spans="1:14" x14ac:dyDescent="0.15">
      <c r="A1895" s="1">
        <v>220</v>
      </c>
      <c r="B1895" s="1" t="s">
        <v>2886</v>
      </c>
      <c r="C1895" s="1" t="s">
        <v>3158</v>
      </c>
      <c r="D1895" s="1" t="s">
        <v>3159</v>
      </c>
      <c r="E1895" s="1" t="s">
        <v>3158</v>
      </c>
      <c r="F1895" s="1" t="s">
        <v>3159</v>
      </c>
      <c r="G1895" s="1" t="s">
        <v>3160</v>
      </c>
      <c r="H1895" s="1" t="s">
        <v>3159</v>
      </c>
      <c r="I1895" s="1" t="s">
        <v>15291</v>
      </c>
      <c r="J1895" s="1" t="s">
        <v>15288</v>
      </c>
      <c r="K1895" s="1">
        <v>4</v>
      </c>
      <c r="L1895" s="1" t="s">
        <v>4342</v>
      </c>
      <c r="M1895" s="1">
        <v>5</v>
      </c>
      <c r="N1895" s="1" t="s">
        <v>4342</v>
      </c>
    </row>
    <row r="1896" spans="1:14" x14ac:dyDescent="0.15">
      <c r="A1896" s="1">
        <v>220</v>
      </c>
      <c r="B1896" s="1" t="s">
        <v>2886</v>
      </c>
      <c r="C1896" s="1" t="s">
        <v>3158</v>
      </c>
      <c r="D1896" s="1" t="s">
        <v>3159</v>
      </c>
      <c r="E1896" s="1" t="s">
        <v>3158</v>
      </c>
      <c r="F1896" s="1" t="s">
        <v>3159</v>
      </c>
      <c r="G1896" s="1" t="s">
        <v>3160</v>
      </c>
      <c r="H1896" s="1" t="s">
        <v>3159</v>
      </c>
      <c r="I1896" s="1" t="s">
        <v>15305</v>
      </c>
      <c r="J1896" s="1" t="s">
        <v>15306</v>
      </c>
      <c r="K1896" s="1">
        <v>4</v>
      </c>
      <c r="L1896" s="1" t="s">
        <v>4342</v>
      </c>
      <c r="M1896" s="1">
        <v>5</v>
      </c>
      <c r="N1896" s="1" t="s">
        <v>4342</v>
      </c>
    </row>
    <row r="1897" spans="1:14" x14ac:dyDescent="0.15">
      <c r="A1897" s="1">
        <v>220</v>
      </c>
      <c r="B1897" s="1" t="s">
        <v>2886</v>
      </c>
      <c r="C1897" s="1" t="s">
        <v>3158</v>
      </c>
      <c r="D1897" s="1" t="s">
        <v>3159</v>
      </c>
      <c r="E1897" s="1" t="s">
        <v>3158</v>
      </c>
      <c r="F1897" s="1" t="s">
        <v>3159</v>
      </c>
      <c r="G1897" s="1" t="s">
        <v>3160</v>
      </c>
      <c r="H1897" s="1" t="s">
        <v>3159</v>
      </c>
      <c r="I1897" s="1" t="s">
        <v>15317</v>
      </c>
      <c r="J1897" s="1" t="s">
        <v>15318</v>
      </c>
      <c r="K1897" s="1">
        <v>4</v>
      </c>
      <c r="L1897" s="1" t="s">
        <v>4342</v>
      </c>
      <c r="M1897" s="1">
        <v>5</v>
      </c>
      <c r="N1897" s="1" t="s">
        <v>4342</v>
      </c>
    </row>
    <row r="1898" spans="1:14" x14ac:dyDescent="0.15">
      <c r="A1898" s="1">
        <v>220</v>
      </c>
      <c r="B1898" s="1" t="s">
        <v>2886</v>
      </c>
      <c r="C1898" s="1" t="s">
        <v>3161</v>
      </c>
      <c r="D1898" s="1" t="s">
        <v>3162</v>
      </c>
      <c r="E1898" s="1" t="s">
        <v>3161</v>
      </c>
      <c r="F1898" s="1" t="s">
        <v>3162</v>
      </c>
      <c r="G1898" s="1" t="s">
        <v>3163</v>
      </c>
      <c r="H1898" s="1" t="s">
        <v>3164</v>
      </c>
      <c r="I1898" s="1" t="s">
        <v>16527</v>
      </c>
      <c r="J1898" s="1" t="s">
        <v>6939</v>
      </c>
      <c r="K1898" s="1">
        <v>4</v>
      </c>
      <c r="L1898" s="1" t="s">
        <v>4342</v>
      </c>
      <c r="M1898" s="1">
        <v>5</v>
      </c>
      <c r="N1898" s="1" t="s">
        <v>4342</v>
      </c>
    </row>
    <row r="1899" spans="1:14" x14ac:dyDescent="0.15">
      <c r="A1899" s="1">
        <v>220</v>
      </c>
      <c r="B1899" s="1" t="s">
        <v>2886</v>
      </c>
      <c r="C1899" s="1" t="s">
        <v>3161</v>
      </c>
      <c r="D1899" s="1" t="s">
        <v>3162</v>
      </c>
      <c r="E1899" s="1" t="s">
        <v>3161</v>
      </c>
      <c r="F1899" s="1" t="s">
        <v>3162</v>
      </c>
      <c r="G1899" s="1" t="s">
        <v>3163</v>
      </c>
      <c r="H1899" s="1" t="s">
        <v>3164</v>
      </c>
      <c r="I1899" s="1" t="s">
        <v>16535</v>
      </c>
      <c r="J1899" s="1" t="s">
        <v>6828</v>
      </c>
      <c r="K1899" s="1">
        <v>4</v>
      </c>
      <c r="L1899" s="1" t="s">
        <v>4342</v>
      </c>
      <c r="M1899" s="1">
        <v>5</v>
      </c>
      <c r="N1899" s="1" t="s">
        <v>4342</v>
      </c>
    </row>
    <row r="1900" spans="1:14" x14ac:dyDescent="0.15">
      <c r="A1900" s="1">
        <v>220</v>
      </c>
      <c r="B1900" s="1" t="s">
        <v>2886</v>
      </c>
      <c r="C1900" s="1" t="s">
        <v>3161</v>
      </c>
      <c r="D1900" s="1" t="s">
        <v>3162</v>
      </c>
      <c r="E1900" s="1" t="s">
        <v>3161</v>
      </c>
      <c r="F1900" s="1" t="s">
        <v>3162</v>
      </c>
      <c r="G1900" s="1" t="s">
        <v>3163</v>
      </c>
      <c r="H1900" s="1" t="s">
        <v>3164</v>
      </c>
      <c r="I1900" s="1" t="s">
        <v>16559</v>
      </c>
      <c r="J1900" s="1" t="s">
        <v>6942</v>
      </c>
      <c r="K1900" s="1">
        <v>4</v>
      </c>
      <c r="L1900" s="1" t="s">
        <v>4342</v>
      </c>
      <c r="M1900" s="1">
        <v>5</v>
      </c>
      <c r="N1900" s="1" t="s">
        <v>4342</v>
      </c>
    </row>
    <row r="1901" spans="1:14" x14ac:dyDescent="0.15">
      <c r="A1901" s="1">
        <v>220</v>
      </c>
      <c r="B1901" s="1" t="s">
        <v>2886</v>
      </c>
      <c r="C1901" s="1" t="s">
        <v>3161</v>
      </c>
      <c r="D1901" s="1" t="s">
        <v>3162</v>
      </c>
      <c r="E1901" s="1" t="s">
        <v>3161</v>
      </c>
      <c r="F1901" s="1" t="s">
        <v>3162</v>
      </c>
      <c r="G1901" s="1" t="s">
        <v>3163</v>
      </c>
      <c r="H1901" s="1" t="s">
        <v>3164</v>
      </c>
      <c r="I1901" s="1" t="s">
        <v>16563</v>
      </c>
      <c r="J1901" s="1" t="s">
        <v>3021</v>
      </c>
      <c r="K1901" s="1">
        <v>4</v>
      </c>
      <c r="L1901" s="1" t="s">
        <v>4342</v>
      </c>
      <c r="M1901" s="1">
        <v>5</v>
      </c>
      <c r="N1901" s="1" t="s">
        <v>4342</v>
      </c>
    </row>
    <row r="1902" spans="1:14" x14ac:dyDescent="0.15">
      <c r="A1902" s="1">
        <v>220</v>
      </c>
      <c r="B1902" s="1" t="s">
        <v>2886</v>
      </c>
      <c r="C1902" s="1" t="s">
        <v>3161</v>
      </c>
      <c r="D1902" s="1" t="s">
        <v>3162</v>
      </c>
      <c r="E1902" s="1" t="s">
        <v>3161</v>
      </c>
      <c r="F1902" s="1" t="s">
        <v>3162</v>
      </c>
      <c r="G1902" s="1" t="s">
        <v>3163</v>
      </c>
      <c r="H1902" s="1" t="s">
        <v>3164</v>
      </c>
      <c r="I1902" s="1" t="s">
        <v>16595</v>
      </c>
      <c r="J1902" s="1" t="s">
        <v>6947</v>
      </c>
      <c r="K1902" s="1">
        <v>4</v>
      </c>
      <c r="L1902" s="1" t="s">
        <v>4342</v>
      </c>
      <c r="M1902" s="1">
        <v>5</v>
      </c>
      <c r="N1902" s="1" t="s">
        <v>4342</v>
      </c>
    </row>
    <row r="1903" spans="1:14" x14ac:dyDescent="0.15">
      <c r="A1903" s="1">
        <v>220</v>
      </c>
      <c r="B1903" s="1" t="s">
        <v>2886</v>
      </c>
      <c r="C1903" s="1" t="s">
        <v>3161</v>
      </c>
      <c r="D1903" s="1" t="s">
        <v>3162</v>
      </c>
      <c r="E1903" s="1" t="s">
        <v>3161</v>
      </c>
      <c r="F1903" s="1" t="s">
        <v>3162</v>
      </c>
      <c r="G1903" s="1" t="s">
        <v>3163</v>
      </c>
      <c r="H1903" s="1" t="s">
        <v>3164</v>
      </c>
      <c r="I1903" s="1" t="s">
        <v>16599</v>
      </c>
      <c r="J1903" s="1" t="s">
        <v>3022</v>
      </c>
      <c r="K1903" s="1">
        <v>4</v>
      </c>
      <c r="L1903" s="1" t="s">
        <v>4342</v>
      </c>
      <c r="M1903" s="1">
        <v>5</v>
      </c>
      <c r="N1903" s="1" t="s">
        <v>4342</v>
      </c>
    </row>
    <row r="1904" spans="1:14" x14ac:dyDescent="0.15">
      <c r="A1904" s="1">
        <v>220</v>
      </c>
      <c r="B1904" s="1" t="s">
        <v>2886</v>
      </c>
      <c r="C1904" s="1" t="s">
        <v>3161</v>
      </c>
      <c r="D1904" s="1" t="s">
        <v>3162</v>
      </c>
      <c r="E1904" s="1" t="s">
        <v>3161</v>
      </c>
      <c r="F1904" s="1" t="s">
        <v>3162</v>
      </c>
      <c r="G1904" s="1" t="s">
        <v>3163</v>
      </c>
      <c r="H1904" s="1" t="s">
        <v>3164</v>
      </c>
      <c r="I1904" s="1" t="s">
        <v>16627</v>
      </c>
      <c r="J1904" s="1" t="s">
        <v>6952</v>
      </c>
      <c r="K1904" s="1">
        <v>4</v>
      </c>
      <c r="L1904" s="1" t="s">
        <v>4342</v>
      </c>
      <c r="M1904" s="1">
        <v>5</v>
      </c>
      <c r="N1904" s="1" t="s">
        <v>4342</v>
      </c>
    </row>
    <row r="1905" spans="1:14" x14ac:dyDescent="0.15">
      <c r="A1905" s="1">
        <v>220</v>
      </c>
      <c r="B1905" s="1" t="s">
        <v>2886</v>
      </c>
      <c r="C1905" s="1" t="s">
        <v>3161</v>
      </c>
      <c r="D1905" s="1" t="s">
        <v>3162</v>
      </c>
      <c r="E1905" s="1" t="s">
        <v>3161</v>
      </c>
      <c r="F1905" s="1" t="s">
        <v>3162</v>
      </c>
      <c r="G1905" s="1" t="s">
        <v>3163</v>
      </c>
      <c r="H1905" s="1" t="s">
        <v>3164</v>
      </c>
      <c r="I1905" s="1" t="s">
        <v>16647</v>
      </c>
      <c r="J1905" s="1" t="s">
        <v>2901</v>
      </c>
      <c r="K1905" s="1">
        <v>4</v>
      </c>
      <c r="L1905" s="1" t="s">
        <v>4342</v>
      </c>
      <c r="M1905" s="1">
        <v>5</v>
      </c>
      <c r="N1905" s="1" t="s">
        <v>4342</v>
      </c>
    </row>
    <row r="1906" spans="1:14" x14ac:dyDescent="0.15">
      <c r="A1906" s="1">
        <v>220</v>
      </c>
      <c r="B1906" s="1" t="s">
        <v>2886</v>
      </c>
      <c r="C1906" s="1" t="s">
        <v>3165</v>
      </c>
      <c r="D1906" s="1" t="s">
        <v>3166</v>
      </c>
      <c r="E1906" s="1" t="s">
        <v>3165</v>
      </c>
      <c r="F1906" s="1" t="s">
        <v>3166</v>
      </c>
      <c r="G1906" s="1" t="s">
        <v>3167</v>
      </c>
      <c r="H1906" s="1" t="s">
        <v>3166</v>
      </c>
      <c r="I1906" s="1" t="s">
        <v>15715</v>
      </c>
      <c r="J1906" s="1" t="s">
        <v>12397</v>
      </c>
      <c r="K1906" s="1">
        <v>4</v>
      </c>
      <c r="L1906" s="1" t="s">
        <v>4342</v>
      </c>
      <c r="M1906" s="1">
        <v>5</v>
      </c>
      <c r="N1906" s="1" t="s">
        <v>4342</v>
      </c>
    </row>
    <row r="1907" spans="1:14" x14ac:dyDescent="0.15">
      <c r="A1907" s="1">
        <v>220</v>
      </c>
      <c r="B1907" s="1" t="s">
        <v>2886</v>
      </c>
      <c r="C1907" s="1" t="s">
        <v>3165</v>
      </c>
      <c r="D1907" s="1" t="s">
        <v>3166</v>
      </c>
      <c r="E1907" s="1" t="s">
        <v>3165</v>
      </c>
      <c r="F1907" s="1" t="s">
        <v>3166</v>
      </c>
      <c r="G1907" s="1" t="s">
        <v>3167</v>
      </c>
      <c r="H1907" s="1" t="s">
        <v>3166</v>
      </c>
      <c r="I1907" s="1" t="s">
        <v>15736</v>
      </c>
      <c r="J1907" s="1" t="s">
        <v>15733</v>
      </c>
      <c r="K1907" s="1">
        <v>4</v>
      </c>
      <c r="L1907" s="1" t="s">
        <v>4342</v>
      </c>
      <c r="M1907" s="1">
        <v>5</v>
      </c>
      <c r="N1907" s="1" t="s">
        <v>4342</v>
      </c>
    </row>
    <row r="1908" spans="1:14" x14ac:dyDescent="0.15">
      <c r="A1908" s="1">
        <v>220</v>
      </c>
      <c r="B1908" s="1" t="s">
        <v>2886</v>
      </c>
      <c r="C1908" s="1" t="s">
        <v>3165</v>
      </c>
      <c r="D1908" s="1" t="s">
        <v>3166</v>
      </c>
      <c r="E1908" s="1" t="s">
        <v>3165</v>
      </c>
      <c r="F1908" s="1" t="s">
        <v>3166</v>
      </c>
      <c r="G1908" s="1" t="s">
        <v>3167</v>
      </c>
      <c r="H1908" s="1" t="s">
        <v>3166</v>
      </c>
      <c r="I1908" s="1" t="s">
        <v>15762</v>
      </c>
      <c r="J1908" s="1" t="s">
        <v>15763</v>
      </c>
      <c r="K1908" s="1">
        <v>4</v>
      </c>
      <c r="L1908" s="1" t="s">
        <v>4342</v>
      </c>
      <c r="M1908" s="1">
        <v>5</v>
      </c>
      <c r="N1908" s="1" t="s">
        <v>4342</v>
      </c>
    </row>
    <row r="1909" spans="1:14" x14ac:dyDescent="0.15">
      <c r="A1909" s="1">
        <v>220</v>
      </c>
      <c r="B1909" s="1" t="s">
        <v>2886</v>
      </c>
      <c r="C1909" s="1" t="s">
        <v>3165</v>
      </c>
      <c r="D1909" s="1" t="s">
        <v>3166</v>
      </c>
      <c r="E1909" s="1" t="s">
        <v>3165</v>
      </c>
      <c r="F1909" s="1" t="s">
        <v>3166</v>
      </c>
      <c r="G1909" s="1" t="s">
        <v>3167</v>
      </c>
      <c r="H1909" s="1" t="s">
        <v>3166</v>
      </c>
      <c r="I1909" s="1" t="s">
        <v>15766</v>
      </c>
      <c r="J1909" s="1" t="s">
        <v>15767</v>
      </c>
      <c r="K1909" s="1">
        <v>4</v>
      </c>
      <c r="L1909" s="1" t="s">
        <v>4342</v>
      </c>
      <c r="M1909" s="1">
        <v>5</v>
      </c>
      <c r="N1909" s="1" t="s">
        <v>4342</v>
      </c>
    </row>
    <row r="1910" spans="1:14" x14ac:dyDescent="0.15">
      <c r="A1910" s="1">
        <v>220</v>
      </c>
      <c r="B1910" s="1" t="s">
        <v>2886</v>
      </c>
      <c r="C1910" s="1" t="s">
        <v>3165</v>
      </c>
      <c r="D1910" s="1" t="s">
        <v>3166</v>
      </c>
      <c r="E1910" s="1" t="s">
        <v>3165</v>
      </c>
      <c r="F1910" s="1" t="s">
        <v>3166</v>
      </c>
      <c r="G1910" s="1" t="s">
        <v>3167</v>
      </c>
      <c r="H1910" s="1" t="s">
        <v>3166</v>
      </c>
      <c r="I1910" s="1" t="s">
        <v>15770</v>
      </c>
      <c r="J1910" s="1" t="s">
        <v>15771</v>
      </c>
      <c r="K1910" s="1">
        <v>4</v>
      </c>
      <c r="L1910" s="1" t="s">
        <v>4342</v>
      </c>
      <c r="M1910" s="1">
        <v>5</v>
      </c>
      <c r="N1910" s="1" t="s">
        <v>4342</v>
      </c>
    </row>
    <row r="1911" spans="1:14" x14ac:dyDescent="0.15">
      <c r="A1911" s="1">
        <v>220</v>
      </c>
      <c r="B1911" s="1" t="s">
        <v>2886</v>
      </c>
      <c r="C1911" s="1" t="s">
        <v>3165</v>
      </c>
      <c r="D1911" s="1" t="s">
        <v>3166</v>
      </c>
      <c r="E1911" s="1" t="s">
        <v>3165</v>
      </c>
      <c r="F1911" s="1" t="s">
        <v>3166</v>
      </c>
      <c r="G1911" s="1" t="s">
        <v>3167</v>
      </c>
      <c r="H1911" s="1" t="s">
        <v>3166</v>
      </c>
      <c r="I1911" s="1" t="s">
        <v>15774</v>
      </c>
      <c r="J1911" s="1" t="s">
        <v>3168</v>
      </c>
      <c r="K1911" s="1">
        <v>4</v>
      </c>
      <c r="L1911" s="1" t="s">
        <v>4342</v>
      </c>
      <c r="M1911" s="1">
        <v>5</v>
      </c>
      <c r="N1911" s="1" t="s">
        <v>4342</v>
      </c>
    </row>
    <row r="1912" spans="1:14" x14ac:dyDescent="0.15">
      <c r="A1912" s="1">
        <v>230</v>
      </c>
      <c r="B1912" s="1" t="s">
        <v>3169</v>
      </c>
      <c r="C1912" s="1" t="s">
        <v>3170</v>
      </c>
      <c r="D1912" s="1" t="s">
        <v>3169</v>
      </c>
      <c r="E1912" s="1" t="s">
        <v>3170</v>
      </c>
      <c r="F1912" s="1" t="s">
        <v>3169</v>
      </c>
      <c r="G1912" s="1" t="s">
        <v>3171</v>
      </c>
      <c r="H1912" s="1" t="s">
        <v>3169</v>
      </c>
      <c r="I1912" s="1" t="s">
        <v>10629</v>
      </c>
      <c r="J1912" s="1" t="s">
        <v>3172</v>
      </c>
      <c r="K1912" s="1">
        <v>4</v>
      </c>
      <c r="L1912" s="1" t="s">
        <v>4342</v>
      </c>
      <c r="M1912" s="1">
        <v>5</v>
      </c>
      <c r="N1912" s="1" t="s">
        <v>4342</v>
      </c>
    </row>
    <row r="1913" spans="1:14" x14ac:dyDescent="0.15">
      <c r="A1913" s="1">
        <v>230</v>
      </c>
      <c r="B1913" s="1" t="s">
        <v>3169</v>
      </c>
      <c r="C1913" s="1" t="s">
        <v>3173</v>
      </c>
      <c r="D1913" s="1" t="s">
        <v>3174</v>
      </c>
      <c r="E1913" s="1" t="s">
        <v>3173</v>
      </c>
      <c r="F1913" s="1" t="s">
        <v>3174</v>
      </c>
      <c r="G1913" s="1" t="s">
        <v>3175</v>
      </c>
      <c r="H1913" s="1" t="s">
        <v>3174</v>
      </c>
      <c r="I1913" s="1" t="s">
        <v>10632</v>
      </c>
      <c r="J1913" s="1" t="s">
        <v>3176</v>
      </c>
      <c r="K1913" s="1">
        <v>4</v>
      </c>
      <c r="L1913" s="1" t="s">
        <v>4342</v>
      </c>
      <c r="M1913" s="1">
        <v>5</v>
      </c>
      <c r="N1913" s="1" t="s">
        <v>4342</v>
      </c>
    </row>
    <row r="1914" spans="1:14" x14ac:dyDescent="0.15">
      <c r="A1914" s="1">
        <v>230</v>
      </c>
      <c r="B1914" s="1" t="s">
        <v>3169</v>
      </c>
      <c r="C1914" s="1" t="s">
        <v>3173</v>
      </c>
      <c r="D1914" s="1" t="s">
        <v>3174</v>
      </c>
      <c r="E1914" s="1" t="s">
        <v>3173</v>
      </c>
      <c r="F1914" s="1" t="s">
        <v>3174</v>
      </c>
      <c r="G1914" s="1" t="s">
        <v>3175</v>
      </c>
      <c r="H1914" s="1" t="s">
        <v>3174</v>
      </c>
      <c r="I1914" s="1" t="s">
        <v>10073</v>
      </c>
      <c r="J1914" s="1" t="s">
        <v>3157</v>
      </c>
      <c r="K1914" s="1">
        <v>4</v>
      </c>
      <c r="L1914" s="1" t="s">
        <v>4342</v>
      </c>
      <c r="M1914" s="1">
        <v>5</v>
      </c>
      <c r="N1914" s="1" t="s">
        <v>4342</v>
      </c>
    </row>
    <row r="1915" spans="1:14" x14ac:dyDescent="0.15">
      <c r="A1915" s="1">
        <v>230</v>
      </c>
      <c r="B1915" s="1" t="s">
        <v>3169</v>
      </c>
      <c r="C1915" s="1" t="s">
        <v>3177</v>
      </c>
      <c r="D1915" s="1" t="s">
        <v>3178</v>
      </c>
      <c r="E1915" s="1" t="s">
        <v>3177</v>
      </c>
      <c r="F1915" s="1" t="s">
        <v>3178</v>
      </c>
      <c r="G1915" s="1" t="s">
        <v>3179</v>
      </c>
      <c r="H1915" s="1" t="s">
        <v>3178</v>
      </c>
      <c r="I1915" s="1" t="s">
        <v>10632</v>
      </c>
      <c r="J1915" s="1" t="s">
        <v>3176</v>
      </c>
      <c r="K1915" s="1">
        <v>4</v>
      </c>
      <c r="L1915" s="1" t="s">
        <v>4342</v>
      </c>
      <c r="M1915" s="1">
        <v>5</v>
      </c>
      <c r="N1915" s="1" t="s">
        <v>4342</v>
      </c>
    </row>
    <row r="1916" spans="1:14" x14ac:dyDescent="0.15">
      <c r="A1916" s="1">
        <v>231</v>
      </c>
      <c r="B1916" s="1" t="s">
        <v>3180</v>
      </c>
      <c r="C1916" s="1" t="s">
        <v>3181</v>
      </c>
      <c r="D1916" s="1" t="s">
        <v>3180</v>
      </c>
      <c r="E1916" s="1" t="s">
        <v>3181</v>
      </c>
      <c r="F1916" s="1" t="s">
        <v>3180</v>
      </c>
      <c r="G1916" s="1" t="s">
        <v>3182</v>
      </c>
      <c r="H1916" s="1" t="s">
        <v>3180</v>
      </c>
      <c r="I1916" s="1" t="s">
        <v>11879</v>
      </c>
      <c r="J1916" s="1" t="s">
        <v>4278</v>
      </c>
      <c r="K1916" s="1">
        <v>4</v>
      </c>
      <c r="L1916" s="1" t="s">
        <v>4342</v>
      </c>
      <c r="M1916" s="1">
        <v>5</v>
      </c>
      <c r="N1916" s="1" t="s">
        <v>4342</v>
      </c>
    </row>
    <row r="1917" spans="1:14" x14ac:dyDescent="0.15">
      <c r="A1917" s="1">
        <v>231</v>
      </c>
      <c r="B1917" s="1" t="s">
        <v>3180</v>
      </c>
      <c r="C1917" s="1" t="s">
        <v>3183</v>
      </c>
      <c r="D1917" s="1" t="s">
        <v>3184</v>
      </c>
      <c r="E1917" s="1" t="s">
        <v>3183</v>
      </c>
      <c r="F1917" s="1" t="s">
        <v>3184</v>
      </c>
      <c r="G1917" s="1" t="s">
        <v>3185</v>
      </c>
      <c r="H1917" s="1" t="s">
        <v>3184</v>
      </c>
      <c r="I1917" s="1" t="s">
        <v>16499</v>
      </c>
      <c r="J1917" s="1" t="s">
        <v>3186</v>
      </c>
      <c r="K1917" s="1">
        <v>4</v>
      </c>
      <c r="L1917" s="1" t="s">
        <v>4342</v>
      </c>
      <c r="M1917" s="1">
        <v>5</v>
      </c>
      <c r="N1917" s="1" t="s">
        <v>4342</v>
      </c>
    </row>
    <row r="1918" spans="1:14" x14ac:dyDescent="0.15">
      <c r="A1918" s="1">
        <v>231</v>
      </c>
      <c r="B1918" s="1" t="s">
        <v>3180</v>
      </c>
      <c r="C1918" s="1" t="s">
        <v>3183</v>
      </c>
      <c r="D1918" s="1" t="s">
        <v>3184</v>
      </c>
      <c r="E1918" s="1" t="s">
        <v>3183</v>
      </c>
      <c r="F1918" s="1" t="s">
        <v>3184</v>
      </c>
      <c r="G1918" s="1" t="s">
        <v>3185</v>
      </c>
      <c r="H1918" s="1" t="s">
        <v>3184</v>
      </c>
      <c r="I1918" s="1" t="s">
        <v>16515</v>
      </c>
      <c r="J1918" s="1" t="s">
        <v>16516</v>
      </c>
      <c r="K1918" s="1">
        <v>4</v>
      </c>
      <c r="L1918" s="1" t="s">
        <v>4342</v>
      </c>
      <c r="M1918" s="1">
        <v>5</v>
      </c>
      <c r="N1918" s="1" t="s">
        <v>4342</v>
      </c>
    </row>
    <row r="1919" spans="1:14" x14ac:dyDescent="0.15">
      <c r="A1919" s="1">
        <v>231</v>
      </c>
      <c r="B1919" s="1" t="s">
        <v>3180</v>
      </c>
      <c r="C1919" s="1" t="s">
        <v>3187</v>
      </c>
      <c r="D1919" s="1" t="s">
        <v>3188</v>
      </c>
      <c r="E1919" s="1" t="s">
        <v>3187</v>
      </c>
      <c r="F1919" s="1" t="s">
        <v>3188</v>
      </c>
      <c r="G1919" s="1" t="s">
        <v>3189</v>
      </c>
      <c r="H1919" s="1" t="s">
        <v>3188</v>
      </c>
      <c r="I1919" s="1" t="s">
        <v>16503</v>
      </c>
      <c r="J1919" s="1" t="s">
        <v>3190</v>
      </c>
      <c r="K1919" s="1">
        <v>4</v>
      </c>
      <c r="L1919" s="1" t="s">
        <v>4342</v>
      </c>
      <c r="M1919" s="1">
        <v>5</v>
      </c>
      <c r="N1919" s="1" t="s">
        <v>4342</v>
      </c>
    </row>
    <row r="1920" spans="1:14" x14ac:dyDescent="0.15">
      <c r="A1920" s="1">
        <v>231</v>
      </c>
      <c r="B1920" s="1" t="s">
        <v>3180</v>
      </c>
      <c r="C1920" s="1" t="s">
        <v>3187</v>
      </c>
      <c r="D1920" s="1" t="s">
        <v>3188</v>
      </c>
      <c r="E1920" s="1" t="s">
        <v>3187</v>
      </c>
      <c r="F1920" s="1" t="s">
        <v>3188</v>
      </c>
      <c r="G1920" s="1" t="s">
        <v>3189</v>
      </c>
      <c r="H1920" s="1" t="s">
        <v>3188</v>
      </c>
      <c r="I1920" s="1" t="s">
        <v>16531</v>
      </c>
      <c r="J1920" s="1" t="s">
        <v>16532</v>
      </c>
      <c r="K1920" s="1">
        <v>4</v>
      </c>
      <c r="L1920" s="1" t="s">
        <v>4342</v>
      </c>
      <c r="M1920" s="1">
        <v>5</v>
      </c>
      <c r="N1920" s="1" t="s">
        <v>4342</v>
      </c>
    </row>
    <row r="1921" spans="1:14" x14ac:dyDescent="0.15">
      <c r="A1921" s="1">
        <v>231</v>
      </c>
      <c r="B1921" s="1" t="s">
        <v>3180</v>
      </c>
      <c r="C1921" s="1" t="s">
        <v>3187</v>
      </c>
      <c r="D1921" s="1" t="s">
        <v>3188</v>
      </c>
      <c r="E1921" s="1" t="s">
        <v>3187</v>
      </c>
      <c r="F1921" s="1" t="s">
        <v>3188</v>
      </c>
      <c r="G1921" s="1" t="s">
        <v>3189</v>
      </c>
      <c r="H1921" s="1" t="s">
        <v>3188</v>
      </c>
      <c r="I1921" s="1" t="s">
        <v>16543</v>
      </c>
      <c r="J1921" s="1" t="s">
        <v>6698</v>
      </c>
      <c r="K1921" s="1">
        <v>4</v>
      </c>
      <c r="L1921" s="1" t="s">
        <v>4342</v>
      </c>
      <c r="M1921" s="1">
        <v>5</v>
      </c>
      <c r="N1921" s="1" t="s">
        <v>4342</v>
      </c>
    </row>
    <row r="1922" spans="1:14" x14ac:dyDescent="0.15">
      <c r="A1922" s="1">
        <v>231</v>
      </c>
      <c r="B1922" s="1" t="s">
        <v>3180</v>
      </c>
      <c r="C1922" s="1" t="s">
        <v>3187</v>
      </c>
      <c r="D1922" s="1" t="s">
        <v>3188</v>
      </c>
      <c r="E1922" s="1" t="s">
        <v>3187</v>
      </c>
      <c r="F1922" s="1" t="s">
        <v>3188</v>
      </c>
      <c r="G1922" s="1" t="s">
        <v>3189</v>
      </c>
      <c r="H1922" s="1" t="s">
        <v>3188</v>
      </c>
      <c r="I1922" s="1" t="s">
        <v>16547</v>
      </c>
      <c r="J1922" s="1" t="s">
        <v>6805</v>
      </c>
      <c r="K1922" s="1">
        <v>4</v>
      </c>
      <c r="L1922" s="1" t="s">
        <v>4342</v>
      </c>
      <c r="M1922" s="1">
        <v>5</v>
      </c>
      <c r="N1922" s="1" t="s">
        <v>4342</v>
      </c>
    </row>
    <row r="1923" spans="1:14" x14ac:dyDescent="0.15">
      <c r="A1923" s="1">
        <v>231</v>
      </c>
      <c r="B1923" s="1" t="s">
        <v>3180</v>
      </c>
      <c r="C1923" s="1" t="s">
        <v>3187</v>
      </c>
      <c r="D1923" s="1" t="s">
        <v>3188</v>
      </c>
      <c r="E1923" s="1" t="s">
        <v>3187</v>
      </c>
      <c r="F1923" s="1" t="s">
        <v>3188</v>
      </c>
      <c r="G1923" s="1" t="s">
        <v>3189</v>
      </c>
      <c r="H1923" s="1" t="s">
        <v>3188</v>
      </c>
      <c r="I1923" s="1" t="s">
        <v>16551</v>
      </c>
      <c r="J1923" s="1" t="s">
        <v>16552</v>
      </c>
      <c r="K1923" s="1">
        <v>4</v>
      </c>
      <c r="L1923" s="1" t="s">
        <v>4342</v>
      </c>
      <c r="M1923" s="1">
        <v>5</v>
      </c>
      <c r="N1923" s="1" t="s">
        <v>4342</v>
      </c>
    </row>
    <row r="1924" spans="1:14" x14ac:dyDescent="0.15">
      <c r="A1924" s="1">
        <v>231</v>
      </c>
      <c r="B1924" s="1" t="s">
        <v>3180</v>
      </c>
      <c r="C1924" s="1" t="s">
        <v>3187</v>
      </c>
      <c r="D1924" s="1" t="s">
        <v>3188</v>
      </c>
      <c r="E1924" s="1" t="s">
        <v>3187</v>
      </c>
      <c r="F1924" s="1" t="s">
        <v>3188</v>
      </c>
      <c r="G1924" s="1" t="s">
        <v>3189</v>
      </c>
      <c r="H1924" s="1" t="s">
        <v>3188</v>
      </c>
      <c r="I1924" s="1" t="s">
        <v>16555</v>
      </c>
      <c r="J1924" s="1" t="s">
        <v>3020</v>
      </c>
      <c r="K1924" s="1">
        <v>4</v>
      </c>
      <c r="L1924" s="1" t="s">
        <v>4342</v>
      </c>
      <c r="M1924" s="1">
        <v>5</v>
      </c>
      <c r="N1924" s="1" t="s">
        <v>4342</v>
      </c>
    </row>
    <row r="1925" spans="1:14" x14ac:dyDescent="0.15">
      <c r="A1925" s="1">
        <v>231</v>
      </c>
      <c r="B1925" s="1" t="s">
        <v>3180</v>
      </c>
      <c r="C1925" s="1" t="s">
        <v>3187</v>
      </c>
      <c r="D1925" s="1" t="s">
        <v>3188</v>
      </c>
      <c r="E1925" s="1" t="s">
        <v>3187</v>
      </c>
      <c r="F1925" s="1" t="s">
        <v>3188</v>
      </c>
      <c r="G1925" s="1" t="s">
        <v>3189</v>
      </c>
      <c r="H1925" s="1" t="s">
        <v>3188</v>
      </c>
      <c r="I1925" s="1" t="s">
        <v>16559</v>
      </c>
      <c r="J1925" s="1" t="s">
        <v>6942</v>
      </c>
      <c r="K1925" s="1">
        <v>4</v>
      </c>
      <c r="L1925" s="1" t="s">
        <v>4342</v>
      </c>
      <c r="M1925" s="1">
        <v>5</v>
      </c>
      <c r="N1925" s="1" t="s">
        <v>4342</v>
      </c>
    </row>
    <row r="1926" spans="1:14" x14ac:dyDescent="0.15">
      <c r="A1926" s="1">
        <v>231</v>
      </c>
      <c r="B1926" s="1" t="s">
        <v>3180</v>
      </c>
      <c r="C1926" s="1" t="s">
        <v>3187</v>
      </c>
      <c r="D1926" s="1" t="s">
        <v>3188</v>
      </c>
      <c r="E1926" s="1" t="s">
        <v>3187</v>
      </c>
      <c r="F1926" s="1" t="s">
        <v>3188</v>
      </c>
      <c r="G1926" s="1" t="s">
        <v>3189</v>
      </c>
      <c r="H1926" s="1" t="s">
        <v>3188</v>
      </c>
      <c r="I1926" s="1" t="s">
        <v>16567</v>
      </c>
      <c r="J1926" s="1" t="s">
        <v>16568</v>
      </c>
      <c r="K1926" s="1">
        <v>4</v>
      </c>
      <c r="L1926" s="1" t="s">
        <v>4342</v>
      </c>
      <c r="M1926" s="1">
        <v>5</v>
      </c>
      <c r="N1926" s="1" t="s">
        <v>4342</v>
      </c>
    </row>
    <row r="1927" spans="1:14" x14ac:dyDescent="0.15">
      <c r="A1927" s="1">
        <v>231</v>
      </c>
      <c r="B1927" s="1" t="s">
        <v>3180</v>
      </c>
      <c r="C1927" s="1" t="s">
        <v>3187</v>
      </c>
      <c r="D1927" s="1" t="s">
        <v>3188</v>
      </c>
      <c r="E1927" s="1" t="s">
        <v>3187</v>
      </c>
      <c r="F1927" s="1" t="s">
        <v>3188</v>
      </c>
      <c r="G1927" s="1" t="s">
        <v>3189</v>
      </c>
      <c r="H1927" s="1" t="s">
        <v>3188</v>
      </c>
      <c r="I1927" s="1" t="s">
        <v>16571</v>
      </c>
      <c r="J1927" s="1" t="s">
        <v>16572</v>
      </c>
      <c r="K1927" s="1">
        <v>4</v>
      </c>
      <c r="L1927" s="1" t="s">
        <v>4342</v>
      </c>
      <c r="M1927" s="1">
        <v>5</v>
      </c>
      <c r="N1927" s="1" t="s">
        <v>4342</v>
      </c>
    </row>
    <row r="1928" spans="1:14" x14ac:dyDescent="0.15">
      <c r="A1928" s="1">
        <v>231</v>
      </c>
      <c r="B1928" s="1" t="s">
        <v>3180</v>
      </c>
      <c r="C1928" s="1" t="s">
        <v>3187</v>
      </c>
      <c r="D1928" s="1" t="s">
        <v>3188</v>
      </c>
      <c r="E1928" s="1" t="s">
        <v>3187</v>
      </c>
      <c r="F1928" s="1" t="s">
        <v>3188</v>
      </c>
      <c r="G1928" s="1" t="s">
        <v>3189</v>
      </c>
      <c r="H1928" s="1" t="s">
        <v>3188</v>
      </c>
      <c r="I1928" s="1" t="s">
        <v>16575</v>
      </c>
      <c r="J1928" s="1" t="s">
        <v>16576</v>
      </c>
      <c r="K1928" s="1">
        <v>4</v>
      </c>
      <c r="L1928" s="1" t="s">
        <v>4342</v>
      </c>
      <c r="M1928" s="1">
        <v>5</v>
      </c>
      <c r="N1928" s="1" t="s">
        <v>4342</v>
      </c>
    </row>
    <row r="1929" spans="1:14" x14ac:dyDescent="0.15">
      <c r="A1929" s="1">
        <v>231</v>
      </c>
      <c r="B1929" s="1" t="s">
        <v>3180</v>
      </c>
      <c r="C1929" s="1" t="s">
        <v>3187</v>
      </c>
      <c r="D1929" s="1" t="s">
        <v>3188</v>
      </c>
      <c r="E1929" s="1" t="s">
        <v>3187</v>
      </c>
      <c r="F1929" s="1" t="s">
        <v>3188</v>
      </c>
      <c r="G1929" s="1" t="s">
        <v>3189</v>
      </c>
      <c r="H1929" s="1" t="s">
        <v>3188</v>
      </c>
      <c r="I1929" s="1" t="s">
        <v>16579</v>
      </c>
      <c r="J1929" s="1" t="s">
        <v>16580</v>
      </c>
      <c r="K1929" s="1">
        <v>4</v>
      </c>
      <c r="L1929" s="1" t="s">
        <v>4342</v>
      </c>
      <c r="M1929" s="1">
        <v>5</v>
      </c>
      <c r="N1929" s="1" t="s">
        <v>4342</v>
      </c>
    </row>
    <row r="1930" spans="1:14" x14ac:dyDescent="0.15">
      <c r="A1930" s="1">
        <v>231</v>
      </c>
      <c r="B1930" s="1" t="s">
        <v>3180</v>
      </c>
      <c r="C1930" s="1" t="s">
        <v>3187</v>
      </c>
      <c r="D1930" s="1" t="s">
        <v>3188</v>
      </c>
      <c r="E1930" s="1" t="s">
        <v>3187</v>
      </c>
      <c r="F1930" s="1" t="s">
        <v>3188</v>
      </c>
      <c r="G1930" s="1" t="s">
        <v>3189</v>
      </c>
      <c r="H1930" s="1" t="s">
        <v>3188</v>
      </c>
      <c r="I1930" s="1" t="s">
        <v>16583</v>
      </c>
      <c r="J1930" s="1" t="s">
        <v>6946</v>
      </c>
      <c r="K1930" s="1">
        <v>4</v>
      </c>
      <c r="L1930" s="1" t="s">
        <v>4342</v>
      </c>
      <c r="M1930" s="1">
        <v>5</v>
      </c>
      <c r="N1930" s="1" t="s">
        <v>4342</v>
      </c>
    </row>
    <row r="1931" spans="1:14" x14ac:dyDescent="0.15">
      <c r="A1931" s="1">
        <v>231</v>
      </c>
      <c r="B1931" s="1" t="s">
        <v>3180</v>
      </c>
      <c r="C1931" s="1" t="s">
        <v>3187</v>
      </c>
      <c r="D1931" s="1" t="s">
        <v>3188</v>
      </c>
      <c r="E1931" s="1" t="s">
        <v>3187</v>
      </c>
      <c r="F1931" s="1" t="s">
        <v>3188</v>
      </c>
      <c r="G1931" s="1" t="s">
        <v>3189</v>
      </c>
      <c r="H1931" s="1" t="s">
        <v>3188</v>
      </c>
      <c r="I1931" s="1" t="s">
        <v>16587</v>
      </c>
      <c r="J1931" s="1" t="s">
        <v>16588</v>
      </c>
      <c r="K1931" s="1">
        <v>4</v>
      </c>
      <c r="L1931" s="1" t="s">
        <v>4342</v>
      </c>
      <c r="M1931" s="1">
        <v>5</v>
      </c>
      <c r="N1931" s="1" t="s">
        <v>4342</v>
      </c>
    </row>
    <row r="1932" spans="1:14" x14ac:dyDescent="0.15">
      <c r="A1932" s="1">
        <v>231</v>
      </c>
      <c r="B1932" s="1" t="s">
        <v>3180</v>
      </c>
      <c r="C1932" s="1" t="s">
        <v>3187</v>
      </c>
      <c r="D1932" s="1" t="s">
        <v>3188</v>
      </c>
      <c r="E1932" s="1" t="s">
        <v>3187</v>
      </c>
      <c r="F1932" s="1" t="s">
        <v>3188</v>
      </c>
      <c r="G1932" s="1" t="s">
        <v>3189</v>
      </c>
      <c r="H1932" s="1" t="s">
        <v>3188</v>
      </c>
      <c r="I1932" s="1" t="s">
        <v>16591</v>
      </c>
      <c r="J1932" s="1" t="s">
        <v>16592</v>
      </c>
      <c r="K1932" s="1">
        <v>4</v>
      </c>
      <c r="L1932" s="1" t="s">
        <v>4342</v>
      </c>
      <c r="M1932" s="1">
        <v>5</v>
      </c>
      <c r="N1932" s="1" t="s">
        <v>4342</v>
      </c>
    </row>
    <row r="1933" spans="1:14" x14ac:dyDescent="0.15">
      <c r="A1933" s="1">
        <v>231</v>
      </c>
      <c r="B1933" s="1" t="s">
        <v>3180</v>
      </c>
      <c r="C1933" s="1" t="s">
        <v>3187</v>
      </c>
      <c r="D1933" s="1" t="s">
        <v>3188</v>
      </c>
      <c r="E1933" s="1" t="s">
        <v>3187</v>
      </c>
      <c r="F1933" s="1" t="s">
        <v>3188</v>
      </c>
      <c r="G1933" s="1" t="s">
        <v>3189</v>
      </c>
      <c r="H1933" s="1" t="s">
        <v>3188</v>
      </c>
      <c r="I1933" s="1" t="s">
        <v>16603</v>
      </c>
      <c r="J1933" s="1" t="s">
        <v>16604</v>
      </c>
      <c r="K1933" s="1">
        <v>4</v>
      </c>
      <c r="L1933" s="1" t="s">
        <v>4342</v>
      </c>
      <c r="M1933" s="1">
        <v>5</v>
      </c>
      <c r="N1933" s="1" t="s">
        <v>4342</v>
      </c>
    </row>
    <row r="1934" spans="1:14" x14ac:dyDescent="0.15">
      <c r="A1934" s="1">
        <v>231</v>
      </c>
      <c r="B1934" s="1" t="s">
        <v>3180</v>
      </c>
      <c r="C1934" s="1" t="s">
        <v>3187</v>
      </c>
      <c r="D1934" s="1" t="s">
        <v>3188</v>
      </c>
      <c r="E1934" s="1" t="s">
        <v>3187</v>
      </c>
      <c r="F1934" s="1" t="s">
        <v>3188</v>
      </c>
      <c r="G1934" s="1" t="s">
        <v>3189</v>
      </c>
      <c r="H1934" s="1" t="s">
        <v>3188</v>
      </c>
      <c r="I1934" s="1" t="s">
        <v>16627</v>
      </c>
      <c r="J1934" s="1" t="s">
        <v>6952</v>
      </c>
      <c r="K1934" s="1">
        <v>4</v>
      </c>
      <c r="L1934" s="1" t="s">
        <v>4342</v>
      </c>
      <c r="M1934" s="1">
        <v>5</v>
      </c>
      <c r="N1934" s="1" t="s">
        <v>4342</v>
      </c>
    </row>
    <row r="1935" spans="1:14" x14ac:dyDescent="0.15">
      <c r="A1935" s="1">
        <v>231</v>
      </c>
      <c r="B1935" s="1" t="s">
        <v>3180</v>
      </c>
      <c r="C1935" s="1" t="s">
        <v>3187</v>
      </c>
      <c r="D1935" s="1" t="s">
        <v>3188</v>
      </c>
      <c r="E1935" s="1" t="s">
        <v>3187</v>
      </c>
      <c r="F1935" s="1" t="s">
        <v>3188</v>
      </c>
      <c r="G1935" s="1" t="s">
        <v>3189</v>
      </c>
      <c r="H1935" s="1" t="s">
        <v>3188</v>
      </c>
      <c r="I1935" s="1" t="s">
        <v>16631</v>
      </c>
      <c r="J1935" s="1" t="s">
        <v>16632</v>
      </c>
      <c r="K1935" s="1">
        <v>4</v>
      </c>
      <c r="L1935" s="1" t="s">
        <v>4342</v>
      </c>
      <c r="M1935" s="1">
        <v>5</v>
      </c>
      <c r="N1935" s="1" t="s">
        <v>4342</v>
      </c>
    </row>
    <row r="1936" spans="1:14" x14ac:dyDescent="0.15">
      <c r="A1936" s="1">
        <v>231</v>
      </c>
      <c r="B1936" s="1" t="s">
        <v>3180</v>
      </c>
      <c r="C1936" s="1" t="s">
        <v>3187</v>
      </c>
      <c r="D1936" s="1" t="s">
        <v>3188</v>
      </c>
      <c r="E1936" s="1" t="s">
        <v>3187</v>
      </c>
      <c r="F1936" s="1" t="s">
        <v>3188</v>
      </c>
      <c r="G1936" s="1" t="s">
        <v>3189</v>
      </c>
      <c r="H1936" s="1" t="s">
        <v>3188</v>
      </c>
      <c r="I1936" s="1" t="s">
        <v>16647</v>
      </c>
      <c r="J1936" s="1" t="s">
        <v>2901</v>
      </c>
      <c r="K1936" s="1">
        <v>4</v>
      </c>
      <c r="L1936" s="1" t="s">
        <v>4342</v>
      </c>
      <c r="M1936" s="1">
        <v>5</v>
      </c>
      <c r="N1936" s="1" t="s">
        <v>4342</v>
      </c>
    </row>
    <row r="1937" spans="1:14" x14ac:dyDescent="0.15">
      <c r="A1937" s="1">
        <v>231</v>
      </c>
      <c r="B1937" s="1" t="s">
        <v>3180</v>
      </c>
      <c r="C1937" s="1" t="s">
        <v>3191</v>
      </c>
      <c r="D1937" s="1" t="s">
        <v>3192</v>
      </c>
      <c r="E1937" s="1" t="s">
        <v>3191</v>
      </c>
      <c r="F1937" s="1" t="s">
        <v>3192</v>
      </c>
      <c r="G1937" s="1" t="s">
        <v>3193</v>
      </c>
      <c r="H1937" s="1" t="s">
        <v>3192</v>
      </c>
      <c r="I1937" s="1" t="s">
        <v>16559</v>
      </c>
      <c r="J1937" s="1" t="s">
        <v>6942</v>
      </c>
      <c r="K1937" s="1">
        <v>4</v>
      </c>
      <c r="L1937" s="1" t="s">
        <v>4342</v>
      </c>
      <c r="M1937" s="1">
        <v>5</v>
      </c>
      <c r="N1937" s="1" t="s">
        <v>4342</v>
      </c>
    </row>
    <row r="1938" spans="1:14" x14ac:dyDescent="0.15">
      <c r="A1938" s="1">
        <v>232</v>
      </c>
      <c r="B1938" s="1" t="s">
        <v>3194</v>
      </c>
      <c r="C1938" s="1" t="s">
        <v>3195</v>
      </c>
      <c r="D1938" s="1" t="s">
        <v>3194</v>
      </c>
      <c r="E1938" s="1" t="s">
        <v>3195</v>
      </c>
      <c r="F1938" s="1" t="s">
        <v>3194</v>
      </c>
      <c r="G1938" s="1" t="s">
        <v>3196</v>
      </c>
      <c r="H1938" s="1" t="s">
        <v>3194</v>
      </c>
      <c r="I1938" s="1" t="s">
        <v>11879</v>
      </c>
      <c r="J1938" s="1" t="s">
        <v>4278</v>
      </c>
      <c r="K1938" s="1">
        <v>4</v>
      </c>
      <c r="L1938" s="1" t="s">
        <v>4342</v>
      </c>
      <c r="M1938" s="1">
        <v>5</v>
      </c>
      <c r="N1938" s="1" t="s">
        <v>4342</v>
      </c>
    </row>
    <row r="1939" spans="1:14" x14ac:dyDescent="0.15">
      <c r="A1939" s="1">
        <v>232</v>
      </c>
      <c r="B1939" s="1" t="s">
        <v>3194</v>
      </c>
      <c r="C1939" s="1" t="s">
        <v>3197</v>
      </c>
      <c r="D1939" s="1" t="s">
        <v>3198</v>
      </c>
      <c r="E1939" s="1" t="s">
        <v>3197</v>
      </c>
      <c r="F1939" s="1" t="s">
        <v>3198</v>
      </c>
      <c r="G1939" s="1" t="s">
        <v>3199</v>
      </c>
      <c r="H1939" s="1" t="s">
        <v>3198</v>
      </c>
      <c r="I1939" s="1" t="s">
        <v>16503</v>
      </c>
      <c r="J1939" s="1" t="s">
        <v>3190</v>
      </c>
      <c r="K1939" s="1">
        <v>4</v>
      </c>
      <c r="L1939" s="1" t="s">
        <v>4342</v>
      </c>
      <c r="M1939" s="1">
        <v>5</v>
      </c>
      <c r="N1939" s="1" t="s">
        <v>4342</v>
      </c>
    </row>
    <row r="1940" spans="1:14" x14ac:dyDescent="0.15">
      <c r="A1940" s="1">
        <v>232</v>
      </c>
      <c r="B1940" s="1" t="s">
        <v>3194</v>
      </c>
      <c r="C1940" s="1" t="s">
        <v>3197</v>
      </c>
      <c r="D1940" s="1" t="s">
        <v>3198</v>
      </c>
      <c r="E1940" s="1" t="s">
        <v>3197</v>
      </c>
      <c r="F1940" s="1" t="s">
        <v>3198</v>
      </c>
      <c r="G1940" s="1" t="s">
        <v>3199</v>
      </c>
      <c r="H1940" s="1" t="s">
        <v>3198</v>
      </c>
      <c r="I1940" s="1" t="s">
        <v>16511</v>
      </c>
      <c r="J1940" s="1" t="s">
        <v>3200</v>
      </c>
      <c r="K1940" s="1">
        <v>4</v>
      </c>
      <c r="L1940" s="1" t="s">
        <v>4342</v>
      </c>
      <c r="M1940" s="1">
        <v>5</v>
      </c>
      <c r="N1940" s="1" t="s">
        <v>4342</v>
      </c>
    </row>
    <row r="1941" spans="1:14" x14ac:dyDescent="0.15">
      <c r="A1941" s="1">
        <v>232</v>
      </c>
      <c r="B1941" s="1" t="s">
        <v>3194</v>
      </c>
      <c r="C1941" s="1" t="s">
        <v>3197</v>
      </c>
      <c r="D1941" s="1" t="s">
        <v>3198</v>
      </c>
      <c r="E1941" s="1" t="s">
        <v>3197</v>
      </c>
      <c r="F1941" s="1" t="s">
        <v>3198</v>
      </c>
      <c r="G1941" s="1" t="s">
        <v>3199</v>
      </c>
      <c r="H1941" s="1" t="s">
        <v>3198</v>
      </c>
      <c r="I1941" s="1" t="s">
        <v>16515</v>
      </c>
      <c r="J1941" s="1" t="s">
        <v>16516</v>
      </c>
      <c r="K1941" s="1">
        <v>4</v>
      </c>
      <c r="L1941" s="1" t="s">
        <v>4342</v>
      </c>
      <c r="M1941" s="1">
        <v>5</v>
      </c>
      <c r="N1941" s="1" t="s">
        <v>4342</v>
      </c>
    </row>
    <row r="1942" spans="1:14" x14ac:dyDescent="0.15">
      <c r="A1942" s="1">
        <v>232</v>
      </c>
      <c r="B1942" s="1" t="s">
        <v>3194</v>
      </c>
      <c r="C1942" s="1" t="s">
        <v>3197</v>
      </c>
      <c r="D1942" s="1" t="s">
        <v>3198</v>
      </c>
      <c r="E1942" s="1" t="s">
        <v>3197</v>
      </c>
      <c r="F1942" s="1" t="s">
        <v>3198</v>
      </c>
      <c r="G1942" s="1" t="s">
        <v>3199</v>
      </c>
      <c r="H1942" s="1" t="s">
        <v>3198</v>
      </c>
      <c r="I1942" s="1" t="s">
        <v>16527</v>
      </c>
      <c r="J1942" s="1" t="s">
        <v>6939</v>
      </c>
      <c r="K1942" s="1">
        <v>4</v>
      </c>
      <c r="L1942" s="1" t="s">
        <v>4342</v>
      </c>
      <c r="M1942" s="1">
        <v>5</v>
      </c>
      <c r="N1942" s="1" t="s">
        <v>4342</v>
      </c>
    </row>
    <row r="1943" spans="1:14" x14ac:dyDescent="0.15">
      <c r="A1943" s="1">
        <v>232</v>
      </c>
      <c r="B1943" s="1" t="s">
        <v>3194</v>
      </c>
      <c r="C1943" s="1" t="s">
        <v>3197</v>
      </c>
      <c r="D1943" s="1" t="s">
        <v>3198</v>
      </c>
      <c r="E1943" s="1" t="s">
        <v>3197</v>
      </c>
      <c r="F1943" s="1" t="s">
        <v>3198</v>
      </c>
      <c r="G1943" s="1" t="s">
        <v>3199</v>
      </c>
      <c r="H1943" s="1" t="s">
        <v>3198</v>
      </c>
      <c r="I1943" s="1" t="s">
        <v>16531</v>
      </c>
      <c r="J1943" s="1" t="s">
        <v>16532</v>
      </c>
      <c r="K1943" s="1">
        <v>4</v>
      </c>
      <c r="L1943" s="1" t="s">
        <v>4342</v>
      </c>
      <c r="M1943" s="1">
        <v>5</v>
      </c>
      <c r="N1943" s="1" t="s">
        <v>4342</v>
      </c>
    </row>
    <row r="1944" spans="1:14" x14ac:dyDescent="0.15">
      <c r="A1944" s="1">
        <v>232</v>
      </c>
      <c r="B1944" s="1" t="s">
        <v>3194</v>
      </c>
      <c r="C1944" s="1" t="s">
        <v>3197</v>
      </c>
      <c r="D1944" s="1" t="s">
        <v>3198</v>
      </c>
      <c r="E1944" s="1" t="s">
        <v>3197</v>
      </c>
      <c r="F1944" s="1" t="s">
        <v>3198</v>
      </c>
      <c r="G1944" s="1" t="s">
        <v>3199</v>
      </c>
      <c r="H1944" s="1" t="s">
        <v>3198</v>
      </c>
      <c r="I1944" s="1" t="s">
        <v>16535</v>
      </c>
      <c r="J1944" s="1" t="s">
        <v>6828</v>
      </c>
      <c r="K1944" s="1">
        <v>4</v>
      </c>
      <c r="L1944" s="1" t="s">
        <v>4342</v>
      </c>
      <c r="M1944" s="1">
        <v>5</v>
      </c>
      <c r="N1944" s="1" t="s">
        <v>4342</v>
      </c>
    </row>
    <row r="1945" spans="1:14" x14ac:dyDescent="0.15">
      <c r="A1945" s="1">
        <v>232</v>
      </c>
      <c r="B1945" s="1" t="s">
        <v>3194</v>
      </c>
      <c r="C1945" s="1" t="s">
        <v>3197</v>
      </c>
      <c r="D1945" s="1" t="s">
        <v>3198</v>
      </c>
      <c r="E1945" s="1" t="s">
        <v>3197</v>
      </c>
      <c r="F1945" s="1" t="s">
        <v>3198</v>
      </c>
      <c r="G1945" s="1" t="s">
        <v>3199</v>
      </c>
      <c r="H1945" s="1" t="s">
        <v>3198</v>
      </c>
      <c r="I1945" s="1" t="s">
        <v>16539</v>
      </c>
      <c r="J1945" s="1" t="s">
        <v>16540</v>
      </c>
      <c r="K1945" s="1">
        <v>4</v>
      </c>
      <c r="L1945" s="1" t="s">
        <v>4342</v>
      </c>
      <c r="M1945" s="1">
        <v>5</v>
      </c>
      <c r="N1945" s="1" t="s">
        <v>4342</v>
      </c>
    </row>
    <row r="1946" spans="1:14" x14ac:dyDescent="0.15">
      <c r="A1946" s="1">
        <v>232</v>
      </c>
      <c r="B1946" s="1" t="s">
        <v>3194</v>
      </c>
      <c r="C1946" s="1" t="s">
        <v>3197</v>
      </c>
      <c r="D1946" s="1" t="s">
        <v>3198</v>
      </c>
      <c r="E1946" s="1" t="s">
        <v>3197</v>
      </c>
      <c r="F1946" s="1" t="s">
        <v>3198</v>
      </c>
      <c r="G1946" s="1" t="s">
        <v>3199</v>
      </c>
      <c r="H1946" s="1" t="s">
        <v>3198</v>
      </c>
      <c r="I1946" s="1" t="s">
        <v>16543</v>
      </c>
      <c r="J1946" s="1" t="s">
        <v>6698</v>
      </c>
      <c r="K1946" s="1">
        <v>4</v>
      </c>
      <c r="L1946" s="1" t="s">
        <v>4342</v>
      </c>
      <c r="M1946" s="1">
        <v>5</v>
      </c>
      <c r="N1946" s="1" t="s">
        <v>4342</v>
      </c>
    </row>
    <row r="1947" spans="1:14" x14ac:dyDescent="0.15">
      <c r="A1947" s="1">
        <v>232</v>
      </c>
      <c r="B1947" s="1" t="s">
        <v>3194</v>
      </c>
      <c r="C1947" s="1" t="s">
        <v>3197</v>
      </c>
      <c r="D1947" s="1" t="s">
        <v>3198</v>
      </c>
      <c r="E1947" s="1" t="s">
        <v>3197</v>
      </c>
      <c r="F1947" s="1" t="s">
        <v>3198</v>
      </c>
      <c r="G1947" s="1" t="s">
        <v>3199</v>
      </c>
      <c r="H1947" s="1" t="s">
        <v>3198</v>
      </c>
      <c r="I1947" s="1" t="s">
        <v>16547</v>
      </c>
      <c r="J1947" s="1" t="s">
        <v>6805</v>
      </c>
      <c r="K1947" s="1">
        <v>4</v>
      </c>
      <c r="L1947" s="1" t="s">
        <v>4342</v>
      </c>
      <c r="M1947" s="1">
        <v>5</v>
      </c>
      <c r="N1947" s="1" t="s">
        <v>4342</v>
      </c>
    </row>
    <row r="1948" spans="1:14" x14ac:dyDescent="0.15">
      <c r="A1948" s="1">
        <v>232</v>
      </c>
      <c r="B1948" s="1" t="s">
        <v>3194</v>
      </c>
      <c r="C1948" s="1" t="s">
        <v>3197</v>
      </c>
      <c r="D1948" s="1" t="s">
        <v>3198</v>
      </c>
      <c r="E1948" s="1" t="s">
        <v>3197</v>
      </c>
      <c r="F1948" s="1" t="s">
        <v>3198</v>
      </c>
      <c r="G1948" s="1" t="s">
        <v>3199</v>
      </c>
      <c r="H1948" s="1" t="s">
        <v>3198</v>
      </c>
      <c r="I1948" s="1" t="s">
        <v>16551</v>
      </c>
      <c r="J1948" s="1" t="s">
        <v>16552</v>
      </c>
      <c r="K1948" s="1">
        <v>4</v>
      </c>
      <c r="L1948" s="1" t="s">
        <v>4342</v>
      </c>
      <c r="M1948" s="1">
        <v>5</v>
      </c>
      <c r="N1948" s="1" t="s">
        <v>4342</v>
      </c>
    </row>
    <row r="1949" spans="1:14" x14ac:dyDescent="0.15">
      <c r="A1949" s="1">
        <v>232</v>
      </c>
      <c r="B1949" s="1" t="s">
        <v>3194</v>
      </c>
      <c r="C1949" s="1" t="s">
        <v>3197</v>
      </c>
      <c r="D1949" s="1" t="s">
        <v>3198</v>
      </c>
      <c r="E1949" s="1" t="s">
        <v>3197</v>
      </c>
      <c r="F1949" s="1" t="s">
        <v>3198</v>
      </c>
      <c r="G1949" s="1" t="s">
        <v>3199</v>
      </c>
      <c r="H1949" s="1" t="s">
        <v>3198</v>
      </c>
      <c r="I1949" s="1" t="s">
        <v>16555</v>
      </c>
      <c r="J1949" s="1" t="s">
        <v>3020</v>
      </c>
      <c r="K1949" s="1">
        <v>4</v>
      </c>
      <c r="L1949" s="1" t="s">
        <v>4342</v>
      </c>
      <c r="M1949" s="1">
        <v>5</v>
      </c>
      <c r="N1949" s="1" t="s">
        <v>4342</v>
      </c>
    </row>
    <row r="1950" spans="1:14" x14ac:dyDescent="0.15">
      <c r="A1950" s="1">
        <v>232</v>
      </c>
      <c r="B1950" s="1" t="s">
        <v>3194</v>
      </c>
      <c r="C1950" s="1" t="s">
        <v>3197</v>
      </c>
      <c r="D1950" s="1" t="s">
        <v>3198</v>
      </c>
      <c r="E1950" s="1" t="s">
        <v>3197</v>
      </c>
      <c r="F1950" s="1" t="s">
        <v>3198</v>
      </c>
      <c r="G1950" s="1" t="s">
        <v>3199</v>
      </c>
      <c r="H1950" s="1" t="s">
        <v>3198</v>
      </c>
      <c r="I1950" s="1" t="s">
        <v>16559</v>
      </c>
      <c r="J1950" s="1" t="s">
        <v>6942</v>
      </c>
      <c r="K1950" s="1">
        <v>4</v>
      </c>
      <c r="L1950" s="1" t="s">
        <v>4342</v>
      </c>
      <c r="M1950" s="1">
        <v>5</v>
      </c>
      <c r="N1950" s="1" t="s">
        <v>4342</v>
      </c>
    </row>
    <row r="1951" spans="1:14" x14ac:dyDescent="0.15">
      <c r="A1951" s="1">
        <v>232</v>
      </c>
      <c r="B1951" s="1" t="s">
        <v>3194</v>
      </c>
      <c r="C1951" s="1" t="s">
        <v>3197</v>
      </c>
      <c r="D1951" s="1" t="s">
        <v>3198</v>
      </c>
      <c r="E1951" s="1" t="s">
        <v>3197</v>
      </c>
      <c r="F1951" s="1" t="s">
        <v>3198</v>
      </c>
      <c r="G1951" s="1" t="s">
        <v>3199</v>
      </c>
      <c r="H1951" s="1" t="s">
        <v>3198</v>
      </c>
      <c r="I1951" s="1" t="s">
        <v>16563</v>
      </c>
      <c r="J1951" s="1" t="s">
        <v>3021</v>
      </c>
      <c r="K1951" s="1">
        <v>4</v>
      </c>
      <c r="L1951" s="1" t="s">
        <v>4342</v>
      </c>
      <c r="M1951" s="1">
        <v>5</v>
      </c>
      <c r="N1951" s="1" t="s">
        <v>4342</v>
      </c>
    </row>
    <row r="1952" spans="1:14" x14ac:dyDescent="0.15">
      <c r="A1952" s="1">
        <v>232</v>
      </c>
      <c r="B1952" s="1" t="s">
        <v>3194</v>
      </c>
      <c r="C1952" s="1" t="s">
        <v>3197</v>
      </c>
      <c r="D1952" s="1" t="s">
        <v>3198</v>
      </c>
      <c r="E1952" s="1" t="s">
        <v>3197</v>
      </c>
      <c r="F1952" s="1" t="s">
        <v>3198</v>
      </c>
      <c r="G1952" s="1" t="s">
        <v>3199</v>
      </c>
      <c r="H1952" s="1" t="s">
        <v>3198</v>
      </c>
      <c r="I1952" s="1" t="s">
        <v>16567</v>
      </c>
      <c r="J1952" s="1" t="s">
        <v>16568</v>
      </c>
      <c r="K1952" s="1">
        <v>4</v>
      </c>
      <c r="L1952" s="1" t="s">
        <v>4342</v>
      </c>
      <c r="M1952" s="1">
        <v>5</v>
      </c>
      <c r="N1952" s="1" t="s">
        <v>4342</v>
      </c>
    </row>
    <row r="1953" spans="1:14" x14ac:dyDescent="0.15">
      <c r="A1953" s="1">
        <v>232</v>
      </c>
      <c r="B1953" s="1" t="s">
        <v>3194</v>
      </c>
      <c r="C1953" s="1" t="s">
        <v>3197</v>
      </c>
      <c r="D1953" s="1" t="s">
        <v>3198</v>
      </c>
      <c r="E1953" s="1" t="s">
        <v>3197</v>
      </c>
      <c r="F1953" s="1" t="s">
        <v>3198</v>
      </c>
      <c r="G1953" s="1" t="s">
        <v>3199</v>
      </c>
      <c r="H1953" s="1" t="s">
        <v>3198</v>
      </c>
      <c r="I1953" s="1" t="s">
        <v>16571</v>
      </c>
      <c r="J1953" s="1" t="s">
        <v>16572</v>
      </c>
      <c r="K1953" s="1">
        <v>4</v>
      </c>
      <c r="L1953" s="1" t="s">
        <v>4342</v>
      </c>
      <c r="M1953" s="1">
        <v>5</v>
      </c>
      <c r="N1953" s="1" t="s">
        <v>4342</v>
      </c>
    </row>
    <row r="1954" spans="1:14" x14ac:dyDescent="0.15">
      <c r="A1954" s="1">
        <v>232</v>
      </c>
      <c r="B1954" s="1" t="s">
        <v>3194</v>
      </c>
      <c r="C1954" s="1" t="s">
        <v>3197</v>
      </c>
      <c r="D1954" s="1" t="s">
        <v>3198</v>
      </c>
      <c r="E1954" s="1" t="s">
        <v>3197</v>
      </c>
      <c r="F1954" s="1" t="s">
        <v>3198</v>
      </c>
      <c r="G1954" s="1" t="s">
        <v>3199</v>
      </c>
      <c r="H1954" s="1" t="s">
        <v>3198</v>
      </c>
      <c r="I1954" s="1" t="s">
        <v>16575</v>
      </c>
      <c r="J1954" s="1" t="s">
        <v>16576</v>
      </c>
      <c r="K1954" s="1">
        <v>4</v>
      </c>
      <c r="L1954" s="1" t="s">
        <v>4342</v>
      </c>
      <c r="M1954" s="1">
        <v>5</v>
      </c>
      <c r="N1954" s="1" t="s">
        <v>4342</v>
      </c>
    </row>
    <row r="1955" spans="1:14" x14ac:dyDescent="0.15">
      <c r="A1955" s="1">
        <v>232</v>
      </c>
      <c r="B1955" s="1" t="s">
        <v>3194</v>
      </c>
      <c r="C1955" s="1" t="s">
        <v>3197</v>
      </c>
      <c r="D1955" s="1" t="s">
        <v>3198</v>
      </c>
      <c r="E1955" s="1" t="s">
        <v>3197</v>
      </c>
      <c r="F1955" s="1" t="s">
        <v>3198</v>
      </c>
      <c r="G1955" s="1" t="s">
        <v>3199</v>
      </c>
      <c r="H1955" s="1" t="s">
        <v>3198</v>
      </c>
      <c r="I1955" s="1" t="s">
        <v>16579</v>
      </c>
      <c r="J1955" s="1" t="s">
        <v>16580</v>
      </c>
      <c r="K1955" s="1">
        <v>4</v>
      </c>
      <c r="L1955" s="1" t="s">
        <v>4342</v>
      </c>
      <c r="M1955" s="1">
        <v>5</v>
      </c>
      <c r="N1955" s="1" t="s">
        <v>4342</v>
      </c>
    </row>
    <row r="1956" spans="1:14" x14ac:dyDescent="0.15">
      <c r="A1956" s="1">
        <v>232</v>
      </c>
      <c r="B1956" s="1" t="s">
        <v>3194</v>
      </c>
      <c r="C1956" s="1" t="s">
        <v>3197</v>
      </c>
      <c r="D1956" s="1" t="s">
        <v>3198</v>
      </c>
      <c r="E1956" s="1" t="s">
        <v>3197</v>
      </c>
      <c r="F1956" s="1" t="s">
        <v>3198</v>
      </c>
      <c r="G1956" s="1" t="s">
        <v>3199</v>
      </c>
      <c r="H1956" s="1" t="s">
        <v>3198</v>
      </c>
      <c r="I1956" s="1" t="s">
        <v>16583</v>
      </c>
      <c r="J1956" s="1" t="s">
        <v>6946</v>
      </c>
      <c r="K1956" s="1">
        <v>4</v>
      </c>
      <c r="L1956" s="1" t="s">
        <v>4342</v>
      </c>
      <c r="M1956" s="1">
        <v>5</v>
      </c>
      <c r="N1956" s="1" t="s">
        <v>4342</v>
      </c>
    </row>
    <row r="1957" spans="1:14" x14ac:dyDescent="0.15">
      <c r="A1957" s="1">
        <v>232</v>
      </c>
      <c r="B1957" s="1" t="s">
        <v>3194</v>
      </c>
      <c r="C1957" s="1" t="s">
        <v>3197</v>
      </c>
      <c r="D1957" s="1" t="s">
        <v>3198</v>
      </c>
      <c r="E1957" s="1" t="s">
        <v>3197</v>
      </c>
      <c r="F1957" s="1" t="s">
        <v>3198</v>
      </c>
      <c r="G1957" s="1" t="s">
        <v>3199</v>
      </c>
      <c r="H1957" s="1" t="s">
        <v>3198</v>
      </c>
      <c r="I1957" s="1" t="s">
        <v>16587</v>
      </c>
      <c r="J1957" s="1" t="s">
        <v>16588</v>
      </c>
      <c r="K1957" s="1">
        <v>4</v>
      </c>
      <c r="L1957" s="1" t="s">
        <v>4342</v>
      </c>
      <c r="M1957" s="1">
        <v>5</v>
      </c>
      <c r="N1957" s="1" t="s">
        <v>4342</v>
      </c>
    </row>
    <row r="1958" spans="1:14" x14ac:dyDescent="0.15">
      <c r="A1958" s="1">
        <v>232</v>
      </c>
      <c r="B1958" s="1" t="s">
        <v>3194</v>
      </c>
      <c r="C1958" s="1" t="s">
        <v>3197</v>
      </c>
      <c r="D1958" s="1" t="s">
        <v>3198</v>
      </c>
      <c r="E1958" s="1" t="s">
        <v>3197</v>
      </c>
      <c r="F1958" s="1" t="s">
        <v>3198</v>
      </c>
      <c r="G1958" s="1" t="s">
        <v>3199</v>
      </c>
      <c r="H1958" s="1" t="s">
        <v>3198</v>
      </c>
      <c r="I1958" s="1" t="s">
        <v>16591</v>
      </c>
      <c r="J1958" s="1" t="s">
        <v>16592</v>
      </c>
      <c r="K1958" s="1">
        <v>4</v>
      </c>
      <c r="L1958" s="1" t="s">
        <v>4342</v>
      </c>
      <c r="M1958" s="1">
        <v>5</v>
      </c>
      <c r="N1958" s="1" t="s">
        <v>4342</v>
      </c>
    </row>
    <row r="1959" spans="1:14" x14ac:dyDescent="0.15">
      <c r="A1959" s="1">
        <v>232</v>
      </c>
      <c r="B1959" s="1" t="s">
        <v>3194</v>
      </c>
      <c r="C1959" s="1" t="s">
        <v>3197</v>
      </c>
      <c r="D1959" s="1" t="s">
        <v>3198</v>
      </c>
      <c r="E1959" s="1" t="s">
        <v>3197</v>
      </c>
      <c r="F1959" s="1" t="s">
        <v>3198</v>
      </c>
      <c r="G1959" s="1" t="s">
        <v>3199</v>
      </c>
      <c r="H1959" s="1" t="s">
        <v>3198</v>
      </c>
      <c r="I1959" s="1" t="s">
        <v>16603</v>
      </c>
      <c r="J1959" s="1" t="s">
        <v>16604</v>
      </c>
      <c r="K1959" s="1">
        <v>4</v>
      </c>
      <c r="L1959" s="1" t="s">
        <v>4342</v>
      </c>
      <c r="M1959" s="1">
        <v>5</v>
      </c>
      <c r="N1959" s="1" t="s">
        <v>4342</v>
      </c>
    </row>
    <row r="1960" spans="1:14" x14ac:dyDescent="0.15">
      <c r="A1960" s="1">
        <v>232</v>
      </c>
      <c r="B1960" s="1" t="s">
        <v>3194</v>
      </c>
      <c r="C1960" s="1" t="s">
        <v>3197</v>
      </c>
      <c r="D1960" s="1" t="s">
        <v>3198</v>
      </c>
      <c r="E1960" s="1" t="s">
        <v>3197</v>
      </c>
      <c r="F1960" s="1" t="s">
        <v>3198</v>
      </c>
      <c r="G1960" s="1" t="s">
        <v>3199</v>
      </c>
      <c r="H1960" s="1" t="s">
        <v>3198</v>
      </c>
      <c r="I1960" s="1" t="s">
        <v>16607</v>
      </c>
      <c r="J1960" s="1" t="s">
        <v>16608</v>
      </c>
      <c r="K1960" s="1">
        <v>4</v>
      </c>
      <c r="L1960" s="1" t="s">
        <v>4342</v>
      </c>
      <c r="M1960" s="1">
        <v>5</v>
      </c>
      <c r="N1960" s="1" t="s">
        <v>4342</v>
      </c>
    </row>
    <row r="1961" spans="1:14" x14ac:dyDescent="0.15">
      <c r="A1961" s="1">
        <v>232</v>
      </c>
      <c r="B1961" s="1" t="s">
        <v>3194</v>
      </c>
      <c r="C1961" s="1" t="s">
        <v>3197</v>
      </c>
      <c r="D1961" s="1" t="s">
        <v>3198</v>
      </c>
      <c r="E1961" s="1" t="s">
        <v>3197</v>
      </c>
      <c r="F1961" s="1" t="s">
        <v>3198</v>
      </c>
      <c r="G1961" s="1" t="s">
        <v>3199</v>
      </c>
      <c r="H1961" s="1" t="s">
        <v>3198</v>
      </c>
      <c r="I1961" s="1" t="s">
        <v>16611</v>
      </c>
      <c r="J1961" s="1" t="s">
        <v>16612</v>
      </c>
      <c r="K1961" s="1">
        <v>4</v>
      </c>
      <c r="L1961" s="1" t="s">
        <v>4342</v>
      </c>
      <c r="M1961" s="1">
        <v>5</v>
      </c>
      <c r="N1961" s="1" t="s">
        <v>4342</v>
      </c>
    </row>
    <row r="1962" spans="1:14" x14ac:dyDescent="0.15">
      <c r="A1962" s="1">
        <v>232</v>
      </c>
      <c r="B1962" s="1" t="s">
        <v>3194</v>
      </c>
      <c r="C1962" s="1" t="s">
        <v>3197</v>
      </c>
      <c r="D1962" s="1" t="s">
        <v>3198</v>
      </c>
      <c r="E1962" s="1" t="s">
        <v>3197</v>
      </c>
      <c r="F1962" s="1" t="s">
        <v>3198</v>
      </c>
      <c r="G1962" s="1" t="s">
        <v>3199</v>
      </c>
      <c r="H1962" s="1" t="s">
        <v>3198</v>
      </c>
      <c r="I1962" s="1" t="s">
        <v>16615</v>
      </c>
      <c r="J1962" s="1" t="s">
        <v>16616</v>
      </c>
      <c r="K1962" s="1">
        <v>4</v>
      </c>
      <c r="L1962" s="1" t="s">
        <v>4342</v>
      </c>
      <c r="M1962" s="1">
        <v>5</v>
      </c>
      <c r="N1962" s="1" t="s">
        <v>4342</v>
      </c>
    </row>
    <row r="1963" spans="1:14" x14ac:dyDescent="0.15">
      <c r="A1963" s="1">
        <v>232</v>
      </c>
      <c r="B1963" s="1" t="s">
        <v>3194</v>
      </c>
      <c r="C1963" s="1" t="s">
        <v>3197</v>
      </c>
      <c r="D1963" s="1" t="s">
        <v>3198</v>
      </c>
      <c r="E1963" s="1" t="s">
        <v>3197</v>
      </c>
      <c r="F1963" s="1" t="s">
        <v>3198</v>
      </c>
      <c r="G1963" s="1" t="s">
        <v>3199</v>
      </c>
      <c r="H1963" s="1" t="s">
        <v>3198</v>
      </c>
      <c r="I1963" s="1" t="s">
        <v>16619</v>
      </c>
      <c r="J1963" s="1" t="s">
        <v>16620</v>
      </c>
      <c r="K1963" s="1">
        <v>4</v>
      </c>
      <c r="L1963" s="1" t="s">
        <v>4342</v>
      </c>
      <c r="M1963" s="1">
        <v>5</v>
      </c>
      <c r="N1963" s="1" t="s">
        <v>4342</v>
      </c>
    </row>
    <row r="1964" spans="1:14" x14ac:dyDescent="0.15">
      <c r="A1964" s="1">
        <v>232</v>
      </c>
      <c r="B1964" s="1" t="s">
        <v>3194</v>
      </c>
      <c r="C1964" s="1" t="s">
        <v>3197</v>
      </c>
      <c r="D1964" s="1" t="s">
        <v>3198</v>
      </c>
      <c r="E1964" s="1" t="s">
        <v>3197</v>
      </c>
      <c r="F1964" s="1" t="s">
        <v>3198</v>
      </c>
      <c r="G1964" s="1" t="s">
        <v>3199</v>
      </c>
      <c r="H1964" s="1" t="s">
        <v>3198</v>
      </c>
      <c r="I1964" s="1" t="s">
        <v>16623</v>
      </c>
      <c r="J1964" s="1" t="s">
        <v>16624</v>
      </c>
      <c r="K1964" s="1">
        <v>4</v>
      </c>
      <c r="L1964" s="1" t="s">
        <v>4342</v>
      </c>
      <c r="M1964" s="1">
        <v>5</v>
      </c>
      <c r="N1964" s="1" t="s">
        <v>4342</v>
      </c>
    </row>
    <row r="1965" spans="1:14" x14ac:dyDescent="0.15">
      <c r="A1965" s="1">
        <v>232</v>
      </c>
      <c r="B1965" s="1" t="s">
        <v>3194</v>
      </c>
      <c r="C1965" s="1" t="s">
        <v>3197</v>
      </c>
      <c r="D1965" s="1" t="s">
        <v>3198</v>
      </c>
      <c r="E1965" s="1" t="s">
        <v>3197</v>
      </c>
      <c r="F1965" s="1" t="s">
        <v>3198</v>
      </c>
      <c r="G1965" s="1" t="s">
        <v>3199</v>
      </c>
      <c r="H1965" s="1" t="s">
        <v>3198</v>
      </c>
      <c r="I1965" s="1" t="s">
        <v>16627</v>
      </c>
      <c r="J1965" s="1" t="s">
        <v>6952</v>
      </c>
      <c r="K1965" s="1">
        <v>4</v>
      </c>
      <c r="L1965" s="1" t="s">
        <v>4342</v>
      </c>
      <c r="M1965" s="1">
        <v>5</v>
      </c>
      <c r="N1965" s="1" t="s">
        <v>4342</v>
      </c>
    </row>
    <row r="1966" spans="1:14" x14ac:dyDescent="0.15">
      <c r="A1966" s="1">
        <v>232</v>
      </c>
      <c r="B1966" s="1" t="s">
        <v>3194</v>
      </c>
      <c r="C1966" s="1" t="s">
        <v>3197</v>
      </c>
      <c r="D1966" s="1" t="s">
        <v>3198</v>
      </c>
      <c r="E1966" s="1" t="s">
        <v>3197</v>
      </c>
      <c r="F1966" s="1" t="s">
        <v>3198</v>
      </c>
      <c r="G1966" s="1" t="s">
        <v>3199</v>
      </c>
      <c r="H1966" s="1" t="s">
        <v>3198</v>
      </c>
      <c r="I1966" s="1" t="s">
        <v>16631</v>
      </c>
      <c r="J1966" s="1" t="s">
        <v>16632</v>
      </c>
      <c r="K1966" s="1">
        <v>4</v>
      </c>
      <c r="L1966" s="1" t="s">
        <v>4342</v>
      </c>
      <c r="M1966" s="1">
        <v>5</v>
      </c>
      <c r="N1966" s="1" t="s">
        <v>4342</v>
      </c>
    </row>
    <row r="1967" spans="1:14" x14ac:dyDescent="0.15">
      <c r="A1967" s="1">
        <v>232</v>
      </c>
      <c r="B1967" s="1" t="s">
        <v>3194</v>
      </c>
      <c r="C1967" s="1" t="s">
        <v>3197</v>
      </c>
      <c r="D1967" s="1" t="s">
        <v>3198</v>
      </c>
      <c r="E1967" s="1" t="s">
        <v>3197</v>
      </c>
      <c r="F1967" s="1" t="s">
        <v>3198</v>
      </c>
      <c r="G1967" s="1" t="s">
        <v>3199</v>
      </c>
      <c r="H1967" s="1" t="s">
        <v>3198</v>
      </c>
      <c r="I1967" s="1" t="s">
        <v>16635</v>
      </c>
      <c r="J1967" s="1" t="s">
        <v>16636</v>
      </c>
      <c r="K1967" s="1">
        <v>4</v>
      </c>
      <c r="L1967" s="1" t="s">
        <v>4342</v>
      </c>
      <c r="M1967" s="1">
        <v>5</v>
      </c>
      <c r="N1967" s="1" t="s">
        <v>4342</v>
      </c>
    </row>
    <row r="1968" spans="1:14" x14ac:dyDescent="0.15">
      <c r="A1968" s="1">
        <v>232</v>
      </c>
      <c r="B1968" s="1" t="s">
        <v>3194</v>
      </c>
      <c r="C1968" s="1" t="s">
        <v>3197</v>
      </c>
      <c r="D1968" s="1" t="s">
        <v>3198</v>
      </c>
      <c r="E1968" s="1" t="s">
        <v>3197</v>
      </c>
      <c r="F1968" s="1" t="s">
        <v>3198</v>
      </c>
      <c r="G1968" s="1" t="s">
        <v>3199</v>
      </c>
      <c r="H1968" s="1" t="s">
        <v>3198</v>
      </c>
      <c r="I1968" s="1" t="s">
        <v>16639</v>
      </c>
      <c r="J1968" s="1" t="s">
        <v>16640</v>
      </c>
      <c r="K1968" s="1">
        <v>4</v>
      </c>
      <c r="L1968" s="1" t="s">
        <v>4342</v>
      </c>
      <c r="M1968" s="1">
        <v>5</v>
      </c>
      <c r="N1968" s="1" t="s">
        <v>4342</v>
      </c>
    </row>
    <row r="1969" spans="1:14" x14ac:dyDescent="0.15">
      <c r="A1969" s="1">
        <v>232</v>
      </c>
      <c r="B1969" s="1" t="s">
        <v>3194</v>
      </c>
      <c r="C1969" s="1" t="s">
        <v>3197</v>
      </c>
      <c r="D1969" s="1" t="s">
        <v>3198</v>
      </c>
      <c r="E1969" s="1" t="s">
        <v>3197</v>
      </c>
      <c r="F1969" s="1" t="s">
        <v>3198</v>
      </c>
      <c r="G1969" s="1" t="s">
        <v>3199</v>
      </c>
      <c r="H1969" s="1" t="s">
        <v>3198</v>
      </c>
      <c r="I1969" s="1" t="s">
        <v>16643</v>
      </c>
      <c r="J1969" s="1" t="s">
        <v>16644</v>
      </c>
      <c r="K1969" s="1">
        <v>4</v>
      </c>
      <c r="L1969" s="1" t="s">
        <v>4342</v>
      </c>
      <c r="M1969" s="1">
        <v>5</v>
      </c>
      <c r="N1969" s="1" t="s">
        <v>4342</v>
      </c>
    </row>
    <row r="1970" spans="1:14" x14ac:dyDescent="0.15">
      <c r="A1970" s="1">
        <v>232</v>
      </c>
      <c r="B1970" s="1" t="s">
        <v>3194</v>
      </c>
      <c r="C1970" s="1" t="s">
        <v>3197</v>
      </c>
      <c r="D1970" s="1" t="s">
        <v>3198</v>
      </c>
      <c r="E1970" s="1" t="s">
        <v>3197</v>
      </c>
      <c r="F1970" s="1" t="s">
        <v>3198</v>
      </c>
      <c r="G1970" s="1" t="s">
        <v>3199</v>
      </c>
      <c r="H1970" s="1" t="s">
        <v>3198</v>
      </c>
      <c r="I1970" s="1" t="s">
        <v>10743</v>
      </c>
      <c r="J1970" s="1" t="s">
        <v>2970</v>
      </c>
      <c r="K1970" s="1">
        <v>4</v>
      </c>
      <c r="L1970" s="1" t="s">
        <v>4342</v>
      </c>
      <c r="M1970" s="1">
        <v>5</v>
      </c>
      <c r="N1970" s="1" t="s">
        <v>4342</v>
      </c>
    </row>
    <row r="1971" spans="1:14" x14ac:dyDescent="0.15">
      <c r="A1971" s="1">
        <v>232</v>
      </c>
      <c r="B1971" s="1" t="s">
        <v>3194</v>
      </c>
      <c r="C1971" s="1" t="s">
        <v>3197</v>
      </c>
      <c r="D1971" s="1" t="s">
        <v>3198</v>
      </c>
      <c r="E1971" s="1" t="s">
        <v>3197</v>
      </c>
      <c r="F1971" s="1" t="s">
        <v>3198</v>
      </c>
      <c r="G1971" s="1" t="s">
        <v>3199</v>
      </c>
      <c r="H1971" s="1" t="s">
        <v>3198</v>
      </c>
      <c r="I1971" s="1" t="s">
        <v>10747</v>
      </c>
      <c r="J1971" s="1" t="s">
        <v>3073</v>
      </c>
      <c r="K1971" s="1">
        <v>4</v>
      </c>
      <c r="L1971" s="1" t="s">
        <v>4342</v>
      </c>
      <c r="M1971" s="1">
        <v>5</v>
      </c>
      <c r="N1971" s="1" t="s">
        <v>4342</v>
      </c>
    </row>
    <row r="1972" spans="1:14" x14ac:dyDescent="0.15">
      <c r="A1972" s="1">
        <v>232</v>
      </c>
      <c r="B1972" s="1" t="s">
        <v>3194</v>
      </c>
      <c r="C1972" s="1" t="s">
        <v>3197</v>
      </c>
      <c r="D1972" s="1" t="s">
        <v>3198</v>
      </c>
      <c r="E1972" s="1" t="s">
        <v>3197</v>
      </c>
      <c r="F1972" s="1" t="s">
        <v>3198</v>
      </c>
      <c r="G1972" s="1" t="s">
        <v>3199</v>
      </c>
      <c r="H1972" s="1" t="s">
        <v>3198</v>
      </c>
      <c r="I1972" s="1" t="s">
        <v>16647</v>
      </c>
      <c r="J1972" s="1" t="s">
        <v>2901</v>
      </c>
      <c r="K1972" s="1">
        <v>4</v>
      </c>
      <c r="L1972" s="1" t="s">
        <v>4342</v>
      </c>
      <c r="M1972" s="1">
        <v>5</v>
      </c>
      <c r="N1972" s="1" t="s">
        <v>4342</v>
      </c>
    </row>
    <row r="1973" spans="1:14" x14ac:dyDescent="0.15">
      <c r="A1973" s="1">
        <v>232</v>
      </c>
      <c r="B1973" s="1" t="s">
        <v>3194</v>
      </c>
      <c r="C1973" s="1" t="s">
        <v>3201</v>
      </c>
      <c r="D1973" s="1" t="s">
        <v>3202</v>
      </c>
      <c r="E1973" s="1" t="s">
        <v>3201</v>
      </c>
      <c r="F1973" s="1" t="s">
        <v>3202</v>
      </c>
      <c r="G1973" s="1" t="s">
        <v>3203</v>
      </c>
      <c r="H1973" s="1" t="s">
        <v>3202</v>
      </c>
      <c r="I1973" s="1" t="s">
        <v>16559</v>
      </c>
      <c r="J1973" s="1" t="s">
        <v>6942</v>
      </c>
      <c r="K1973" s="1">
        <v>4</v>
      </c>
      <c r="L1973" s="1" t="s">
        <v>4342</v>
      </c>
      <c r="M1973" s="1">
        <v>5</v>
      </c>
      <c r="N1973" s="1" t="s">
        <v>4342</v>
      </c>
    </row>
    <row r="1974" spans="1:14" x14ac:dyDescent="0.15">
      <c r="A1974" s="1">
        <v>233</v>
      </c>
      <c r="B1974" s="1" t="s">
        <v>3204</v>
      </c>
      <c r="C1974" s="1" t="s">
        <v>3205</v>
      </c>
      <c r="D1974" s="1" t="s">
        <v>3204</v>
      </c>
      <c r="E1974" s="1" t="s">
        <v>3205</v>
      </c>
      <c r="F1974" s="1" t="s">
        <v>3204</v>
      </c>
      <c r="G1974" s="1" t="s">
        <v>3206</v>
      </c>
      <c r="H1974" s="1" t="s">
        <v>3204</v>
      </c>
      <c r="I1974" s="1" t="s">
        <v>11879</v>
      </c>
      <c r="J1974" s="1" t="s">
        <v>4278</v>
      </c>
      <c r="K1974" s="1">
        <v>4</v>
      </c>
      <c r="L1974" s="1" t="s">
        <v>4342</v>
      </c>
      <c r="M1974" s="1">
        <v>5</v>
      </c>
      <c r="N1974" s="1" t="s">
        <v>4342</v>
      </c>
    </row>
    <row r="1975" spans="1:14" x14ac:dyDescent="0.15">
      <c r="A1975" s="1">
        <v>233</v>
      </c>
      <c r="B1975" s="1" t="s">
        <v>3204</v>
      </c>
      <c r="C1975" s="1" t="s">
        <v>3207</v>
      </c>
      <c r="D1975" s="1" t="s">
        <v>3208</v>
      </c>
      <c r="E1975" s="1" t="s">
        <v>3207</v>
      </c>
      <c r="F1975" s="1" t="s">
        <v>3208</v>
      </c>
      <c r="G1975" s="1" t="s">
        <v>3209</v>
      </c>
      <c r="H1975" s="1" t="s">
        <v>3208</v>
      </c>
      <c r="I1975" s="1" t="s">
        <v>17026</v>
      </c>
      <c r="J1975" s="1" t="s">
        <v>17027</v>
      </c>
      <c r="K1975" s="1">
        <v>4</v>
      </c>
      <c r="L1975" s="1" t="s">
        <v>4342</v>
      </c>
      <c r="M1975" s="1">
        <v>5</v>
      </c>
      <c r="N1975" s="1" t="s">
        <v>4342</v>
      </c>
    </row>
    <row r="1976" spans="1:14" x14ac:dyDescent="0.15">
      <c r="A1976" s="1">
        <v>233</v>
      </c>
      <c r="B1976" s="1" t="s">
        <v>3204</v>
      </c>
      <c r="C1976" s="1" t="s">
        <v>3207</v>
      </c>
      <c r="D1976" s="1" t="s">
        <v>3208</v>
      </c>
      <c r="E1976" s="1" t="s">
        <v>3207</v>
      </c>
      <c r="F1976" s="1" t="s">
        <v>3208</v>
      </c>
      <c r="G1976" s="1" t="s">
        <v>3209</v>
      </c>
      <c r="H1976" s="1" t="s">
        <v>3208</v>
      </c>
      <c r="I1976" s="1" t="s">
        <v>17030</v>
      </c>
      <c r="J1976" s="1" t="s">
        <v>3210</v>
      </c>
      <c r="K1976" s="1">
        <v>4</v>
      </c>
      <c r="L1976" s="1" t="s">
        <v>4342</v>
      </c>
      <c r="M1976" s="1">
        <v>5</v>
      </c>
      <c r="N1976" s="1" t="s">
        <v>4342</v>
      </c>
    </row>
    <row r="1977" spans="1:14" x14ac:dyDescent="0.15">
      <c r="A1977" s="1">
        <v>233</v>
      </c>
      <c r="B1977" s="1" t="s">
        <v>3204</v>
      </c>
      <c r="C1977" s="1" t="s">
        <v>3207</v>
      </c>
      <c r="D1977" s="1" t="s">
        <v>3208</v>
      </c>
      <c r="E1977" s="1" t="s">
        <v>3207</v>
      </c>
      <c r="F1977" s="1" t="s">
        <v>3208</v>
      </c>
      <c r="G1977" s="1" t="s">
        <v>3209</v>
      </c>
      <c r="H1977" s="1" t="s">
        <v>3208</v>
      </c>
      <c r="I1977" s="1" t="s">
        <v>17038</v>
      </c>
      <c r="J1977" s="1" t="s">
        <v>6909</v>
      </c>
      <c r="K1977" s="1">
        <v>4</v>
      </c>
      <c r="L1977" s="1" t="s">
        <v>4342</v>
      </c>
      <c r="M1977" s="1">
        <v>5</v>
      </c>
      <c r="N1977" s="1" t="s">
        <v>4342</v>
      </c>
    </row>
    <row r="1978" spans="1:14" x14ac:dyDescent="0.15">
      <c r="A1978" s="1">
        <v>233</v>
      </c>
      <c r="B1978" s="1" t="s">
        <v>3204</v>
      </c>
      <c r="C1978" s="1" t="s">
        <v>3207</v>
      </c>
      <c r="D1978" s="1" t="s">
        <v>3208</v>
      </c>
      <c r="E1978" s="1" t="s">
        <v>3207</v>
      </c>
      <c r="F1978" s="1" t="s">
        <v>3208</v>
      </c>
      <c r="G1978" s="1" t="s">
        <v>3209</v>
      </c>
      <c r="H1978" s="1" t="s">
        <v>3208</v>
      </c>
      <c r="I1978" s="1" t="s">
        <v>17042</v>
      </c>
      <c r="J1978" s="1" t="s">
        <v>6910</v>
      </c>
      <c r="K1978" s="1">
        <v>4</v>
      </c>
      <c r="L1978" s="1" t="s">
        <v>4342</v>
      </c>
      <c r="M1978" s="1">
        <v>5</v>
      </c>
      <c r="N1978" s="1" t="s">
        <v>4342</v>
      </c>
    </row>
    <row r="1979" spans="1:14" x14ac:dyDescent="0.15">
      <c r="A1979" s="1">
        <v>233</v>
      </c>
      <c r="B1979" s="1" t="s">
        <v>3204</v>
      </c>
      <c r="C1979" s="1" t="s">
        <v>3207</v>
      </c>
      <c r="D1979" s="1" t="s">
        <v>3208</v>
      </c>
      <c r="E1979" s="1" t="s">
        <v>3207</v>
      </c>
      <c r="F1979" s="1" t="s">
        <v>3208</v>
      </c>
      <c r="G1979" s="1" t="s">
        <v>3209</v>
      </c>
      <c r="H1979" s="1" t="s">
        <v>3208</v>
      </c>
      <c r="I1979" s="1" t="s">
        <v>17046</v>
      </c>
      <c r="J1979" s="1" t="s">
        <v>6911</v>
      </c>
      <c r="K1979" s="1">
        <v>4</v>
      </c>
      <c r="L1979" s="1" t="s">
        <v>4342</v>
      </c>
      <c r="M1979" s="1">
        <v>5</v>
      </c>
      <c r="N1979" s="1" t="s">
        <v>4342</v>
      </c>
    </row>
    <row r="1980" spans="1:14" x14ac:dyDescent="0.15">
      <c r="A1980" s="1">
        <v>233</v>
      </c>
      <c r="B1980" s="1" t="s">
        <v>3204</v>
      </c>
      <c r="C1980" s="1" t="s">
        <v>3207</v>
      </c>
      <c r="D1980" s="1" t="s">
        <v>3208</v>
      </c>
      <c r="E1980" s="1" t="s">
        <v>3207</v>
      </c>
      <c r="F1980" s="1" t="s">
        <v>3208</v>
      </c>
      <c r="G1980" s="1" t="s">
        <v>3209</v>
      </c>
      <c r="H1980" s="1" t="s">
        <v>3208</v>
      </c>
      <c r="I1980" s="1" t="s">
        <v>17050</v>
      </c>
      <c r="J1980" s="1" t="s">
        <v>3211</v>
      </c>
      <c r="K1980" s="1">
        <v>4</v>
      </c>
      <c r="L1980" s="1" t="s">
        <v>4342</v>
      </c>
      <c r="M1980" s="1">
        <v>5</v>
      </c>
      <c r="N1980" s="1" t="s">
        <v>4342</v>
      </c>
    </row>
    <row r="1981" spans="1:14" x14ac:dyDescent="0.15">
      <c r="A1981" s="1">
        <v>233</v>
      </c>
      <c r="B1981" s="1" t="s">
        <v>3204</v>
      </c>
      <c r="C1981" s="1" t="s">
        <v>3207</v>
      </c>
      <c r="D1981" s="1" t="s">
        <v>3208</v>
      </c>
      <c r="E1981" s="1" t="s">
        <v>3207</v>
      </c>
      <c r="F1981" s="1" t="s">
        <v>3208</v>
      </c>
      <c r="G1981" s="1" t="s">
        <v>3209</v>
      </c>
      <c r="H1981" s="1" t="s">
        <v>3208</v>
      </c>
      <c r="I1981" s="1" t="s">
        <v>17054</v>
      </c>
      <c r="J1981" s="1" t="s">
        <v>6914</v>
      </c>
      <c r="K1981" s="1">
        <v>4</v>
      </c>
      <c r="L1981" s="1" t="s">
        <v>4342</v>
      </c>
      <c r="M1981" s="1">
        <v>5</v>
      </c>
      <c r="N1981" s="1" t="s">
        <v>4342</v>
      </c>
    </row>
    <row r="1982" spans="1:14" x14ac:dyDescent="0.15">
      <c r="A1982" s="1">
        <v>233</v>
      </c>
      <c r="B1982" s="1" t="s">
        <v>3204</v>
      </c>
      <c r="C1982" s="1" t="s">
        <v>3207</v>
      </c>
      <c r="D1982" s="1" t="s">
        <v>3208</v>
      </c>
      <c r="E1982" s="1" t="s">
        <v>3207</v>
      </c>
      <c r="F1982" s="1" t="s">
        <v>3208</v>
      </c>
      <c r="G1982" s="1" t="s">
        <v>3209</v>
      </c>
      <c r="H1982" s="1" t="s">
        <v>3208</v>
      </c>
      <c r="I1982" s="1" t="s">
        <v>17058</v>
      </c>
      <c r="J1982" s="1" t="s">
        <v>6915</v>
      </c>
      <c r="K1982" s="1">
        <v>4</v>
      </c>
      <c r="L1982" s="1" t="s">
        <v>4342</v>
      </c>
      <c r="M1982" s="1">
        <v>5</v>
      </c>
      <c r="N1982" s="1" t="s">
        <v>4342</v>
      </c>
    </row>
    <row r="1983" spans="1:14" x14ac:dyDescent="0.15">
      <c r="A1983" s="1">
        <v>233</v>
      </c>
      <c r="B1983" s="1" t="s">
        <v>3204</v>
      </c>
      <c r="C1983" s="1" t="s">
        <v>3207</v>
      </c>
      <c r="D1983" s="1" t="s">
        <v>3208</v>
      </c>
      <c r="E1983" s="1" t="s">
        <v>3207</v>
      </c>
      <c r="F1983" s="1" t="s">
        <v>3208</v>
      </c>
      <c r="G1983" s="1" t="s">
        <v>3209</v>
      </c>
      <c r="H1983" s="1" t="s">
        <v>3208</v>
      </c>
      <c r="I1983" s="1" t="s">
        <v>17062</v>
      </c>
      <c r="J1983" s="1" t="s">
        <v>3212</v>
      </c>
      <c r="K1983" s="1">
        <v>4</v>
      </c>
      <c r="L1983" s="1" t="s">
        <v>4342</v>
      </c>
      <c r="M1983" s="1">
        <v>5</v>
      </c>
      <c r="N1983" s="1" t="s">
        <v>4342</v>
      </c>
    </row>
    <row r="1984" spans="1:14" x14ac:dyDescent="0.15">
      <c r="A1984" s="1">
        <v>233</v>
      </c>
      <c r="B1984" s="1" t="s">
        <v>3204</v>
      </c>
      <c r="C1984" s="1" t="s">
        <v>3207</v>
      </c>
      <c r="D1984" s="1" t="s">
        <v>3208</v>
      </c>
      <c r="E1984" s="1" t="s">
        <v>3207</v>
      </c>
      <c r="F1984" s="1" t="s">
        <v>3208</v>
      </c>
      <c r="G1984" s="1" t="s">
        <v>3209</v>
      </c>
      <c r="H1984" s="1" t="s">
        <v>3208</v>
      </c>
      <c r="I1984" s="1" t="s">
        <v>17066</v>
      </c>
      <c r="J1984" s="1" t="s">
        <v>6916</v>
      </c>
      <c r="K1984" s="1">
        <v>4</v>
      </c>
      <c r="L1984" s="1" t="s">
        <v>4342</v>
      </c>
      <c r="M1984" s="1">
        <v>5</v>
      </c>
      <c r="N1984" s="1" t="s">
        <v>4342</v>
      </c>
    </row>
    <row r="1985" spans="1:14" x14ac:dyDescent="0.15">
      <c r="A1985" s="1">
        <v>233</v>
      </c>
      <c r="B1985" s="1" t="s">
        <v>3204</v>
      </c>
      <c r="C1985" s="1" t="s">
        <v>3207</v>
      </c>
      <c r="D1985" s="1" t="s">
        <v>3208</v>
      </c>
      <c r="E1985" s="1" t="s">
        <v>3207</v>
      </c>
      <c r="F1985" s="1" t="s">
        <v>3208</v>
      </c>
      <c r="G1985" s="1" t="s">
        <v>3209</v>
      </c>
      <c r="H1985" s="1" t="s">
        <v>3208</v>
      </c>
      <c r="I1985" s="1" t="s">
        <v>10530</v>
      </c>
      <c r="J1985" s="1" t="s">
        <v>3213</v>
      </c>
      <c r="K1985" s="1">
        <v>4</v>
      </c>
      <c r="L1985" s="1" t="s">
        <v>4342</v>
      </c>
      <c r="M1985" s="1">
        <v>5</v>
      </c>
      <c r="N1985" s="1" t="s">
        <v>4342</v>
      </c>
    </row>
    <row r="1986" spans="1:14" x14ac:dyDescent="0.15">
      <c r="A1986" s="1">
        <v>233</v>
      </c>
      <c r="B1986" s="1" t="s">
        <v>3204</v>
      </c>
      <c r="C1986" s="1" t="s">
        <v>3207</v>
      </c>
      <c r="D1986" s="1" t="s">
        <v>3208</v>
      </c>
      <c r="E1986" s="1" t="s">
        <v>3207</v>
      </c>
      <c r="F1986" s="1" t="s">
        <v>3208</v>
      </c>
      <c r="G1986" s="1" t="s">
        <v>3209</v>
      </c>
      <c r="H1986" s="1" t="s">
        <v>3208</v>
      </c>
      <c r="I1986" s="1" t="s">
        <v>17070</v>
      </c>
      <c r="J1986" s="1" t="s">
        <v>3214</v>
      </c>
      <c r="K1986" s="1">
        <v>4</v>
      </c>
      <c r="L1986" s="1" t="s">
        <v>4342</v>
      </c>
      <c r="M1986" s="1">
        <v>5</v>
      </c>
      <c r="N1986" s="1" t="s">
        <v>4342</v>
      </c>
    </row>
    <row r="1987" spans="1:14" x14ac:dyDescent="0.15">
      <c r="A1987" s="1">
        <v>233</v>
      </c>
      <c r="B1987" s="1" t="s">
        <v>3204</v>
      </c>
      <c r="C1987" s="1" t="s">
        <v>3215</v>
      </c>
      <c r="D1987" s="1" t="s">
        <v>3216</v>
      </c>
      <c r="E1987" s="1" t="s">
        <v>3215</v>
      </c>
      <c r="F1987" s="1" t="s">
        <v>3216</v>
      </c>
      <c r="G1987" s="1" t="s">
        <v>3217</v>
      </c>
      <c r="H1987" s="1" t="s">
        <v>3216</v>
      </c>
      <c r="I1987" s="1" t="s">
        <v>17026</v>
      </c>
      <c r="J1987" s="1" t="s">
        <v>17027</v>
      </c>
      <c r="K1987" s="1">
        <v>4</v>
      </c>
      <c r="L1987" s="1" t="s">
        <v>4342</v>
      </c>
      <c r="M1987" s="1">
        <v>5</v>
      </c>
      <c r="N1987" s="1" t="s">
        <v>4342</v>
      </c>
    </row>
    <row r="1988" spans="1:14" x14ac:dyDescent="0.15">
      <c r="A1988" s="1">
        <v>233</v>
      </c>
      <c r="B1988" s="1" t="s">
        <v>3204</v>
      </c>
      <c r="C1988" s="1" t="s">
        <v>3218</v>
      </c>
      <c r="D1988" s="1" t="s">
        <v>3219</v>
      </c>
      <c r="E1988" s="1" t="s">
        <v>3218</v>
      </c>
      <c r="F1988" s="1" t="s">
        <v>3219</v>
      </c>
      <c r="G1988" s="1" t="s">
        <v>3220</v>
      </c>
      <c r="H1988" s="1" t="s">
        <v>3219</v>
      </c>
      <c r="I1988" s="1" t="s">
        <v>17026</v>
      </c>
      <c r="J1988" s="1" t="s">
        <v>17027</v>
      </c>
      <c r="K1988" s="1">
        <v>4</v>
      </c>
      <c r="L1988" s="1" t="s">
        <v>4342</v>
      </c>
      <c r="M1988" s="1">
        <v>5</v>
      </c>
      <c r="N1988" s="1" t="s">
        <v>4342</v>
      </c>
    </row>
    <row r="1989" spans="1:14" x14ac:dyDescent="0.15">
      <c r="A1989" s="1">
        <v>233</v>
      </c>
      <c r="B1989" s="1" t="s">
        <v>3204</v>
      </c>
      <c r="C1989" s="1" t="s">
        <v>3221</v>
      </c>
      <c r="D1989" s="1" t="s">
        <v>3222</v>
      </c>
      <c r="E1989" s="1" t="s">
        <v>3221</v>
      </c>
      <c r="F1989" s="1" t="s">
        <v>3222</v>
      </c>
      <c r="G1989" s="1" t="s">
        <v>3223</v>
      </c>
      <c r="H1989" s="1" t="s">
        <v>3222</v>
      </c>
      <c r="I1989" s="1" t="s">
        <v>11879</v>
      </c>
      <c r="J1989" s="1" t="s">
        <v>4278</v>
      </c>
      <c r="K1989" s="1">
        <v>4</v>
      </c>
      <c r="L1989" s="1" t="s">
        <v>4342</v>
      </c>
      <c r="M1989" s="1">
        <v>5</v>
      </c>
      <c r="N1989" s="1" t="s">
        <v>4342</v>
      </c>
    </row>
    <row r="1990" spans="1:14" x14ac:dyDescent="0.15">
      <c r="A1990" s="1">
        <v>233</v>
      </c>
      <c r="B1990" s="1" t="s">
        <v>3204</v>
      </c>
      <c r="C1990" s="1" t="s">
        <v>3224</v>
      </c>
      <c r="D1990" s="1" t="s">
        <v>3225</v>
      </c>
      <c r="E1990" s="1" t="s">
        <v>3224</v>
      </c>
      <c r="F1990" s="1" t="s">
        <v>3225</v>
      </c>
      <c r="G1990" s="1" t="s">
        <v>3226</v>
      </c>
      <c r="H1990" s="1" t="s">
        <v>3225</v>
      </c>
      <c r="I1990" s="1" t="s">
        <v>16928</v>
      </c>
      <c r="J1990" s="1" t="s">
        <v>3227</v>
      </c>
      <c r="K1990" s="1">
        <v>4</v>
      </c>
      <c r="L1990" s="1" t="s">
        <v>4342</v>
      </c>
      <c r="M1990" s="1">
        <v>5</v>
      </c>
      <c r="N1990" s="1" t="s">
        <v>4342</v>
      </c>
    </row>
    <row r="1991" spans="1:14" x14ac:dyDescent="0.15">
      <c r="A1991" s="1">
        <v>233</v>
      </c>
      <c r="B1991" s="1" t="s">
        <v>3204</v>
      </c>
      <c r="C1991" s="1" t="s">
        <v>3224</v>
      </c>
      <c r="D1991" s="1" t="s">
        <v>3225</v>
      </c>
      <c r="E1991" s="1" t="s">
        <v>3224</v>
      </c>
      <c r="F1991" s="1" t="s">
        <v>3225</v>
      </c>
      <c r="G1991" s="1" t="s">
        <v>3226</v>
      </c>
      <c r="H1991" s="1" t="s">
        <v>3225</v>
      </c>
      <c r="I1991" s="1" t="s">
        <v>10934</v>
      </c>
      <c r="J1991" s="1" t="s">
        <v>3228</v>
      </c>
      <c r="K1991" s="1">
        <v>4</v>
      </c>
      <c r="L1991" s="1" t="s">
        <v>4342</v>
      </c>
      <c r="M1991" s="1">
        <v>5</v>
      </c>
      <c r="N1991" s="1" t="s">
        <v>4342</v>
      </c>
    </row>
    <row r="1992" spans="1:14" x14ac:dyDescent="0.15">
      <c r="A1992" s="1">
        <v>233</v>
      </c>
      <c r="B1992" s="1" t="s">
        <v>3204</v>
      </c>
      <c r="C1992" s="1" t="s">
        <v>3224</v>
      </c>
      <c r="D1992" s="1" t="s">
        <v>3225</v>
      </c>
      <c r="E1992" s="1" t="s">
        <v>3224</v>
      </c>
      <c r="F1992" s="1" t="s">
        <v>3225</v>
      </c>
      <c r="G1992" s="1" t="s">
        <v>3226</v>
      </c>
      <c r="H1992" s="1" t="s">
        <v>3225</v>
      </c>
      <c r="I1992" s="1" t="s">
        <v>16495</v>
      </c>
      <c r="J1992" s="1" t="s">
        <v>3229</v>
      </c>
      <c r="K1992" s="1">
        <v>4</v>
      </c>
      <c r="L1992" s="1" t="s">
        <v>4342</v>
      </c>
      <c r="M1992" s="1">
        <v>5</v>
      </c>
      <c r="N1992" s="1" t="s">
        <v>4342</v>
      </c>
    </row>
    <row r="1993" spans="1:14" x14ac:dyDescent="0.15">
      <c r="A1993" s="1">
        <v>233</v>
      </c>
      <c r="B1993" s="1" t="s">
        <v>3204</v>
      </c>
      <c r="C1993" s="1" t="s">
        <v>3224</v>
      </c>
      <c r="D1993" s="1" t="s">
        <v>3225</v>
      </c>
      <c r="E1993" s="1" t="s">
        <v>3224</v>
      </c>
      <c r="F1993" s="1" t="s">
        <v>3225</v>
      </c>
      <c r="G1993" s="1" t="s">
        <v>3226</v>
      </c>
      <c r="H1993" s="1" t="s">
        <v>3225</v>
      </c>
      <c r="I1993" s="1" t="s">
        <v>16655</v>
      </c>
      <c r="J1993" s="1" t="s">
        <v>6961</v>
      </c>
      <c r="K1993" s="1">
        <v>4</v>
      </c>
      <c r="L1993" s="1" t="s">
        <v>4342</v>
      </c>
      <c r="M1993" s="1">
        <v>5</v>
      </c>
      <c r="N1993" s="1" t="s">
        <v>4342</v>
      </c>
    </row>
    <row r="1994" spans="1:14" x14ac:dyDescent="0.15">
      <c r="A1994" s="1">
        <v>233</v>
      </c>
      <c r="B1994" s="1" t="s">
        <v>3204</v>
      </c>
      <c r="C1994" s="1" t="s">
        <v>3224</v>
      </c>
      <c r="D1994" s="1" t="s">
        <v>3225</v>
      </c>
      <c r="E1994" s="1" t="s">
        <v>3224</v>
      </c>
      <c r="F1994" s="1" t="s">
        <v>3225</v>
      </c>
      <c r="G1994" s="1" t="s">
        <v>3226</v>
      </c>
      <c r="H1994" s="1" t="s">
        <v>3225</v>
      </c>
      <c r="I1994" s="1" t="s">
        <v>10772</v>
      </c>
      <c r="J1994" s="1" t="s">
        <v>3230</v>
      </c>
      <c r="K1994" s="1">
        <v>4</v>
      </c>
      <c r="L1994" s="1" t="s">
        <v>4342</v>
      </c>
      <c r="M1994" s="1">
        <v>5</v>
      </c>
      <c r="N1994" s="1" t="s">
        <v>4342</v>
      </c>
    </row>
    <row r="1995" spans="1:14" x14ac:dyDescent="0.15">
      <c r="A1995" s="1">
        <v>233</v>
      </c>
      <c r="B1995" s="1" t="s">
        <v>3204</v>
      </c>
      <c r="C1995" s="1" t="s">
        <v>3231</v>
      </c>
      <c r="D1995" s="1" t="s">
        <v>3232</v>
      </c>
      <c r="E1995" s="1" t="s">
        <v>3231</v>
      </c>
      <c r="F1995" s="1" t="s">
        <v>3232</v>
      </c>
      <c r="G1995" s="1" t="s">
        <v>3233</v>
      </c>
      <c r="H1995" s="1" t="s">
        <v>3232</v>
      </c>
      <c r="I1995" s="1" t="s">
        <v>16495</v>
      </c>
      <c r="J1995" s="1" t="s">
        <v>3229</v>
      </c>
      <c r="K1995" s="1">
        <v>4</v>
      </c>
      <c r="L1995" s="1" t="s">
        <v>4342</v>
      </c>
      <c r="M1995" s="1">
        <v>5</v>
      </c>
      <c r="N1995" s="1" t="s">
        <v>4342</v>
      </c>
    </row>
    <row r="1996" spans="1:14" x14ac:dyDescent="0.15">
      <c r="A1996" s="1">
        <v>233</v>
      </c>
      <c r="B1996" s="1" t="s">
        <v>3204</v>
      </c>
      <c r="C1996" s="1" t="s">
        <v>3234</v>
      </c>
      <c r="D1996" s="1" t="s">
        <v>3235</v>
      </c>
      <c r="E1996" s="1" t="s">
        <v>3234</v>
      </c>
      <c r="F1996" s="1" t="s">
        <v>3235</v>
      </c>
      <c r="G1996" s="1" t="s">
        <v>3236</v>
      </c>
      <c r="H1996" s="1" t="s">
        <v>3235</v>
      </c>
      <c r="I1996" s="1" t="s">
        <v>10934</v>
      </c>
      <c r="J1996" s="1" t="s">
        <v>3228</v>
      </c>
      <c r="K1996" s="1">
        <v>4</v>
      </c>
      <c r="L1996" s="1" t="s">
        <v>4342</v>
      </c>
      <c r="M1996" s="1">
        <v>5</v>
      </c>
      <c r="N1996" s="1" t="s">
        <v>4342</v>
      </c>
    </row>
    <row r="1997" spans="1:14" x14ac:dyDescent="0.15">
      <c r="A1997" s="1">
        <v>233</v>
      </c>
      <c r="B1997" s="1" t="s">
        <v>3204</v>
      </c>
      <c r="C1997" s="1" t="s">
        <v>3234</v>
      </c>
      <c r="D1997" s="1" t="s">
        <v>3235</v>
      </c>
      <c r="E1997" s="1" t="s">
        <v>3234</v>
      </c>
      <c r="F1997" s="1" t="s">
        <v>3235</v>
      </c>
      <c r="G1997" s="1" t="s">
        <v>3236</v>
      </c>
      <c r="H1997" s="1" t="s">
        <v>3235</v>
      </c>
      <c r="I1997" s="1" t="s">
        <v>16519</v>
      </c>
      <c r="J1997" s="1" t="s">
        <v>3237</v>
      </c>
      <c r="K1997" s="1">
        <v>4</v>
      </c>
      <c r="L1997" s="1" t="s">
        <v>4342</v>
      </c>
      <c r="M1997" s="1">
        <v>5</v>
      </c>
      <c r="N1997" s="1" t="s">
        <v>4342</v>
      </c>
    </row>
    <row r="1998" spans="1:14" x14ac:dyDescent="0.15">
      <c r="A1998" s="1">
        <v>233</v>
      </c>
      <c r="B1998" s="1" t="s">
        <v>3204</v>
      </c>
      <c r="C1998" s="1" t="s">
        <v>3234</v>
      </c>
      <c r="D1998" s="1" t="s">
        <v>3235</v>
      </c>
      <c r="E1998" s="1" t="s">
        <v>3234</v>
      </c>
      <c r="F1998" s="1" t="s">
        <v>3235</v>
      </c>
      <c r="G1998" s="1" t="s">
        <v>3236</v>
      </c>
      <c r="H1998" s="1" t="s">
        <v>3235</v>
      </c>
      <c r="I1998" s="1" t="s">
        <v>16669</v>
      </c>
      <c r="J1998" s="1" t="s">
        <v>16666</v>
      </c>
      <c r="K1998" s="1">
        <v>4</v>
      </c>
      <c r="L1998" s="1" t="s">
        <v>4342</v>
      </c>
      <c r="M1998" s="1">
        <v>5</v>
      </c>
      <c r="N1998" s="1" t="s">
        <v>4342</v>
      </c>
    </row>
    <row r="1999" spans="1:14" x14ac:dyDescent="0.15">
      <c r="A1999" s="1">
        <v>240</v>
      </c>
      <c r="B1999" s="1" t="s">
        <v>3238</v>
      </c>
      <c r="C1999" s="1" t="s">
        <v>3239</v>
      </c>
      <c r="D1999" s="1" t="s">
        <v>3238</v>
      </c>
      <c r="E1999" s="1" t="s">
        <v>3239</v>
      </c>
      <c r="F1999" s="1" t="s">
        <v>3238</v>
      </c>
      <c r="G1999" s="1" t="s">
        <v>3240</v>
      </c>
      <c r="H1999" s="1" t="s">
        <v>3238</v>
      </c>
      <c r="I1999" s="1" t="s">
        <v>11879</v>
      </c>
      <c r="J1999" s="1" t="s">
        <v>4278</v>
      </c>
      <c r="K1999" s="1">
        <v>9</v>
      </c>
      <c r="L1999" s="1" t="s">
        <v>4199</v>
      </c>
      <c r="M1999" s="1">
        <v>3</v>
      </c>
      <c r="N1999" s="1" t="s">
        <v>3241</v>
      </c>
    </row>
    <row r="2000" spans="1:14" x14ac:dyDescent="0.15">
      <c r="A2000" s="1">
        <v>240</v>
      </c>
      <c r="B2000" s="1" t="s">
        <v>3238</v>
      </c>
      <c r="C2000" s="1" t="s">
        <v>3239</v>
      </c>
      <c r="D2000" s="1" t="s">
        <v>3238</v>
      </c>
      <c r="E2000" s="1" t="s">
        <v>3242</v>
      </c>
      <c r="F2000" s="1" t="s">
        <v>3243</v>
      </c>
      <c r="G2000" s="1" t="s">
        <v>3244</v>
      </c>
      <c r="H2000" s="1" t="s">
        <v>3243</v>
      </c>
      <c r="I2000" s="1" t="s">
        <v>17286</v>
      </c>
      <c r="J2000" s="1" t="s">
        <v>2694</v>
      </c>
      <c r="K2000" s="1">
        <v>9</v>
      </c>
      <c r="L2000" s="1" t="s">
        <v>4199</v>
      </c>
      <c r="M2000" s="1">
        <v>3</v>
      </c>
      <c r="N2000" s="1" t="s">
        <v>3241</v>
      </c>
    </row>
    <row r="2001" spans="1:14" x14ac:dyDescent="0.15">
      <c r="A2001" s="1">
        <v>240</v>
      </c>
      <c r="B2001" s="1" t="s">
        <v>3238</v>
      </c>
      <c r="C2001" s="1" t="s">
        <v>3239</v>
      </c>
      <c r="D2001" s="1" t="s">
        <v>3238</v>
      </c>
      <c r="E2001" s="1" t="s">
        <v>3242</v>
      </c>
      <c r="F2001" s="1" t="s">
        <v>3243</v>
      </c>
      <c r="G2001" s="1" t="s">
        <v>3244</v>
      </c>
      <c r="H2001" s="1" t="s">
        <v>3243</v>
      </c>
      <c r="I2001" s="1" t="s">
        <v>11541</v>
      </c>
      <c r="J2001" s="1" t="s">
        <v>2695</v>
      </c>
      <c r="K2001" s="1">
        <v>9</v>
      </c>
      <c r="L2001" s="1" t="s">
        <v>4199</v>
      </c>
      <c r="M2001" s="1">
        <v>3</v>
      </c>
      <c r="N2001" s="1" t="s">
        <v>3241</v>
      </c>
    </row>
    <row r="2002" spans="1:14" x14ac:dyDescent="0.15">
      <c r="A2002" s="1">
        <v>240</v>
      </c>
      <c r="B2002" s="1" t="s">
        <v>3238</v>
      </c>
      <c r="C2002" s="1" t="s">
        <v>3239</v>
      </c>
      <c r="D2002" s="1" t="s">
        <v>3238</v>
      </c>
      <c r="E2002" s="1" t="s">
        <v>3242</v>
      </c>
      <c r="F2002" s="1" t="s">
        <v>3243</v>
      </c>
      <c r="G2002" s="1" t="s">
        <v>3244</v>
      </c>
      <c r="H2002" s="1" t="s">
        <v>3243</v>
      </c>
      <c r="I2002" s="1" t="s">
        <v>9231</v>
      </c>
      <c r="J2002" s="1" t="s">
        <v>2696</v>
      </c>
      <c r="K2002" s="1">
        <v>9</v>
      </c>
      <c r="L2002" s="1" t="s">
        <v>4199</v>
      </c>
      <c r="M2002" s="1">
        <v>3</v>
      </c>
      <c r="N2002" s="1" t="s">
        <v>3241</v>
      </c>
    </row>
    <row r="2003" spans="1:14" x14ac:dyDescent="0.15">
      <c r="A2003" s="1">
        <v>240</v>
      </c>
      <c r="B2003" s="1" t="s">
        <v>3238</v>
      </c>
      <c r="C2003" s="1" t="s">
        <v>3239</v>
      </c>
      <c r="D2003" s="1" t="s">
        <v>3238</v>
      </c>
      <c r="E2003" s="1" t="s">
        <v>3242</v>
      </c>
      <c r="F2003" s="1" t="s">
        <v>3243</v>
      </c>
      <c r="G2003" s="1" t="s">
        <v>3244</v>
      </c>
      <c r="H2003" s="1" t="s">
        <v>3243</v>
      </c>
      <c r="I2003" s="1" t="s">
        <v>17300</v>
      </c>
      <c r="J2003" s="1" t="s">
        <v>17297</v>
      </c>
      <c r="K2003" s="1">
        <v>9</v>
      </c>
      <c r="L2003" s="1" t="s">
        <v>4199</v>
      </c>
      <c r="M2003" s="1">
        <v>3</v>
      </c>
      <c r="N2003" s="1" t="s">
        <v>3241</v>
      </c>
    </row>
    <row r="2004" spans="1:14" x14ac:dyDescent="0.15">
      <c r="A2004" s="1">
        <v>240</v>
      </c>
      <c r="B2004" s="1" t="s">
        <v>3238</v>
      </c>
      <c r="C2004" s="1" t="s">
        <v>3239</v>
      </c>
      <c r="D2004" s="1" t="s">
        <v>3238</v>
      </c>
      <c r="E2004" s="1" t="s">
        <v>3242</v>
      </c>
      <c r="F2004" s="1" t="s">
        <v>3243</v>
      </c>
      <c r="G2004" s="1" t="s">
        <v>3244</v>
      </c>
      <c r="H2004" s="1" t="s">
        <v>3243</v>
      </c>
      <c r="I2004" s="1" t="s">
        <v>14098</v>
      </c>
      <c r="J2004" s="1" t="s">
        <v>14099</v>
      </c>
      <c r="K2004" s="1">
        <v>9</v>
      </c>
      <c r="L2004" s="1" t="s">
        <v>4199</v>
      </c>
      <c r="M2004" s="1">
        <v>3</v>
      </c>
      <c r="N2004" s="1" t="s">
        <v>3241</v>
      </c>
    </row>
    <row r="2005" spans="1:14" x14ac:dyDescent="0.15">
      <c r="A2005" s="1">
        <v>240</v>
      </c>
      <c r="B2005" s="1" t="s">
        <v>3238</v>
      </c>
      <c r="C2005" s="1" t="s">
        <v>3239</v>
      </c>
      <c r="D2005" s="1" t="s">
        <v>3238</v>
      </c>
      <c r="E2005" s="1" t="s">
        <v>3242</v>
      </c>
      <c r="F2005" s="1" t="s">
        <v>3243</v>
      </c>
      <c r="G2005" s="1" t="s">
        <v>3244</v>
      </c>
      <c r="H2005" s="1" t="s">
        <v>3243</v>
      </c>
      <c r="I2005" s="1" t="s">
        <v>9740</v>
      </c>
      <c r="J2005" s="1" t="s">
        <v>14781</v>
      </c>
      <c r="K2005" s="1">
        <v>9</v>
      </c>
      <c r="L2005" s="1" t="s">
        <v>4199</v>
      </c>
      <c r="M2005" s="1">
        <v>3</v>
      </c>
      <c r="N2005" s="1" t="s">
        <v>3241</v>
      </c>
    </row>
    <row r="2006" spans="1:14" x14ac:dyDescent="0.15">
      <c r="A2006" s="1">
        <v>240</v>
      </c>
      <c r="B2006" s="1" t="s">
        <v>3238</v>
      </c>
      <c r="C2006" s="1" t="s">
        <v>3239</v>
      </c>
      <c r="D2006" s="1" t="s">
        <v>3238</v>
      </c>
      <c r="E2006" s="1" t="s">
        <v>3245</v>
      </c>
      <c r="F2006" s="1" t="s">
        <v>3246</v>
      </c>
      <c r="G2006" s="1" t="s">
        <v>3247</v>
      </c>
      <c r="H2006" s="1" t="s">
        <v>3246</v>
      </c>
      <c r="I2006" s="1" t="s">
        <v>17300</v>
      </c>
      <c r="J2006" s="1" t="s">
        <v>17297</v>
      </c>
      <c r="K2006" s="1">
        <v>9</v>
      </c>
      <c r="L2006" s="1" t="s">
        <v>4199</v>
      </c>
      <c r="M2006" s="1">
        <v>3</v>
      </c>
      <c r="N2006" s="1" t="s">
        <v>3241</v>
      </c>
    </row>
    <row r="2007" spans="1:14" x14ac:dyDescent="0.15">
      <c r="A2007" s="1">
        <v>240</v>
      </c>
      <c r="B2007" s="1" t="s">
        <v>3238</v>
      </c>
      <c r="C2007" s="1" t="s">
        <v>3239</v>
      </c>
      <c r="D2007" s="1" t="s">
        <v>3238</v>
      </c>
      <c r="E2007" s="1" t="s">
        <v>3245</v>
      </c>
      <c r="F2007" s="1" t="s">
        <v>3246</v>
      </c>
      <c r="G2007" s="1" t="s">
        <v>3247</v>
      </c>
      <c r="H2007" s="1" t="s">
        <v>3246</v>
      </c>
      <c r="I2007" s="1" t="s">
        <v>14098</v>
      </c>
      <c r="J2007" s="1" t="s">
        <v>14099</v>
      </c>
      <c r="K2007" s="1">
        <v>9</v>
      </c>
      <c r="L2007" s="1" t="s">
        <v>4199</v>
      </c>
      <c r="M2007" s="1">
        <v>3</v>
      </c>
      <c r="N2007" s="1" t="s">
        <v>3241</v>
      </c>
    </row>
    <row r="2008" spans="1:14" x14ac:dyDescent="0.15">
      <c r="A2008" s="1">
        <v>240</v>
      </c>
      <c r="B2008" s="1" t="s">
        <v>3238</v>
      </c>
      <c r="C2008" s="1" t="s">
        <v>3239</v>
      </c>
      <c r="D2008" s="1" t="s">
        <v>3238</v>
      </c>
      <c r="E2008" s="1" t="s">
        <v>3245</v>
      </c>
      <c r="F2008" s="1" t="s">
        <v>3246</v>
      </c>
      <c r="G2008" s="1" t="s">
        <v>3247</v>
      </c>
      <c r="H2008" s="1" t="s">
        <v>3246</v>
      </c>
      <c r="I2008" s="1" t="s">
        <v>9740</v>
      </c>
      <c r="J2008" s="1" t="s">
        <v>14781</v>
      </c>
      <c r="K2008" s="1">
        <v>9</v>
      </c>
      <c r="L2008" s="1" t="s">
        <v>4199</v>
      </c>
      <c r="M2008" s="1">
        <v>3</v>
      </c>
      <c r="N2008" s="1" t="s">
        <v>3241</v>
      </c>
    </row>
    <row r="2009" spans="1:14" x14ac:dyDescent="0.15">
      <c r="A2009" s="1">
        <v>240</v>
      </c>
      <c r="B2009" s="1" t="s">
        <v>3238</v>
      </c>
      <c r="C2009" s="1" t="s">
        <v>3239</v>
      </c>
      <c r="D2009" s="1" t="s">
        <v>3238</v>
      </c>
      <c r="E2009" s="1" t="s">
        <v>3248</v>
      </c>
      <c r="F2009" s="1" t="s">
        <v>3249</v>
      </c>
      <c r="G2009" s="1" t="s">
        <v>3250</v>
      </c>
      <c r="H2009" s="1" t="s">
        <v>3249</v>
      </c>
      <c r="I2009" s="1" t="s">
        <v>17300</v>
      </c>
      <c r="J2009" s="1" t="s">
        <v>17297</v>
      </c>
      <c r="K2009" s="1">
        <v>9</v>
      </c>
      <c r="L2009" s="1" t="s">
        <v>4199</v>
      </c>
      <c r="M2009" s="1">
        <v>3</v>
      </c>
      <c r="N2009" s="1" t="s">
        <v>3241</v>
      </c>
    </row>
    <row r="2010" spans="1:14" x14ac:dyDescent="0.15">
      <c r="A2010" s="1">
        <v>240</v>
      </c>
      <c r="B2010" s="1" t="s">
        <v>3238</v>
      </c>
      <c r="C2010" s="1" t="s">
        <v>3239</v>
      </c>
      <c r="D2010" s="1" t="s">
        <v>3238</v>
      </c>
      <c r="E2010" s="1" t="s">
        <v>3248</v>
      </c>
      <c r="F2010" s="1" t="s">
        <v>3249</v>
      </c>
      <c r="G2010" s="1" t="s">
        <v>3250</v>
      </c>
      <c r="H2010" s="1" t="s">
        <v>3249</v>
      </c>
      <c r="I2010" s="1" t="s">
        <v>14098</v>
      </c>
      <c r="J2010" s="1" t="s">
        <v>14099</v>
      </c>
      <c r="K2010" s="1">
        <v>9</v>
      </c>
      <c r="L2010" s="1" t="s">
        <v>4199</v>
      </c>
      <c r="M2010" s="1">
        <v>3</v>
      </c>
      <c r="N2010" s="1" t="s">
        <v>3241</v>
      </c>
    </row>
    <row r="2011" spans="1:14" x14ac:dyDescent="0.15">
      <c r="A2011" s="1">
        <v>240</v>
      </c>
      <c r="B2011" s="1" t="s">
        <v>3238</v>
      </c>
      <c r="C2011" s="1" t="s">
        <v>3239</v>
      </c>
      <c r="D2011" s="1" t="s">
        <v>3238</v>
      </c>
      <c r="E2011" s="1" t="s">
        <v>3248</v>
      </c>
      <c r="F2011" s="1" t="s">
        <v>3249</v>
      </c>
      <c r="G2011" s="1" t="s">
        <v>3250</v>
      </c>
      <c r="H2011" s="1" t="s">
        <v>3249</v>
      </c>
      <c r="I2011" s="1" t="s">
        <v>9740</v>
      </c>
      <c r="J2011" s="1" t="s">
        <v>14781</v>
      </c>
      <c r="K2011" s="1">
        <v>13</v>
      </c>
      <c r="L2011" s="1" t="s">
        <v>4219</v>
      </c>
      <c r="M2011" s="1">
        <v>3</v>
      </c>
      <c r="N2011" s="1" t="s">
        <v>3241</v>
      </c>
    </row>
    <row r="2012" spans="1:14" x14ac:dyDescent="0.15">
      <c r="A2012" s="1">
        <v>240</v>
      </c>
      <c r="B2012" s="1" t="s">
        <v>3238</v>
      </c>
      <c r="C2012" s="1" t="s">
        <v>3251</v>
      </c>
      <c r="D2012" s="1" t="s">
        <v>3252</v>
      </c>
      <c r="E2012" s="1" t="s">
        <v>3251</v>
      </c>
      <c r="F2012" s="1" t="s">
        <v>3252</v>
      </c>
      <c r="G2012" s="1" t="s">
        <v>3253</v>
      </c>
      <c r="H2012" s="1" t="s">
        <v>3252</v>
      </c>
      <c r="I2012" s="1" t="s">
        <v>10750</v>
      </c>
      <c r="J2012" s="1" t="s">
        <v>3254</v>
      </c>
      <c r="K2012" s="1">
        <v>13</v>
      </c>
      <c r="L2012" s="1" t="s">
        <v>4219</v>
      </c>
      <c r="M2012" s="1">
        <v>3</v>
      </c>
      <c r="N2012" s="1" t="s">
        <v>3241</v>
      </c>
    </row>
    <row r="2013" spans="1:14" x14ac:dyDescent="0.15">
      <c r="A2013" s="1">
        <v>243</v>
      </c>
      <c r="B2013" s="1" t="s">
        <v>3252</v>
      </c>
      <c r="C2013" s="1" t="s">
        <v>3251</v>
      </c>
      <c r="D2013" s="1" t="s">
        <v>3252</v>
      </c>
      <c r="E2013" s="1" t="s">
        <v>3251</v>
      </c>
      <c r="F2013" s="1" t="s">
        <v>3252</v>
      </c>
      <c r="G2013" s="1" t="s">
        <v>3253</v>
      </c>
      <c r="H2013" s="1" t="s">
        <v>3252</v>
      </c>
      <c r="I2013" s="1" t="s">
        <v>15787</v>
      </c>
      <c r="J2013" s="1" t="s">
        <v>15784</v>
      </c>
      <c r="K2013" s="1">
        <v>13</v>
      </c>
      <c r="L2013" s="1" t="s">
        <v>4219</v>
      </c>
      <c r="M2013" s="1">
        <v>3</v>
      </c>
      <c r="N2013" s="1" t="s">
        <v>3241</v>
      </c>
    </row>
    <row r="2014" spans="1:14" x14ac:dyDescent="0.15">
      <c r="A2014" s="1">
        <v>243</v>
      </c>
      <c r="B2014" s="1" t="s">
        <v>3252</v>
      </c>
      <c r="C2014" s="1" t="s">
        <v>3251</v>
      </c>
      <c r="D2014" s="1" t="s">
        <v>3252</v>
      </c>
      <c r="E2014" s="1" t="s">
        <v>3251</v>
      </c>
      <c r="F2014" s="1" t="s">
        <v>3252</v>
      </c>
      <c r="G2014" s="1" t="s">
        <v>3253</v>
      </c>
      <c r="H2014" s="1" t="s">
        <v>3252</v>
      </c>
      <c r="I2014" s="1" t="s">
        <v>15801</v>
      </c>
      <c r="J2014" s="1" t="s">
        <v>15798</v>
      </c>
      <c r="K2014" s="1">
        <v>13</v>
      </c>
      <c r="L2014" s="1" t="s">
        <v>4219</v>
      </c>
      <c r="M2014" s="1">
        <v>3</v>
      </c>
      <c r="N2014" s="1" t="s">
        <v>3241</v>
      </c>
    </row>
    <row r="2015" spans="1:14" x14ac:dyDescent="0.15">
      <c r="A2015" s="1">
        <v>244</v>
      </c>
      <c r="B2015" s="1" t="s">
        <v>3255</v>
      </c>
      <c r="C2015" s="1" t="s">
        <v>3256</v>
      </c>
      <c r="D2015" s="1" t="s">
        <v>3255</v>
      </c>
      <c r="E2015" s="1" t="s">
        <v>3256</v>
      </c>
      <c r="F2015" s="1" t="s">
        <v>3255</v>
      </c>
      <c r="G2015" s="1" t="s">
        <v>3257</v>
      </c>
      <c r="H2015" s="1" t="s">
        <v>3255</v>
      </c>
      <c r="I2015" s="1" t="s">
        <v>15794</v>
      </c>
      <c r="J2015" s="1" t="s">
        <v>15791</v>
      </c>
      <c r="K2015" s="1">
        <v>13</v>
      </c>
      <c r="L2015" s="1" t="s">
        <v>4219</v>
      </c>
      <c r="M2015" s="1">
        <v>3</v>
      </c>
      <c r="N2015" s="1" t="s">
        <v>3241</v>
      </c>
    </row>
    <row r="2016" spans="1:14" x14ac:dyDescent="0.15">
      <c r="A2016" s="1">
        <v>254</v>
      </c>
      <c r="B2016" s="1" t="s">
        <v>3258</v>
      </c>
      <c r="C2016" s="1" t="s">
        <v>3259</v>
      </c>
      <c r="D2016" s="1" t="s">
        <v>3258</v>
      </c>
      <c r="E2016" s="1" t="s">
        <v>3259</v>
      </c>
      <c r="F2016" s="1" t="s">
        <v>3258</v>
      </c>
      <c r="G2016" s="1" t="s">
        <v>3260</v>
      </c>
      <c r="H2016" s="1" t="s">
        <v>3258</v>
      </c>
      <c r="I2016" s="1" t="s">
        <v>16662</v>
      </c>
      <c r="J2016" s="1" t="s">
        <v>3261</v>
      </c>
      <c r="K2016" s="1">
        <v>4</v>
      </c>
      <c r="L2016" s="1" t="s">
        <v>4342</v>
      </c>
      <c r="M2016" s="1">
        <v>5</v>
      </c>
      <c r="N2016" s="1" t="s">
        <v>4342</v>
      </c>
    </row>
    <row r="2017" spans="1:14" x14ac:dyDescent="0.15">
      <c r="A2017" s="1">
        <v>254</v>
      </c>
      <c r="B2017" s="1" t="s">
        <v>3258</v>
      </c>
      <c r="C2017" s="1" t="s">
        <v>3259</v>
      </c>
      <c r="D2017" s="1" t="s">
        <v>3258</v>
      </c>
      <c r="E2017" s="1" t="s">
        <v>3259</v>
      </c>
      <c r="F2017" s="1" t="s">
        <v>3258</v>
      </c>
      <c r="G2017" s="1" t="s">
        <v>3260</v>
      </c>
      <c r="H2017" s="1" t="s">
        <v>3258</v>
      </c>
      <c r="I2017" s="1" t="s">
        <v>10775</v>
      </c>
      <c r="J2017" s="1" t="s">
        <v>3262</v>
      </c>
      <c r="K2017" s="1">
        <v>4</v>
      </c>
      <c r="L2017" s="1" t="s">
        <v>4342</v>
      </c>
      <c r="M2017" s="1">
        <v>5</v>
      </c>
      <c r="N2017" s="1" t="s">
        <v>4342</v>
      </c>
    </row>
    <row r="2018" spans="1:14" x14ac:dyDescent="0.15">
      <c r="A2018" s="1">
        <v>255</v>
      </c>
      <c r="B2018" s="1" t="s">
        <v>3263</v>
      </c>
      <c r="C2018" s="1" t="s">
        <v>3264</v>
      </c>
      <c r="D2018" s="1" t="s">
        <v>3263</v>
      </c>
      <c r="E2018" s="1" t="s">
        <v>3264</v>
      </c>
      <c r="F2018" s="1" t="s">
        <v>3263</v>
      </c>
      <c r="G2018" s="1" t="s">
        <v>3265</v>
      </c>
      <c r="H2018" s="1" t="s">
        <v>3263</v>
      </c>
      <c r="I2018" s="1" t="s">
        <v>11879</v>
      </c>
      <c r="J2018" s="1" t="s">
        <v>4278</v>
      </c>
      <c r="K2018" s="1">
        <v>99</v>
      </c>
      <c r="L2018" s="1" t="s">
        <v>4454</v>
      </c>
      <c r="M2018" s="1">
        <v>99</v>
      </c>
      <c r="N2018" s="1" t="s">
        <v>4454</v>
      </c>
    </row>
    <row r="2019" spans="1:14" x14ac:dyDescent="0.15">
      <c r="A2019" s="1">
        <v>255</v>
      </c>
      <c r="B2019" s="1" t="s">
        <v>3263</v>
      </c>
      <c r="C2019" s="1" t="s">
        <v>3266</v>
      </c>
      <c r="D2019" s="1" t="s">
        <v>3267</v>
      </c>
      <c r="E2019" s="1" t="s">
        <v>3266</v>
      </c>
      <c r="F2019" s="1" t="s">
        <v>3267</v>
      </c>
      <c r="G2019" s="1" t="s">
        <v>3268</v>
      </c>
      <c r="H2019" s="1" t="s">
        <v>3267</v>
      </c>
      <c r="I2019" s="1" t="s">
        <v>4494</v>
      </c>
      <c r="J2019" s="1" t="s">
        <v>4495</v>
      </c>
      <c r="K2019" s="1">
        <v>13</v>
      </c>
      <c r="L2019" s="1" t="s">
        <v>4219</v>
      </c>
      <c r="M2019" s="1">
        <v>3</v>
      </c>
      <c r="N2019" s="1" t="s">
        <v>3241</v>
      </c>
    </row>
    <row r="2020" spans="1:14" x14ac:dyDescent="0.15">
      <c r="A2020" s="1">
        <v>255</v>
      </c>
      <c r="B2020" s="1" t="s">
        <v>3263</v>
      </c>
      <c r="C2020" s="1" t="s">
        <v>3269</v>
      </c>
      <c r="D2020" s="1" t="s">
        <v>3270</v>
      </c>
      <c r="E2020" s="1" t="s">
        <v>3269</v>
      </c>
      <c r="F2020" s="1" t="s">
        <v>3270</v>
      </c>
      <c r="G2020" s="1" t="s">
        <v>3271</v>
      </c>
      <c r="H2020" s="1" t="s">
        <v>3270</v>
      </c>
      <c r="I2020" s="1" t="s">
        <v>17868</v>
      </c>
      <c r="J2020" s="1" t="s">
        <v>4319</v>
      </c>
      <c r="K2020" s="1">
        <v>4</v>
      </c>
      <c r="L2020" s="1" t="s">
        <v>4342</v>
      </c>
      <c r="M2020" s="1">
        <v>5</v>
      </c>
      <c r="N2020" s="1" t="s">
        <v>4342</v>
      </c>
    </row>
    <row r="2021" spans="1:14" x14ac:dyDescent="0.15">
      <c r="A2021" s="1">
        <v>255</v>
      </c>
      <c r="B2021" s="1" t="s">
        <v>3263</v>
      </c>
      <c r="C2021" s="1" t="s">
        <v>3269</v>
      </c>
      <c r="D2021" s="1" t="s">
        <v>3270</v>
      </c>
      <c r="E2021" s="1" t="s">
        <v>3269</v>
      </c>
      <c r="F2021" s="1" t="s">
        <v>3270</v>
      </c>
      <c r="G2021" s="1" t="s">
        <v>3271</v>
      </c>
      <c r="H2021" s="1" t="s">
        <v>3270</v>
      </c>
      <c r="I2021" s="1" t="s">
        <v>17900</v>
      </c>
      <c r="J2021" s="1" t="s">
        <v>4320</v>
      </c>
      <c r="K2021" s="1">
        <v>4</v>
      </c>
      <c r="L2021" s="1" t="s">
        <v>4342</v>
      </c>
      <c r="M2021" s="1">
        <v>5</v>
      </c>
      <c r="N2021" s="1" t="s">
        <v>4342</v>
      </c>
    </row>
    <row r="2022" spans="1:14" x14ac:dyDescent="0.15">
      <c r="A2022" s="1">
        <v>255</v>
      </c>
      <c r="B2022" s="1" t="s">
        <v>3263</v>
      </c>
      <c r="C2022" s="1" t="s">
        <v>3269</v>
      </c>
      <c r="D2022" s="1" t="s">
        <v>3270</v>
      </c>
      <c r="E2022" s="1" t="s">
        <v>3269</v>
      </c>
      <c r="F2022" s="1" t="s">
        <v>3270</v>
      </c>
      <c r="G2022" s="1" t="s">
        <v>3271</v>
      </c>
      <c r="H2022" s="1" t="s">
        <v>3270</v>
      </c>
      <c r="I2022" s="1" t="s">
        <v>17908</v>
      </c>
      <c r="J2022" s="1" t="s">
        <v>6539</v>
      </c>
      <c r="K2022" s="1">
        <v>4</v>
      </c>
      <c r="L2022" s="1" t="s">
        <v>4342</v>
      </c>
      <c r="M2022" s="1">
        <v>5</v>
      </c>
      <c r="N2022" s="1" t="s">
        <v>4342</v>
      </c>
    </row>
    <row r="2023" spans="1:14" x14ac:dyDescent="0.15">
      <c r="A2023" s="1">
        <v>255</v>
      </c>
      <c r="B2023" s="1" t="s">
        <v>3263</v>
      </c>
      <c r="C2023" s="1" t="s">
        <v>3269</v>
      </c>
      <c r="D2023" s="1" t="s">
        <v>3270</v>
      </c>
      <c r="E2023" s="1" t="s">
        <v>3269</v>
      </c>
      <c r="F2023" s="1" t="s">
        <v>3270</v>
      </c>
      <c r="G2023" s="1" t="s">
        <v>3271</v>
      </c>
      <c r="H2023" s="1" t="s">
        <v>3270</v>
      </c>
      <c r="I2023" s="1" t="s">
        <v>11694</v>
      </c>
      <c r="J2023" s="1" t="s">
        <v>3272</v>
      </c>
      <c r="K2023" s="1">
        <v>4</v>
      </c>
      <c r="L2023" s="1" t="s">
        <v>4342</v>
      </c>
      <c r="M2023" s="1">
        <v>5</v>
      </c>
      <c r="N2023" s="1" t="s">
        <v>4342</v>
      </c>
    </row>
    <row r="2024" spans="1:14" x14ac:dyDescent="0.15">
      <c r="A2024" s="1">
        <v>255</v>
      </c>
      <c r="B2024" s="1" t="s">
        <v>3263</v>
      </c>
      <c r="C2024" s="1" t="s">
        <v>3269</v>
      </c>
      <c r="D2024" s="1" t="s">
        <v>3270</v>
      </c>
      <c r="E2024" s="1" t="s">
        <v>3269</v>
      </c>
      <c r="F2024" s="1" t="s">
        <v>3270</v>
      </c>
      <c r="G2024" s="1" t="s">
        <v>3271</v>
      </c>
      <c r="H2024" s="1" t="s">
        <v>3270</v>
      </c>
      <c r="I2024" s="1" t="s">
        <v>11739</v>
      </c>
      <c r="J2024" s="1" t="s">
        <v>6595</v>
      </c>
      <c r="K2024" s="1">
        <v>4</v>
      </c>
      <c r="L2024" s="1" t="s">
        <v>4342</v>
      </c>
      <c r="M2024" s="1">
        <v>5</v>
      </c>
      <c r="N2024" s="1" t="s">
        <v>4342</v>
      </c>
    </row>
    <row r="2025" spans="1:14" x14ac:dyDescent="0.15">
      <c r="A2025" s="1">
        <v>255</v>
      </c>
      <c r="B2025" s="1" t="s">
        <v>3263</v>
      </c>
      <c r="C2025" s="1" t="s">
        <v>3269</v>
      </c>
      <c r="D2025" s="1" t="s">
        <v>3270</v>
      </c>
      <c r="E2025" s="1" t="s">
        <v>3269</v>
      </c>
      <c r="F2025" s="1" t="s">
        <v>3270</v>
      </c>
      <c r="G2025" s="1" t="s">
        <v>3271</v>
      </c>
      <c r="H2025" s="1" t="s">
        <v>3270</v>
      </c>
      <c r="I2025" s="1" t="s">
        <v>17137</v>
      </c>
      <c r="J2025" s="1" t="s">
        <v>3154</v>
      </c>
      <c r="K2025" s="1">
        <v>4</v>
      </c>
      <c r="L2025" s="1" t="s">
        <v>4342</v>
      </c>
      <c r="M2025" s="1">
        <v>5</v>
      </c>
      <c r="N2025" s="1" t="s">
        <v>4342</v>
      </c>
    </row>
    <row r="2026" spans="1:14" x14ac:dyDescent="0.15">
      <c r="A2026" s="1">
        <v>255</v>
      </c>
      <c r="B2026" s="1" t="s">
        <v>3263</v>
      </c>
      <c r="C2026" s="1" t="s">
        <v>3269</v>
      </c>
      <c r="D2026" s="1" t="s">
        <v>3270</v>
      </c>
      <c r="E2026" s="1" t="s">
        <v>3269</v>
      </c>
      <c r="F2026" s="1" t="s">
        <v>3270</v>
      </c>
      <c r="G2026" s="1" t="s">
        <v>3271</v>
      </c>
      <c r="H2026" s="1" t="s">
        <v>3270</v>
      </c>
      <c r="I2026" s="1" t="s">
        <v>17145</v>
      </c>
      <c r="J2026" s="1" t="s">
        <v>3155</v>
      </c>
      <c r="K2026" s="1">
        <v>4</v>
      </c>
      <c r="L2026" s="1" t="s">
        <v>4342</v>
      </c>
      <c r="M2026" s="1">
        <v>5</v>
      </c>
      <c r="N2026" s="1" t="s">
        <v>4342</v>
      </c>
    </row>
    <row r="2027" spans="1:14" x14ac:dyDescent="0.15">
      <c r="A2027" s="1">
        <v>255</v>
      </c>
      <c r="B2027" s="1" t="s">
        <v>3263</v>
      </c>
      <c r="C2027" s="1" t="s">
        <v>3269</v>
      </c>
      <c r="D2027" s="1" t="s">
        <v>3270</v>
      </c>
      <c r="E2027" s="1" t="s">
        <v>3269</v>
      </c>
      <c r="F2027" s="1" t="s">
        <v>3270</v>
      </c>
      <c r="G2027" s="1" t="s">
        <v>3271</v>
      </c>
      <c r="H2027" s="1" t="s">
        <v>3270</v>
      </c>
      <c r="I2027" s="1" t="s">
        <v>9991</v>
      </c>
      <c r="J2027" s="1" t="s">
        <v>4226</v>
      </c>
      <c r="K2027" s="1">
        <v>4</v>
      </c>
      <c r="L2027" s="1" t="s">
        <v>4342</v>
      </c>
      <c r="M2027" s="1">
        <v>5</v>
      </c>
      <c r="N2027" s="1" t="s">
        <v>4342</v>
      </c>
    </row>
    <row r="2028" spans="1:14" x14ac:dyDescent="0.15">
      <c r="A2028" s="1">
        <v>255</v>
      </c>
      <c r="B2028" s="1" t="s">
        <v>3263</v>
      </c>
      <c r="C2028" s="1" t="s">
        <v>3269</v>
      </c>
      <c r="D2028" s="1" t="s">
        <v>3270</v>
      </c>
      <c r="E2028" s="1" t="s">
        <v>3269</v>
      </c>
      <c r="F2028" s="1" t="s">
        <v>3270</v>
      </c>
      <c r="G2028" s="1" t="s">
        <v>3271</v>
      </c>
      <c r="H2028" s="1" t="s">
        <v>3270</v>
      </c>
      <c r="I2028" s="1" t="s">
        <v>17164</v>
      </c>
      <c r="J2028" s="1" t="s">
        <v>5898</v>
      </c>
      <c r="K2028" s="1">
        <v>4</v>
      </c>
      <c r="L2028" s="1" t="s">
        <v>4342</v>
      </c>
      <c r="M2028" s="1">
        <v>5</v>
      </c>
      <c r="N2028" s="1" t="s">
        <v>4342</v>
      </c>
    </row>
    <row r="2029" spans="1:14" x14ac:dyDescent="0.15">
      <c r="A2029" s="1">
        <v>255</v>
      </c>
      <c r="B2029" s="1" t="s">
        <v>3263</v>
      </c>
      <c r="C2029" s="1" t="s">
        <v>3269</v>
      </c>
      <c r="D2029" s="1" t="s">
        <v>3270</v>
      </c>
      <c r="E2029" s="1" t="s">
        <v>3269</v>
      </c>
      <c r="F2029" s="1" t="s">
        <v>3270</v>
      </c>
      <c r="G2029" s="1" t="s">
        <v>3271</v>
      </c>
      <c r="H2029" s="1" t="s">
        <v>3270</v>
      </c>
      <c r="I2029" s="1" t="s">
        <v>17168</v>
      </c>
      <c r="J2029" s="1" t="s">
        <v>5900</v>
      </c>
      <c r="K2029" s="1">
        <v>4</v>
      </c>
      <c r="L2029" s="1" t="s">
        <v>4342</v>
      </c>
      <c r="M2029" s="1">
        <v>5</v>
      </c>
      <c r="N2029" s="1" t="s">
        <v>4342</v>
      </c>
    </row>
    <row r="2030" spans="1:14" x14ac:dyDescent="0.15">
      <c r="A2030" s="1">
        <v>255</v>
      </c>
      <c r="B2030" s="1" t="s">
        <v>3263</v>
      </c>
      <c r="C2030" s="1" t="s">
        <v>3269</v>
      </c>
      <c r="D2030" s="1" t="s">
        <v>3270</v>
      </c>
      <c r="E2030" s="1" t="s">
        <v>3269</v>
      </c>
      <c r="F2030" s="1" t="s">
        <v>3270</v>
      </c>
      <c r="G2030" s="1" t="s">
        <v>3271</v>
      </c>
      <c r="H2030" s="1" t="s">
        <v>3270</v>
      </c>
      <c r="I2030" s="1" t="s">
        <v>10013</v>
      </c>
      <c r="J2030" s="1" t="s">
        <v>3273</v>
      </c>
      <c r="K2030" s="1">
        <v>4</v>
      </c>
      <c r="L2030" s="1" t="s">
        <v>4342</v>
      </c>
      <c r="M2030" s="1">
        <v>5</v>
      </c>
      <c r="N2030" s="1" t="s">
        <v>4342</v>
      </c>
    </row>
    <row r="2031" spans="1:14" x14ac:dyDescent="0.15">
      <c r="A2031" s="1">
        <v>255</v>
      </c>
      <c r="B2031" s="1" t="s">
        <v>3263</v>
      </c>
      <c r="C2031" s="1" t="s">
        <v>3269</v>
      </c>
      <c r="D2031" s="1" t="s">
        <v>3270</v>
      </c>
      <c r="E2031" s="1" t="s">
        <v>3269</v>
      </c>
      <c r="F2031" s="1" t="s">
        <v>3270</v>
      </c>
      <c r="G2031" s="1" t="s">
        <v>3271</v>
      </c>
      <c r="H2031" s="1" t="s">
        <v>3270</v>
      </c>
      <c r="I2031" s="1" t="s">
        <v>17172</v>
      </c>
      <c r="J2031" s="1" t="s">
        <v>3274</v>
      </c>
      <c r="K2031" s="1">
        <v>4</v>
      </c>
      <c r="L2031" s="1" t="s">
        <v>4342</v>
      </c>
      <c r="M2031" s="1">
        <v>5</v>
      </c>
      <c r="N2031" s="1" t="s">
        <v>4342</v>
      </c>
    </row>
    <row r="2032" spans="1:14" x14ac:dyDescent="0.15">
      <c r="A2032" s="1">
        <v>255</v>
      </c>
      <c r="B2032" s="1" t="s">
        <v>3263</v>
      </c>
      <c r="C2032" s="1" t="s">
        <v>3269</v>
      </c>
      <c r="D2032" s="1" t="s">
        <v>3270</v>
      </c>
      <c r="E2032" s="1" t="s">
        <v>3269</v>
      </c>
      <c r="F2032" s="1" t="s">
        <v>3270</v>
      </c>
      <c r="G2032" s="1" t="s">
        <v>3271</v>
      </c>
      <c r="H2032" s="1" t="s">
        <v>3270</v>
      </c>
      <c r="I2032" s="1" t="s">
        <v>17204</v>
      </c>
      <c r="J2032" s="1" t="s">
        <v>3275</v>
      </c>
      <c r="K2032" s="1">
        <v>4</v>
      </c>
      <c r="L2032" s="1" t="s">
        <v>4342</v>
      </c>
      <c r="M2032" s="1">
        <v>5</v>
      </c>
      <c r="N2032" s="1" t="s">
        <v>4342</v>
      </c>
    </row>
    <row r="2033" spans="1:14" x14ac:dyDescent="0.15">
      <c r="A2033" s="1">
        <v>255</v>
      </c>
      <c r="B2033" s="1" t="s">
        <v>3263</v>
      </c>
      <c r="C2033" s="1" t="s">
        <v>3269</v>
      </c>
      <c r="D2033" s="1" t="s">
        <v>3270</v>
      </c>
      <c r="E2033" s="1" t="s">
        <v>3269</v>
      </c>
      <c r="F2033" s="1" t="s">
        <v>3270</v>
      </c>
      <c r="G2033" s="1" t="s">
        <v>3271</v>
      </c>
      <c r="H2033" s="1" t="s">
        <v>3270</v>
      </c>
      <c r="I2033" s="1" t="s">
        <v>10043</v>
      </c>
      <c r="J2033" s="1" t="s">
        <v>5972</v>
      </c>
      <c r="K2033" s="1">
        <v>4</v>
      </c>
      <c r="L2033" s="1" t="s">
        <v>4342</v>
      </c>
      <c r="M2033" s="1">
        <v>5</v>
      </c>
      <c r="N2033" s="1" t="s">
        <v>4342</v>
      </c>
    </row>
    <row r="2034" spans="1:14" x14ac:dyDescent="0.15">
      <c r="A2034" s="1">
        <v>255</v>
      </c>
      <c r="B2034" s="1" t="s">
        <v>3263</v>
      </c>
      <c r="C2034" s="1" t="s">
        <v>3269</v>
      </c>
      <c r="D2034" s="1" t="s">
        <v>3270</v>
      </c>
      <c r="E2034" s="1" t="s">
        <v>3269</v>
      </c>
      <c r="F2034" s="1" t="s">
        <v>3270</v>
      </c>
      <c r="G2034" s="1" t="s">
        <v>3271</v>
      </c>
      <c r="H2034" s="1" t="s">
        <v>3270</v>
      </c>
      <c r="I2034" s="1" t="s">
        <v>17212</v>
      </c>
      <c r="J2034" s="1" t="s">
        <v>3276</v>
      </c>
      <c r="K2034" s="1">
        <v>4</v>
      </c>
      <c r="L2034" s="1" t="s">
        <v>4342</v>
      </c>
      <c r="M2034" s="1">
        <v>5</v>
      </c>
      <c r="N2034" s="1" t="s">
        <v>4342</v>
      </c>
    </row>
    <row r="2035" spans="1:14" x14ac:dyDescent="0.15">
      <c r="A2035" s="1">
        <v>255</v>
      </c>
      <c r="B2035" s="1" t="s">
        <v>3263</v>
      </c>
      <c r="C2035" s="1" t="s">
        <v>3269</v>
      </c>
      <c r="D2035" s="1" t="s">
        <v>3270</v>
      </c>
      <c r="E2035" s="1" t="s">
        <v>3269</v>
      </c>
      <c r="F2035" s="1" t="s">
        <v>3270</v>
      </c>
      <c r="G2035" s="1" t="s">
        <v>3271</v>
      </c>
      <c r="H2035" s="1" t="s">
        <v>3270</v>
      </c>
      <c r="I2035" s="1" t="s">
        <v>10053</v>
      </c>
      <c r="J2035" s="1" t="s">
        <v>3277</v>
      </c>
      <c r="K2035" s="1">
        <v>4</v>
      </c>
      <c r="L2035" s="1" t="s">
        <v>4342</v>
      </c>
      <c r="M2035" s="1">
        <v>5</v>
      </c>
      <c r="N2035" s="1" t="s">
        <v>4342</v>
      </c>
    </row>
    <row r="2036" spans="1:14" x14ac:dyDescent="0.15">
      <c r="A2036" s="1">
        <v>255</v>
      </c>
      <c r="B2036" s="1" t="s">
        <v>3263</v>
      </c>
      <c r="C2036" s="1" t="s">
        <v>3269</v>
      </c>
      <c r="D2036" s="1" t="s">
        <v>3270</v>
      </c>
      <c r="E2036" s="1" t="s">
        <v>3269</v>
      </c>
      <c r="F2036" s="1" t="s">
        <v>3270</v>
      </c>
      <c r="G2036" s="1" t="s">
        <v>3271</v>
      </c>
      <c r="H2036" s="1" t="s">
        <v>3270</v>
      </c>
      <c r="I2036" s="1" t="s">
        <v>16123</v>
      </c>
      <c r="J2036" s="1" t="s">
        <v>5888</v>
      </c>
      <c r="K2036" s="1">
        <v>4</v>
      </c>
      <c r="L2036" s="1" t="s">
        <v>4342</v>
      </c>
      <c r="M2036" s="1">
        <v>5</v>
      </c>
      <c r="N2036" s="1" t="s">
        <v>4342</v>
      </c>
    </row>
    <row r="2037" spans="1:14" x14ac:dyDescent="0.15">
      <c r="A2037" s="1">
        <v>255</v>
      </c>
      <c r="B2037" s="1" t="s">
        <v>3263</v>
      </c>
      <c r="C2037" s="1" t="s">
        <v>3269</v>
      </c>
      <c r="D2037" s="1" t="s">
        <v>3270</v>
      </c>
      <c r="E2037" s="1" t="s">
        <v>3269</v>
      </c>
      <c r="F2037" s="1" t="s">
        <v>3270</v>
      </c>
      <c r="G2037" s="1" t="s">
        <v>3271</v>
      </c>
      <c r="H2037" s="1" t="s">
        <v>3270</v>
      </c>
      <c r="I2037" s="1" t="s">
        <v>16131</v>
      </c>
      <c r="J2037" s="1" t="s">
        <v>5891</v>
      </c>
      <c r="K2037" s="1">
        <v>4</v>
      </c>
      <c r="L2037" s="1" t="s">
        <v>4342</v>
      </c>
      <c r="M2037" s="1">
        <v>5</v>
      </c>
      <c r="N2037" s="1" t="s">
        <v>4342</v>
      </c>
    </row>
    <row r="2038" spans="1:14" x14ac:dyDescent="0.15">
      <c r="A2038" s="1">
        <v>255</v>
      </c>
      <c r="B2038" s="1" t="s">
        <v>3263</v>
      </c>
      <c r="C2038" s="1" t="s">
        <v>3269</v>
      </c>
      <c r="D2038" s="1" t="s">
        <v>3270</v>
      </c>
      <c r="E2038" s="1" t="s">
        <v>3269</v>
      </c>
      <c r="F2038" s="1" t="s">
        <v>3270</v>
      </c>
      <c r="G2038" s="1" t="s">
        <v>3271</v>
      </c>
      <c r="H2038" s="1" t="s">
        <v>3270</v>
      </c>
      <c r="I2038" s="1" t="s">
        <v>10067</v>
      </c>
      <c r="J2038" s="1" t="s">
        <v>3278</v>
      </c>
      <c r="K2038" s="1">
        <v>4</v>
      </c>
      <c r="L2038" s="1" t="s">
        <v>4342</v>
      </c>
      <c r="M2038" s="1">
        <v>5</v>
      </c>
      <c r="N2038" s="1" t="s">
        <v>4342</v>
      </c>
    </row>
    <row r="2039" spans="1:14" x14ac:dyDescent="0.15">
      <c r="A2039" s="1">
        <v>255</v>
      </c>
      <c r="B2039" s="1" t="s">
        <v>3263</v>
      </c>
      <c r="C2039" s="1" t="s">
        <v>3269</v>
      </c>
      <c r="D2039" s="1" t="s">
        <v>3270</v>
      </c>
      <c r="E2039" s="1" t="s">
        <v>3269</v>
      </c>
      <c r="F2039" s="1" t="s">
        <v>3270</v>
      </c>
      <c r="G2039" s="1" t="s">
        <v>3271</v>
      </c>
      <c r="H2039" s="1" t="s">
        <v>3270</v>
      </c>
      <c r="I2039" s="1" t="s">
        <v>16135</v>
      </c>
      <c r="J2039" s="1" t="s">
        <v>3279</v>
      </c>
      <c r="K2039" s="1">
        <v>4</v>
      </c>
      <c r="L2039" s="1" t="s">
        <v>4342</v>
      </c>
      <c r="M2039" s="1">
        <v>5</v>
      </c>
      <c r="N2039" s="1" t="s">
        <v>4342</v>
      </c>
    </row>
    <row r="2040" spans="1:14" x14ac:dyDescent="0.15">
      <c r="A2040" s="1">
        <v>255</v>
      </c>
      <c r="B2040" s="1" t="s">
        <v>3263</v>
      </c>
      <c r="C2040" s="1" t="s">
        <v>3269</v>
      </c>
      <c r="D2040" s="1" t="s">
        <v>3270</v>
      </c>
      <c r="E2040" s="1" t="s">
        <v>3269</v>
      </c>
      <c r="F2040" s="1" t="s">
        <v>3270</v>
      </c>
      <c r="G2040" s="1" t="s">
        <v>3271</v>
      </c>
      <c r="H2040" s="1" t="s">
        <v>3270</v>
      </c>
      <c r="I2040" s="1" t="s">
        <v>16143</v>
      </c>
      <c r="J2040" s="1" t="s">
        <v>3280</v>
      </c>
      <c r="K2040" s="1">
        <v>4</v>
      </c>
      <c r="L2040" s="1" t="s">
        <v>4342</v>
      </c>
      <c r="M2040" s="1">
        <v>5</v>
      </c>
      <c r="N2040" s="1" t="s">
        <v>4342</v>
      </c>
    </row>
    <row r="2041" spans="1:14" x14ac:dyDescent="0.15">
      <c r="A2041" s="1">
        <v>255</v>
      </c>
      <c r="B2041" s="1" t="s">
        <v>3263</v>
      </c>
      <c r="C2041" s="1" t="s">
        <v>3269</v>
      </c>
      <c r="D2041" s="1" t="s">
        <v>3270</v>
      </c>
      <c r="E2041" s="1" t="s">
        <v>3269</v>
      </c>
      <c r="F2041" s="1" t="s">
        <v>3270</v>
      </c>
      <c r="G2041" s="1" t="s">
        <v>3271</v>
      </c>
      <c r="H2041" s="1" t="s">
        <v>3270</v>
      </c>
      <c r="I2041" s="1" t="s">
        <v>16150</v>
      </c>
      <c r="J2041" s="1" t="s">
        <v>3281</v>
      </c>
      <c r="K2041" s="1">
        <v>4</v>
      </c>
      <c r="L2041" s="1" t="s">
        <v>4342</v>
      </c>
      <c r="M2041" s="1">
        <v>5</v>
      </c>
      <c r="N2041" s="1" t="s">
        <v>4342</v>
      </c>
    </row>
    <row r="2042" spans="1:14" x14ac:dyDescent="0.15">
      <c r="A2042" s="1">
        <v>255</v>
      </c>
      <c r="B2042" s="1" t="s">
        <v>3263</v>
      </c>
      <c r="C2042" s="1" t="s">
        <v>3282</v>
      </c>
      <c r="D2042" s="1" t="s">
        <v>3283</v>
      </c>
      <c r="E2042" s="1" t="s">
        <v>3282</v>
      </c>
      <c r="F2042" s="1" t="s">
        <v>3283</v>
      </c>
      <c r="G2042" s="1" t="s">
        <v>3284</v>
      </c>
      <c r="H2042" s="1" t="s">
        <v>3283</v>
      </c>
      <c r="I2042" s="1" t="s">
        <v>16935</v>
      </c>
      <c r="J2042" s="1" t="s">
        <v>16932</v>
      </c>
      <c r="K2042" s="1">
        <v>4</v>
      </c>
      <c r="L2042" s="1" t="s">
        <v>4342</v>
      </c>
      <c r="M2042" s="1">
        <v>5</v>
      </c>
      <c r="N2042" s="1" t="s">
        <v>4342</v>
      </c>
    </row>
    <row r="2043" spans="1:14" x14ac:dyDescent="0.15">
      <c r="A2043" s="1">
        <v>255</v>
      </c>
      <c r="B2043" s="1" t="s">
        <v>3263</v>
      </c>
      <c r="C2043" s="1" t="s">
        <v>3282</v>
      </c>
      <c r="D2043" s="1" t="s">
        <v>3283</v>
      </c>
      <c r="E2043" s="1" t="s">
        <v>3282</v>
      </c>
      <c r="F2043" s="1" t="s">
        <v>3283</v>
      </c>
      <c r="G2043" s="1" t="s">
        <v>3284</v>
      </c>
      <c r="H2043" s="1" t="s">
        <v>3283</v>
      </c>
      <c r="I2043" s="1" t="s">
        <v>16978</v>
      </c>
      <c r="J2043" s="1" t="s">
        <v>16975</v>
      </c>
      <c r="K2043" s="1">
        <v>4</v>
      </c>
      <c r="L2043" s="1" t="s">
        <v>4342</v>
      </c>
      <c r="M2043" s="1">
        <v>5</v>
      </c>
      <c r="N2043" s="1" t="s">
        <v>4342</v>
      </c>
    </row>
    <row r="2044" spans="1:14" x14ac:dyDescent="0.15">
      <c r="A2044" s="1">
        <v>255</v>
      </c>
      <c r="B2044" s="1" t="s">
        <v>3263</v>
      </c>
      <c r="C2044" s="1" t="s">
        <v>3259</v>
      </c>
      <c r="D2044" s="1" t="s">
        <v>3285</v>
      </c>
      <c r="E2044" s="1" t="s">
        <v>3259</v>
      </c>
      <c r="F2044" s="1" t="s">
        <v>3285</v>
      </c>
      <c r="G2044" s="1" t="s">
        <v>3259</v>
      </c>
      <c r="H2044" s="1" t="s">
        <v>3285</v>
      </c>
      <c r="I2044" s="1" t="s">
        <v>16662</v>
      </c>
      <c r="J2044" s="1" t="s">
        <v>3261</v>
      </c>
      <c r="K2044" s="1">
        <v>4</v>
      </c>
      <c r="L2044" s="1" t="s">
        <v>4342</v>
      </c>
      <c r="M2044" s="1">
        <v>5</v>
      </c>
      <c r="N2044" s="1" t="s">
        <v>4342</v>
      </c>
    </row>
    <row r="2045" spans="1:14" x14ac:dyDescent="0.15">
      <c r="A2045" s="1">
        <v>255</v>
      </c>
      <c r="B2045" s="1" t="s">
        <v>3263</v>
      </c>
      <c r="C2045" s="1" t="s">
        <v>3286</v>
      </c>
      <c r="D2045" s="1" t="s">
        <v>3287</v>
      </c>
      <c r="E2045" s="1" t="s">
        <v>3286</v>
      </c>
      <c r="F2045" s="1" t="s">
        <v>3288</v>
      </c>
      <c r="G2045" s="1" t="s">
        <v>3289</v>
      </c>
      <c r="H2045" s="1" t="s">
        <v>3288</v>
      </c>
      <c r="I2045" s="1" t="s">
        <v>16669</v>
      </c>
      <c r="J2045" s="1" t="s">
        <v>16666</v>
      </c>
      <c r="K2045" s="1">
        <v>4</v>
      </c>
      <c r="L2045" s="1" t="s">
        <v>4342</v>
      </c>
      <c r="M2045" s="1">
        <v>5</v>
      </c>
      <c r="N2045" s="1" t="s">
        <v>4342</v>
      </c>
    </row>
    <row r="2046" spans="1:14" x14ac:dyDescent="0.15">
      <c r="A2046" s="1">
        <v>255</v>
      </c>
      <c r="B2046" s="1" t="s">
        <v>3263</v>
      </c>
      <c r="C2046" s="1" t="s">
        <v>3286</v>
      </c>
      <c r="D2046" s="1" t="s">
        <v>3287</v>
      </c>
      <c r="E2046" s="1" t="s">
        <v>3286</v>
      </c>
      <c r="F2046" s="1" t="s">
        <v>3288</v>
      </c>
      <c r="G2046" s="1" t="s">
        <v>3289</v>
      </c>
      <c r="H2046" s="1" t="s">
        <v>3288</v>
      </c>
      <c r="I2046" s="1" t="s">
        <v>15801</v>
      </c>
      <c r="J2046" s="1" t="s">
        <v>15798</v>
      </c>
      <c r="K2046" s="1">
        <v>13</v>
      </c>
      <c r="L2046" s="1" t="s">
        <v>4219</v>
      </c>
      <c r="M2046" s="1">
        <v>3</v>
      </c>
      <c r="N2046" s="1" t="s">
        <v>3241</v>
      </c>
    </row>
    <row r="2047" spans="1:14" x14ac:dyDescent="0.15">
      <c r="A2047" s="1">
        <v>260</v>
      </c>
      <c r="B2047" s="1" t="s">
        <v>3290</v>
      </c>
      <c r="C2047" s="1" t="s">
        <v>3291</v>
      </c>
      <c r="D2047" s="1" t="s">
        <v>3290</v>
      </c>
      <c r="E2047" s="1" t="s">
        <v>3291</v>
      </c>
      <c r="F2047" s="1" t="s">
        <v>3290</v>
      </c>
      <c r="G2047" s="1" t="s">
        <v>3292</v>
      </c>
      <c r="H2047" s="1" t="s">
        <v>3290</v>
      </c>
      <c r="I2047" s="1" t="s">
        <v>11879</v>
      </c>
      <c r="J2047" s="1" t="s">
        <v>4278</v>
      </c>
      <c r="K2047" s="1">
        <v>13</v>
      </c>
      <c r="L2047" s="1" t="s">
        <v>4219</v>
      </c>
      <c r="M2047" s="1">
        <v>3</v>
      </c>
      <c r="N2047" s="1" t="s">
        <v>3241</v>
      </c>
    </row>
    <row r="2048" spans="1:14" x14ac:dyDescent="0.15">
      <c r="A2048" s="1">
        <v>260</v>
      </c>
      <c r="B2048" s="1" t="s">
        <v>3290</v>
      </c>
      <c r="C2048" s="1" t="s">
        <v>3293</v>
      </c>
      <c r="D2048" s="1" t="s">
        <v>3294</v>
      </c>
      <c r="E2048" s="1" t="s">
        <v>3293</v>
      </c>
      <c r="F2048" s="1" t="s">
        <v>3294</v>
      </c>
      <c r="G2048" s="1" t="s">
        <v>3295</v>
      </c>
      <c r="H2048" s="1" t="s">
        <v>3294</v>
      </c>
      <c r="I2048" s="1" t="s">
        <v>11054</v>
      </c>
      <c r="J2048" s="1" t="s">
        <v>3043</v>
      </c>
      <c r="K2048" s="1">
        <v>13</v>
      </c>
      <c r="L2048" s="1" t="s">
        <v>4219</v>
      </c>
      <c r="M2048" s="1">
        <v>3</v>
      </c>
      <c r="N2048" s="1" t="s">
        <v>3241</v>
      </c>
    </row>
    <row r="2049" spans="1:14" x14ac:dyDescent="0.15">
      <c r="A2049" s="1">
        <v>260</v>
      </c>
      <c r="B2049" s="1" t="s">
        <v>3290</v>
      </c>
      <c r="C2049" s="1" t="s">
        <v>3296</v>
      </c>
      <c r="D2049" s="1" t="s">
        <v>3297</v>
      </c>
      <c r="E2049" s="1" t="s">
        <v>3296</v>
      </c>
      <c r="F2049" s="1" t="s">
        <v>3297</v>
      </c>
      <c r="G2049" s="1" t="s">
        <v>3298</v>
      </c>
      <c r="H2049" s="1" t="s">
        <v>3297</v>
      </c>
      <c r="I2049" s="1" t="s">
        <v>13989</v>
      </c>
      <c r="J2049" s="1" t="s">
        <v>4960</v>
      </c>
      <c r="K2049" s="1">
        <v>13</v>
      </c>
      <c r="L2049" s="1" t="s">
        <v>4219</v>
      </c>
      <c r="M2049" s="1">
        <v>3</v>
      </c>
      <c r="N2049" s="1" t="s">
        <v>3241</v>
      </c>
    </row>
    <row r="2050" spans="1:14" x14ac:dyDescent="0.15">
      <c r="A2050" s="1">
        <v>260</v>
      </c>
      <c r="B2050" s="1" t="s">
        <v>3290</v>
      </c>
      <c r="C2050" s="1" t="s">
        <v>3296</v>
      </c>
      <c r="D2050" s="1" t="s">
        <v>3297</v>
      </c>
      <c r="E2050" s="1" t="s">
        <v>3296</v>
      </c>
      <c r="F2050" s="1" t="s">
        <v>3297</v>
      </c>
      <c r="G2050" s="1" t="s">
        <v>3298</v>
      </c>
      <c r="H2050" s="1" t="s">
        <v>3297</v>
      </c>
      <c r="I2050" s="1" t="s">
        <v>13996</v>
      </c>
      <c r="J2050" s="1" t="s">
        <v>3041</v>
      </c>
      <c r="K2050" s="1">
        <v>13</v>
      </c>
      <c r="L2050" s="1" t="s">
        <v>4219</v>
      </c>
      <c r="M2050" s="1">
        <v>3</v>
      </c>
      <c r="N2050" s="1" t="s">
        <v>3241</v>
      </c>
    </row>
    <row r="2051" spans="1:14" x14ac:dyDescent="0.15">
      <c r="A2051" s="1">
        <v>260</v>
      </c>
      <c r="B2051" s="1" t="s">
        <v>3290</v>
      </c>
      <c r="C2051" s="1" t="s">
        <v>3296</v>
      </c>
      <c r="D2051" s="1" t="s">
        <v>3297</v>
      </c>
      <c r="E2051" s="1" t="s">
        <v>3296</v>
      </c>
      <c r="F2051" s="1" t="s">
        <v>3297</v>
      </c>
      <c r="G2051" s="1" t="s">
        <v>3298</v>
      </c>
      <c r="H2051" s="1" t="s">
        <v>3297</v>
      </c>
      <c r="I2051" s="1" t="s">
        <v>14090</v>
      </c>
      <c r="J2051" s="1" t="s">
        <v>4960</v>
      </c>
      <c r="K2051" s="1">
        <v>13</v>
      </c>
      <c r="L2051" s="1" t="s">
        <v>4219</v>
      </c>
      <c r="M2051" s="1">
        <v>3</v>
      </c>
      <c r="N2051" s="1" t="s">
        <v>3241</v>
      </c>
    </row>
    <row r="2052" spans="1:14" x14ac:dyDescent="0.15">
      <c r="A2052" s="1">
        <v>260</v>
      </c>
      <c r="B2052" s="1" t="s">
        <v>3290</v>
      </c>
      <c r="C2052" s="1" t="s">
        <v>3296</v>
      </c>
      <c r="D2052" s="1" t="s">
        <v>3297</v>
      </c>
      <c r="E2052" s="1" t="s">
        <v>3296</v>
      </c>
      <c r="F2052" s="1" t="s">
        <v>3297</v>
      </c>
      <c r="G2052" s="1" t="s">
        <v>3298</v>
      </c>
      <c r="H2052" s="1" t="s">
        <v>3297</v>
      </c>
      <c r="I2052" s="1" t="s">
        <v>14106</v>
      </c>
      <c r="J2052" s="1" t="s">
        <v>14107</v>
      </c>
      <c r="K2052" s="1">
        <v>13</v>
      </c>
      <c r="L2052" s="1" t="s">
        <v>4219</v>
      </c>
      <c r="M2052" s="1">
        <v>3</v>
      </c>
      <c r="N2052" s="1" t="s">
        <v>3241</v>
      </c>
    </row>
    <row r="2053" spans="1:14" x14ac:dyDescent="0.15">
      <c r="A2053" s="1">
        <v>260</v>
      </c>
      <c r="B2053" s="1" t="s">
        <v>3290</v>
      </c>
      <c r="C2053" s="1" t="s">
        <v>3293</v>
      </c>
      <c r="D2053" s="1" t="s">
        <v>3294</v>
      </c>
      <c r="E2053" s="1" t="s">
        <v>3293</v>
      </c>
      <c r="F2053" s="1" t="s">
        <v>3294</v>
      </c>
      <c r="G2053" s="1" t="s">
        <v>3295</v>
      </c>
      <c r="H2053" s="1" t="s">
        <v>3294</v>
      </c>
      <c r="I2053" s="1" t="s">
        <v>14110</v>
      </c>
      <c r="J2053" s="1" t="s">
        <v>4963</v>
      </c>
      <c r="K2053" s="1">
        <v>13</v>
      </c>
      <c r="L2053" s="1" t="s">
        <v>4219</v>
      </c>
      <c r="M2053" s="1">
        <v>3</v>
      </c>
      <c r="N2053" s="1" t="s">
        <v>3241</v>
      </c>
    </row>
    <row r="2054" spans="1:14" x14ac:dyDescent="0.15">
      <c r="A2054" s="1">
        <v>260</v>
      </c>
      <c r="B2054" s="1" t="s">
        <v>3290</v>
      </c>
      <c r="C2054" s="1" t="s">
        <v>3296</v>
      </c>
      <c r="D2054" s="1" t="s">
        <v>3297</v>
      </c>
      <c r="E2054" s="1" t="s">
        <v>3296</v>
      </c>
      <c r="F2054" s="1" t="s">
        <v>3297</v>
      </c>
      <c r="G2054" s="1" t="s">
        <v>3298</v>
      </c>
      <c r="H2054" s="1" t="s">
        <v>3297</v>
      </c>
      <c r="I2054" s="1" t="s">
        <v>14114</v>
      </c>
      <c r="J2054" s="1" t="s">
        <v>14115</v>
      </c>
      <c r="K2054" s="1">
        <v>13</v>
      </c>
      <c r="L2054" s="1" t="s">
        <v>4219</v>
      </c>
      <c r="M2054" s="1">
        <v>3</v>
      </c>
      <c r="N2054" s="1" t="s">
        <v>3241</v>
      </c>
    </row>
    <row r="2055" spans="1:14" x14ac:dyDescent="0.15">
      <c r="A2055" s="1">
        <v>260</v>
      </c>
      <c r="B2055" s="1" t="s">
        <v>3290</v>
      </c>
      <c r="C2055" s="1" t="s">
        <v>3296</v>
      </c>
      <c r="D2055" s="1" t="s">
        <v>3297</v>
      </c>
      <c r="E2055" s="1" t="s">
        <v>3296</v>
      </c>
      <c r="F2055" s="1" t="s">
        <v>3297</v>
      </c>
      <c r="G2055" s="1" t="s">
        <v>3298</v>
      </c>
      <c r="H2055" s="1" t="s">
        <v>3297</v>
      </c>
      <c r="I2055" s="1" t="s">
        <v>14118</v>
      </c>
      <c r="J2055" s="1" t="s">
        <v>14119</v>
      </c>
      <c r="K2055" s="1">
        <v>13</v>
      </c>
      <c r="L2055" s="1" t="s">
        <v>4219</v>
      </c>
      <c r="M2055" s="1">
        <v>3</v>
      </c>
      <c r="N2055" s="1" t="s">
        <v>3241</v>
      </c>
    </row>
    <row r="2056" spans="1:14" x14ac:dyDescent="0.15">
      <c r="A2056" s="1">
        <v>260</v>
      </c>
      <c r="B2056" s="1" t="s">
        <v>3290</v>
      </c>
      <c r="C2056" s="1" t="s">
        <v>3296</v>
      </c>
      <c r="D2056" s="1" t="s">
        <v>3297</v>
      </c>
      <c r="E2056" s="1" t="s">
        <v>3296</v>
      </c>
      <c r="F2056" s="1" t="s">
        <v>3297</v>
      </c>
      <c r="G2056" s="1" t="s">
        <v>3298</v>
      </c>
      <c r="H2056" s="1" t="s">
        <v>3297</v>
      </c>
      <c r="I2056" s="1" t="s">
        <v>14122</v>
      </c>
      <c r="J2056" s="1" t="s">
        <v>14123</v>
      </c>
      <c r="K2056" s="1">
        <v>13</v>
      </c>
      <c r="L2056" s="1" t="s">
        <v>4219</v>
      </c>
      <c r="M2056" s="1">
        <v>3</v>
      </c>
      <c r="N2056" s="1" t="s">
        <v>3241</v>
      </c>
    </row>
    <row r="2057" spans="1:14" x14ac:dyDescent="0.15">
      <c r="A2057" s="1">
        <v>260</v>
      </c>
      <c r="B2057" s="1" t="s">
        <v>3290</v>
      </c>
      <c r="C2057" s="1" t="s">
        <v>3296</v>
      </c>
      <c r="D2057" s="1" t="s">
        <v>3297</v>
      </c>
      <c r="E2057" s="1" t="s">
        <v>3296</v>
      </c>
      <c r="F2057" s="1" t="s">
        <v>3297</v>
      </c>
      <c r="G2057" s="1" t="s">
        <v>3298</v>
      </c>
      <c r="H2057" s="1" t="s">
        <v>3297</v>
      </c>
      <c r="I2057" s="1" t="s">
        <v>14126</v>
      </c>
      <c r="J2057" s="1" t="s">
        <v>14127</v>
      </c>
      <c r="K2057" s="1">
        <v>13</v>
      </c>
      <c r="L2057" s="1" t="s">
        <v>4219</v>
      </c>
      <c r="M2057" s="1">
        <v>3</v>
      </c>
      <c r="N2057" s="1" t="s">
        <v>3241</v>
      </c>
    </row>
    <row r="2058" spans="1:14" x14ac:dyDescent="0.15">
      <c r="A2058" s="1">
        <v>260</v>
      </c>
      <c r="B2058" s="1" t="s">
        <v>3290</v>
      </c>
      <c r="C2058" s="1" t="s">
        <v>3296</v>
      </c>
      <c r="D2058" s="1" t="s">
        <v>3297</v>
      </c>
      <c r="E2058" s="1" t="s">
        <v>3296</v>
      </c>
      <c r="F2058" s="1" t="s">
        <v>3297</v>
      </c>
      <c r="G2058" s="1" t="s">
        <v>3298</v>
      </c>
      <c r="H2058" s="1" t="s">
        <v>3297</v>
      </c>
      <c r="I2058" s="1" t="s">
        <v>14130</v>
      </c>
      <c r="J2058" s="1" t="s">
        <v>14131</v>
      </c>
      <c r="K2058" s="1">
        <v>13</v>
      </c>
      <c r="L2058" s="1" t="s">
        <v>4219</v>
      </c>
      <c r="M2058" s="1">
        <v>3</v>
      </c>
      <c r="N2058" s="1" t="s">
        <v>3241</v>
      </c>
    </row>
    <row r="2059" spans="1:14" x14ac:dyDescent="0.15">
      <c r="A2059" s="1">
        <v>260</v>
      </c>
      <c r="B2059" s="1" t="s">
        <v>3290</v>
      </c>
      <c r="C2059" s="1" t="s">
        <v>3296</v>
      </c>
      <c r="D2059" s="1" t="s">
        <v>3297</v>
      </c>
      <c r="E2059" s="1" t="s">
        <v>3296</v>
      </c>
      <c r="F2059" s="1" t="s">
        <v>3297</v>
      </c>
      <c r="G2059" s="1" t="s">
        <v>3298</v>
      </c>
      <c r="H2059" s="1" t="s">
        <v>3297</v>
      </c>
      <c r="I2059" s="1" t="s">
        <v>14134</v>
      </c>
      <c r="J2059" s="1" t="s">
        <v>14135</v>
      </c>
      <c r="K2059" s="1">
        <v>13</v>
      </c>
      <c r="L2059" s="1" t="s">
        <v>4219</v>
      </c>
      <c r="M2059" s="1">
        <v>3</v>
      </c>
      <c r="N2059" s="1" t="s">
        <v>3241</v>
      </c>
    </row>
    <row r="2060" spans="1:14" x14ac:dyDescent="0.15">
      <c r="A2060" s="1">
        <v>260</v>
      </c>
      <c r="B2060" s="1" t="s">
        <v>3290</v>
      </c>
      <c r="C2060" s="1" t="s">
        <v>3299</v>
      </c>
      <c r="D2060" s="1" t="s">
        <v>3300</v>
      </c>
      <c r="E2060" s="1" t="s">
        <v>3299</v>
      </c>
      <c r="F2060" s="1" t="s">
        <v>3300</v>
      </c>
      <c r="G2060" s="1" t="s">
        <v>3301</v>
      </c>
      <c r="H2060" s="1" t="s">
        <v>3300</v>
      </c>
      <c r="I2060" s="1" t="s">
        <v>13989</v>
      </c>
      <c r="J2060" s="1" t="s">
        <v>4960</v>
      </c>
      <c r="K2060" s="1">
        <v>13</v>
      </c>
      <c r="L2060" s="1" t="s">
        <v>4219</v>
      </c>
      <c r="M2060" s="1">
        <v>3</v>
      </c>
      <c r="N2060" s="1" t="s">
        <v>3241</v>
      </c>
    </row>
    <row r="2061" spans="1:14" x14ac:dyDescent="0.15">
      <c r="A2061" s="1">
        <v>260</v>
      </c>
      <c r="B2061" s="1" t="s">
        <v>3290</v>
      </c>
      <c r="C2061" s="1" t="s">
        <v>3299</v>
      </c>
      <c r="D2061" s="1" t="s">
        <v>3300</v>
      </c>
      <c r="E2061" s="1" t="s">
        <v>3299</v>
      </c>
      <c r="F2061" s="1" t="s">
        <v>3300</v>
      </c>
      <c r="G2061" s="1" t="s">
        <v>3301</v>
      </c>
      <c r="H2061" s="1" t="s">
        <v>3300</v>
      </c>
      <c r="I2061" s="1" t="s">
        <v>14090</v>
      </c>
      <c r="J2061" s="1" t="s">
        <v>4960</v>
      </c>
      <c r="K2061" s="1">
        <v>13</v>
      </c>
      <c r="L2061" s="1" t="s">
        <v>4219</v>
      </c>
      <c r="M2061" s="1">
        <v>3</v>
      </c>
      <c r="N2061" s="1" t="s">
        <v>3241</v>
      </c>
    </row>
    <row r="2062" spans="1:14" x14ac:dyDescent="0.15">
      <c r="A2062" s="1">
        <v>260</v>
      </c>
      <c r="B2062" s="1" t="s">
        <v>3290</v>
      </c>
      <c r="C2062" s="1" t="s">
        <v>3299</v>
      </c>
      <c r="D2062" s="1" t="s">
        <v>3300</v>
      </c>
      <c r="E2062" s="1" t="s">
        <v>3299</v>
      </c>
      <c r="F2062" s="1" t="s">
        <v>3300</v>
      </c>
      <c r="G2062" s="1" t="s">
        <v>3301</v>
      </c>
      <c r="H2062" s="1" t="s">
        <v>3300</v>
      </c>
      <c r="I2062" s="1" t="s">
        <v>14094</v>
      </c>
      <c r="J2062" s="1" t="s">
        <v>4961</v>
      </c>
      <c r="K2062" s="1">
        <v>13</v>
      </c>
      <c r="L2062" s="1" t="s">
        <v>4219</v>
      </c>
      <c r="M2062" s="1">
        <v>3</v>
      </c>
      <c r="N2062" s="1" t="s">
        <v>3241</v>
      </c>
    </row>
    <row r="2063" spans="1:14" x14ac:dyDescent="0.15">
      <c r="A2063" s="1">
        <v>260</v>
      </c>
      <c r="B2063" s="1" t="s">
        <v>3290</v>
      </c>
      <c r="C2063" s="1" t="s">
        <v>3299</v>
      </c>
      <c r="D2063" s="1" t="s">
        <v>3300</v>
      </c>
      <c r="E2063" s="1" t="s">
        <v>3299</v>
      </c>
      <c r="F2063" s="1" t="s">
        <v>3300</v>
      </c>
      <c r="G2063" s="1" t="s">
        <v>3301</v>
      </c>
      <c r="H2063" s="1" t="s">
        <v>3300</v>
      </c>
      <c r="I2063" s="1" t="s">
        <v>14106</v>
      </c>
      <c r="J2063" s="1" t="s">
        <v>14107</v>
      </c>
      <c r="K2063" s="1">
        <v>13</v>
      </c>
      <c r="L2063" s="1" t="s">
        <v>4219</v>
      </c>
      <c r="M2063" s="1">
        <v>3</v>
      </c>
      <c r="N2063" s="1" t="s">
        <v>3241</v>
      </c>
    </row>
    <row r="2064" spans="1:14" x14ac:dyDescent="0.15">
      <c r="A2064" s="1">
        <v>260</v>
      </c>
      <c r="B2064" s="1" t="s">
        <v>3290</v>
      </c>
      <c r="C2064" s="1" t="s">
        <v>3299</v>
      </c>
      <c r="D2064" s="1" t="s">
        <v>3300</v>
      </c>
      <c r="E2064" s="1" t="s">
        <v>3299</v>
      </c>
      <c r="F2064" s="1" t="s">
        <v>3300</v>
      </c>
      <c r="G2064" s="1" t="s">
        <v>3301</v>
      </c>
      <c r="H2064" s="1" t="s">
        <v>3300</v>
      </c>
      <c r="I2064" s="1" t="s">
        <v>14110</v>
      </c>
      <c r="J2064" s="1" t="s">
        <v>4963</v>
      </c>
      <c r="K2064" s="1">
        <v>13</v>
      </c>
      <c r="L2064" s="1" t="s">
        <v>4219</v>
      </c>
      <c r="M2064" s="1">
        <v>3</v>
      </c>
      <c r="N2064" s="1" t="s">
        <v>3241</v>
      </c>
    </row>
    <row r="2065" spans="1:14" x14ac:dyDescent="0.15">
      <c r="A2065" s="1">
        <v>260</v>
      </c>
      <c r="B2065" s="1" t="s">
        <v>3290</v>
      </c>
      <c r="C2065" s="1" t="s">
        <v>3299</v>
      </c>
      <c r="D2065" s="1" t="s">
        <v>3300</v>
      </c>
      <c r="E2065" s="1" t="s">
        <v>3299</v>
      </c>
      <c r="F2065" s="1" t="s">
        <v>3300</v>
      </c>
      <c r="G2065" s="1" t="s">
        <v>3301</v>
      </c>
      <c r="H2065" s="1" t="s">
        <v>3300</v>
      </c>
      <c r="I2065" s="1" t="s">
        <v>14114</v>
      </c>
      <c r="J2065" s="1" t="s">
        <v>14115</v>
      </c>
      <c r="K2065" s="1">
        <v>13</v>
      </c>
      <c r="L2065" s="1" t="s">
        <v>4219</v>
      </c>
      <c r="M2065" s="1">
        <v>3</v>
      </c>
      <c r="N2065" s="1" t="s">
        <v>3241</v>
      </c>
    </row>
    <row r="2066" spans="1:14" x14ac:dyDescent="0.15">
      <c r="A2066" s="1">
        <v>260</v>
      </c>
      <c r="B2066" s="1" t="s">
        <v>3290</v>
      </c>
      <c r="C2066" s="1" t="s">
        <v>3299</v>
      </c>
      <c r="D2066" s="1" t="s">
        <v>3300</v>
      </c>
      <c r="E2066" s="1" t="s">
        <v>3299</v>
      </c>
      <c r="F2066" s="1" t="s">
        <v>3300</v>
      </c>
      <c r="G2066" s="1" t="s">
        <v>3301</v>
      </c>
      <c r="H2066" s="1" t="s">
        <v>3300</v>
      </c>
      <c r="I2066" s="1" t="s">
        <v>14118</v>
      </c>
      <c r="J2066" s="1" t="s">
        <v>14119</v>
      </c>
      <c r="K2066" s="1">
        <v>13</v>
      </c>
      <c r="L2066" s="1" t="s">
        <v>4219</v>
      </c>
      <c r="M2066" s="1">
        <v>3</v>
      </c>
      <c r="N2066" s="1" t="s">
        <v>3241</v>
      </c>
    </row>
    <row r="2067" spans="1:14" x14ac:dyDescent="0.15">
      <c r="A2067" s="1">
        <v>260</v>
      </c>
      <c r="B2067" s="1" t="s">
        <v>3290</v>
      </c>
      <c r="C2067" s="1" t="s">
        <v>3299</v>
      </c>
      <c r="D2067" s="1" t="s">
        <v>3300</v>
      </c>
      <c r="E2067" s="1" t="s">
        <v>3299</v>
      </c>
      <c r="F2067" s="1" t="s">
        <v>3300</v>
      </c>
      <c r="G2067" s="1" t="s">
        <v>3301</v>
      </c>
      <c r="H2067" s="1" t="s">
        <v>3300</v>
      </c>
      <c r="I2067" s="1" t="s">
        <v>14122</v>
      </c>
      <c r="J2067" s="1" t="s">
        <v>14123</v>
      </c>
      <c r="K2067" s="1">
        <v>13</v>
      </c>
      <c r="L2067" s="1" t="s">
        <v>4219</v>
      </c>
      <c r="M2067" s="1">
        <v>3</v>
      </c>
      <c r="N2067" s="1" t="s">
        <v>3241</v>
      </c>
    </row>
    <row r="2068" spans="1:14" x14ac:dyDescent="0.15">
      <c r="A2068" s="1">
        <v>260</v>
      </c>
      <c r="B2068" s="1" t="s">
        <v>3290</v>
      </c>
      <c r="C2068" s="1" t="s">
        <v>3299</v>
      </c>
      <c r="D2068" s="1" t="s">
        <v>3300</v>
      </c>
      <c r="E2068" s="1" t="s">
        <v>3299</v>
      </c>
      <c r="F2068" s="1" t="s">
        <v>3300</v>
      </c>
      <c r="G2068" s="1" t="s">
        <v>3301</v>
      </c>
      <c r="H2068" s="1" t="s">
        <v>3300</v>
      </c>
      <c r="I2068" s="1" t="s">
        <v>14126</v>
      </c>
      <c r="J2068" s="1" t="s">
        <v>14127</v>
      </c>
      <c r="K2068" s="1">
        <v>13</v>
      </c>
      <c r="L2068" s="1" t="s">
        <v>4219</v>
      </c>
      <c r="M2068" s="1">
        <v>3</v>
      </c>
      <c r="N2068" s="1" t="s">
        <v>3241</v>
      </c>
    </row>
    <row r="2069" spans="1:14" x14ac:dyDescent="0.15">
      <c r="A2069" s="1">
        <v>260</v>
      </c>
      <c r="B2069" s="1" t="s">
        <v>3290</v>
      </c>
      <c r="C2069" s="1" t="s">
        <v>3299</v>
      </c>
      <c r="D2069" s="1" t="s">
        <v>3300</v>
      </c>
      <c r="E2069" s="1" t="s">
        <v>3299</v>
      </c>
      <c r="F2069" s="1" t="s">
        <v>3300</v>
      </c>
      <c r="G2069" s="1" t="s">
        <v>3301</v>
      </c>
      <c r="H2069" s="1" t="s">
        <v>3300</v>
      </c>
      <c r="I2069" s="1" t="s">
        <v>14138</v>
      </c>
      <c r="J2069" s="1" t="s">
        <v>14139</v>
      </c>
      <c r="K2069" s="1">
        <v>13</v>
      </c>
      <c r="L2069" s="1" t="s">
        <v>4219</v>
      </c>
      <c r="M2069" s="1">
        <v>3</v>
      </c>
      <c r="N2069" s="1" t="s">
        <v>3241</v>
      </c>
    </row>
    <row r="2070" spans="1:14" x14ac:dyDescent="0.15">
      <c r="A2070" s="1">
        <v>260</v>
      </c>
      <c r="B2070" s="1" t="s">
        <v>3290</v>
      </c>
      <c r="C2070" s="1" t="s">
        <v>3299</v>
      </c>
      <c r="D2070" s="1" t="s">
        <v>3300</v>
      </c>
      <c r="E2070" s="1" t="s">
        <v>3299</v>
      </c>
      <c r="F2070" s="1" t="s">
        <v>3300</v>
      </c>
      <c r="G2070" s="1" t="s">
        <v>3301</v>
      </c>
      <c r="H2070" s="1" t="s">
        <v>3300</v>
      </c>
      <c r="I2070" s="1" t="s">
        <v>13568</v>
      </c>
      <c r="J2070" s="1" t="s">
        <v>5191</v>
      </c>
      <c r="K2070" s="1">
        <v>13</v>
      </c>
      <c r="L2070" s="1" t="s">
        <v>4219</v>
      </c>
      <c r="M2070" s="1">
        <v>3</v>
      </c>
      <c r="N2070" s="1" t="s">
        <v>3241</v>
      </c>
    </row>
    <row r="2071" spans="1:14" x14ac:dyDescent="0.15">
      <c r="A2071" s="1">
        <v>260</v>
      </c>
      <c r="B2071" s="1" t="s">
        <v>3290</v>
      </c>
      <c r="C2071" s="1" t="s">
        <v>3299</v>
      </c>
      <c r="D2071" s="1" t="s">
        <v>3300</v>
      </c>
      <c r="E2071" s="1" t="s">
        <v>3299</v>
      </c>
      <c r="F2071" s="1" t="s">
        <v>3300</v>
      </c>
      <c r="G2071" s="1" t="s">
        <v>3302</v>
      </c>
      <c r="H2071" s="1" t="s">
        <v>3303</v>
      </c>
      <c r="I2071" s="1" t="s">
        <v>13989</v>
      </c>
      <c r="J2071" s="1" t="s">
        <v>4960</v>
      </c>
      <c r="K2071" s="1">
        <v>13</v>
      </c>
      <c r="L2071" s="1" t="s">
        <v>4219</v>
      </c>
      <c r="M2071" s="1">
        <v>3</v>
      </c>
      <c r="N2071" s="1" t="s">
        <v>3241</v>
      </c>
    </row>
    <row r="2072" spans="1:14" x14ac:dyDescent="0.15">
      <c r="A2072" s="1">
        <v>260</v>
      </c>
      <c r="B2072" s="1" t="s">
        <v>3290</v>
      </c>
      <c r="C2072" s="1" t="s">
        <v>3299</v>
      </c>
      <c r="D2072" s="1" t="s">
        <v>3300</v>
      </c>
      <c r="E2072" s="1" t="s">
        <v>3299</v>
      </c>
      <c r="F2072" s="1" t="s">
        <v>3300</v>
      </c>
      <c r="G2072" s="1" t="s">
        <v>3302</v>
      </c>
      <c r="H2072" s="1" t="s">
        <v>3303</v>
      </c>
      <c r="I2072" s="1" t="s">
        <v>14090</v>
      </c>
      <c r="J2072" s="1" t="s">
        <v>4960</v>
      </c>
      <c r="K2072" s="1">
        <v>13</v>
      </c>
      <c r="L2072" s="1" t="s">
        <v>4219</v>
      </c>
      <c r="M2072" s="1">
        <v>3</v>
      </c>
      <c r="N2072" s="1" t="s">
        <v>3241</v>
      </c>
    </row>
    <row r="2073" spans="1:14" x14ac:dyDescent="0.15">
      <c r="A2073" s="1">
        <v>260</v>
      </c>
      <c r="B2073" s="1" t="s">
        <v>3290</v>
      </c>
      <c r="C2073" s="1" t="s">
        <v>3299</v>
      </c>
      <c r="D2073" s="1" t="s">
        <v>3300</v>
      </c>
      <c r="E2073" s="1" t="s">
        <v>3299</v>
      </c>
      <c r="F2073" s="1" t="s">
        <v>3300</v>
      </c>
      <c r="G2073" s="1" t="s">
        <v>3302</v>
      </c>
      <c r="H2073" s="1" t="s">
        <v>3303</v>
      </c>
      <c r="I2073" s="1" t="s">
        <v>14094</v>
      </c>
      <c r="J2073" s="1" t="s">
        <v>4961</v>
      </c>
      <c r="K2073" s="1">
        <v>13</v>
      </c>
      <c r="L2073" s="1" t="s">
        <v>4219</v>
      </c>
      <c r="M2073" s="1">
        <v>3</v>
      </c>
      <c r="N2073" s="1" t="s">
        <v>3241</v>
      </c>
    </row>
    <row r="2074" spans="1:14" x14ac:dyDescent="0.15">
      <c r="A2074" s="1">
        <v>260</v>
      </c>
      <c r="B2074" s="1" t="s">
        <v>3290</v>
      </c>
      <c r="C2074" s="1" t="s">
        <v>3299</v>
      </c>
      <c r="D2074" s="1" t="s">
        <v>3300</v>
      </c>
      <c r="E2074" s="1" t="s">
        <v>3299</v>
      </c>
      <c r="F2074" s="1" t="s">
        <v>3300</v>
      </c>
      <c r="G2074" s="1" t="s">
        <v>3302</v>
      </c>
      <c r="H2074" s="1" t="s">
        <v>3303</v>
      </c>
      <c r="I2074" s="1" t="s">
        <v>14106</v>
      </c>
      <c r="J2074" s="1" t="s">
        <v>14107</v>
      </c>
      <c r="K2074" s="1">
        <v>13</v>
      </c>
      <c r="L2074" s="1" t="s">
        <v>4219</v>
      </c>
      <c r="M2074" s="1">
        <v>3</v>
      </c>
      <c r="N2074" s="1" t="s">
        <v>3241</v>
      </c>
    </row>
    <row r="2075" spans="1:14" x14ac:dyDescent="0.15">
      <c r="A2075" s="1">
        <v>260</v>
      </c>
      <c r="B2075" s="1" t="s">
        <v>3290</v>
      </c>
      <c r="C2075" s="1" t="s">
        <v>3299</v>
      </c>
      <c r="D2075" s="1" t="s">
        <v>3300</v>
      </c>
      <c r="E2075" s="1" t="s">
        <v>3299</v>
      </c>
      <c r="F2075" s="1" t="s">
        <v>3300</v>
      </c>
      <c r="G2075" s="1" t="s">
        <v>3302</v>
      </c>
      <c r="H2075" s="1" t="s">
        <v>3303</v>
      </c>
      <c r="I2075" s="1" t="s">
        <v>14138</v>
      </c>
      <c r="J2075" s="1" t="s">
        <v>14139</v>
      </c>
      <c r="K2075" s="1">
        <v>13</v>
      </c>
      <c r="L2075" s="1" t="s">
        <v>4219</v>
      </c>
      <c r="M2075" s="1">
        <v>3</v>
      </c>
      <c r="N2075" s="1" t="s">
        <v>3241</v>
      </c>
    </row>
    <row r="2076" spans="1:14" x14ac:dyDescent="0.15">
      <c r="A2076" s="1">
        <v>260</v>
      </c>
      <c r="B2076" s="1" t="s">
        <v>3290</v>
      </c>
      <c r="C2076" s="1" t="s">
        <v>3299</v>
      </c>
      <c r="D2076" s="1" t="s">
        <v>3300</v>
      </c>
      <c r="E2076" s="1" t="s">
        <v>3299</v>
      </c>
      <c r="F2076" s="1" t="s">
        <v>3300</v>
      </c>
      <c r="G2076" s="1" t="s">
        <v>3302</v>
      </c>
      <c r="H2076" s="1" t="s">
        <v>3303</v>
      </c>
      <c r="I2076" s="1" t="s">
        <v>13568</v>
      </c>
      <c r="J2076" s="1" t="s">
        <v>5191</v>
      </c>
      <c r="K2076" s="1">
        <v>13</v>
      </c>
      <c r="L2076" s="1" t="s">
        <v>4219</v>
      </c>
      <c r="M2076" s="1">
        <v>3</v>
      </c>
      <c r="N2076" s="1" t="s">
        <v>3241</v>
      </c>
    </row>
    <row r="2077" spans="1:14" x14ac:dyDescent="0.15">
      <c r="A2077" s="1">
        <v>260</v>
      </c>
      <c r="B2077" s="1" t="s">
        <v>3290</v>
      </c>
      <c r="C2077" s="1" t="s">
        <v>3299</v>
      </c>
      <c r="D2077" s="1" t="s">
        <v>3300</v>
      </c>
      <c r="E2077" s="1" t="s">
        <v>3299</v>
      </c>
      <c r="F2077" s="1" t="s">
        <v>3300</v>
      </c>
      <c r="G2077" s="1" t="s">
        <v>3304</v>
      </c>
      <c r="H2077" s="1" t="s">
        <v>3305</v>
      </c>
      <c r="I2077" s="1" t="s">
        <v>13989</v>
      </c>
      <c r="J2077" s="1" t="s">
        <v>4960</v>
      </c>
      <c r="K2077" s="1">
        <v>13</v>
      </c>
      <c r="L2077" s="1" t="s">
        <v>4219</v>
      </c>
      <c r="M2077" s="1">
        <v>3</v>
      </c>
      <c r="N2077" s="1" t="s">
        <v>3241</v>
      </c>
    </row>
    <row r="2078" spans="1:14" x14ac:dyDescent="0.15">
      <c r="A2078" s="1">
        <v>260</v>
      </c>
      <c r="B2078" s="1" t="s">
        <v>3290</v>
      </c>
      <c r="C2078" s="1" t="s">
        <v>3299</v>
      </c>
      <c r="D2078" s="1" t="s">
        <v>3300</v>
      </c>
      <c r="E2078" s="1" t="s">
        <v>3299</v>
      </c>
      <c r="F2078" s="1" t="s">
        <v>3300</v>
      </c>
      <c r="G2078" s="1" t="s">
        <v>3304</v>
      </c>
      <c r="H2078" s="1" t="s">
        <v>3305</v>
      </c>
      <c r="I2078" s="1" t="s">
        <v>14090</v>
      </c>
      <c r="J2078" s="1" t="s">
        <v>4960</v>
      </c>
      <c r="K2078" s="1">
        <v>13</v>
      </c>
      <c r="L2078" s="1" t="s">
        <v>4219</v>
      </c>
      <c r="M2078" s="1">
        <v>3</v>
      </c>
      <c r="N2078" s="1" t="s">
        <v>3241</v>
      </c>
    </row>
    <row r="2079" spans="1:14" x14ac:dyDescent="0.15">
      <c r="A2079" s="1">
        <v>260</v>
      </c>
      <c r="B2079" s="1" t="s">
        <v>3290</v>
      </c>
      <c r="C2079" s="1" t="s">
        <v>3299</v>
      </c>
      <c r="D2079" s="1" t="s">
        <v>3300</v>
      </c>
      <c r="E2079" s="1" t="s">
        <v>3299</v>
      </c>
      <c r="F2079" s="1" t="s">
        <v>3300</v>
      </c>
      <c r="G2079" s="1" t="s">
        <v>3304</v>
      </c>
      <c r="H2079" s="1" t="s">
        <v>3305</v>
      </c>
      <c r="I2079" s="1" t="s">
        <v>14094</v>
      </c>
      <c r="J2079" s="1" t="s">
        <v>4961</v>
      </c>
      <c r="K2079" s="1">
        <v>13</v>
      </c>
      <c r="L2079" s="1" t="s">
        <v>4219</v>
      </c>
      <c r="M2079" s="1">
        <v>3</v>
      </c>
      <c r="N2079" s="1" t="s">
        <v>3241</v>
      </c>
    </row>
    <row r="2080" spans="1:14" x14ac:dyDescent="0.15">
      <c r="A2080" s="1">
        <v>260</v>
      </c>
      <c r="B2080" s="1" t="s">
        <v>3290</v>
      </c>
      <c r="C2080" s="1" t="s">
        <v>3299</v>
      </c>
      <c r="D2080" s="1" t="s">
        <v>3300</v>
      </c>
      <c r="E2080" s="1" t="s">
        <v>3299</v>
      </c>
      <c r="F2080" s="1" t="s">
        <v>3300</v>
      </c>
      <c r="G2080" s="1" t="s">
        <v>3304</v>
      </c>
      <c r="H2080" s="1" t="s">
        <v>3305</v>
      </c>
      <c r="I2080" s="1" t="s">
        <v>14106</v>
      </c>
      <c r="J2080" s="1" t="s">
        <v>14107</v>
      </c>
      <c r="K2080" s="1">
        <v>13</v>
      </c>
      <c r="L2080" s="1" t="s">
        <v>4219</v>
      </c>
      <c r="M2080" s="1">
        <v>3</v>
      </c>
      <c r="N2080" s="1" t="s">
        <v>3241</v>
      </c>
    </row>
    <row r="2081" spans="1:14" x14ac:dyDescent="0.15">
      <c r="A2081" s="1">
        <v>260</v>
      </c>
      <c r="B2081" s="1" t="s">
        <v>3290</v>
      </c>
      <c r="C2081" s="1" t="s">
        <v>3299</v>
      </c>
      <c r="D2081" s="1" t="s">
        <v>3300</v>
      </c>
      <c r="E2081" s="1" t="s">
        <v>3299</v>
      </c>
      <c r="F2081" s="1" t="s">
        <v>3300</v>
      </c>
      <c r="G2081" s="1" t="s">
        <v>3306</v>
      </c>
      <c r="H2081" s="1" t="s">
        <v>3307</v>
      </c>
      <c r="I2081" s="1" t="s">
        <v>14090</v>
      </c>
      <c r="J2081" s="1" t="s">
        <v>4960</v>
      </c>
      <c r="K2081" s="1">
        <v>13</v>
      </c>
      <c r="L2081" s="1" t="s">
        <v>4219</v>
      </c>
      <c r="M2081" s="1">
        <v>3</v>
      </c>
      <c r="N2081" s="1" t="s">
        <v>3241</v>
      </c>
    </row>
    <row r="2082" spans="1:14" x14ac:dyDescent="0.15">
      <c r="A2082" s="1">
        <v>260</v>
      </c>
      <c r="B2082" s="1" t="s">
        <v>3290</v>
      </c>
      <c r="C2082" s="1" t="s">
        <v>3299</v>
      </c>
      <c r="D2082" s="1" t="s">
        <v>3300</v>
      </c>
      <c r="E2082" s="1" t="s">
        <v>3299</v>
      </c>
      <c r="F2082" s="1" t="s">
        <v>3300</v>
      </c>
      <c r="G2082" s="1" t="s">
        <v>3306</v>
      </c>
      <c r="H2082" s="1" t="s">
        <v>3307</v>
      </c>
      <c r="I2082" s="1" t="s">
        <v>14106</v>
      </c>
      <c r="J2082" s="1" t="s">
        <v>14107</v>
      </c>
      <c r="K2082" s="1">
        <v>13</v>
      </c>
      <c r="L2082" s="1" t="s">
        <v>4219</v>
      </c>
      <c r="M2082" s="1">
        <v>3</v>
      </c>
      <c r="N2082" s="1" t="s">
        <v>3241</v>
      </c>
    </row>
    <row r="2083" spans="1:14" x14ac:dyDescent="0.15">
      <c r="A2083" s="1">
        <v>260</v>
      </c>
      <c r="B2083" s="1" t="s">
        <v>3290</v>
      </c>
      <c r="C2083" s="1" t="s">
        <v>3299</v>
      </c>
      <c r="D2083" s="1" t="s">
        <v>3300</v>
      </c>
      <c r="E2083" s="1" t="s">
        <v>3299</v>
      </c>
      <c r="F2083" s="1" t="s">
        <v>3300</v>
      </c>
      <c r="G2083" s="1" t="s">
        <v>3308</v>
      </c>
      <c r="H2083" s="1" t="s">
        <v>3309</v>
      </c>
      <c r="I2083" s="1" t="s">
        <v>13989</v>
      </c>
      <c r="J2083" s="1" t="s">
        <v>4960</v>
      </c>
      <c r="K2083" s="1">
        <v>13</v>
      </c>
      <c r="L2083" s="1" t="s">
        <v>4219</v>
      </c>
      <c r="M2083" s="1">
        <v>3</v>
      </c>
      <c r="N2083" s="1" t="s">
        <v>3241</v>
      </c>
    </row>
    <row r="2084" spans="1:14" x14ac:dyDescent="0.15">
      <c r="A2084" s="1">
        <v>260</v>
      </c>
      <c r="B2084" s="1" t="s">
        <v>3290</v>
      </c>
      <c r="C2084" s="1" t="s">
        <v>3299</v>
      </c>
      <c r="D2084" s="1" t="s">
        <v>3300</v>
      </c>
      <c r="E2084" s="1" t="s">
        <v>3299</v>
      </c>
      <c r="F2084" s="1" t="s">
        <v>3300</v>
      </c>
      <c r="G2084" s="1" t="s">
        <v>3308</v>
      </c>
      <c r="H2084" s="1" t="s">
        <v>3309</v>
      </c>
      <c r="I2084" s="1" t="s">
        <v>14090</v>
      </c>
      <c r="J2084" s="1" t="s">
        <v>4960</v>
      </c>
      <c r="K2084" s="1">
        <v>13</v>
      </c>
      <c r="L2084" s="1" t="s">
        <v>4219</v>
      </c>
      <c r="M2084" s="1">
        <v>3</v>
      </c>
      <c r="N2084" s="1" t="s">
        <v>3241</v>
      </c>
    </row>
    <row r="2085" spans="1:14" x14ac:dyDescent="0.15">
      <c r="A2085" s="1">
        <v>260</v>
      </c>
      <c r="B2085" s="1" t="s">
        <v>3290</v>
      </c>
      <c r="C2085" s="1" t="s">
        <v>3299</v>
      </c>
      <c r="D2085" s="1" t="s">
        <v>3300</v>
      </c>
      <c r="E2085" s="1" t="s">
        <v>3299</v>
      </c>
      <c r="F2085" s="1" t="s">
        <v>3300</v>
      </c>
      <c r="G2085" s="1" t="s">
        <v>3308</v>
      </c>
      <c r="H2085" s="1" t="s">
        <v>3309</v>
      </c>
      <c r="I2085" s="1" t="s">
        <v>14094</v>
      </c>
      <c r="J2085" s="1" t="s">
        <v>4961</v>
      </c>
      <c r="K2085" s="1">
        <v>13</v>
      </c>
      <c r="L2085" s="1" t="s">
        <v>4219</v>
      </c>
      <c r="M2085" s="1">
        <v>3</v>
      </c>
      <c r="N2085" s="1" t="s">
        <v>3241</v>
      </c>
    </row>
    <row r="2086" spans="1:14" x14ac:dyDescent="0.15">
      <c r="A2086" s="1">
        <v>260</v>
      </c>
      <c r="B2086" s="1" t="s">
        <v>3290</v>
      </c>
      <c r="C2086" s="1" t="s">
        <v>3299</v>
      </c>
      <c r="D2086" s="1" t="s">
        <v>3300</v>
      </c>
      <c r="E2086" s="1" t="s">
        <v>3299</v>
      </c>
      <c r="F2086" s="1" t="s">
        <v>3300</v>
      </c>
      <c r="G2086" s="1" t="s">
        <v>3308</v>
      </c>
      <c r="H2086" s="1" t="s">
        <v>3309</v>
      </c>
      <c r="I2086" s="1" t="s">
        <v>14118</v>
      </c>
      <c r="J2086" s="1" t="s">
        <v>14119</v>
      </c>
      <c r="K2086" s="1">
        <v>13</v>
      </c>
      <c r="L2086" s="1" t="s">
        <v>4219</v>
      </c>
      <c r="M2086" s="1">
        <v>3</v>
      </c>
      <c r="N2086" s="1" t="s">
        <v>3241</v>
      </c>
    </row>
    <row r="2087" spans="1:14" x14ac:dyDescent="0.15">
      <c r="A2087" s="1">
        <v>260</v>
      </c>
      <c r="B2087" s="1" t="s">
        <v>3290</v>
      </c>
      <c r="C2087" s="1" t="s">
        <v>3299</v>
      </c>
      <c r="D2087" s="1" t="s">
        <v>3300</v>
      </c>
      <c r="E2087" s="1" t="s">
        <v>3299</v>
      </c>
      <c r="F2087" s="1" t="s">
        <v>3300</v>
      </c>
      <c r="G2087" s="1" t="s">
        <v>3308</v>
      </c>
      <c r="H2087" s="1" t="s">
        <v>3309</v>
      </c>
      <c r="I2087" s="1" t="s">
        <v>14138</v>
      </c>
      <c r="J2087" s="1" t="s">
        <v>14139</v>
      </c>
      <c r="K2087" s="1">
        <v>13</v>
      </c>
      <c r="L2087" s="1" t="s">
        <v>4219</v>
      </c>
      <c r="M2087" s="1">
        <v>3</v>
      </c>
      <c r="N2087" s="1" t="s">
        <v>3241</v>
      </c>
    </row>
    <row r="2088" spans="1:14" x14ac:dyDescent="0.15">
      <c r="A2088" s="1">
        <v>260</v>
      </c>
      <c r="B2088" s="1" t="s">
        <v>3290</v>
      </c>
      <c r="C2088" s="1" t="s">
        <v>3310</v>
      </c>
      <c r="D2088" s="1" t="s">
        <v>3311</v>
      </c>
      <c r="E2088" s="1" t="s">
        <v>3310</v>
      </c>
      <c r="F2088" s="1" t="s">
        <v>3311</v>
      </c>
      <c r="G2088" s="1" t="s">
        <v>3312</v>
      </c>
      <c r="H2088" s="1" t="s">
        <v>3311</v>
      </c>
      <c r="I2088" s="1" t="s">
        <v>11065</v>
      </c>
      <c r="J2088" s="1" t="s">
        <v>3313</v>
      </c>
      <c r="K2088" s="1">
        <v>13</v>
      </c>
      <c r="L2088" s="1" t="s">
        <v>4219</v>
      </c>
      <c r="M2088" s="1">
        <v>3</v>
      </c>
      <c r="N2088" s="1" t="s">
        <v>3241</v>
      </c>
    </row>
    <row r="2089" spans="1:14" x14ac:dyDescent="0.15">
      <c r="A2089" s="1">
        <v>260</v>
      </c>
      <c r="B2089" s="1" t="s">
        <v>3290</v>
      </c>
      <c r="C2089" s="1" t="s">
        <v>3310</v>
      </c>
      <c r="D2089" s="1" t="s">
        <v>3311</v>
      </c>
      <c r="E2089" s="1" t="s">
        <v>3310</v>
      </c>
      <c r="F2089" s="1" t="s">
        <v>3311</v>
      </c>
      <c r="G2089" s="1" t="s">
        <v>3312</v>
      </c>
      <c r="H2089" s="1" t="s">
        <v>3311</v>
      </c>
      <c r="I2089" s="1" t="s">
        <v>11063</v>
      </c>
      <c r="J2089" s="1" t="s">
        <v>4614</v>
      </c>
      <c r="K2089" s="1">
        <v>13</v>
      </c>
      <c r="L2089" s="1" t="s">
        <v>4219</v>
      </c>
      <c r="M2089" s="1">
        <v>3</v>
      </c>
      <c r="N2089" s="1" t="s">
        <v>3241</v>
      </c>
    </row>
    <row r="2090" spans="1:14" x14ac:dyDescent="0.15">
      <c r="A2090" s="1">
        <v>260</v>
      </c>
      <c r="B2090" s="1" t="s">
        <v>3290</v>
      </c>
      <c r="C2090" s="1" t="s">
        <v>3310</v>
      </c>
      <c r="D2090" s="1" t="s">
        <v>3311</v>
      </c>
      <c r="E2090" s="1" t="s">
        <v>3310</v>
      </c>
      <c r="F2090" s="1" t="s">
        <v>3311</v>
      </c>
      <c r="G2090" s="1" t="s">
        <v>3312</v>
      </c>
      <c r="H2090" s="1" t="s">
        <v>3311</v>
      </c>
      <c r="I2090" s="1" t="s">
        <v>11054</v>
      </c>
      <c r="J2090" s="1" t="s">
        <v>3043</v>
      </c>
      <c r="K2090" s="1">
        <v>13</v>
      </c>
      <c r="L2090" s="1" t="s">
        <v>4219</v>
      </c>
      <c r="M2090" s="1">
        <v>3</v>
      </c>
      <c r="N2090" s="1" t="s">
        <v>3241</v>
      </c>
    </row>
    <row r="2091" spans="1:14" x14ac:dyDescent="0.15">
      <c r="A2091" s="1">
        <v>260</v>
      </c>
      <c r="B2091" s="1" t="s">
        <v>3290</v>
      </c>
      <c r="C2091" s="1" t="s">
        <v>3310</v>
      </c>
      <c r="D2091" s="1" t="s">
        <v>3311</v>
      </c>
      <c r="E2091" s="1" t="s">
        <v>3310</v>
      </c>
      <c r="F2091" s="1" t="s">
        <v>3311</v>
      </c>
      <c r="G2091" s="1" t="s">
        <v>3312</v>
      </c>
      <c r="H2091" s="1" t="s">
        <v>3311</v>
      </c>
      <c r="I2091" s="1" t="s">
        <v>14106</v>
      </c>
      <c r="J2091" s="1" t="s">
        <v>14107</v>
      </c>
      <c r="K2091" s="1">
        <v>13</v>
      </c>
      <c r="L2091" s="1" t="s">
        <v>4219</v>
      </c>
      <c r="M2091" s="1">
        <v>3</v>
      </c>
      <c r="N2091" s="1" t="s">
        <v>3241</v>
      </c>
    </row>
    <row r="2092" spans="1:14" x14ac:dyDescent="0.15">
      <c r="A2092" s="1">
        <v>260</v>
      </c>
      <c r="B2092" s="1" t="s">
        <v>3290</v>
      </c>
      <c r="C2092" s="1" t="s">
        <v>3310</v>
      </c>
      <c r="D2092" s="1" t="s">
        <v>3311</v>
      </c>
      <c r="E2092" s="1" t="s">
        <v>3310</v>
      </c>
      <c r="F2092" s="1" t="s">
        <v>3311</v>
      </c>
      <c r="G2092" s="1" t="s">
        <v>3312</v>
      </c>
      <c r="H2092" s="1" t="s">
        <v>3311</v>
      </c>
      <c r="I2092" s="1" t="s">
        <v>14110</v>
      </c>
      <c r="J2092" s="1" t="s">
        <v>4963</v>
      </c>
      <c r="K2092" s="1">
        <v>13</v>
      </c>
      <c r="L2092" s="1" t="s">
        <v>4219</v>
      </c>
      <c r="M2092" s="1">
        <v>3</v>
      </c>
      <c r="N2092" s="1" t="s">
        <v>3241</v>
      </c>
    </row>
    <row r="2093" spans="1:14" x14ac:dyDescent="0.15">
      <c r="A2093" s="1">
        <v>260</v>
      </c>
      <c r="B2093" s="1" t="s">
        <v>3290</v>
      </c>
      <c r="C2093" s="1" t="s">
        <v>3310</v>
      </c>
      <c r="D2093" s="1" t="s">
        <v>3311</v>
      </c>
      <c r="E2093" s="1" t="s">
        <v>3310</v>
      </c>
      <c r="F2093" s="1" t="s">
        <v>3311</v>
      </c>
      <c r="G2093" s="1" t="s">
        <v>3312</v>
      </c>
      <c r="H2093" s="1" t="s">
        <v>3311</v>
      </c>
      <c r="I2093" s="1" t="s">
        <v>14114</v>
      </c>
      <c r="J2093" s="1" t="s">
        <v>14115</v>
      </c>
      <c r="K2093" s="1">
        <v>13</v>
      </c>
      <c r="L2093" s="1" t="s">
        <v>4219</v>
      </c>
      <c r="M2093" s="1">
        <v>3</v>
      </c>
      <c r="N2093" s="1" t="s">
        <v>3241</v>
      </c>
    </row>
    <row r="2094" spans="1:14" x14ac:dyDescent="0.15">
      <c r="A2094" s="1">
        <v>260</v>
      </c>
      <c r="B2094" s="1" t="s">
        <v>3290</v>
      </c>
      <c r="C2094" s="1" t="s">
        <v>3310</v>
      </c>
      <c r="D2094" s="1" t="s">
        <v>3311</v>
      </c>
      <c r="E2094" s="1" t="s">
        <v>3310</v>
      </c>
      <c r="F2094" s="1" t="s">
        <v>3311</v>
      </c>
      <c r="G2094" s="1" t="s">
        <v>3312</v>
      </c>
      <c r="H2094" s="1" t="s">
        <v>3311</v>
      </c>
      <c r="I2094" s="1" t="s">
        <v>14122</v>
      </c>
      <c r="J2094" s="1" t="s">
        <v>14123</v>
      </c>
      <c r="K2094" s="1">
        <v>13</v>
      </c>
      <c r="L2094" s="1" t="s">
        <v>4219</v>
      </c>
      <c r="M2094" s="1">
        <v>3</v>
      </c>
      <c r="N2094" s="1" t="s">
        <v>3241</v>
      </c>
    </row>
    <row r="2095" spans="1:14" x14ac:dyDescent="0.15">
      <c r="A2095" s="1">
        <v>260</v>
      </c>
      <c r="B2095" s="1" t="s">
        <v>3290</v>
      </c>
      <c r="C2095" s="1" t="s">
        <v>3314</v>
      </c>
      <c r="D2095" s="1" t="s">
        <v>3315</v>
      </c>
      <c r="E2095" s="1" t="s">
        <v>3314</v>
      </c>
      <c r="F2095" s="1" t="s">
        <v>3315</v>
      </c>
      <c r="G2095" s="1" t="s">
        <v>3316</v>
      </c>
      <c r="H2095" s="1" t="s">
        <v>3315</v>
      </c>
      <c r="I2095" s="1" t="s">
        <v>13989</v>
      </c>
      <c r="J2095" s="1" t="s">
        <v>4960</v>
      </c>
      <c r="K2095" s="1">
        <v>13</v>
      </c>
      <c r="L2095" s="1" t="s">
        <v>4219</v>
      </c>
      <c r="M2095" s="1">
        <v>3</v>
      </c>
      <c r="N2095" s="1" t="s">
        <v>3241</v>
      </c>
    </row>
    <row r="2096" spans="1:14" x14ac:dyDescent="0.15">
      <c r="A2096" s="1">
        <v>260</v>
      </c>
      <c r="B2096" s="1" t="s">
        <v>3290</v>
      </c>
      <c r="C2096" s="1" t="s">
        <v>3314</v>
      </c>
      <c r="D2096" s="1" t="s">
        <v>3315</v>
      </c>
      <c r="E2096" s="1" t="s">
        <v>3314</v>
      </c>
      <c r="F2096" s="1" t="s">
        <v>3315</v>
      </c>
      <c r="G2096" s="1" t="s">
        <v>3316</v>
      </c>
      <c r="H2096" s="1" t="s">
        <v>3315</v>
      </c>
      <c r="I2096" s="1" t="s">
        <v>13996</v>
      </c>
      <c r="J2096" s="1" t="s">
        <v>3041</v>
      </c>
      <c r="K2096" s="1">
        <v>13</v>
      </c>
      <c r="L2096" s="1" t="s">
        <v>4219</v>
      </c>
      <c r="M2096" s="1">
        <v>3</v>
      </c>
      <c r="N2096" s="1" t="s">
        <v>3241</v>
      </c>
    </row>
    <row r="2097" spans="1:14" x14ac:dyDescent="0.15">
      <c r="A2097" s="1">
        <v>260</v>
      </c>
      <c r="B2097" s="1" t="s">
        <v>3290</v>
      </c>
      <c r="C2097" s="1" t="s">
        <v>3314</v>
      </c>
      <c r="D2097" s="1" t="s">
        <v>3315</v>
      </c>
      <c r="E2097" s="1" t="s">
        <v>3314</v>
      </c>
      <c r="F2097" s="1" t="s">
        <v>3315</v>
      </c>
      <c r="G2097" s="1" t="s">
        <v>3316</v>
      </c>
      <c r="H2097" s="1" t="s">
        <v>3315</v>
      </c>
      <c r="I2097" s="1" t="s">
        <v>14014</v>
      </c>
      <c r="J2097" s="1" t="s">
        <v>3317</v>
      </c>
      <c r="K2097" s="1">
        <v>13</v>
      </c>
      <c r="L2097" s="1" t="s">
        <v>4219</v>
      </c>
      <c r="M2097" s="1">
        <v>3</v>
      </c>
      <c r="N2097" s="1" t="s">
        <v>3241</v>
      </c>
    </row>
    <row r="2098" spans="1:14" x14ac:dyDescent="0.15">
      <c r="A2098" s="1">
        <v>260</v>
      </c>
      <c r="B2098" s="1" t="s">
        <v>3290</v>
      </c>
      <c r="C2098" s="1" t="s">
        <v>3314</v>
      </c>
      <c r="D2098" s="1" t="s">
        <v>3315</v>
      </c>
      <c r="E2098" s="1" t="s">
        <v>3314</v>
      </c>
      <c r="F2098" s="1" t="s">
        <v>3315</v>
      </c>
      <c r="G2098" s="1" t="s">
        <v>3316</v>
      </c>
      <c r="H2098" s="1" t="s">
        <v>3315</v>
      </c>
      <c r="I2098" s="1" t="s">
        <v>11054</v>
      </c>
      <c r="J2098" s="1" t="s">
        <v>3043</v>
      </c>
      <c r="K2098" s="1">
        <v>13</v>
      </c>
      <c r="L2098" s="1" t="s">
        <v>4219</v>
      </c>
      <c r="M2098" s="1">
        <v>3</v>
      </c>
      <c r="N2098" s="1" t="s">
        <v>3241</v>
      </c>
    </row>
    <row r="2099" spans="1:14" x14ac:dyDescent="0.15">
      <c r="A2099" s="1">
        <v>260</v>
      </c>
      <c r="B2099" s="1" t="s">
        <v>3290</v>
      </c>
      <c r="C2099" s="1" t="s">
        <v>3314</v>
      </c>
      <c r="D2099" s="1" t="s">
        <v>3315</v>
      </c>
      <c r="E2099" s="1" t="s">
        <v>3314</v>
      </c>
      <c r="F2099" s="1" t="s">
        <v>3315</v>
      </c>
      <c r="G2099" s="1" t="s">
        <v>3316</v>
      </c>
      <c r="H2099" s="1" t="s">
        <v>3315</v>
      </c>
      <c r="I2099" s="1" t="s">
        <v>8359</v>
      </c>
      <c r="J2099" s="1" t="s">
        <v>3318</v>
      </c>
      <c r="K2099" s="1">
        <v>13</v>
      </c>
      <c r="L2099" s="1" t="s">
        <v>4219</v>
      </c>
      <c r="M2099" s="1">
        <v>3</v>
      </c>
      <c r="N2099" s="1" t="s">
        <v>3241</v>
      </c>
    </row>
    <row r="2100" spans="1:14" x14ac:dyDescent="0.15">
      <c r="A2100" s="1">
        <v>260</v>
      </c>
      <c r="B2100" s="1" t="s">
        <v>3290</v>
      </c>
      <c r="C2100" s="1" t="s">
        <v>3314</v>
      </c>
      <c r="D2100" s="1" t="s">
        <v>3315</v>
      </c>
      <c r="E2100" s="1" t="s">
        <v>3314</v>
      </c>
      <c r="F2100" s="1" t="s">
        <v>3315</v>
      </c>
      <c r="G2100" s="1" t="s">
        <v>3316</v>
      </c>
      <c r="H2100" s="1" t="s">
        <v>3315</v>
      </c>
      <c r="I2100" s="1" t="s">
        <v>14094</v>
      </c>
      <c r="J2100" s="1" t="s">
        <v>4961</v>
      </c>
      <c r="K2100" s="1">
        <v>13</v>
      </c>
      <c r="L2100" s="1" t="s">
        <v>4219</v>
      </c>
      <c r="M2100" s="1">
        <v>3</v>
      </c>
      <c r="N2100" s="1" t="s">
        <v>3241</v>
      </c>
    </row>
    <row r="2101" spans="1:14" x14ac:dyDescent="0.15">
      <c r="A2101" s="1">
        <v>260</v>
      </c>
      <c r="B2101" s="1" t="s">
        <v>3290</v>
      </c>
      <c r="C2101" s="1" t="s">
        <v>3314</v>
      </c>
      <c r="D2101" s="1" t="s">
        <v>3315</v>
      </c>
      <c r="E2101" s="1" t="s">
        <v>3314</v>
      </c>
      <c r="F2101" s="1" t="s">
        <v>3315</v>
      </c>
      <c r="G2101" s="1" t="s">
        <v>3316</v>
      </c>
      <c r="H2101" s="1" t="s">
        <v>3315</v>
      </c>
      <c r="I2101" s="1" t="s">
        <v>14138</v>
      </c>
      <c r="J2101" s="1" t="s">
        <v>14139</v>
      </c>
      <c r="K2101" s="1">
        <v>13</v>
      </c>
      <c r="L2101" s="1" t="s">
        <v>4219</v>
      </c>
      <c r="M2101" s="1">
        <v>3</v>
      </c>
      <c r="N2101" s="1" t="s">
        <v>3241</v>
      </c>
    </row>
    <row r="2102" spans="1:14" x14ac:dyDescent="0.15">
      <c r="A2102" s="1">
        <v>263</v>
      </c>
      <c r="B2102" s="1" t="s">
        <v>3319</v>
      </c>
      <c r="C2102" s="1" t="s">
        <v>3320</v>
      </c>
      <c r="D2102" s="1" t="s">
        <v>3319</v>
      </c>
      <c r="E2102" s="1" t="s">
        <v>3320</v>
      </c>
      <c r="F2102" s="1" t="s">
        <v>3319</v>
      </c>
      <c r="G2102" s="1" t="s">
        <v>3320</v>
      </c>
      <c r="H2102" s="1" t="s">
        <v>3319</v>
      </c>
      <c r="I2102" s="1" t="s">
        <v>11879</v>
      </c>
      <c r="J2102" s="1" t="s">
        <v>4278</v>
      </c>
      <c r="L2102" s="1" t="s">
        <v>3321</v>
      </c>
      <c r="N2102" s="1" t="s">
        <v>3321</v>
      </c>
    </row>
    <row r="2103" spans="1:14" x14ac:dyDescent="0.15">
      <c r="A2103" s="1">
        <v>263</v>
      </c>
      <c r="B2103" s="1" t="s">
        <v>3319</v>
      </c>
      <c r="C2103" s="1" t="s">
        <v>3322</v>
      </c>
      <c r="D2103" s="1" t="s">
        <v>3323</v>
      </c>
      <c r="E2103" s="1" t="s">
        <v>3322</v>
      </c>
      <c r="F2103" s="1" t="s">
        <v>3323</v>
      </c>
      <c r="G2103" s="1" t="s">
        <v>3324</v>
      </c>
      <c r="H2103" s="1" t="s">
        <v>3323</v>
      </c>
      <c r="I2103" s="1" t="s">
        <v>14010</v>
      </c>
      <c r="J2103" s="1" t="s">
        <v>3042</v>
      </c>
      <c r="K2103" s="1">
        <v>11</v>
      </c>
      <c r="L2103" s="1" t="s">
        <v>4227</v>
      </c>
      <c r="M2103" s="1">
        <v>3</v>
      </c>
      <c r="N2103" s="1" t="s">
        <v>3241</v>
      </c>
    </row>
    <row r="2104" spans="1:14" x14ac:dyDescent="0.15">
      <c r="A2104" s="1">
        <v>263</v>
      </c>
      <c r="B2104" s="1" t="s">
        <v>3319</v>
      </c>
      <c r="C2104" s="1" t="s">
        <v>3322</v>
      </c>
      <c r="D2104" s="1" t="s">
        <v>3323</v>
      </c>
      <c r="E2104" s="1" t="s">
        <v>3322</v>
      </c>
      <c r="F2104" s="1" t="s">
        <v>3323</v>
      </c>
      <c r="G2104" s="1" t="s">
        <v>3324</v>
      </c>
      <c r="H2104" s="1" t="s">
        <v>3323</v>
      </c>
      <c r="I2104" s="1" t="s">
        <v>14014</v>
      </c>
      <c r="J2104" s="1" t="s">
        <v>3317</v>
      </c>
      <c r="K2104" s="1">
        <v>11</v>
      </c>
      <c r="L2104" s="1" t="s">
        <v>4227</v>
      </c>
      <c r="M2104" s="1">
        <v>3</v>
      </c>
      <c r="N2104" s="1" t="s">
        <v>3241</v>
      </c>
    </row>
    <row r="2105" spans="1:14" x14ac:dyDescent="0.15">
      <c r="A2105" s="1">
        <v>263</v>
      </c>
      <c r="B2105" s="1" t="s">
        <v>3319</v>
      </c>
      <c r="C2105" s="1" t="s">
        <v>3322</v>
      </c>
      <c r="D2105" s="1" t="s">
        <v>3323</v>
      </c>
      <c r="E2105" s="1" t="s">
        <v>3322</v>
      </c>
      <c r="F2105" s="1" t="s">
        <v>3323</v>
      </c>
      <c r="G2105" s="1" t="s">
        <v>3324</v>
      </c>
      <c r="H2105" s="1" t="s">
        <v>3323</v>
      </c>
      <c r="I2105" s="1" t="s">
        <v>14018</v>
      </c>
      <c r="J2105" s="1" t="s">
        <v>14019</v>
      </c>
      <c r="K2105" s="1">
        <v>11</v>
      </c>
      <c r="L2105" s="1" t="s">
        <v>4227</v>
      </c>
      <c r="M2105" s="1">
        <v>3</v>
      </c>
      <c r="N2105" s="1" t="s">
        <v>3241</v>
      </c>
    </row>
    <row r="2106" spans="1:14" x14ac:dyDescent="0.15">
      <c r="A2106" s="1">
        <v>263</v>
      </c>
      <c r="B2106" s="1" t="s">
        <v>3319</v>
      </c>
      <c r="C2106" s="1" t="s">
        <v>3322</v>
      </c>
      <c r="D2106" s="1" t="s">
        <v>3323</v>
      </c>
      <c r="E2106" s="1" t="s">
        <v>3322</v>
      </c>
      <c r="F2106" s="1" t="s">
        <v>3323</v>
      </c>
      <c r="G2106" s="1" t="s">
        <v>3324</v>
      </c>
      <c r="H2106" s="1" t="s">
        <v>3323</v>
      </c>
      <c r="I2106" s="1" t="s">
        <v>14034</v>
      </c>
      <c r="J2106" s="1" t="s">
        <v>14035</v>
      </c>
      <c r="K2106" s="1">
        <v>11</v>
      </c>
      <c r="L2106" s="1" t="s">
        <v>4227</v>
      </c>
      <c r="M2106" s="1">
        <v>3</v>
      </c>
      <c r="N2106" s="1" t="s">
        <v>3241</v>
      </c>
    </row>
    <row r="2107" spans="1:14" x14ac:dyDescent="0.15">
      <c r="A2107" s="1">
        <v>263</v>
      </c>
      <c r="B2107" s="1" t="s">
        <v>3319</v>
      </c>
      <c r="C2107" s="1" t="s">
        <v>3325</v>
      </c>
      <c r="D2107" s="1" t="s">
        <v>3326</v>
      </c>
      <c r="E2107" s="1" t="s">
        <v>3325</v>
      </c>
      <c r="F2107" s="1" t="s">
        <v>3326</v>
      </c>
      <c r="G2107" s="1" t="s">
        <v>3327</v>
      </c>
      <c r="H2107" s="1" t="s">
        <v>3326</v>
      </c>
      <c r="I2107" s="1" t="s">
        <v>12378</v>
      </c>
      <c r="J2107" s="1" t="s">
        <v>3328</v>
      </c>
      <c r="K2107" s="1">
        <v>11</v>
      </c>
      <c r="L2107" s="1" t="s">
        <v>4227</v>
      </c>
      <c r="M2107" s="1">
        <v>14</v>
      </c>
      <c r="N2107" s="1" t="s">
        <v>4220</v>
      </c>
    </row>
    <row r="2108" spans="1:14" x14ac:dyDescent="0.15">
      <c r="A2108" s="1">
        <v>263</v>
      </c>
      <c r="B2108" s="1" t="s">
        <v>3319</v>
      </c>
      <c r="C2108" s="1" t="s">
        <v>3325</v>
      </c>
      <c r="D2108" s="1" t="s">
        <v>3326</v>
      </c>
      <c r="E2108" s="1" t="s">
        <v>3325</v>
      </c>
      <c r="F2108" s="1" t="s">
        <v>3326</v>
      </c>
      <c r="G2108" s="1" t="s">
        <v>3327</v>
      </c>
      <c r="H2108" s="1" t="s">
        <v>3326</v>
      </c>
      <c r="I2108" s="1" t="s">
        <v>9583</v>
      </c>
      <c r="J2108" s="1" t="s">
        <v>3329</v>
      </c>
      <c r="K2108" s="1">
        <v>11</v>
      </c>
      <c r="L2108" s="1" t="s">
        <v>4227</v>
      </c>
      <c r="M2108" s="1">
        <v>14</v>
      </c>
      <c r="N2108" s="1" t="s">
        <v>4220</v>
      </c>
    </row>
    <row r="2109" spans="1:14" x14ac:dyDescent="0.15">
      <c r="A2109" s="1">
        <v>263</v>
      </c>
      <c r="B2109" s="1" t="s">
        <v>3319</v>
      </c>
      <c r="C2109" s="1" t="s">
        <v>3325</v>
      </c>
      <c r="D2109" s="1" t="s">
        <v>3326</v>
      </c>
      <c r="E2109" s="1" t="s">
        <v>3325</v>
      </c>
      <c r="F2109" s="1" t="s">
        <v>3326</v>
      </c>
      <c r="G2109" s="1" t="s">
        <v>3327</v>
      </c>
      <c r="H2109" s="1" t="s">
        <v>3326</v>
      </c>
      <c r="I2109" s="1" t="s">
        <v>14026</v>
      </c>
      <c r="J2109" s="1" t="s">
        <v>4928</v>
      </c>
      <c r="K2109" s="1">
        <v>11</v>
      </c>
      <c r="L2109" s="1" t="s">
        <v>4227</v>
      </c>
      <c r="M2109" s="1">
        <v>14</v>
      </c>
      <c r="N2109" s="1" t="s">
        <v>4220</v>
      </c>
    </row>
    <row r="2110" spans="1:14" x14ac:dyDescent="0.15">
      <c r="A2110" s="1">
        <v>263</v>
      </c>
      <c r="B2110" s="1" t="s">
        <v>3319</v>
      </c>
      <c r="C2110" s="1" t="s">
        <v>3325</v>
      </c>
      <c r="D2110" s="1" t="s">
        <v>3326</v>
      </c>
      <c r="E2110" s="1" t="s">
        <v>3325</v>
      </c>
      <c r="F2110" s="1" t="s">
        <v>3326</v>
      </c>
      <c r="G2110" s="1" t="s">
        <v>3327</v>
      </c>
      <c r="H2110" s="1" t="s">
        <v>3326</v>
      </c>
      <c r="I2110" s="1" t="s">
        <v>9591</v>
      </c>
      <c r="J2110" s="1" t="s">
        <v>5952</v>
      </c>
      <c r="K2110" s="1">
        <v>11</v>
      </c>
      <c r="L2110" s="1" t="s">
        <v>4227</v>
      </c>
      <c r="M2110" s="1">
        <v>14</v>
      </c>
      <c r="N2110" s="1" t="s">
        <v>4220</v>
      </c>
    </row>
    <row r="2111" spans="1:14" x14ac:dyDescent="0.15">
      <c r="A2111" s="1">
        <v>263</v>
      </c>
      <c r="B2111" s="1" t="s">
        <v>3319</v>
      </c>
      <c r="C2111" s="1" t="s">
        <v>3330</v>
      </c>
      <c r="D2111" s="1" t="s">
        <v>3331</v>
      </c>
      <c r="E2111" s="1" t="s">
        <v>3330</v>
      </c>
      <c r="F2111" s="1" t="s">
        <v>3331</v>
      </c>
      <c r="G2111" s="1" t="s">
        <v>3332</v>
      </c>
      <c r="H2111" s="1" t="s">
        <v>3331</v>
      </c>
      <c r="I2111" s="1" t="s">
        <v>11682</v>
      </c>
      <c r="J2111" s="1" t="s">
        <v>3333</v>
      </c>
      <c r="K2111" s="1">
        <v>11</v>
      </c>
      <c r="L2111" s="1" t="s">
        <v>4227</v>
      </c>
      <c r="M2111" s="1">
        <v>14</v>
      </c>
      <c r="N2111" s="1" t="s">
        <v>4220</v>
      </c>
    </row>
    <row r="2112" spans="1:14" x14ac:dyDescent="0.15">
      <c r="A2112" s="1">
        <v>263</v>
      </c>
      <c r="B2112" s="1" t="s">
        <v>3319</v>
      </c>
      <c r="C2112" s="1" t="s">
        <v>3334</v>
      </c>
      <c r="D2112" s="1" t="s">
        <v>3335</v>
      </c>
      <c r="E2112" s="1" t="s">
        <v>3334</v>
      </c>
      <c r="F2112" s="1" t="s">
        <v>3335</v>
      </c>
      <c r="G2112" s="1" t="s">
        <v>3336</v>
      </c>
      <c r="H2112" s="1" t="s">
        <v>3335</v>
      </c>
      <c r="I2112" s="1" t="s">
        <v>11698</v>
      </c>
      <c r="J2112" s="1" t="s">
        <v>3337</v>
      </c>
      <c r="K2112" s="1">
        <v>13</v>
      </c>
      <c r="L2112" s="1" t="s">
        <v>4219</v>
      </c>
      <c r="M2112" s="1">
        <v>3</v>
      </c>
      <c r="N2112" s="1" t="s">
        <v>3241</v>
      </c>
    </row>
    <row r="2113" spans="1:14" x14ac:dyDescent="0.15">
      <c r="A2113" s="1">
        <v>263</v>
      </c>
      <c r="B2113" s="1" t="s">
        <v>3319</v>
      </c>
      <c r="C2113" s="1" t="s">
        <v>3334</v>
      </c>
      <c r="D2113" s="1" t="s">
        <v>3335</v>
      </c>
      <c r="E2113" s="1" t="s">
        <v>3334</v>
      </c>
      <c r="F2113" s="1" t="s">
        <v>3335</v>
      </c>
      <c r="G2113" s="1" t="s">
        <v>3336</v>
      </c>
      <c r="H2113" s="1" t="s">
        <v>3335</v>
      </c>
      <c r="I2113" s="1" t="s">
        <v>11063</v>
      </c>
      <c r="J2113" s="1" t="s">
        <v>4614</v>
      </c>
      <c r="K2113" s="1">
        <v>13</v>
      </c>
      <c r="L2113" s="1" t="s">
        <v>4219</v>
      </c>
      <c r="M2113" s="1">
        <v>3</v>
      </c>
      <c r="N2113" s="1" t="s">
        <v>3241</v>
      </c>
    </row>
    <row r="2114" spans="1:14" x14ac:dyDescent="0.15">
      <c r="A2114" s="1">
        <v>263</v>
      </c>
      <c r="B2114" s="1" t="s">
        <v>3319</v>
      </c>
      <c r="C2114" s="1" t="s">
        <v>3334</v>
      </c>
      <c r="D2114" s="1" t="s">
        <v>3335</v>
      </c>
      <c r="E2114" s="1" t="s">
        <v>3334</v>
      </c>
      <c r="F2114" s="1" t="s">
        <v>3335</v>
      </c>
      <c r="G2114" s="1" t="s">
        <v>3336</v>
      </c>
      <c r="H2114" s="1" t="s">
        <v>3335</v>
      </c>
      <c r="I2114" s="1" t="s">
        <v>11068</v>
      </c>
      <c r="J2114" s="1" t="s">
        <v>4615</v>
      </c>
      <c r="K2114" s="1">
        <v>13</v>
      </c>
      <c r="L2114" s="1" t="s">
        <v>4219</v>
      </c>
      <c r="M2114" s="1">
        <v>3</v>
      </c>
      <c r="N2114" s="1" t="s">
        <v>3241</v>
      </c>
    </row>
    <row r="2115" spans="1:14" x14ac:dyDescent="0.15">
      <c r="A2115" s="1">
        <v>263</v>
      </c>
      <c r="B2115" s="1" t="s">
        <v>3319</v>
      </c>
      <c r="C2115" s="1" t="s">
        <v>3334</v>
      </c>
      <c r="D2115" s="1" t="s">
        <v>3335</v>
      </c>
      <c r="E2115" s="1" t="s">
        <v>3334</v>
      </c>
      <c r="F2115" s="1" t="s">
        <v>3335</v>
      </c>
      <c r="G2115" s="1" t="s">
        <v>3336</v>
      </c>
      <c r="H2115" s="1" t="s">
        <v>3335</v>
      </c>
      <c r="I2115" s="1" t="s">
        <v>14010</v>
      </c>
      <c r="J2115" s="1" t="s">
        <v>3042</v>
      </c>
      <c r="K2115" s="1">
        <v>13</v>
      </c>
      <c r="L2115" s="1" t="s">
        <v>4219</v>
      </c>
      <c r="M2115" s="1">
        <v>3</v>
      </c>
      <c r="N2115" s="1" t="s">
        <v>3241</v>
      </c>
    </row>
    <row r="2116" spans="1:14" x14ac:dyDescent="0.15">
      <c r="A2116" s="1">
        <v>263</v>
      </c>
      <c r="B2116" s="1" t="s">
        <v>3319</v>
      </c>
      <c r="C2116" s="1" t="s">
        <v>3334</v>
      </c>
      <c r="D2116" s="1" t="s">
        <v>3335</v>
      </c>
      <c r="E2116" s="1" t="s">
        <v>3334</v>
      </c>
      <c r="F2116" s="1" t="s">
        <v>3335</v>
      </c>
      <c r="G2116" s="1" t="s">
        <v>3336</v>
      </c>
      <c r="H2116" s="1" t="s">
        <v>3335</v>
      </c>
      <c r="I2116" s="1" t="s">
        <v>14014</v>
      </c>
      <c r="J2116" s="1" t="s">
        <v>3317</v>
      </c>
      <c r="K2116" s="1">
        <v>13</v>
      </c>
      <c r="L2116" s="1" t="s">
        <v>4219</v>
      </c>
      <c r="M2116" s="1">
        <v>3</v>
      </c>
      <c r="N2116" s="1" t="s">
        <v>3241</v>
      </c>
    </row>
    <row r="2117" spans="1:14" x14ac:dyDescent="0.15">
      <c r="A2117" s="1">
        <v>263</v>
      </c>
      <c r="B2117" s="1" t="s">
        <v>3319</v>
      </c>
      <c r="C2117" s="1" t="s">
        <v>3334</v>
      </c>
      <c r="D2117" s="1" t="s">
        <v>3335</v>
      </c>
      <c r="E2117" s="1" t="s">
        <v>3334</v>
      </c>
      <c r="F2117" s="1" t="s">
        <v>3335</v>
      </c>
      <c r="G2117" s="1" t="s">
        <v>3336</v>
      </c>
      <c r="H2117" s="1" t="s">
        <v>3335</v>
      </c>
      <c r="I2117" s="1" t="s">
        <v>14018</v>
      </c>
      <c r="J2117" s="1" t="s">
        <v>14019</v>
      </c>
      <c r="K2117" s="1">
        <v>13</v>
      </c>
      <c r="L2117" s="1" t="s">
        <v>4219</v>
      </c>
      <c r="M2117" s="1">
        <v>3</v>
      </c>
      <c r="N2117" s="1" t="s">
        <v>3241</v>
      </c>
    </row>
    <row r="2118" spans="1:14" x14ac:dyDescent="0.15">
      <c r="A2118" s="1">
        <v>263</v>
      </c>
      <c r="B2118" s="1" t="s">
        <v>3319</v>
      </c>
      <c r="C2118" s="1" t="s">
        <v>3334</v>
      </c>
      <c r="D2118" s="1" t="s">
        <v>3335</v>
      </c>
      <c r="E2118" s="1" t="s">
        <v>3334</v>
      </c>
      <c r="F2118" s="1" t="s">
        <v>3335</v>
      </c>
      <c r="G2118" s="1" t="s">
        <v>3336</v>
      </c>
      <c r="H2118" s="1" t="s">
        <v>3335</v>
      </c>
      <c r="I2118" s="1" t="s">
        <v>11054</v>
      </c>
      <c r="J2118" s="1" t="s">
        <v>3043</v>
      </c>
      <c r="K2118" s="1">
        <v>13</v>
      </c>
      <c r="L2118" s="1" t="s">
        <v>4219</v>
      </c>
      <c r="M2118" s="1">
        <v>3</v>
      </c>
      <c r="N2118" s="1" t="s">
        <v>3241</v>
      </c>
    </row>
    <row r="2119" spans="1:14" x14ac:dyDescent="0.15">
      <c r="A2119" s="1">
        <v>263</v>
      </c>
      <c r="B2119" s="1" t="s">
        <v>3319</v>
      </c>
      <c r="C2119" s="1" t="s">
        <v>3338</v>
      </c>
      <c r="D2119" s="1" t="s">
        <v>3339</v>
      </c>
      <c r="E2119" s="1" t="s">
        <v>3338</v>
      </c>
      <c r="F2119" s="1" t="s">
        <v>3339</v>
      </c>
      <c r="G2119" s="1" t="s">
        <v>3340</v>
      </c>
      <c r="H2119" s="1" t="s">
        <v>3339</v>
      </c>
      <c r="I2119" s="1" t="s">
        <v>18230</v>
      </c>
      <c r="J2119" s="1" t="s">
        <v>18227</v>
      </c>
      <c r="K2119" s="1">
        <v>11</v>
      </c>
      <c r="L2119" s="1" t="s">
        <v>4227</v>
      </c>
      <c r="M2119" s="1">
        <v>14</v>
      </c>
      <c r="N2119" s="1" t="s">
        <v>4220</v>
      </c>
    </row>
    <row r="2120" spans="1:14" x14ac:dyDescent="0.15">
      <c r="A2120" s="1">
        <v>263</v>
      </c>
      <c r="B2120" s="1" t="s">
        <v>3319</v>
      </c>
      <c r="C2120" s="1" t="s">
        <v>3338</v>
      </c>
      <c r="D2120" s="1" t="s">
        <v>3339</v>
      </c>
      <c r="E2120" s="1" t="s">
        <v>3338</v>
      </c>
      <c r="F2120" s="1" t="s">
        <v>3339</v>
      </c>
      <c r="G2120" s="1" t="s">
        <v>3340</v>
      </c>
      <c r="H2120" s="1" t="s">
        <v>3339</v>
      </c>
      <c r="I2120" s="1" t="s">
        <v>10040</v>
      </c>
      <c r="J2120" s="1" t="s">
        <v>3341</v>
      </c>
      <c r="K2120" s="1">
        <v>11</v>
      </c>
      <c r="L2120" s="1" t="s">
        <v>4227</v>
      </c>
      <c r="M2120" s="1">
        <v>14</v>
      </c>
      <c r="N2120" s="1" t="s">
        <v>4220</v>
      </c>
    </row>
    <row r="2121" spans="1:14" x14ac:dyDescent="0.15">
      <c r="A2121" s="1">
        <v>263</v>
      </c>
      <c r="B2121" s="1" t="s">
        <v>3319</v>
      </c>
      <c r="C2121" s="1" t="s">
        <v>3338</v>
      </c>
      <c r="D2121" s="1" t="s">
        <v>3339</v>
      </c>
      <c r="E2121" s="1" t="s">
        <v>3338</v>
      </c>
      <c r="F2121" s="1" t="s">
        <v>3339</v>
      </c>
      <c r="G2121" s="1" t="s">
        <v>3340</v>
      </c>
      <c r="H2121" s="1" t="s">
        <v>3339</v>
      </c>
      <c r="I2121" s="1" t="s">
        <v>9583</v>
      </c>
      <c r="J2121" s="1" t="s">
        <v>3329</v>
      </c>
      <c r="K2121" s="1">
        <v>11</v>
      </c>
      <c r="L2121" s="1" t="s">
        <v>4227</v>
      </c>
      <c r="M2121" s="1">
        <v>14</v>
      </c>
      <c r="N2121" s="1" t="s">
        <v>4220</v>
      </c>
    </row>
    <row r="2122" spans="1:14" x14ac:dyDescent="0.15">
      <c r="A2122" s="1">
        <v>263</v>
      </c>
      <c r="B2122" s="1" t="s">
        <v>3319</v>
      </c>
      <c r="C2122" s="1" t="s">
        <v>3338</v>
      </c>
      <c r="D2122" s="1" t="s">
        <v>3339</v>
      </c>
      <c r="E2122" s="1" t="s">
        <v>3338</v>
      </c>
      <c r="F2122" s="1" t="s">
        <v>3339</v>
      </c>
      <c r="G2122" s="1" t="s">
        <v>3340</v>
      </c>
      <c r="H2122" s="1" t="s">
        <v>3339</v>
      </c>
      <c r="I2122" s="1" t="s">
        <v>14030</v>
      </c>
      <c r="J2122" s="1" t="s">
        <v>14031</v>
      </c>
      <c r="K2122" s="1">
        <v>11</v>
      </c>
      <c r="L2122" s="1" t="s">
        <v>4227</v>
      </c>
      <c r="M2122" s="1">
        <v>14</v>
      </c>
      <c r="N2122" s="1" t="s">
        <v>4220</v>
      </c>
    </row>
    <row r="2123" spans="1:14" x14ac:dyDescent="0.15">
      <c r="A2123" s="1">
        <v>263</v>
      </c>
      <c r="B2123" s="1" t="s">
        <v>3319</v>
      </c>
      <c r="C2123" s="1" t="s">
        <v>3342</v>
      </c>
      <c r="D2123" s="1" t="s">
        <v>3343</v>
      </c>
      <c r="E2123" s="1" t="s">
        <v>3342</v>
      </c>
      <c r="F2123" s="1" t="s">
        <v>3343</v>
      </c>
      <c r="G2123" s="1" t="s">
        <v>3344</v>
      </c>
      <c r="H2123" s="1" t="s">
        <v>3343</v>
      </c>
      <c r="I2123" s="1" t="s">
        <v>4494</v>
      </c>
      <c r="J2123" s="1" t="s">
        <v>4495</v>
      </c>
      <c r="K2123" s="1">
        <v>11</v>
      </c>
      <c r="L2123" s="1" t="s">
        <v>4227</v>
      </c>
      <c r="M2123" s="1">
        <v>14</v>
      </c>
      <c r="N2123" s="1" t="s">
        <v>4220</v>
      </c>
    </row>
    <row r="2124" spans="1:14" x14ac:dyDescent="0.15">
      <c r="A2124" s="1">
        <v>263</v>
      </c>
      <c r="B2124" s="1" t="s">
        <v>3319</v>
      </c>
      <c r="C2124" s="1" t="s">
        <v>3345</v>
      </c>
      <c r="D2124" s="1" t="s">
        <v>3346</v>
      </c>
      <c r="E2124" s="1" t="s">
        <v>3345</v>
      </c>
      <c r="F2124" s="1" t="s">
        <v>3346</v>
      </c>
      <c r="G2124" s="1" t="s">
        <v>3347</v>
      </c>
      <c r="H2124" s="1" t="s">
        <v>3346</v>
      </c>
      <c r="I2124" s="1" t="s">
        <v>14010</v>
      </c>
      <c r="J2124" s="1" t="s">
        <v>3042</v>
      </c>
      <c r="K2124" s="1">
        <v>11</v>
      </c>
      <c r="L2124" s="1" t="s">
        <v>4227</v>
      </c>
      <c r="M2124" s="1">
        <v>3</v>
      </c>
      <c r="N2124" s="1" t="s">
        <v>3241</v>
      </c>
    </row>
    <row r="2125" spans="1:14" x14ac:dyDescent="0.15">
      <c r="A2125" s="1">
        <v>263</v>
      </c>
      <c r="B2125" s="1" t="s">
        <v>3319</v>
      </c>
      <c r="C2125" s="1" t="s">
        <v>3345</v>
      </c>
      <c r="D2125" s="1" t="s">
        <v>3346</v>
      </c>
      <c r="E2125" s="1" t="s">
        <v>3345</v>
      </c>
      <c r="F2125" s="1" t="s">
        <v>3346</v>
      </c>
      <c r="G2125" s="1" t="s">
        <v>3347</v>
      </c>
      <c r="H2125" s="1" t="s">
        <v>3346</v>
      </c>
      <c r="I2125" s="1" t="s">
        <v>8359</v>
      </c>
      <c r="J2125" s="1" t="s">
        <v>3318</v>
      </c>
      <c r="K2125" s="1">
        <v>11</v>
      </c>
      <c r="L2125" s="1" t="s">
        <v>4227</v>
      </c>
      <c r="M2125" s="1">
        <v>3</v>
      </c>
      <c r="N2125" s="1" t="s">
        <v>3241</v>
      </c>
    </row>
    <row r="2126" spans="1:14" x14ac:dyDescent="0.15">
      <c r="A2126" s="1">
        <v>263</v>
      </c>
      <c r="B2126" s="1" t="s">
        <v>3319</v>
      </c>
      <c r="C2126" s="1" t="s">
        <v>3345</v>
      </c>
      <c r="D2126" s="1" t="s">
        <v>3346</v>
      </c>
      <c r="E2126" s="1" t="s">
        <v>3345</v>
      </c>
      <c r="F2126" s="1" t="s">
        <v>3346</v>
      </c>
      <c r="G2126" s="1" t="s">
        <v>3347</v>
      </c>
      <c r="H2126" s="1" t="s">
        <v>3346</v>
      </c>
      <c r="I2126" s="1" t="s">
        <v>14034</v>
      </c>
      <c r="J2126" s="1" t="s">
        <v>14035</v>
      </c>
      <c r="K2126" s="1">
        <v>11</v>
      </c>
      <c r="L2126" s="1" t="s">
        <v>4227</v>
      </c>
      <c r="M2126" s="1">
        <v>3</v>
      </c>
      <c r="N2126" s="1" t="s">
        <v>3241</v>
      </c>
    </row>
    <row r="2127" spans="1:14" x14ac:dyDescent="0.15">
      <c r="A2127" s="1">
        <v>263</v>
      </c>
      <c r="B2127" s="1" t="s">
        <v>3319</v>
      </c>
      <c r="C2127" s="1" t="s">
        <v>3345</v>
      </c>
      <c r="D2127" s="1" t="s">
        <v>3346</v>
      </c>
      <c r="E2127" s="1" t="s">
        <v>3345</v>
      </c>
      <c r="F2127" s="1" t="s">
        <v>3346</v>
      </c>
      <c r="G2127" s="1" t="s">
        <v>3347</v>
      </c>
      <c r="H2127" s="1" t="s">
        <v>3346</v>
      </c>
      <c r="I2127" s="1" t="s">
        <v>14046</v>
      </c>
      <c r="J2127" s="1" t="s">
        <v>3045</v>
      </c>
      <c r="K2127" s="1">
        <v>11</v>
      </c>
      <c r="L2127" s="1" t="s">
        <v>4227</v>
      </c>
      <c r="M2127" s="1">
        <v>3</v>
      </c>
      <c r="N2127" s="1" t="s">
        <v>3241</v>
      </c>
    </row>
    <row r="2128" spans="1:14" x14ac:dyDescent="0.15">
      <c r="A2128" s="1">
        <v>263</v>
      </c>
      <c r="B2128" s="1" t="s">
        <v>3319</v>
      </c>
      <c r="C2128" s="1" t="s">
        <v>3345</v>
      </c>
      <c r="D2128" s="1" t="s">
        <v>3346</v>
      </c>
      <c r="E2128" s="1" t="s">
        <v>3345</v>
      </c>
      <c r="F2128" s="1" t="s">
        <v>3346</v>
      </c>
      <c r="G2128" s="1" t="s">
        <v>3348</v>
      </c>
      <c r="H2128" s="1" t="s">
        <v>3349</v>
      </c>
      <c r="I2128" s="1" t="s">
        <v>14010</v>
      </c>
      <c r="J2128" s="1" t="s">
        <v>3042</v>
      </c>
      <c r="K2128" s="1">
        <v>11</v>
      </c>
      <c r="L2128" s="1" t="s">
        <v>4227</v>
      </c>
      <c r="M2128" s="1">
        <v>3</v>
      </c>
      <c r="N2128" s="1" t="s">
        <v>3241</v>
      </c>
    </row>
    <row r="2129" spans="1:14" x14ac:dyDescent="0.15">
      <c r="A2129" s="1">
        <v>263</v>
      </c>
      <c r="B2129" s="1" t="s">
        <v>3319</v>
      </c>
      <c r="C2129" s="1" t="s">
        <v>3345</v>
      </c>
      <c r="D2129" s="1" t="s">
        <v>3346</v>
      </c>
      <c r="E2129" s="1" t="s">
        <v>3345</v>
      </c>
      <c r="F2129" s="1" t="s">
        <v>3346</v>
      </c>
      <c r="G2129" s="1" t="s">
        <v>3348</v>
      </c>
      <c r="H2129" s="1" t="s">
        <v>3349</v>
      </c>
      <c r="I2129" s="1" t="s">
        <v>8359</v>
      </c>
      <c r="J2129" s="1" t="s">
        <v>3318</v>
      </c>
      <c r="K2129" s="1">
        <v>11</v>
      </c>
      <c r="L2129" s="1" t="s">
        <v>4227</v>
      </c>
      <c r="M2129" s="1">
        <v>3</v>
      </c>
      <c r="N2129" s="1" t="s">
        <v>3241</v>
      </c>
    </row>
    <row r="2130" spans="1:14" x14ac:dyDescent="0.15">
      <c r="A2130" s="1">
        <v>263</v>
      </c>
      <c r="B2130" s="1" t="s">
        <v>3319</v>
      </c>
      <c r="C2130" s="1" t="s">
        <v>3345</v>
      </c>
      <c r="D2130" s="1" t="s">
        <v>3346</v>
      </c>
      <c r="E2130" s="1" t="s">
        <v>3345</v>
      </c>
      <c r="F2130" s="1" t="s">
        <v>3346</v>
      </c>
      <c r="G2130" s="1" t="s">
        <v>3348</v>
      </c>
      <c r="H2130" s="1" t="s">
        <v>3349</v>
      </c>
      <c r="I2130" s="1" t="s">
        <v>14034</v>
      </c>
      <c r="J2130" s="1" t="s">
        <v>14035</v>
      </c>
      <c r="K2130" s="1">
        <v>11</v>
      </c>
      <c r="L2130" s="1" t="s">
        <v>4227</v>
      </c>
      <c r="M2130" s="1">
        <v>3</v>
      </c>
      <c r="N2130" s="1" t="s">
        <v>3241</v>
      </c>
    </row>
    <row r="2131" spans="1:14" x14ac:dyDescent="0.15">
      <c r="A2131" s="1">
        <v>263</v>
      </c>
      <c r="B2131" s="1" t="s">
        <v>3319</v>
      </c>
      <c r="C2131" s="1" t="s">
        <v>3345</v>
      </c>
      <c r="D2131" s="1" t="s">
        <v>3346</v>
      </c>
      <c r="E2131" s="1" t="s">
        <v>3345</v>
      </c>
      <c r="F2131" s="1" t="s">
        <v>3346</v>
      </c>
      <c r="G2131" s="1" t="s">
        <v>3348</v>
      </c>
      <c r="H2131" s="1" t="s">
        <v>3349</v>
      </c>
      <c r="I2131" s="1" t="s">
        <v>14046</v>
      </c>
      <c r="J2131" s="1" t="s">
        <v>3045</v>
      </c>
      <c r="K2131" s="1">
        <v>11</v>
      </c>
      <c r="L2131" s="1" t="s">
        <v>4227</v>
      </c>
      <c r="M2131" s="1">
        <v>3</v>
      </c>
      <c r="N2131" s="1" t="s">
        <v>3241</v>
      </c>
    </row>
    <row r="2132" spans="1:14" x14ac:dyDescent="0.15">
      <c r="A2132" s="1">
        <v>263</v>
      </c>
      <c r="B2132" s="1" t="s">
        <v>3319</v>
      </c>
      <c r="C2132" s="1" t="s">
        <v>3345</v>
      </c>
      <c r="D2132" s="1" t="s">
        <v>3346</v>
      </c>
      <c r="E2132" s="1" t="s">
        <v>3345</v>
      </c>
      <c r="F2132" s="1" t="s">
        <v>3346</v>
      </c>
      <c r="G2132" s="1" t="s">
        <v>3350</v>
      </c>
      <c r="H2132" s="1" t="s">
        <v>3351</v>
      </c>
      <c r="I2132" s="1" t="s">
        <v>14010</v>
      </c>
      <c r="J2132" s="1" t="s">
        <v>3042</v>
      </c>
      <c r="K2132" s="1">
        <v>11</v>
      </c>
      <c r="L2132" s="1" t="s">
        <v>4227</v>
      </c>
      <c r="M2132" s="1">
        <v>3</v>
      </c>
      <c r="N2132" s="1" t="s">
        <v>3241</v>
      </c>
    </row>
    <row r="2133" spans="1:14" x14ac:dyDescent="0.15">
      <c r="A2133" s="1">
        <v>263</v>
      </c>
      <c r="B2133" s="1" t="s">
        <v>3319</v>
      </c>
      <c r="C2133" s="1" t="s">
        <v>3345</v>
      </c>
      <c r="D2133" s="1" t="s">
        <v>3346</v>
      </c>
      <c r="E2133" s="1" t="s">
        <v>3345</v>
      </c>
      <c r="F2133" s="1" t="s">
        <v>3346</v>
      </c>
      <c r="G2133" s="1" t="s">
        <v>3350</v>
      </c>
      <c r="H2133" s="1" t="s">
        <v>3351</v>
      </c>
      <c r="I2133" s="1" t="s">
        <v>8359</v>
      </c>
      <c r="J2133" s="1" t="s">
        <v>3318</v>
      </c>
      <c r="K2133" s="1">
        <v>11</v>
      </c>
      <c r="L2133" s="1" t="s">
        <v>4227</v>
      </c>
      <c r="M2133" s="1">
        <v>3</v>
      </c>
      <c r="N2133" s="1" t="s">
        <v>3241</v>
      </c>
    </row>
    <row r="2134" spans="1:14" x14ac:dyDescent="0.15">
      <c r="A2134" s="1">
        <v>263</v>
      </c>
      <c r="B2134" s="1" t="s">
        <v>3319</v>
      </c>
      <c r="C2134" s="1" t="s">
        <v>3345</v>
      </c>
      <c r="D2134" s="1" t="s">
        <v>3346</v>
      </c>
      <c r="E2134" s="1" t="s">
        <v>3345</v>
      </c>
      <c r="F2134" s="1" t="s">
        <v>3346</v>
      </c>
      <c r="G2134" s="1" t="s">
        <v>3350</v>
      </c>
      <c r="H2134" s="1" t="s">
        <v>3351</v>
      </c>
      <c r="I2134" s="1" t="s">
        <v>14034</v>
      </c>
      <c r="J2134" s="1" t="s">
        <v>14035</v>
      </c>
      <c r="K2134" s="1">
        <v>11</v>
      </c>
      <c r="L2134" s="1" t="s">
        <v>4227</v>
      </c>
      <c r="M2134" s="1">
        <v>3</v>
      </c>
      <c r="N2134" s="1" t="s">
        <v>3241</v>
      </c>
    </row>
    <row r="2135" spans="1:14" x14ac:dyDescent="0.15">
      <c r="A2135" s="1">
        <v>263</v>
      </c>
      <c r="B2135" s="1" t="s">
        <v>3319</v>
      </c>
      <c r="C2135" s="1" t="s">
        <v>3345</v>
      </c>
      <c r="D2135" s="1" t="s">
        <v>3346</v>
      </c>
      <c r="E2135" s="1" t="s">
        <v>3345</v>
      </c>
      <c r="F2135" s="1" t="s">
        <v>3346</v>
      </c>
      <c r="G2135" s="1" t="s">
        <v>3350</v>
      </c>
      <c r="H2135" s="1" t="s">
        <v>3351</v>
      </c>
      <c r="I2135" s="1" t="s">
        <v>14046</v>
      </c>
      <c r="J2135" s="1" t="s">
        <v>3045</v>
      </c>
      <c r="K2135" s="1">
        <v>11</v>
      </c>
      <c r="L2135" s="1" t="s">
        <v>4227</v>
      </c>
      <c r="M2135" s="1">
        <v>3</v>
      </c>
      <c r="N2135" s="1" t="s">
        <v>3241</v>
      </c>
    </row>
    <row r="2136" spans="1:14" x14ac:dyDescent="0.15">
      <c r="A2136" s="1">
        <v>263</v>
      </c>
      <c r="B2136" s="1" t="s">
        <v>3319</v>
      </c>
      <c r="C2136" s="1" t="s">
        <v>3352</v>
      </c>
      <c r="D2136" s="1" t="s">
        <v>3353</v>
      </c>
      <c r="E2136" s="1" t="s">
        <v>3352</v>
      </c>
      <c r="F2136" s="1" t="s">
        <v>3354</v>
      </c>
      <c r="G2136" s="1" t="s">
        <v>3355</v>
      </c>
      <c r="H2136" s="1" t="s">
        <v>3354</v>
      </c>
      <c r="I2136" s="1" t="s">
        <v>14010</v>
      </c>
      <c r="J2136" s="1" t="s">
        <v>3042</v>
      </c>
      <c r="K2136" s="1">
        <v>11</v>
      </c>
      <c r="L2136" s="1" t="s">
        <v>4227</v>
      </c>
      <c r="M2136" s="1">
        <v>3</v>
      </c>
      <c r="N2136" s="1" t="s">
        <v>3241</v>
      </c>
    </row>
    <row r="2137" spans="1:14" x14ac:dyDescent="0.15">
      <c r="A2137" s="1">
        <v>263</v>
      </c>
      <c r="B2137" s="1" t="s">
        <v>3319</v>
      </c>
      <c r="C2137" s="1" t="s">
        <v>3352</v>
      </c>
      <c r="D2137" s="1" t="s">
        <v>3353</v>
      </c>
      <c r="E2137" s="1" t="s">
        <v>3352</v>
      </c>
      <c r="F2137" s="1" t="s">
        <v>3354</v>
      </c>
      <c r="G2137" s="1" t="s">
        <v>3355</v>
      </c>
      <c r="H2137" s="1" t="s">
        <v>3354</v>
      </c>
      <c r="I2137" s="1" t="s">
        <v>14018</v>
      </c>
      <c r="J2137" s="1" t="s">
        <v>14019</v>
      </c>
      <c r="K2137" s="1">
        <v>11</v>
      </c>
      <c r="L2137" s="1" t="s">
        <v>4227</v>
      </c>
      <c r="M2137" s="1">
        <v>3</v>
      </c>
      <c r="N2137" s="1" t="s">
        <v>3241</v>
      </c>
    </row>
    <row r="2138" spans="1:14" x14ac:dyDescent="0.15">
      <c r="A2138" s="1">
        <v>263</v>
      </c>
      <c r="B2138" s="1" t="s">
        <v>3319</v>
      </c>
      <c r="C2138" s="1" t="s">
        <v>3352</v>
      </c>
      <c r="D2138" s="1" t="s">
        <v>3353</v>
      </c>
      <c r="E2138" s="1" t="s">
        <v>3352</v>
      </c>
      <c r="F2138" s="1" t="s">
        <v>3354</v>
      </c>
      <c r="G2138" s="1" t="s">
        <v>3355</v>
      </c>
      <c r="H2138" s="1" t="s">
        <v>3354</v>
      </c>
      <c r="I2138" s="1" t="s">
        <v>8359</v>
      </c>
      <c r="J2138" s="1" t="s">
        <v>3318</v>
      </c>
      <c r="K2138" s="1">
        <v>11</v>
      </c>
      <c r="L2138" s="1" t="s">
        <v>4227</v>
      </c>
      <c r="M2138" s="1">
        <v>3</v>
      </c>
      <c r="N2138" s="1" t="s">
        <v>3241</v>
      </c>
    </row>
    <row r="2139" spans="1:14" x14ac:dyDescent="0.15">
      <c r="A2139" s="1">
        <v>263</v>
      </c>
      <c r="B2139" s="1" t="s">
        <v>3319</v>
      </c>
      <c r="C2139" s="1" t="s">
        <v>3352</v>
      </c>
      <c r="D2139" s="1" t="s">
        <v>3353</v>
      </c>
      <c r="E2139" s="1" t="s">
        <v>3352</v>
      </c>
      <c r="F2139" s="1" t="s">
        <v>3354</v>
      </c>
      <c r="G2139" s="1" t="s">
        <v>3355</v>
      </c>
      <c r="H2139" s="1" t="s">
        <v>3354</v>
      </c>
      <c r="I2139" s="1" t="s">
        <v>14034</v>
      </c>
      <c r="J2139" s="1" t="s">
        <v>14035</v>
      </c>
      <c r="K2139" s="1">
        <v>11</v>
      </c>
      <c r="L2139" s="1" t="s">
        <v>4227</v>
      </c>
      <c r="M2139" s="1">
        <v>3</v>
      </c>
      <c r="N2139" s="1" t="s">
        <v>3241</v>
      </c>
    </row>
    <row r="2140" spans="1:14" x14ac:dyDescent="0.15">
      <c r="A2140" s="1">
        <v>270</v>
      </c>
      <c r="B2140" s="1" t="s">
        <v>3356</v>
      </c>
      <c r="C2140" s="1" t="s">
        <v>3357</v>
      </c>
      <c r="D2140" s="1" t="s">
        <v>3356</v>
      </c>
      <c r="E2140" s="1" t="s">
        <v>3357</v>
      </c>
      <c r="F2140" s="1" t="s">
        <v>3356</v>
      </c>
      <c r="G2140" s="1" t="s">
        <v>3358</v>
      </c>
      <c r="H2140" s="1" t="s">
        <v>3356</v>
      </c>
      <c r="I2140" s="1" t="s">
        <v>14042</v>
      </c>
      <c r="J2140" s="1" t="s">
        <v>3044</v>
      </c>
      <c r="K2140" s="1">
        <v>13</v>
      </c>
      <c r="L2140" s="1" t="s">
        <v>4219</v>
      </c>
      <c r="M2140" s="1">
        <v>3</v>
      </c>
      <c r="N2140" s="1" t="s">
        <v>3241</v>
      </c>
    </row>
    <row r="2141" spans="1:14" x14ac:dyDescent="0.15">
      <c r="A2141" s="1">
        <v>270</v>
      </c>
      <c r="B2141" s="1" t="s">
        <v>3356</v>
      </c>
      <c r="C2141" s="1" t="s">
        <v>3357</v>
      </c>
      <c r="D2141" s="1" t="s">
        <v>3356</v>
      </c>
      <c r="E2141" s="1" t="s">
        <v>3357</v>
      </c>
      <c r="F2141" s="1" t="s">
        <v>3356</v>
      </c>
      <c r="G2141" s="1" t="s">
        <v>3358</v>
      </c>
      <c r="H2141" s="1" t="s">
        <v>3356</v>
      </c>
      <c r="I2141" s="1" t="s">
        <v>8382</v>
      </c>
      <c r="J2141" s="1" t="s">
        <v>4455</v>
      </c>
      <c r="K2141" s="1">
        <v>13</v>
      </c>
      <c r="L2141" s="1" t="s">
        <v>4219</v>
      </c>
      <c r="M2141" s="1">
        <v>3</v>
      </c>
      <c r="N2141" s="1" t="s">
        <v>3241</v>
      </c>
    </row>
    <row r="2142" spans="1:14" x14ac:dyDescent="0.15">
      <c r="A2142" s="1">
        <v>270</v>
      </c>
      <c r="B2142" s="1" t="s">
        <v>3356</v>
      </c>
      <c r="C2142" s="1" t="s">
        <v>3357</v>
      </c>
      <c r="D2142" s="1" t="s">
        <v>3356</v>
      </c>
      <c r="E2142" s="1" t="s">
        <v>3357</v>
      </c>
      <c r="F2142" s="1" t="s">
        <v>3356</v>
      </c>
      <c r="G2142" s="1" t="s">
        <v>3358</v>
      </c>
      <c r="H2142" s="1" t="s">
        <v>3356</v>
      </c>
      <c r="I2142" s="1" t="s">
        <v>8376</v>
      </c>
      <c r="J2142" s="1" t="s">
        <v>3359</v>
      </c>
      <c r="K2142" s="1">
        <v>13</v>
      </c>
      <c r="L2142" s="1" t="s">
        <v>4219</v>
      </c>
      <c r="M2142" s="1">
        <v>3</v>
      </c>
      <c r="N2142" s="1" t="s">
        <v>3241</v>
      </c>
    </row>
    <row r="2143" spans="1:14" x14ac:dyDescent="0.15">
      <c r="A2143" s="1">
        <v>270</v>
      </c>
      <c r="B2143" s="1" t="s">
        <v>3356</v>
      </c>
      <c r="C2143" s="1" t="s">
        <v>3357</v>
      </c>
      <c r="D2143" s="1" t="s">
        <v>3356</v>
      </c>
      <c r="E2143" s="1" t="s">
        <v>3357</v>
      </c>
      <c r="F2143" s="1" t="s">
        <v>3356</v>
      </c>
      <c r="G2143" s="1" t="s">
        <v>3358</v>
      </c>
      <c r="H2143" s="1" t="s">
        <v>3356</v>
      </c>
      <c r="I2143" s="1" t="s">
        <v>8379</v>
      </c>
      <c r="J2143" s="1" t="s">
        <v>3360</v>
      </c>
      <c r="K2143" s="1">
        <v>13</v>
      </c>
      <c r="L2143" s="1" t="s">
        <v>4219</v>
      </c>
      <c r="M2143" s="1">
        <v>3</v>
      </c>
      <c r="N2143" s="1" t="s">
        <v>3241</v>
      </c>
    </row>
    <row r="2144" spans="1:14" x14ac:dyDescent="0.15">
      <c r="A2144" s="1">
        <v>270</v>
      </c>
      <c r="B2144" s="1" t="s">
        <v>3356</v>
      </c>
      <c r="C2144" s="1" t="s">
        <v>3357</v>
      </c>
      <c r="D2144" s="1" t="s">
        <v>3356</v>
      </c>
      <c r="E2144" s="1" t="s">
        <v>3357</v>
      </c>
      <c r="F2144" s="1" t="s">
        <v>3356</v>
      </c>
      <c r="G2144" s="1" t="s">
        <v>3358</v>
      </c>
      <c r="H2144" s="1" t="s">
        <v>3356</v>
      </c>
      <c r="I2144" s="1" t="s">
        <v>14062</v>
      </c>
      <c r="J2144" s="1" t="s">
        <v>3047</v>
      </c>
      <c r="K2144" s="1">
        <v>13</v>
      </c>
      <c r="L2144" s="1" t="s">
        <v>4219</v>
      </c>
      <c r="M2144" s="1">
        <v>3</v>
      </c>
      <c r="N2144" s="1" t="s">
        <v>3241</v>
      </c>
    </row>
    <row r="2145" spans="1:14" x14ac:dyDescent="0.15">
      <c r="A2145" s="1">
        <v>271</v>
      </c>
      <c r="B2145" s="1" t="s">
        <v>3361</v>
      </c>
      <c r="C2145" s="1" t="s">
        <v>3362</v>
      </c>
      <c r="D2145" s="1" t="s">
        <v>3361</v>
      </c>
      <c r="E2145" s="1" t="s">
        <v>3362</v>
      </c>
      <c r="F2145" s="1" t="s">
        <v>3361</v>
      </c>
      <c r="G2145" s="1" t="s">
        <v>3363</v>
      </c>
      <c r="H2145" s="1" t="s">
        <v>3361</v>
      </c>
      <c r="I2145" s="1" t="s">
        <v>17766</v>
      </c>
      <c r="J2145" s="1" t="s">
        <v>3061</v>
      </c>
      <c r="K2145" s="1">
        <v>13</v>
      </c>
      <c r="L2145" s="1" t="s">
        <v>4219</v>
      </c>
      <c r="M2145" s="1">
        <v>3</v>
      </c>
      <c r="N2145" s="1" t="s">
        <v>3241</v>
      </c>
    </row>
    <row r="2146" spans="1:14" x14ac:dyDescent="0.15">
      <c r="A2146" s="1">
        <v>271</v>
      </c>
      <c r="B2146" s="1" t="s">
        <v>3361</v>
      </c>
      <c r="C2146" s="1" t="s">
        <v>3362</v>
      </c>
      <c r="D2146" s="1" t="s">
        <v>3361</v>
      </c>
      <c r="E2146" s="1" t="s">
        <v>3362</v>
      </c>
      <c r="F2146" s="1" t="s">
        <v>3361</v>
      </c>
      <c r="G2146" s="1" t="s">
        <v>3363</v>
      </c>
      <c r="H2146" s="1" t="s">
        <v>3361</v>
      </c>
      <c r="I2146" s="1" t="s">
        <v>14042</v>
      </c>
      <c r="J2146" s="1" t="s">
        <v>3044</v>
      </c>
      <c r="K2146" s="1">
        <v>13</v>
      </c>
      <c r="L2146" s="1" t="s">
        <v>4219</v>
      </c>
      <c r="M2146" s="1">
        <v>3</v>
      </c>
      <c r="N2146" s="1" t="s">
        <v>3241</v>
      </c>
    </row>
    <row r="2147" spans="1:14" x14ac:dyDescent="0.15">
      <c r="A2147" s="1">
        <v>271</v>
      </c>
      <c r="B2147" s="1" t="s">
        <v>3361</v>
      </c>
      <c r="C2147" s="1" t="s">
        <v>3362</v>
      </c>
      <c r="D2147" s="1" t="s">
        <v>3361</v>
      </c>
      <c r="E2147" s="1" t="s">
        <v>3362</v>
      </c>
      <c r="F2147" s="1" t="s">
        <v>3361</v>
      </c>
      <c r="G2147" s="1" t="s">
        <v>3363</v>
      </c>
      <c r="H2147" s="1" t="s">
        <v>3361</v>
      </c>
      <c r="I2147" s="1" t="s">
        <v>8379</v>
      </c>
      <c r="J2147" s="1" t="s">
        <v>3360</v>
      </c>
      <c r="K2147" s="1">
        <v>13</v>
      </c>
      <c r="L2147" s="1" t="s">
        <v>4219</v>
      </c>
      <c r="M2147" s="1">
        <v>3</v>
      </c>
      <c r="N2147" s="1" t="s">
        <v>3241</v>
      </c>
    </row>
    <row r="2148" spans="1:14" x14ac:dyDescent="0.15">
      <c r="A2148" s="1">
        <v>271</v>
      </c>
      <c r="B2148" s="1" t="s">
        <v>3361</v>
      </c>
      <c r="C2148" s="1" t="s">
        <v>3362</v>
      </c>
      <c r="D2148" s="1" t="s">
        <v>3361</v>
      </c>
      <c r="E2148" s="1" t="s">
        <v>3362</v>
      </c>
      <c r="F2148" s="1" t="s">
        <v>3361</v>
      </c>
      <c r="G2148" s="1" t="s">
        <v>3363</v>
      </c>
      <c r="H2148" s="1" t="s">
        <v>3361</v>
      </c>
      <c r="I2148" s="1" t="s">
        <v>8382</v>
      </c>
      <c r="J2148" s="1" t="s">
        <v>4455</v>
      </c>
      <c r="K2148" s="1">
        <v>13</v>
      </c>
      <c r="L2148" s="1" t="s">
        <v>4219</v>
      </c>
      <c r="M2148" s="1">
        <v>3</v>
      </c>
      <c r="N2148" s="1" t="s">
        <v>3241</v>
      </c>
    </row>
    <row r="2149" spans="1:14" x14ac:dyDescent="0.15">
      <c r="A2149" s="1">
        <v>271</v>
      </c>
      <c r="B2149" s="1" t="s">
        <v>3361</v>
      </c>
      <c r="C2149" s="1" t="s">
        <v>3362</v>
      </c>
      <c r="D2149" s="1" t="s">
        <v>3361</v>
      </c>
      <c r="E2149" s="1" t="s">
        <v>3362</v>
      </c>
      <c r="F2149" s="1" t="s">
        <v>3361</v>
      </c>
      <c r="G2149" s="1" t="s">
        <v>3363</v>
      </c>
      <c r="H2149" s="1" t="s">
        <v>3361</v>
      </c>
      <c r="I2149" s="1" t="s">
        <v>14062</v>
      </c>
      <c r="J2149" s="1" t="s">
        <v>3047</v>
      </c>
      <c r="K2149" s="1">
        <v>13</v>
      </c>
      <c r="L2149" s="1" t="s">
        <v>4219</v>
      </c>
      <c r="M2149" s="1">
        <v>3</v>
      </c>
      <c r="N2149" s="1" t="s">
        <v>3241</v>
      </c>
    </row>
    <row r="2150" spans="1:14" x14ac:dyDescent="0.15">
      <c r="A2150" s="1">
        <v>271</v>
      </c>
      <c r="B2150" s="1" t="s">
        <v>3361</v>
      </c>
      <c r="C2150" s="1" t="s">
        <v>3362</v>
      </c>
      <c r="D2150" s="1" t="s">
        <v>3361</v>
      </c>
      <c r="E2150" s="1" t="s">
        <v>3362</v>
      </c>
      <c r="F2150" s="1" t="s">
        <v>3361</v>
      </c>
      <c r="G2150" s="1" t="s">
        <v>3363</v>
      </c>
      <c r="H2150" s="1" t="s">
        <v>3361</v>
      </c>
      <c r="I2150" s="1" t="s">
        <v>14070</v>
      </c>
      <c r="J2150" s="1" t="s">
        <v>14071</v>
      </c>
      <c r="K2150" s="1">
        <v>13</v>
      </c>
      <c r="L2150" s="1" t="s">
        <v>4219</v>
      </c>
      <c r="M2150" s="1">
        <v>3</v>
      </c>
      <c r="N2150" s="1" t="s">
        <v>3241</v>
      </c>
    </row>
    <row r="2151" spans="1:14" x14ac:dyDescent="0.15">
      <c r="A2151" s="1">
        <v>271</v>
      </c>
      <c r="B2151" s="1" t="s">
        <v>3361</v>
      </c>
      <c r="C2151" s="1" t="s">
        <v>3362</v>
      </c>
      <c r="D2151" s="1" t="s">
        <v>3361</v>
      </c>
      <c r="E2151" s="1" t="s">
        <v>3362</v>
      </c>
      <c r="F2151" s="1" t="s">
        <v>3361</v>
      </c>
      <c r="G2151" s="1" t="s">
        <v>3363</v>
      </c>
      <c r="H2151" s="1" t="s">
        <v>3361</v>
      </c>
      <c r="I2151" s="1" t="s">
        <v>14074</v>
      </c>
      <c r="J2151" s="1" t="s">
        <v>3048</v>
      </c>
      <c r="K2151" s="1">
        <v>13</v>
      </c>
      <c r="L2151" s="1" t="s">
        <v>4219</v>
      </c>
      <c r="M2151" s="1">
        <v>3</v>
      </c>
      <c r="N2151" s="1" t="s">
        <v>3241</v>
      </c>
    </row>
    <row r="2152" spans="1:14" x14ac:dyDescent="0.15">
      <c r="A2152" s="1">
        <v>271</v>
      </c>
      <c r="B2152" s="1" t="s">
        <v>3361</v>
      </c>
      <c r="C2152" s="1" t="s">
        <v>3362</v>
      </c>
      <c r="D2152" s="1" t="s">
        <v>3361</v>
      </c>
      <c r="E2152" s="1" t="s">
        <v>3362</v>
      </c>
      <c r="F2152" s="1" t="s">
        <v>3361</v>
      </c>
      <c r="G2152" s="1" t="s">
        <v>3364</v>
      </c>
      <c r="H2152" s="1" t="s">
        <v>3365</v>
      </c>
      <c r="I2152" s="1" t="s">
        <v>17766</v>
      </c>
      <c r="J2152" s="1" t="s">
        <v>3061</v>
      </c>
      <c r="K2152" s="1">
        <v>13</v>
      </c>
      <c r="L2152" s="1" t="s">
        <v>4219</v>
      </c>
      <c r="M2152" s="1">
        <v>3</v>
      </c>
      <c r="N2152" s="1" t="s">
        <v>3241</v>
      </c>
    </row>
    <row r="2153" spans="1:14" x14ac:dyDescent="0.15">
      <c r="A2153" s="1">
        <v>271</v>
      </c>
      <c r="B2153" s="1" t="s">
        <v>3361</v>
      </c>
      <c r="C2153" s="1" t="s">
        <v>3362</v>
      </c>
      <c r="D2153" s="1" t="s">
        <v>3361</v>
      </c>
      <c r="E2153" s="1" t="s">
        <v>3362</v>
      </c>
      <c r="F2153" s="1" t="s">
        <v>3361</v>
      </c>
      <c r="G2153" s="1" t="s">
        <v>3364</v>
      </c>
      <c r="H2153" s="1" t="s">
        <v>3365</v>
      </c>
      <c r="I2153" s="1" t="s">
        <v>14042</v>
      </c>
      <c r="J2153" s="1" t="s">
        <v>3044</v>
      </c>
      <c r="K2153" s="1">
        <v>13</v>
      </c>
      <c r="L2153" s="1" t="s">
        <v>4219</v>
      </c>
      <c r="M2153" s="1">
        <v>3</v>
      </c>
      <c r="N2153" s="1" t="s">
        <v>3241</v>
      </c>
    </row>
    <row r="2154" spans="1:14" x14ac:dyDescent="0.15">
      <c r="A2154" s="1">
        <v>271</v>
      </c>
      <c r="B2154" s="1" t="s">
        <v>3361</v>
      </c>
      <c r="C2154" s="1" t="s">
        <v>3362</v>
      </c>
      <c r="D2154" s="1" t="s">
        <v>3361</v>
      </c>
      <c r="E2154" s="1" t="s">
        <v>3362</v>
      </c>
      <c r="F2154" s="1" t="s">
        <v>3361</v>
      </c>
      <c r="G2154" s="1" t="s">
        <v>3364</v>
      </c>
      <c r="H2154" s="1" t="s">
        <v>3365</v>
      </c>
      <c r="I2154" s="1" t="s">
        <v>8379</v>
      </c>
      <c r="J2154" s="1" t="s">
        <v>3360</v>
      </c>
      <c r="K2154" s="1">
        <v>13</v>
      </c>
      <c r="L2154" s="1" t="s">
        <v>4219</v>
      </c>
      <c r="M2154" s="1">
        <v>3</v>
      </c>
      <c r="N2154" s="1" t="s">
        <v>3241</v>
      </c>
    </row>
    <row r="2155" spans="1:14" x14ac:dyDescent="0.15">
      <c r="A2155" s="1">
        <v>271</v>
      </c>
      <c r="B2155" s="1" t="s">
        <v>3361</v>
      </c>
      <c r="C2155" s="1" t="s">
        <v>3362</v>
      </c>
      <c r="D2155" s="1" t="s">
        <v>3361</v>
      </c>
      <c r="E2155" s="1" t="s">
        <v>3362</v>
      </c>
      <c r="F2155" s="1" t="s">
        <v>3361</v>
      </c>
      <c r="G2155" s="1" t="s">
        <v>3364</v>
      </c>
      <c r="H2155" s="1" t="s">
        <v>3365</v>
      </c>
      <c r="I2155" s="1" t="s">
        <v>8382</v>
      </c>
      <c r="J2155" s="1" t="s">
        <v>4455</v>
      </c>
      <c r="K2155" s="1">
        <v>13</v>
      </c>
      <c r="L2155" s="1" t="s">
        <v>4219</v>
      </c>
      <c r="M2155" s="1">
        <v>3</v>
      </c>
      <c r="N2155" s="1" t="s">
        <v>3241</v>
      </c>
    </row>
    <row r="2156" spans="1:14" x14ac:dyDescent="0.15">
      <c r="A2156" s="1">
        <v>271</v>
      </c>
      <c r="B2156" s="1" t="s">
        <v>3361</v>
      </c>
      <c r="C2156" s="1" t="s">
        <v>3362</v>
      </c>
      <c r="D2156" s="1" t="s">
        <v>3361</v>
      </c>
      <c r="E2156" s="1" t="s">
        <v>3362</v>
      </c>
      <c r="F2156" s="1" t="s">
        <v>3361</v>
      </c>
      <c r="G2156" s="1" t="s">
        <v>3364</v>
      </c>
      <c r="H2156" s="1" t="s">
        <v>3365</v>
      </c>
      <c r="I2156" s="1" t="s">
        <v>14062</v>
      </c>
      <c r="J2156" s="1" t="s">
        <v>3047</v>
      </c>
      <c r="K2156" s="1">
        <v>13</v>
      </c>
      <c r="L2156" s="1" t="s">
        <v>4219</v>
      </c>
      <c r="M2156" s="1">
        <v>3</v>
      </c>
      <c r="N2156" s="1" t="s">
        <v>3241</v>
      </c>
    </row>
    <row r="2157" spans="1:14" x14ac:dyDescent="0.15">
      <c r="A2157" s="1">
        <v>271</v>
      </c>
      <c r="B2157" s="1" t="s">
        <v>3361</v>
      </c>
      <c r="C2157" s="1" t="s">
        <v>3362</v>
      </c>
      <c r="D2157" s="1" t="s">
        <v>3361</v>
      </c>
      <c r="E2157" s="1" t="s">
        <v>3362</v>
      </c>
      <c r="F2157" s="1" t="s">
        <v>3361</v>
      </c>
      <c r="G2157" s="1" t="s">
        <v>3364</v>
      </c>
      <c r="H2157" s="1" t="s">
        <v>3365</v>
      </c>
      <c r="I2157" s="1" t="s">
        <v>14070</v>
      </c>
      <c r="J2157" s="1" t="s">
        <v>14071</v>
      </c>
      <c r="K2157" s="1">
        <v>13</v>
      </c>
      <c r="L2157" s="1" t="s">
        <v>4219</v>
      </c>
      <c r="M2157" s="1">
        <v>3</v>
      </c>
      <c r="N2157" s="1" t="s">
        <v>3241</v>
      </c>
    </row>
    <row r="2158" spans="1:14" x14ac:dyDescent="0.15">
      <c r="A2158" s="1">
        <v>271</v>
      </c>
      <c r="B2158" s="1" t="s">
        <v>3361</v>
      </c>
      <c r="C2158" s="1" t="s">
        <v>3362</v>
      </c>
      <c r="D2158" s="1" t="s">
        <v>3361</v>
      </c>
      <c r="E2158" s="1" t="s">
        <v>3362</v>
      </c>
      <c r="F2158" s="1" t="s">
        <v>3361</v>
      </c>
      <c r="G2158" s="1" t="s">
        <v>3364</v>
      </c>
      <c r="H2158" s="1" t="s">
        <v>3365</v>
      </c>
      <c r="I2158" s="1" t="s">
        <v>14074</v>
      </c>
      <c r="J2158" s="1" t="s">
        <v>3048</v>
      </c>
      <c r="K2158" s="1">
        <v>13</v>
      </c>
      <c r="L2158" s="1" t="s">
        <v>4219</v>
      </c>
      <c r="M2158" s="1">
        <v>3</v>
      </c>
      <c r="N2158" s="1" t="s">
        <v>3241</v>
      </c>
    </row>
    <row r="2159" spans="1:14" x14ac:dyDescent="0.15">
      <c r="A2159" s="1">
        <v>271</v>
      </c>
      <c r="B2159" s="1" t="s">
        <v>3361</v>
      </c>
      <c r="C2159" s="1" t="s">
        <v>3362</v>
      </c>
      <c r="D2159" s="1" t="s">
        <v>3361</v>
      </c>
      <c r="E2159" s="1" t="s">
        <v>3362</v>
      </c>
      <c r="F2159" s="1" t="s">
        <v>3361</v>
      </c>
      <c r="G2159" s="1" t="s">
        <v>3366</v>
      </c>
      <c r="H2159" s="1" t="s">
        <v>3367</v>
      </c>
      <c r="I2159" s="1" t="s">
        <v>17766</v>
      </c>
      <c r="J2159" s="1" t="s">
        <v>3061</v>
      </c>
      <c r="K2159" s="1">
        <v>13</v>
      </c>
      <c r="L2159" s="1" t="s">
        <v>4219</v>
      </c>
      <c r="M2159" s="1">
        <v>3</v>
      </c>
      <c r="N2159" s="1" t="s">
        <v>3241</v>
      </c>
    </row>
    <row r="2160" spans="1:14" x14ac:dyDescent="0.15">
      <c r="A2160" s="1">
        <v>271</v>
      </c>
      <c r="B2160" s="1" t="s">
        <v>3361</v>
      </c>
      <c r="C2160" s="1" t="s">
        <v>3362</v>
      </c>
      <c r="D2160" s="1" t="s">
        <v>3361</v>
      </c>
      <c r="E2160" s="1" t="s">
        <v>3362</v>
      </c>
      <c r="F2160" s="1" t="s">
        <v>3361</v>
      </c>
      <c r="G2160" s="1" t="s">
        <v>3366</v>
      </c>
      <c r="H2160" s="1" t="s">
        <v>3367</v>
      </c>
      <c r="I2160" s="1" t="s">
        <v>14042</v>
      </c>
      <c r="J2160" s="1" t="s">
        <v>3044</v>
      </c>
      <c r="K2160" s="1">
        <v>13</v>
      </c>
      <c r="L2160" s="1" t="s">
        <v>4219</v>
      </c>
      <c r="M2160" s="1">
        <v>3</v>
      </c>
      <c r="N2160" s="1" t="s">
        <v>3241</v>
      </c>
    </row>
    <row r="2161" spans="1:14" x14ac:dyDescent="0.15">
      <c r="A2161" s="1">
        <v>271</v>
      </c>
      <c r="B2161" s="1" t="s">
        <v>3361</v>
      </c>
      <c r="C2161" s="1" t="s">
        <v>3362</v>
      </c>
      <c r="D2161" s="1" t="s">
        <v>3361</v>
      </c>
      <c r="E2161" s="1" t="s">
        <v>3362</v>
      </c>
      <c r="F2161" s="1" t="s">
        <v>3361</v>
      </c>
      <c r="G2161" s="1" t="s">
        <v>3366</v>
      </c>
      <c r="H2161" s="1" t="s">
        <v>3367</v>
      </c>
      <c r="I2161" s="1" t="s">
        <v>8379</v>
      </c>
      <c r="J2161" s="1" t="s">
        <v>3360</v>
      </c>
      <c r="K2161" s="1">
        <v>13</v>
      </c>
      <c r="L2161" s="1" t="s">
        <v>4219</v>
      </c>
      <c r="M2161" s="1">
        <v>3</v>
      </c>
      <c r="N2161" s="1" t="s">
        <v>3241</v>
      </c>
    </row>
    <row r="2162" spans="1:14" x14ac:dyDescent="0.15">
      <c r="A2162" s="1">
        <v>271</v>
      </c>
      <c r="B2162" s="1" t="s">
        <v>3361</v>
      </c>
      <c r="C2162" s="1" t="s">
        <v>3362</v>
      </c>
      <c r="D2162" s="1" t="s">
        <v>3361</v>
      </c>
      <c r="E2162" s="1" t="s">
        <v>3362</v>
      </c>
      <c r="F2162" s="1" t="s">
        <v>3361</v>
      </c>
      <c r="G2162" s="1" t="s">
        <v>3366</v>
      </c>
      <c r="H2162" s="1" t="s">
        <v>3367</v>
      </c>
      <c r="I2162" s="1" t="s">
        <v>8382</v>
      </c>
      <c r="J2162" s="1" t="s">
        <v>3360</v>
      </c>
      <c r="K2162" s="1">
        <v>13</v>
      </c>
      <c r="L2162" s="1" t="s">
        <v>4219</v>
      </c>
      <c r="M2162" s="1">
        <v>3</v>
      </c>
      <c r="N2162" s="1" t="s">
        <v>3241</v>
      </c>
    </row>
    <row r="2163" spans="1:14" x14ac:dyDescent="0.15">
      <c r="A2163" s="1">
        <v>271</v>
      </c>
      <c r="B2163" s="1" t="s">
        <v>3361</v>
      </c>
      <c r="C2163" s="1" t="s">
        <v>3362</v>
      </c>
      <c r="D2163" s="1" t="s">
        <v>3361</v>
      </c>
      <c r="E2163" s="1" t="s">
        <v>3362</v>
      </c>
      <c r="F2163" s="1" t="s">
        <v>3361</v>
      </c>
      <c r="G2163" s="1" t="s">
        <v>3366</v>
      </c>
      <c r="H2163" s="1" t="s">
        <v>3367</v>
      </c>
      <c r="I2163" s="1" t="s">
        <v>8382</v>
      </c>
      <c r="J2163" s="1" t="s">
        <v>4455</v>
      </c>
      <c r="K2163" s="1">
        <v>13</v>
      </c>
      <c r="L2163" s="1" t="s">
        <v>4219</v>
      </c>
      <c r="M2163" s="1">
        <v>3</v>
      </c>
      <c r="N2163" s="1" t="s">
        <v>3241</v>
      </c>
    </row>
    <row r="2164" spans="1:14" x14ac:dyDescent="0.15">
      <c r="A2164" s="1">
        <v>271</v>
      </c>
      <c r="B2164" s="1" t="s">
        <v>3361</v>
      </c>
      <c r="C2164" s="1" t="s">
        <v>3362</v>
      </c>
      <c r="D2164" s="1" t="s">
        <v>3361</v>
      </c>
      <c r="E2164" s="1" t="s">
        <v>3362</v>
      </c>
      <c r="F2164" s="1" t="s">
        <v>3361</v>
      </c>
      <c r="G2164" s="1" t="s">
        <v>3366</v>
      </c>
      <c r="H2164" s="1" t="s">
        <v>3367</v>
      </c>
      <c r="I2164" s="1" t="s">
        <v>14062</v>
      </c>
      <c r="J2164" s="1" t="s">
        <v>3047</v>
      </c>
      <c r="K2164" s="1">
        <v>13</v>
      </c>
      <c r="L2164" s="1" t="s">
        <v>4219</v>
      </c>
      <c r="M2164" s="1">
        <v>3</v>
      </c>
      <c r="N2164" s="1" t="s">
        <v>3241</v>
      </c>
    </row>
    <row r="2165" spans="1:14" x14ac:dyDescent="0.15">
      <c r="A2165" s="1">
        <v>271</v>
      </c>
      <c r="B2165" s="1" t="s">
        <v>3361</v>
      </c>
      <c r="C2165" s="1" t="s">
        <v>3362</v>
      </c>
      <c r="D2165" s="1" t="s">
        <v>3361</v>
      </c>
      <c r="E2165" s="1" t="s">
        <v>3362</v>
      </c>
      <c r="F2165" s="1" t="s">
        <v>3361</v>
      </c>
      <c r="G2165" s="1" t="s">
        <v>3366</v>
      </c>
      <c r="H2165" s="1" t="s">
        <v>3367</v>
      </c>
      <c r="I2165" s="1" t="s">
        <v>14070</v>
      </c>
      <c r="J2165" s="1" t="s">
        <v>14071</v>
      </c>
      <c r="K2165" s="1">
        <v>13</v>
      </c>
      <c r="L2165" s="1" t="s">
        <v>4219</v>
      </c>
      <c r="M2165" s="1">
        <v>3</v>
      </c>
      <c r="N2165" s="1" t="s">
        <v>3241</v>
      </c>
    </row>
    <row r="2166" spans="1:14" x14ac:dyDescent="0.15">
      <c r="A2166" s="1">
        <v>271</v>
      </c>
      <c r="B2166" s="1" t="s">
        <v>3361</v>
      </c>
      <c r="C2166" s="1" t="s">
        <v>3362</v>
      </c>
      <c r="D2166" s="1" t="s">
        <v>3361</v>
      </c>
      <c r="E2166" s="1" t="s">
        <v>3362</v>
      </c>
      <c r="F2166" s="1" t="s">
        <v>3361</v>
      </c>
      <c r="G2166" s="1" t="s">
        <v>3366</v>
      </c>
      <c r="H2166" s="1" t="s">
        <v>3367</v>
      </c>
      <c r="I2166" s="1" t="s">
        <v>14074</v>
      </c>
      <c r="J2166" s="1" t="s">
        <v>3048</v>
      </c>
      <c r="K2166" s="1">
        <v>13</v>
      </c>
      <c r="L2166" s="1" t="s">
        <v>4219</v>
      </c>
      <c r="M2166" s="1">
        <v>3</v>
      </c>
      <c r="N2166" s="1" t="s">
        <v>3241</v>
      </c>
    </row>
    <row r="2167" spans="1:14" x14ac:dyDescent="0.15">
      <c r="A2167" s="1">
        <v>271</v>
      </c>
      <c r="B2167" s="1" t="s">
        <v>3361</v>
      </c>
      <c r="C2167" s="1" t="s">
        <v>3362</v>
      </c>
      <c r="D2167" s="1" t="s">
        <v>3361</v>
      </c>
      <c r="E2167" s="1" t="s">
        <v>3362</v>
      </c>
      <c r="F2167" s="1" t="s">
        <v>3361</v>
      </c>
      <c r="G2167" s="1" t="s">
        <v>3368</v>
      </c>
      <c r="H2167" s="1" t="s">
        <v>3369</v>
      </c>
      <c r="I2167" s="1" t="s">
        <v>17766</v>
      </c>
      <c r="J2167" s="1" t="s">
        <v>3061</v>
      </c>
      <c r="K2167" s="1">
        <v>13</v>
      </c>
      <c r="L2167" s="1" t="s">
        <v>4219</v>
      </c>
      <c r="M2167" s="1">
        <v>3</v>
      </c>
      <c r="N2167" s="1" t="s">
        <v>3241</v>
      </c>
    </row>
    <row r="2168" spans="1:14" x14ac:dyDescent="0.15">
      <c r="A2168" s="1">
        <v>271</v>
      </c>
      <c r="B2168" s="1" t="s">
        <v>3361</v>
      </c>
      <c r="C2168" s="1" t="s">
        <v>3362</v>
      </c>
      <c r="D2168" s="1" t="s">
        <v>3361</v>
      </c>
      <c r="E2168" s="1" t="s">
        <v>3362</v>
      </c>
      <c r="F2168" s="1" t="s">
        <v>3361</v>
      </c>
      <c r="G2168" s="1" t="s">
        <v>3368</v>
      </c>
      <c r="H2168" s="1" t="s">
        <v>3369</v>
      </c>
      <c r="I2168" s="1" t="s">
        <v>14042</v>
      </c>
      <c r="J2168" s="1" t="s">
        <v>3044</v>
      </c>
      <c r="K2168" s="1">
        <v>13</v>
      </c>
      <c r="L2168" s="1" t="s">
        <v>4219</v>
      </c>
      <c r="M2168" s="1">
        <v>3</v>
      </c>
      <c r="N2168" s="1" t="s">
        <v>3241</v>
      </c>
    </row>
    <row r="2169" spans="1:14" x14ac:dyDescent="0.15">
      <c r="A2169" s="1">
        <v>271</v>
      </c>
      <c r="B2169" s="1" t="s">
        <v>3361</v>
      </c>
      <c r="C2169" s="1" t="s">
        <v>3362</v>
      </c>
      <c r="D2169" s="1" t="s">
        <v>3361</v>
      </c>
      <c r="E2169" s="1" t="s">
        <v>3362</v>
      </c>
      <c r="F2169" s="1" t="s">
        <v>3361</v>
      </c>
      <c r="G2169" s="1" t="s">
        <v>3368</v>
      </c>
      <c r="H2169" s="1" t="s">
        <v>3369</v>
      </c>
      <c r="I2169" s="1" t="s">
        <v>8379</v>
      </c>
      <c r="J2169" s="1" t="s">
        <v>3360</v>
      </c>
      <c r="K2169" s="1">
        <v>13</v>
      </c>
      <c r="L2169" s="1" t="s">
        <v>4219</v>
      </c>
      <c r="M2169" s="1">
        <v>3</v>
      </c>
      <c r="N2169" s="1" t="s">
        <v>3241</v>
      </c>
    </row>
    <row r="2170" spans="1:14" x14ac:dyDescent="0.15">
      <c r="A2170" s="1">
        <v>271</v>
      </c>
      <c r="B2170" s="1" t="s">
        <v>3361</v>
      </c>
      <c r="C2170" s="1" t="s">
        <v>3362</v>
      </c>
      <c r="D2170" s="1" t="s">
        <v>3361</v>
      </c>
      <c r="E2170" s="1" t="s">
        <v>3362</v>
      </c>
      <c r="F2170" s="1" t="s">
        <v>3361</v>
      </c>
      <c r="G2170" s="1" t="s">
        <v>3368</v>
      </c>
      <c r="H2170" s="1" t="s">
        <v>3369</v>
      </c>
      <c r="I2170" s="1" t="s">
        <v>8382</v>
      </c>
      <c r="J2170" s="1" t="s">
        <v>4455</v>
      </c>
      <c r="K2170" s="1">
        <v>13</v>
      </c>
      <c r="L2170" s="1" t="s">
        <v>4219</v>
      </c>
      <c r="M2170" s="1">
        <v>3</v>
      </c>
      <c r="N2170" s="1" t="s">
        <v>3241</v>
      </c>
    </row>
    <row r="2171" spans="1:14" x14ac:dyDescent="0.15">
      <c r="A2171" s="1">
        <v>271</v>
      </c>
      <c r="B2171" s="1" t="s">
        <v>3361</v>
      </c>
      <c r="C2171" s="1" t="s">
        <v>3362</v>
      </c>
      <c r="D2171" s="1" t="s">
        <v>3361</v>
      </c>
      <c r="E2171" s="1" t="s">
        <v>3362</v>
      </c>
      <c r="F2171" s="1" t="s">
        <v>3361</v>
      </c>
      <c r="G2171" s="1" t="s">
        <v>3368</v>
      </c>
      <c r="H2171" s="1" t="s">
        <v>3369</v>
      </c>
      <c r="I2171" s="1" t="s">
        <v>14062</v>
      </c>
      <c r="J2171" s="1" t="s">
        <v>3047</v>
      </c>
      <c r="K2171" s="1">
        <v>13</v>
      </c>
      <c r="L2171" s="1" t="s">
        <v>4219</v>
      </c>
      <c r="M2171" s="1">
        <v>3</v>
      </c>
      <c r="N2171" s="1" t="s">
        <v>3241</v>
      </c>
    </row>
    <row r="2172" spans="1:14" x14ac:dyDescent="0.15">
      <c r="A2172" s="1">
        <v>271</v>
      </c>
      <c r="B2172" s="1" t="s">
        <v>3361</v>
      </c>
      <c r="C2172" s="1" t="s">
        <v>3362</v>
      </c>
      <c r="D2172" s="1" t="s">
        <v>3361</v>
      </c>
      <c r="E2172" s="1" t="s">
        <v>3362</v>
      </c>
      <c r="F2172" s="1" t="s">
        <v>3361</v>
      </c>
      <c r="G2172" s="1" t="s">
        <v>3368</v>
      </c>
      <c r="H2172" s="1" t="s">
        <v>3369</v>
      </c>
      <c r="I2172" s="1" t="s">
        <v>14070</v>
      </c>
      <c r="J2172" s="1" t="s">
        <v>14071</v>
      </c>
      <c r="K2172" s="1">
        <v>13</v>
      </c>
      <c r="L2172" s="1" t="s">
        <v>4219</v>
      </c>
      <c r="M2172" s="1">
        <v>3</v>
      </c>
      <c r="N2172" s="1" t="s">
        <v>3241</v>
      </c>
    </row>
    <row r="2173" spans="1:14" x14ac:dyDescent="0.15">
      <c r="A2173" s="1">
        <v>271</v>
      </c>
      <c r="B2173" s="1" t="s">
        <v>3361</v>
      </c>
      <c r="C2173" s="1" t="s">
        <v>3362</v>
      </c>
      <c r="D2173" s="1" t="s">
        <v>3361</v>
      </c>
      <c r="E2173" s="1" t="s">
        <v>3362</v>
      </c>
      <c r="F2173" s="1" t="s">
        <v>3361</v>
      </c>
      <c r="G2173" s="1" t="s">
        <v>3368</v>
      </c>
      <c r="H2173" s="1" t="s">
        <v>3369</v>
      </c>
      <c r="I2173" s="1" t="s">
        <v>14074</v>
      </c>
      <c r="J2173" s="1" t="s">
        <v>3048</v>
      </c>
      <c r="K2173" s="1">
        <v>13</v>
      </c>
      <c r="L2173" s="1" t="s">
        <v>4219</v>
      </c>
      <c r="M2173" s="1">
        <v>3</v>
      </c>
      <c r="N2173" s="1" t="s">
        <v>3241</v>
      </c>
    </row>
    <row r="2174" spans="1:14" x14ac:dyDescent="0.15">
      <c r="A2174" s="1">
        <v>271</v>
      </c>
      <c r="B2174" s="1" t="s">
        <v>3361</v>
      </c>
      <c r="C2174" s="1" t="s">
        <v>3362</v>
      </c>
      <c r="D2174" s="1" t="s">
        <v>3361</v>
      </c>
      <c r="E2174" s="1" t="s">
        <v>3362</v>
      </c>
      <c r="F2174" s="1" t="s">
        <v>3361</v>
      </c>
      <c r="G2174" s="1" t="s">
        <v>3370</v>
      </c>
      <c r="H2174" s="1" t="s">
        <v>3371</v>
      </c>
      <c r="I2174" s="1" t="s">
        <v>17766</v>
      </c>
      <c r="J2174" s="1" t="s">
        <v>3061</v>
      </c>
      <c r="K2174" s="1">
        <v>13</v>
      </c>
      <c r="L2174" s="1" t="s">
        <v>4219</v>
      </c>
      <c r="M2174" s="1">
        <v>3</v>
      </c>
      <c r="N2174" s="1" t="s">
        <v>3241</v>
      </c>
    </row>
    <row r="2175" spans="1:14" x14ac:dyDescent="0.15">
      <c r="A2175" s="1">
        <v>271</v>
      </c>
      <c r="B2175" s="1" t="s">
        <v>3361</v>
      </c>
      <c r="C2175" s="1" t="s">
        <v>3362</v>
      </c>
      <c r="D2175" s="1" t="s">
        <v>3361</v>
      </c>
      <c r="E2175" s="1" t="s">
        <v>3362</v>
      </c>
      <c r="F2175" s="1" t="s">
        <v>3361</v>
      </c>
      <c r="G2175" s="1" t="s">
        <v>3370</v>
      </c>
      <c r="H2175" s="1" t="s">
        <v>3371</v>
      </c>
      <c r="I2175" s="1" t="s">
        <v>14042</v>
      </c>
      <c r="J2175" s="1" t="s">
        <v>3044</v>
      </c>
      <c r="K2175" s="1">
        <v>13</v>
      </c>
      <c r="L2175" s="1" t="s">
        <v>4219</v>
      </c>
      <c r="M2175" s="1">
        <v>3</v>
      </c>
      <c r="N2175" s="1" t="s">
        <v>3241</v>
      </c>
    </row>
    <row r="2176" spans="1:14" x14ac:dyDescent="0.15">
      <c r="A2176" s="1">
        <v>271</v>
      </c>
      <c r="B2176" s="1" t="s">
        <v>3361</v>
      </c>
      <c r="C2176" s="1" t="s">
        <v>3362</v>
      </c>
      <c r="D2176" s="1" t="s">
        <v>3361</v>
      </c>
      <c r="E2176" s="1" t="s">
        <v>3362</v>
      </c>
      <c r="F2176" s="1" t="s">
        <v>3361</v>
      </c>
      <c r="G2176" s="1" t="s">
        <v>3370</v>
      </c>
      <c r="H2176" s="1" t="s">
        <v>3371</v>
      </c>
      <c r="I2176" s="1" t="s">
        <v>8379</v>
      </c>
      <c r="J2176" s="1" t="s">
        <v>3360</v>
      </c>
      <c r="K2176" s="1">
        <v>13</v>
      </c>
      <c r="L2176" s="1" t="s">
        <v>4219</v>
      </c>
      <c r="M2176" s="1">
        <v>3</v>
      </c>
      <c r="N2176" s="1" t="s">
        <v>3241</v>
      </c>
    </row>
    <row r="2177" spans="1:14" x14ac:dyDescent="0.15">
      <c r="A2177" s="1">
        <v>271</v>
      </c>
      <c r="B2177" s="1" t="s">
        <v>3361</v>
      </c>
      <c r="C2177" s="1" t="s">
        <v>3362</v>
      </c>
      <c r="D2177" s="1" t="s">
        <v>3361</v>
      </c>
      <c r="E2177" s="1" t="s">
        <v>3362</v>
      </c>
      <c r="F2177" s="1" t="s">
        <v>3361</v>
      </c>
      <c r="G2177" s="1" t="s">
        <v>3370</v>
      </c>
      <c r="H2177" s="1" t="s">
        <v>3371</v>
      </c>
      <c r="I2177" s="1" t="s">
        <v>8382</v>
      </c>
      <c r="J2177" s="1" t="s">
        <v>4455</v>
      </c>
      <c r="K2177" s="1">
        <v>13</v>
      </c>
      <c r="L2177" s="1" t="s">
        <v>4219</v>
      </c>
      <c r="M2177" s="1">
        <v>3</v>
      </c>
      <c r="N2177" s="1" t="s">
        <v>3241</v>
      </c>
    </row>
    <row r="2178" spans="1:14" x14ac:dyDescent="0.15">
      <c r="A2178" s="1">
        <v>271</v>
      </c>
      <c r="B2178" s="1" t="s">
        <v>3361</v>
      </c>
      <c r="C2178" s="1" t="s">
        <v>3362</v>
      </c>
      <c r="D2178" s="1" t="s">
        <v>3361</v>
      </c>
      <c r="E2178" s="1" t="s">
        <v>3362</v>
      </c>
      <c r="F2178" s="1" t="s">
        <v>3361</v>
      </c>
      <c r="G2178" s="1" t="s">
        <v>3370</v>
      </c>
      <c r="H2178" s="1" t="s">
        <v>3371</v>
      </c>
      <c r="I2178" s="1" t="s">
        <v>14062</v>
      </c>
      <c r="J2178" s="1" t="s">
        <v>3047</v>
      </c>
      <c r="K2178" s="1">
        <v>13</v>
      </c>
      <c r="L2178" s="1" t="s">
        <v>4219</v>
      </c>
      <c r="M2178" s="1">
        <v>3</v>
      </c>
      <c r="N2178" s="1" t="s">
        <v>3241</v>
      </c>
    </row>
    <row r="2179" spans="1:14" x14ac:dyDescent="0.15">
      <c r="A2179" s="1">
        <v>271</v>
      </c>
      <c r="B2179" s="1" t="s">
        <v>3361</v>
      </c>
      <c r="C2179" s="1" t="s">
        <v>3362</v>
      </c>
      <c r="D2179" s="1" t="s">
        <v>3361</v>
      </c>
      <c r="E2179" s="1" t="s">
        <v>3362</v>
      </c>
      <c r="F2179" s="1" t="s">
        <v>3361</v>
      </c>
      <c r="G2179" s="1" t="s">
        <v>3370</v>
      </c>
      <c r="H2179" s="1" t="s">
        <v>3371</v>
      </c>
      <c r="I2179" s="1" t="s">
        <v>14070</v>
      </c>
      <c r="J2179" s="1" t="s">
        <v>14071</v>
      </c>
      <c r="K2179" s="1">
        <v>13</v>
      </c>
      <c r="L2179" s="1" t="s">
        <v>4219</v>
      </c>
      <c r="M2179" s="1">
        <v>3</v>
      </c>
      <c r="N2179" s="1" t="s">
        <v>3241</v>
      </c>
    </row>
    <row r="2180" spans="1:14" x14ac:dyDescent="0.15">
      <c r="A2180" s="1">
        <v>271</v>
      </c>
      <c r="B2180" s="1" t="s">
        <v>3361</v>
      </c>
      <c r="C2180" s="1" t="s">
        <v>3362</v>
      </c>
      <c r="D2180" s="1" t="s">
        <v>3361</v>
      </c>
      <c r="E2180" s="1" t="s">
        <v>3362</v>
      </c>
      <c r="F2180" s="1" t="s">
        <v>3361</v>
      </c>
      <c r="G2180" s="1" t="s">
        <v>3370</v>
      </c>
      <c r="H2180" s="1" t="s">
        <v>3371</v>
      </c>
      <c r="I2180" s="1" t="s">
        <v>14074</v>
      </c>
      <c r="J2180" s="1" t="s">
        <v>3048</v>
      </c>
      <c r="K2180" s="1">
        <v>13</v>
      </c>
      <c r="L2180" s="1" t="s">
        <v>4219</v>
      </c>
      <c r="M2180" s="1">
        <v>3</v>
      </c>
      <c r="N2180" s="1" t="s">
        <v>3241</v>
      </c>
    </row>
    <row r="2181" spans="1:14" x14ac:dyDescent="0.15">
      <c r="A2181" s="1">
        <v>271</v>
      </c>
      <c r="B2181" s="1" t="s">
        <v>3361</v>
      </c>
      <c r="C2181" s="1" t="s">
        <v>3362</v>
      </c>
      <c r="D2181" s="1" t="s">
        <v>3361</v>
      </c>
      <c r="E2181" s="1" t="s">
        <v>3362</v>
      </c>
      <c r="F2181" s="1" t="s">
        <v>3361</v>
      </c>
      <c r="G2181" s="1" t="s">
        <v>3372</v>
      </c>
      <c r="H2181" s="1" t="s">
        <v>3373</v>
      </c>
      <c r="I2181" s="1" t="s">
        <v>17766</v>
      </c>
      <c r="J2181" s="1" t="s">
        <v>3061</v>
      </c>
      <c r="K2181" s="1">
        <v>13</v>
      </c>
      <c r="L2181" s="1" t="s">
        <v>4219</v>
      </c>
      <c r="M2181" s="1">
        <v>3</v>
      </c>
      <c r="N2181" s="1" t="s">
        <v>3241</v>
      </c>
    </row>
    <row r="2182" spans="1:14" x14ac:dyDescent="0.15">
      <c r="A2182" s="1">
        <v>271</v>
      </c>
      <c r="B2182" s="1" t="s">
        <v>3361</v>
      </c>
      <c r="C2182" s="1" t="s">
        <v>3362</v>
      </c>
      <c r="D2182" s="1" t="s">
        <v>3361</v>
      </c>
      <c r="E2182" s="1" t="s">
        <v>3362</v>
      </c>
      <c r="F2182" s="1" t="s">
        <v>3361</v>
      </c>
      <c r="G2182" s="1" t="s">
        <v>3372</v>
      </c>
      <c r="H2182" s="1" t="s">
        <v>3373</v>
      </c>
      <c r="I2182" s="1" t="s">
        <v>14042</v>
      </c>
      <c r="J2182" s="1" t="s">
        <v>3044</v>
      </c>
      <c r="K2182" s="1">
        <v>13</v>
      </c>
      <c r="L2182" s="1" t="s">
        <v>4219</v>
      </c>
      <c r="M2182" s="1">
        <v>3</v>
      </c>
      <c r="N2182" s="1" t="s">
        <v>3241</v>
      </c>
    </row>
    <row r="2183" spans="1:14" x14ac:dyDescent="0.15">
      <c r="A2183" s="1">
        <v>271</v>
      </c>
      <c r="B2183" s="1" t="s">
        <v>3361</v>
      </c>
      <c r="C2183" s="1" t="s">
        <v>3362</v>
      </c>
      <c r="D2183" s="1" t="s">
        <v>3361</v>
      </c>
      <c r="E2183" s="1" t="s">
        <v>3362</v>
      </c>
      <c r="F2183" s="1" t="s">
        <v>3361</v>
      </c>
      <c r="G2183" s="1" t="s">
        <v>3372</v>
      </c>
      <c r="H2183" s="1" t="s">
        <v>3373</v>
      </c>
      <c r="I2183" s="1" t="s">
        <v>8379</v>
      </c>
      <c r="J2183" s="1" t="s">
        <v>3360</v>
      </c>
      <c r="K2183" s="1">
        <v>13</v>
      </c>
      <c r="L2183" s="1" t="s">
        <v>4219</v>
      </c>
      <c r="M2183" s="1">
        <v>3</v>
      </c>
      <c r="N2183" s="1" t="s">
        <v>3241</v>
      </c>
    </row>
    <row r="2184" spans="1:14" x14ac:dyDescent="0.15">
      <c r="A2184" s="1">
        <v>271</v>
      </c>
      <c r="B2184" s="1" t="s">
        <v>3361</v>
      </c>
      <c r="C2184" s="1" t="s">
        <v>3362</v>
      </c>
      <c r="D2184" s="1" t="s">
        <v>3361</v>
      </c>
      <c r="E2184" s="1" t="s">
        <v>3362</v>
      </c>
      <c r="F2184" s="1" t="s">
        <v>3361</v>
      </c>
      <c r="G2184" s="1" t="s">
        <v>3372</v>
      </c>
      <c r="H2184" s="1" t="s">
        <v>3373</v>
      </c>
      <c r="I2184" s="1" t="s">
        <v>8382</v>
      </c>
      <c r="J2184" s="1" t="s">
        <v>4455</v>
      </c>
      <c r="K2184" s="1">
        <v>13</v>
      </c>
      <c r="L2184" s="1" t="s">
        <v>4219</v>
      </c>
      <c r="M2184" s="1">
        <v>3</v>
      </c>
      <c r="N2184" s="1" t="s">
        <v>3241</v>
      </c>
    </row>
    <row r="2185" spans="1:14" x14ac:dyDescent="0.15">
      <c r="A2185" s="1">
        <v>271</v>
      </c>
      <c r="B2185" s="1" t="s">
        <v>3361</v>
      </c>
      <c r="C2185" s="1" t="s">
        <v>3362</v>
      </c>
      <c r="D2185" s="1" t="s">
        <v>3361</v>
      </c>
      <c r="E2185" s="1" t="s">
        <v>3362</v>
      </c>
      <c r="F2185" s="1" t="s">
        <v>3361</v>
      </c>
      <c r="G2185" s="1" t="s">
        <v>3372</v>
      </c>
      <c r="H2185" s="1" t="s">
        <v>3373</v>
      </c>
      <c r="I2185" s="1" t="s">
        <v>14062</v>
      </c>
      <c r="J2185" s="1" t="s">
        <v>3047</v>
      </c>
      <c r="K2185" s="1">
        <v>13</v>
      </c>
      <c r="L2185" s="1" t="s">
        <v>4219</v>
      </c>
      <c r="M2185" s="1">
        <v>3</v>
      </c>
      <c r="N2185" s="1" t="s">
        <v>3241</v>
      </c>
    </row>
    <row r="2186" spans="1:14" x14ac:dyDescent="0.15">
      <c r="A2186" s="1">
        <v>271</v>
      </c>
      <c r="B2186" s="1" t="s">
        <v>3361</v>
      </c>
      <c r="C2186" s="1" t="s">
        <v>3362</v>
      </c>
      <c r="D2186" s="1" t="s">
        <v>3361</v>
      </c>
      <c r="E2186" s="1" t="s">
        <v>3362</v>
      </c>
      <c r="F2186" s="1" t="s">
        <v>3361</v>
      </c>
      <c r="G2186" s="1" t="s">
        <v>3372</v>
      </c>
      <c r="H2186" s="1" t="s">
        <v>3373</v>
      </c>
      <c r="I2186" s="1" t="s">
        <v>14070</v>
      </c>
      <c r="J2186" s="1" t="s">
        <v>14071</v>
      </c>
      <c r="K2186" s="1">
        <v>13</v>
      </c>
      <c r="L2186" s="1" t="s">
        <v>4219</v>
      </c>
      <c r="M2186" s="1">
        <v>3</v>
      </c>
      <c r="N2186" s="1" t="s">
        <v>3241</v>
      </c>
    </row>
    <row r="2187" spans="1:14" x14ac:dyDescent="0.15">
      <c r="A2187" s="1">
        <v>271</v>
      </c>
      <c r="B2187" s="1" t="s">
        <v>3361</v>
      </c>
      <c r="C2187" s="1" t="s">
        <v>3362</v>
      </c>
      <c r="D2187" s="1" t="s">
        <v>3361</v>
      </c>
      <c r="E2187" s="1" t="s">
        <v>3362</v>
      </c>
      <c r="F2187" s="1" t="s">
        <v>3361</v>
      </c>
      <c r="G2187" s="1" t="s">
        <v>3372</v>
      </c>
      <c r="H2187" s="1" t="s">
        <v>3373</v>
      </c>
      <c r="I2187" s="1" t="s">
        <v>14074</v>
      </c>
      <c r="J2187" s="1" t="s">
        <v>3048</v>
      </c>
      <c r="K2187" s="1">
        <v>13</v>
      </c>
      <c r="L2187" s="1" t="s">
        <v>4219</v>
      </c>
      <c r="M2187" s="1">
        <v>3</v>
      </c>
      <c r="N2187" s="1" t="s">
        <v>3241</v>
      </c>
    </row>
    <row r="2188" spans="1:14" x14ac:dyDescent="0.15">
      <c r="A2188" s="1">
        <v>272</v>
      </c>
      <c r="B2188" s="1" t="s">
        <v>3374</v>
      </c>
      <c r="C2188" s="1" t="s">
        <v>3375</v>
      </c>
      <c r="D2188" s="1" t="s">
        <v>3374</v>
      </c>
      <c r="E2188" s="1" t="s">
        <v>3375</v>
      </c>
      <c r="F2188" s="1" t="s">
        <v>3374</v>
      </c>
      <c r="G2188" s="1" t="s">
        <v>3376</v>
      </c>
      <c r="H2188" s="1" t="s">
        <v>3374</v>
      </c>
      <c r="I2188" s="1" t="s">
        <v>11879</v>
      </c>
      <c r="J2188" s="1" t="s">
        <v>4278</v>
      </c>
      <c r="K2188" s="1">
        <v>10</v>
      </c>
      <c r="L2188" s="1" t="s">
        <v>4380</v>
      </c>
      <c r="M2188" s="1">
        <v>9</v>
      </c>
      <c r="N2188" s="1" t="s">
        <v>4381</v>
      </c>
    </row>
    <row r="2189" spans="1:14" x14ac:dyDescent="0.15">
      <c r="A2189" s="1">
        <v>272</v>
      </c>
      <c r="B2189" s="1" t="s">
        <v>3374</v>
      </c>
      <c r="C2189" s="1" t="s">
        <v>3377</v>
      </c>
      <c r="D2189" s="1" t="s">
        <v>3378</v>
      </c>
      <c r="E2189" s="1" t="s">
        <v>3377</v>
      </c>
      <c r="F2189" s="1" t="s">
        <v>3378</v>
      </c>
      <c r="G2189" s="1" t="s">
        <v>3379</v>
      </c>
      <c r="H2189" s="1" t="s">
        <v>3378</v>
      </c>
      <c r="I2189" s="1" t="s">
        <v>15305</v>
      </c>
      <c r="J2189" s="1" t="s">
        <v>15306</v>
      </c>
      <c r="K2189" s="1">
        <v>10</v>
      </c>
      <c r="L2189" s="1" t="s">
        <v>4380</v>
      </c>
      <c r="M2189" s="1">
        <v>9</v>
      </c>
      <c r="N2189" s="1" t="s">
        <v>4381</v>
      </c>
    </row>
    <row r="2190" spans="1:14" x14ac:dyDescent="0.15">
      <c r="A2190" s="1">
        <v>272</v>
      </c>
      <c r="B2190" s="1" t="s">
        <v>3374</v>
      </c>
      <c r="C2190" s="1" t="s">
        <v>3380</v>
      </c>
      <c r="D2190" s="1" t="s">
        <v>3381</v>
      </c>
      <c r="E2190" s="1" t="s">
        <v>3380</v>
      </c>
      <c r="F2190" s="1" t="s">
        <v>3381</v>
      </c>
      <c r="G2190" s="1" t="s">
        <v>3382</v>
      </c>
      <c r="H2190" s="1" t="s">
        <v>3381</v>
      </c>
      <c r="I2190" s="1" t="s">
        <v>16575</v>
      </c>
      <c r="J2190" s="1" t="s">
        <v>16576</v>
      </c>
      <c r="K2190" s="1">
        <v>10</v>
      </c>
      <c r="L2190" s="1" t="s">
        <v>4380</v>
      </c>
      <c r="M2190" s="1">
        <v>9</v>
      </c>
      <c r="N2190" s="1" t="s">
        <v>4381</v>
      </c>
    </row>
    <row r="2191" spans="1:14" x14ac:dyDescent="0.15">
      <c r="A2191" s="1">
        <v>272</v>
      </c>
      <c r="B2191" s="1" t="s">
        <v>3374</v>
      </c>
      <c r="C2191" s="1" t="s">
        <v>3380</v>
      </c>
      <c r="D2191" s="1" t="s">
        <v>3381</v>
      </c>
      <c r="E2191" s="1" t="s">
        <v>3380</v>
      </c>
      <c r="F2191" s="1" t="s">
        <v>3381</v>
      </c>
      <c r="G2191" s="1" t="s">
        <v>3382</v>
      </c>
      <c r="H2191" s="1" t="s">
        <v>3381</v>
      </c>
      <c r="I2191" s="1" t="s">
        <v>15305</v>
      </c>
      <c r="J2191" s="1" t="s">
        <v>15306</v>
      </c>
      <c r="K2191" s="1">
        <v>10</v>
      </c>
      <c r="L2191" s="1" t="s">
        <v>4380</v>
      </c>
      <c r="M2191" s="1">
        <v>9</v>
      </c>
      <c r="N2191" s="1" t="s">
        <v>4381</v>
      </c>
    </row>
    <row r="2192" spans="1:14" x14ac:dyDescent="0.15">
      <c r="A2192" s="1">
        <v>272</v>
      </c>
      <c r="B2192" s="1" t="s">
        <v>3374</v>
      </c>
      <c r="C2192" s="1" t="s">
        <v>3380</v>
      </c>
      <c r="D2192" s="1" t="s">
        <v>3381</v>
      </c>
      <c r="E2192" s="1" t="s">
        <v>3380</v>
      </c>
      <c r="F2192" s="1" t="s">
        <v>3381</v>
      </c>
      <c r="G2192" s="1" t="s">
        <v>3382</v>
      </c>
      <c r="H2192" s="1" t="s">
        <v>3381</v>
      </c>
      <c r="I2192" s="1" t="s">
        <v>15317</v>
      </c>
      <c r="J2192" s="1" t="s">
        <v>15318</v>
      </c>
      <c r="K2192" s="1">
        <v>10</v>
      </c>
      <c r="L2192" s="1" t="s">
        <v>4380</v>
      </c>
      <c r="M2192" s="1">
        <v>9</v>
      </c>
      <c r="N2192" s="1" t="s">
        <v>4381</v>
      </c>
    </row>
    <row r="2193" spans="1:14" x14ac:dyDescent="0.15">
      <c r="A2193" s="1">
        <v>272</v>
      </c>
      <c r="B2193" s="1" t="s">
        <v>3374</v>
      </c>
      <c r="C2193" s="1" t="s">
        <v>3383</v>
      </c>
      <c r="D2193" s="1" t="s">
        <v>3384</v>
      </c>
      <c r="E2193" s="1" t="s">
        <v>3383</v>
      </c>
      <c r="F2193" s="1" t="s">
        <v>3384</v>
      </c>
      <c r="G2193" s="1" t="s">
        <v>3385</v>
      </c>
      <c r="H2193" s="1" t="s">
        <v>3384</v>
      </c>
      <c r="I2193" s="1" t="s">
        <v>11884</v>
      </c>
      <c r="J2193" s="1" t="s">
        <v>4495</v>
      </c>
      <c r="K2193" s="1">
        <v>10</v>
      </c>
      <c r="L2193" s="1" t="s">
        <v>4380</v>
      </c>
      <c r="M2193" s="1">
        <v>9</v>
      </c>
      <c r="N2193" s="1" t="s">
        <v>4381</v>
      </c>
    </row>
    <row r="2194" spans="1:14" x14ac:dyDescent="0.15">
      <c r="A2194" s="1">
        <v>274</v>
      </c>
      <c r="B2194" s="1" t="s">
        <v>3386</v>
      </c>
      <c r="C2194" s="1" t="s">
        <v>3387</v>
      </c>
      <c r="D2194" s="1" t="s">
        <v>3386</v>
      </c>
      <c r="E2194" s="1" t="s">
        <v>3387</v>
      </c>
      <c r="F2194" s="1" t="s">
        <v>3386</v>
      </c>
      <c r="G2194" s="1" t="s">
        <v>3388</v>
      </c>
      <c r="H2194" s="1" t="s">
        <v>3386</v>
      </c>
      <c r="I2194" s="1" t="s">
        <v>11879</v>
      </c>
      <c r="J2194" s="1" t="s">
        <v>4278</v>
      </c>
      <c r="K2194" s="1">
        <v>13</v>
      </c>
      <c r="L2194" s="1" t="s">
        <v>4219</v>
      </c>
      <c r="M2194" s="1">
        <v>3</v>
      </c>
      <c r="N2194" s="1" t="s">
        <v>3241</v>
      </c>
    </row>
    <row r="2195" spans="1:14" x14ac:dyDescent="0.15">
      <c r="A2195" s="1">
        <v>274</v>
      </c>
      <c r="B2195" s="1" t="s">
        <v>3386</v>
      </c>
      <c r="C2195" s="1" t="s">
        <v>3389</v>
      </c>
      <c r="D2195" s="1" t="s">
        <v>3390</v>
      </c>
      <c r="E2195" s="1" t="s">
        <v>3389</v>
      </c>
      <c r="F2195" s="1" t="s">
        <v>3390</v>
      </c>
      <c r="G2195" s="1" t="s">
        <v>3391</v>
      </c>
      <c r="H2195" s="1" t="s">
        <v>3390</v>
      </c>
      <c r="I2195" s="1" t="s">
        <v>14003</v>
      </c>
      <c r="J2195" s="1" t="s">
        <v>4919</v>
      </c>
      <c r="K2195" s="1">
        <v>13</v>
      </c>
      <c r="L2195" s="1" t="s">
        <v>4219</v>
      </c>
      <c r="M2195" s="1">
        <v>3</v>
      </c>
      <c r="N2195" s="1" t="s">
        <v>3241</v>
      </c>
    </row>
    <row r="2196" spans="1:14" x14ac:dyDescent="0.15">
      <c r="A2196" s="1">
        <v>274</v>
      </c>
      <c r="B2196" s="1" t="s">
        <v>3386</v>
      </c>
      <c r="C2196" s="1" t="s">
        <v>3389</v>
      </c>
      <c r="D2196" s="1" t="s">
        <v>3390</v>
      </c>
      <c r="E2196" s="1" t="s">
        <v>3389</v>
      </c>
      <c r="F2196" s="1" t="s">
        <v>3390</v>
      </c>
      <c r="G2196" s="1" t="s">
        <v>3391</v>
      </c>
      <c r="H2196" s="1" t="s">
        <v>3390</v>
      </c>
      <c r="I2196" s="1" t="s">
        <v>8343</v>
      </c>
      <c r="J2196" s="1" t="s">
        <v>3392</v>
      </c>
      <c r="K2196" s="1">
        <v>13</v>
      </c>
      <c r="L2196" s="1" t="s">
        <v>4219</v>
      </c>
      <c r="M2196" s="1">
        <v>3</v>
      </c>
      <c r="N2196" s="1" t="s">
        <v>3241</v>
      </c>
    </row>
    <row r="2197" spans="1:14" x14ac:dyDescent="0.15">
      <c r="A2197" s="1">
        <v>274</v>
      </c>
      <c r="B2197" s="1" t="s">
        <v>3386</v>
      </c>
      <c r="C2197" s="1" t="s">
        <v>3389</v>
      </c>
      <c r="D2197" s="1" t="s">
        <v>3390</v>
      </c>
      <c r="E2197" s="1" t="s">
        <v>3389</v>
      </c>
      <c r="F2197" s="1" t="s">
        <v>3390</v>
      </c>
      <c r="G2197" s="1" t="s">
        <v>3391</v>
      </c>
      <c r="H2197" s="1" t="s">
        <v>3390</v>
      </c>
      <c r="I2197" s="1" t="s">
        <v>8346</v>
      </c>
      <c r="J2197" s="1" t="s">
        <v>3393</v>
      </c>
      <c r="K2197" s="1">
        <v>13</v>
      </c>
      <c r="L2197" s="1" t="s">
        <v>4219</v>
      </c>
      <c r="M2197" s="1">
        <v>3</v>
      </c>
      <c r="N2197" s="1" t="s">
        <v>3241</v>
      </c>
    </row>
    <row r="2198" spans="1:14" x14ac:dyDescent="0.15">
      <c r="A2198" s="1">
        <v>274</v>
      </c>
      <c r="B2198" s="1" t="s">
        <v>3386</v>
      </c>
      <c r="C2198" s="1" t="s">
        <v>3394</v>
      </c>
      <c r="D2198" s="1" t="s">
        <v>3395</v>
      </c>
      <c r="E2198" s="1" t="s">
        <v>3394</v>
      </c>
      <c r="F2198" s="1" t="s">
        <v>3395</v>
      </c>
      <c r="G2198" s="1" t="s">
        <v>3396</v>
      </c>
      <c r="H2198" s="1" t="s">
        <v>3395</v>
      </c>
      <c r="I2198" s="1" t="s">
        <v>14003</v>
      </c>
      <c r="J2198" s="1" t="s">
        <v>4919</v>
      </c>
      <c r="K2198" s="1">
        <v>13</v>
      </c>
      <c r="L2198" s="1" t="s">
        <v>4219</v>
      </c>
      <c r="M2198" s="1">
        <v>3</v>
      </c>
      <c r="N2198" s="1" t="s">
        <v>3241</v>
      </c>
    </row>
    <row r="2199" spans="1:14" x14ac:dyDescent="0.15">
      <c r="A2199" s="1">
        <v>274</v>
      </c>
      <c r="B2199" s="1" t="s">
        <v>3386</v>
      </c>
      <c r="C2199" s="1" t="s">
        <v>3394</v>
      </c>
      <c r="D2199" s="1" t="s">
        <v>3395</v>
      </c>
      <c r="E2199" s="1" t="s">
        <v>3394</v>
      </c>
      <c r="F2199" s="1" t="s">
        <v>3395</v>
      </c>
      <c r="G2199" s="1" t="s">
        <v>3396</v>
      </c>
      <c r="H2199" s="1" t="s">
        <v>3395</v>
      </c>
      <c r="I2199" s="1" t="s">
        <v>8346</v>
      </c>
      <c r="J2199" s="1" t="s">
        <v>3393</v>
      </c>
      <c r="K2199" s="1">
        <v>13</v>
      </c>
      <c r="L2199" s="1" t="s">
        <v>4219</v>
      </c>
      <c r="M2199" s="1">
        <v>3</v>
      </c>
      <c r="N2199" s="1" t="s">
        <v>3241</v>
      </c>
    </row>
    <row r="2200" spans="1:14" x14ac:dyDescent="0.15">
      <c r="A2200" s="1">
        <v>275</v>
      </c>
      <c r="B2200" s="1" t="s">
        <v>3397</v>
      </c>
      <c r="C2200" s="1" t="s">
        <v>3398</v>
      </c>
      <c r="D2200" s="1" t="s">
        <v>3397</v>
      </c>
      <c r="E2200" s="1" t="s">
        <v>3398</v>
      </c>
      <c r="F2200" s="1" t="s">
        <v>3397</v>
      </c>
      <c r="G2200" s="1" t="s">
        <v>3399</v>
      </c>
      <c r="H2200" s="1" t="s">
        <v>3397</v>
      </c>
      <c r="I2200" s="1" t="s">
        <v>11879</v>
      </c>
      <c r="J2200" s="1" t="s">
        <v>4278</v>
      </c>
      <c r="K2200" s="1">
        <v>13</v>
      </c>
      <c r="L2200" s="1" t="s">
        <v>4219</v>
      </c>
      <c r="M2200" s="1">
        <v>3</v>
      </c>
      <c r="N2200" s="1" t="s">
        <v>3241</v>
      </c>
    </row>
    <row r="2201" spans="1:14" x14ac:dyDescent="0.15">
      <c r="A2201" s="1">
        <v>275</v>
      </c>
      <c r="B2201" s="1" t="s">
        <v>3397</v>
      </c>
      <c r="C2201" s="1" t="s">
        <v>3400</v>
      </c>
      <c r="D2201" s="1" t="s">
        <v>3401</v>
      </c>
      <c r="E2201" s="1" t="s">
        <v>3400</v>
      </c>
      <c r="F2201" s="1" t="s">
        <v>3401</v>
      </c>
      <c r="G2201" s="1" t="s">
        <v>3402</v>
      </c>
      <c r="H2201" s="1" t="s">
        <v>3401</v>
      </c>
      <c r="I2201" s="1" t="s">
        <v>14892</v>
      </c>
      <c r="J2201" s="1" t="s">
        <v>14889</v>
      </c>
      <c r="K2201" s="1">
        <v>13</v>
      </c>
      <c r="L2201" s="1" t="s">
        <v>4219</v>
      </c>
      <c r="M2201" s="1">
        <v>3</v>
      </c>
      <c r="N2201" s="1" t="s">
        <v>3241</v>
      </c>
    </row>
    <row r="2202" spans="1:14" x14ac:dyDescent="0.15">
      <c r="A2202" s="1">
        <v>275</v>
      </c>
      <c r="B2202" s="1" t="s">
        <v>3397</v>
      </c>
      <c r="C2202" s="1" t="s">
        <v>3400</v>
      </c>
      <c r="D2202" s="1" t="s">
        <v>3401</v>
      </c>
      <c r="E2202" s="1" t="s">
        <v>3400</v>
      </c>
      <c r="F2202" s="1" t="s">
        <v>3401</v>
      </c>
      <c r="G2202" s="1" t="s">
        <v>3402</v>
      </c>
      <c r="H2202" s="1" t="s">
        <v>3401</v>
      </c>
      <c r="I2202" s="1" t="s">
        <v>14153</v>
      </c>
      <c r="J2202" s="1" t="s">
        <v>4972</v>
      </c>
      <c r="K2202" s="1">
        <v>13</v>
      </c>
      <c r="L2202" s="1" t="s">
        <v>4219</v>
      </c>
      <c r="M2202" s="1">
        <v>3</v>
      </c>
      <c r="N2202" s="1" t="s">
        <v>3241</v>
      </c>
    </row>
    <row r="2203" spans="1:14" x14ac:dyDescent="0.15">
      <c r="A2203" s="1">
        <v>275</v>
      </c>
      <c r="B2203" s="1" t="s">
        <v>3397</v>
      </c>
      <c r="C2203" s="1" t="s">
        <v>3400</v>
      </c>
      <c r="D2203" s="1" t="s">
        <v>3401</v>
      </c>
      <c r="E2203" s="1" t="s">
        <v>3400</v>
      </c>
      <c r="F2203" s="1" t="s">
        <v>3401</v>
      </c>
      <c r="G2203" s="1" t="s">
        <v>3402</v>
      </c>
      <c r="H2203" s="1" t="s">
        <v>3401</v>
      </c>
      <c r="I2203" s="1" t="s">
        <v>14157</v>
      </c>
      <c r="J2203" s="1" t="s">
        <v>14158</v>
      </c>
      <c r="K2203" s="1">
        <v>13</v>
      </c>
      <c r="L2203" s="1" t="s">
        <v>4219</v>
      </c>
      <c r="M2203" s="1">
        <v>3</v>
      </c>
      <c r="N2203" s="1" t="s">
        <v>3241</v>
      </c>
    </row>
    <row r="2204" spans="1:14" x14ac:dyDescent="0.15">
      <c r="A2204" s="1">
        <v>275</v>
      </c>
      <c r="B2204" s="1" t="s">
        <v>3397</v>
      </c>
      <c r="C2204" s="1" t="s">
        <v>3400</v>
      </c>
      <c r="D2204" s="1" t="s">
        <v>3401</v>
      </c>
      <c r="E2204" s="1" t="s">
        <v>3400</v>
      </c>
      <c r="F2204" s="1" t="s">
        <v>3401</v>
      </c>
      <c r="G2204" s="1" t="s">
        <v>3402</v>
      </c>
      <c r="H2204" s="1" t="s">
        <v>3401</v>
      </c>
      <c r="I2204" s="1" t="s">
        <v>14161</v>
      </c>
      <c r="J2204" s="1" t="s">
        <v>14162</v>
      </c>
      <c r="K2204" s="1">
        <v>13</v>
      </c>
      <c r="L2204" s="1" t="s">
        <v>4219</v>
      </c>
      <c r="M2204" s="1">
        <v>3</v>
      </c>
      <c r="N2204" s="1" t="s">
        <v>3241</v>
      </c>
    </row>
    <row r="2205" spans="1:14" x14ac:dyDescent="0.15">
      <c r="A2205" s="1">
        <v>275</v>
      </c>
      <c r="B2205" s="1" t="s">
        <v>3397</v>
      </c>
      <c r="C2205" s="1" t="s">
        <v>3400</v>
      </c>
      <c r="D2205" s="1" t="s">
        <v>3401</v>
      </c>
      <c r="E2205" s="1" t="s">
        <v>3400</v>
      </c>
      <c r="F2205" s="1" t="s">
        <v>3401</v>
      </c>
      <c r="G2205" s="1" t="s">
        <v>3402</v>
      </c>
      <c r="H2205" s="1" t="s">
        <v>3401</v>
      </c>
      <c r="I2205" s="1" t="s">
        <v>14165</v>
      </c>
      <c r="J2205" s="1" t="s">
        <v>4942</v>
      </c>
      <c r="K2205" s="1">
        <v>13</v>
      </c>
      <c r="L2205" s="1" t="s">
        <v>4219</v>
      </c>
      <c r="M2205" s="1">
        <v>3</v>
      </c>
      <c r="N2205" s="1" t="s">
        <v>3241</v>
      </c>
    </row>
    <row r="2206" spans="1:14" x14ac:dyDescent="0.15">
      <c r="A2206" s="1">
        <v>275</v>
      </c>
      <c r="B2206" s="1" t="s">
        <v>3397</v>
      </c>
      <c r="C2206" s="1" t="s">
        <v>3400</v>
      </c>
      <c r="D2206" s="1" t="s">
        <v>3401</v>
      </c>
      <c r="E2206" s="1" t="s">
        <v>3400</v>
      </c>
      <c r="F2206" s="1" t="s">
        <v>3401</v>
      </c>
      <c r="G2206" s="1" t="s">
        <v>3402</v>
      </c>
      <c r="H2206" s="1" t="s">
        <v>3401</v>
      </c>
      <c r="I2206" s="1" t="s">
        <v>14173</v>
      </c>
      <c r="J2206" s="1" t="s">
        <v>3051</v>
      </c>
      <c r="K2206" s="1">
        <v>13</v>
      </c>
      <c r="L2206" s="1" t="s">
        <v>4219</v>
      </c>
      <c r="M2206" s="1">
        <v>3</v>
      </c>
      <c r="N2206" s="1" t="s">
        <v>3241</v>
      </c>
    </row>
    <row r="2207" spans="1:14" x14ac:dyDescent="0.15">
      <c r="A2207" s="1">
        <v>275</v>
      </c>
      <c r="B2207" s="1" t="s">
        <v>3397</v>
      </c>
      <c r="C2207" s="1" t="s">
        <v>3400</v>
      </c>
      <c r="D2207" s="1" t="s">
        <v>3401</v>
      </c>
      <c r="E2207" s="1" t="s">
        <v>3400</v>
      </c>
      <c r="F2207" s="1" t="s">
        <v>3401</v>
      </c>
      <c r="G2207" s="1" t="s">
        <v>3402</v>
      </c>
      <c r="H2207" s="1" t="s">
        <v>3401</v>
      </c>
      <c r="I2207" s="1" t="s">
        <v>14177</v>
      </c>
      <c r="J2207" s="1" t="s">
        <v>3052</v>
      </c>
      <c r="K2207" s="1">
        <v>13</v>
      </c>
      <c r="L2207" s="1" t="s">
        <v>4219</v>
      </c>
      <c r="M2207" s="1">
        <v>3</v>
      </c>
      <c r="N2207" s="1" t="s">
        <v>3241</v>
      </c>
    </row>
    <row r="2208" spans="1:14" x14ac:dyDescent="0.15">
      <c r="A2208" s="1">
        <v>275</v>
      </c>
      <c r="B2208" s="1" t="s">
        <v>3397</v>
      </c>
      <c r="C2208" s="1" t="s">
        <v>3400</v>
      </c>
      <c r="D2208" s="1" t="s">
        <v>3401</v>
      </c>
      <c r="E2208" s="1" t="s">
        <v>3400</v>
      </c>
      <c r="F2208" s="1" t="s">
        <v>3401</v>
      </c>
      <c r="G2208" s="1" t="s">
        <v>3402</v>
      </c>
      <c r="H2208" s="1" t="s">
        <v>3401</v>
      </c>
      <c r="I2208" s="1" t="s">
        <v>14181</v>
      </c>
      <c r="J2208" s="1" t="s">
        <v>14182</v>
      </c>
      <c r="K2208" s="1">
        <v>13</v>
      </c>
      <c r="L2208" s="1" t="s">
        <v>4219</v>
      </c>
      <c r="M2208" s="1">
        <v>3</v>
      </c>
      <c r="N2208" s="1" t="s">
        <v>3241</v>
      </c>
    </row>
    <row r="2209" spans="1:14" x14ac:dyDescent="0.15">
      <c r="A2209" s="1">
        <v>275</v>
      </c>
      <c r="B2209" s="1" t="s">
        <v>3397</v>
      </c>
      <c r="C2209" s="1" t="s">
        <v>3400</v>
      </c>
      <c r="D2209" s="1" t="s">
        <v>3401</v>
      </c>
      <c r="E2209" s="1" t="s">
        <v>3400</v>
      </c>
      <c r="F2209" s="1" t="s">
        <v>3401</v>
      </c>
      <c r="G2209" s="1" t="s">
        <v>3403</v>
      </c>
      <c r="H2209" s="1" t="s">
        <v>3404</v>
      </c>
      <c r="I2209" s="1" t="s">
        <v>14892</v>
      </c>
      <c r="J2209" s="1" t="s">
        <v>14889</v>
      </c>
      <c r="K2209" s="1">
        <v>13</v>
      </c>
      <c r="L2209" s="1" t="s">
        <v>4219</v>
      </c>
      <c r="M2209" s="1">
        <v>3</v>
      </c>
      <c r="N2209" s="1" t="s">
        <v>3241</v>
      </c>
    </row>
    <row r="2210" spans="1:14" x14ac:dyDescent="0.15">
      <c r="A2210" s="1">
        <v>275</v>
      </c>
      <c r="B2210" s="1" t="s">
        <v>3397</v>
      </c>
      <c r="C2210" s="1" t="s">
        <v>3400</v>
      </c>
      <c r="D2210" s="1" t="s">
        <v>3401</v>
      </c>
      <c r="E2210" s="1" t="s">
        <v>3400</v>
      </c>
      <c r="F2210" s="1" t="s">
        <v>3401</v>
      </c>
      <c r="G2210" s="1" t="s">
        <v>3403</v>
      </c>
      <c r="H2210" s="1" t="s">
        <v>3404</v>
      </c>
      <c r="I2210" s="1" t="s">
        <v>14153</v>
      </c>
      <c r="J2210" s="1" t="s">
        <v>4972</v>
      </c>
      <c r="K2210" s="1">
        <v>13</v>
      </c>
      <c r="L2210" s="1" t="s">
        <v>4219</v>
      </c>
      <c r="M2210" s="1">
        <v>3</v>
      </c>
      <c r="N2210" s="1" t="s">
        <v>3241</v>
      </c>
    </row>
    <row r="2211" spans="1:14" x14ac:dyDescent="0.15">
      <c r="A2211" s="1">
        <v>275</v>
      </c>
      <c r="B2211" s="1" t="s">
        <v>3397</v>
      </c>
      <c r="C2211" s="1" t="s">
        <v>3400</v>
      </c>
      <c r="D2211" s="1" t="s">
        <v>3401</v>
      </c>
      <c r="E2211" s="1" t="s">
        <v>3400</v>
      </c>
      <c r="F2211" s="1" t="s">
        <v>3401</v>
      </c>
      <c r="G2211" s="1" t="s">
        <v>3403</v>
      </c>
      <c r="H2211" s="1" t="s">
        <v>3404</v>
      </c>
      <c r="I2211" s="1" t="s">
        <v>14157</v>
      </c>
      <c r="J2211" s="1" t="s">
        <v>14158</v>
      </c>
      <c r="K2211" s="1">
        <v>13</v>
      </c>
      <c r="L2211" s="1" t="s">
        <v>4219</v>
      </c>
      <c r="M2211" s="1">
        <v>3</v>
      </c>
      <c r="N2211" s="1" t="s">
        <v>3241</v>
      </c>
    </row>
    <row r="2212" spans="1:14" x14ac:dyDescent="0.15">
      <c r="A2212" s="1">
        <v>275</v>
      </c>
      <c r="B2212" s="1" t="s">
        <v>3397</v>
      </c>
      <c r="C2212" s="1" t="s">
        <v>3400</v>
      </c>
      <c r="D2212" s="1" t="s">
        <v>3401</v>
      </c>
      <c r="E2212" s="1" t="s">
        <v>3400</v>
      </c>
      <c r="F2212" s="1" t="s">
        <v>3401</v>
      </c>
      <c r="G2212" s="1" t="s">
        <v>3403</v>
      </c>
      <c r="H2212" s="1" t="s">
        <v>3404</v>
      </c>
      <c r="I2212" s="1" t="s">
        <v>14161</v>
      </c>
      <c r="J2212" s="1" t="s">
        <v>14162</v>
      </c>
      <c r="K2212" s="1">
        <v>13</v>
      </c>
      <c r="L2212" s="1" t="s">
        <v>4219</v>
      </c>
      <c r="M2212" s="1">
        <v>3</v>
      </c>
      <c r="N2212" s="1" t="s">
        <v>3241</v>
      </c>
    </row>
    <row r="2213" spans="1:14" x14ac:dyDescent="0.15">
      <c r="A2213" s="1">
        <v>275</v>
      </c>
      <c r="B2213" s="1" t="s">
        <v>3397</v>
      </c>
      <c r="C2213" s="1" t="s">
        <v>3400</v>
      </c>
      <c r="D2213" s="1" t="s">
        <v>3401</v>
      </c>
      <c r="E2213" s="1" t="s">
        <v>3400</v>
      </c>
      <c r="F2213" s="1" t="s">
        <v>3401</v>
      </c>
      <c r="G2213" s="1" t="s">
        <v>3403</v>
      </c>
      <c r="H2213" s="1" t="s">
        <v>3404</v>
      </c>
      <c r="I2213" s="1" t="s">
        <v>14165</v>
      </c>
      <c r="J2213" s="1" t="s">
        <v>4942</v>
      </c>
      <c r="K2213" s="1">
        <v>13</v>
      </c>
      <c r="L2213" s="1" t="s">
        <v>4219</v>
      </c>
      <c r="M2213" s="1">
        <v>3</v>
      </c>
      <c r="N2213" s="1" t="s">
        <v>3241</v>
      </c>
    </row>
    <row r="2214" spans="1:14" x14ac:dyDescent="0.15">
      <c r="A2214" s="1">
        <v>275</v>
      </c>
      <c r="B2214" s="1" t="s">
        <v>3397</v>
      </c>
      <c r="C2214" s="1" t="s">
        <v>3400</v>
      </c>
      <c r="D2214" s="1" t="s">
        <v>3401</v>
      </c>
      <c r="E2214" s="1" t="s">
        <v>3400</v>
      </c>
      <c r="F2214" s="1" t="s">
        <v>3401</v>
      </c>
      <c r="G2214" s="1" t="s">
        <v>3403</v>
      </c>
      <c r="H2214" s="1" t="s">
        <v>3404</v>
      </c>
      <c r="I2214" s="1" t="s">
        <v>14173</v>
      </c>
      <c r="J2214" s="1" t="s">
        <v>3051</v>
      </c>
      <c r="K2214" s="1">
        <v>13</v>
      </c>
      <c r="L2214" s="1" t="s">
        <v>4219</v>
      </c>
      <c r="M2214" s="1">
        <v>3</v>
      </c>
      <c r="N2214" s="1" t="s">
        <v>3241</v>
      </c>
    </row>
    <row r="2215" spans="1:14" x14ac:dyDescent="0.15">
      <c r="A2215" s="1">
        <v>275</v>
      </c>
      <c r="B2215" s="1" t="s">
        <v>3397</v>
      </c>
      <c r="C2215" s="1" t="s">
        <v>3400</v>
      </c>
      <c r="D2215" s="1" t="s">
        <v>3401</v>
      </c>
      <c r="E2215" s="1" t="s">
        <v>3400</v>
      </c>
      <c r="F2215" s="1" t="s">
        <v>3401</v>
      </c>
      <c r="G2215" s="1" t="s">
        <v>3403</v>
      </c>
      <c r="H2215" s="1" t="s">
        <v>3404</v>
      </c>
      <c r="I2215" s="1" t="s">
        <v>14177</v>
      </c>
      <c r="J2215" s="1" t="s">
        <v>3052</v>
      </c>
      <c r="K2215" s="1">
        <v>13</v>
      </c>
      <c r="L2215" s="1" t="s">
        <v>4219</v>
      </c>
      <c r="M2215" s="1">
        <v>3</v>
      </c>
      <c r="N2215" s="1" t="s">
        <v>3241</v>
      </c>
    </row>
    <row r="2216" spans="1:14" x14ac:dyDescent="0.15">
      <c r="A2216" s="1">
        <v>275</v>
      </c>
      <c r="B2216" s="1" t="s">
        <v>3397</v>
      </c>
      <c r="C2216" s="1" t="s">
        <v>3400</v>
      </c>
      <c r="D2216" s="1" t="s">
        <v>3401</v>
      </c>
      <c r="E2216" s="1" t="s">
        <v>3400</v>
      </c>
      <c r="F2216" s="1" t="s">
        <v>3401</v>
      </c>
      <c r="G2216" s="1" t="s">
        <v>3403</v>
      </c>
      <c r="H2216" s="1" t="s">
        <v>3404</v>
      </c>
      <c r="I2216" s="1" t="s">
        <v>14181</v>
      </c>
      <c r="J2216" s="1" t="s">
        <v>14182</v>
      </c>
      <c r="K2216" s="1">
        <v>13</v>
      </c>
      <c r="L2216" s="1" t="s">
        <v>4219</v>
      </c>
      <c r="M2216" s="1">
        <v>3</v>
      </c>
      <c r="N2216" s="1" t="s">
        <v>3241</v>
      </c>
    </row>
    <row r="2217" spans="1:14" x14ac:dyDescent="0.15">
      <c r="A2217" s="1">
        <v>275</v>
      </c>
      <c r="B2217" s="1" t="s">
        <v>3397</v>
      </c>
      <c r="C2217" s="1" t="s">
        <v>3400</v>
      </c>
      <c r="D2217" s="1" t="s">
        <v>3401</v>
      </c>
      <c r="E2217" s="1" t="s">
        <v>3400</v>
      </c>
      <c r="F2217" s="1" t="s">
        <v>3401</v>
      </c>
      <c r="G2217" s="1" t="s">
        <v>3405</v>
      </c>
      <c r="H2217" s="1" t="s">
        <v>3406</v>
      </c>
      <c r="I2217" s="1" t="s">
        <v>14892</v>
      </c>
      <c r="J2217" s="1" t="s">
        <v>14889</v>
      </c>
      <c r="K2217" s="1">
        <v>13</v>
      </c>
      <c r="L2217" s="1" t="s">
        <v>4219</v>
      </c>
      <c r="M2217" s="1">
        <v>3</v>
      </c>
      <c r="N2217" s="1" t="s">
        <v>3241</v>
      </c>
    </row>
    <row r="2218" spans="1:14" x14ac:dyDescent="0.15">
      <c r="A2218" s="1">
        <v>275</v>
      </c>
      <c r="B2218" s="1" t="s">
        <v>3397</v>
      </c>
      <c r="C2218" s="1" t="s">
        <v>3400</v>
      </c>
      <c r="D2218" s="1" t="s">
        <v>3401</v>
      </c>
      <c r="E2218" s="1" t="s">
        <v>3400</v>
      </c>
      <c r="F2218" s="1" t="s">
        <v>3401</v>
      </c>
      <c r="G2218" s="1" t="s">
        <v>3405</v>
      </c>
      <c r="H2218" s="1" t="s">
        <v>3406</v>
      </c>
      <c r="I2218" s="1" t="s">
        <v>14153</v>
      </c>
      <c r="J2218" s="1" t="s">
        <v>4972</v>
      </c>
      <c r="K2218" s="1">
        <v>13</v>
      </c>
      <c r="L2218" s="1" t="s">
        <v>4219</v>
      </c>
      <c r="M2218" s="1">
        <v>3</v>
      </c>
      <c r="N2218" s="1" t="s">
        <v>3241</v>
      </c>
    </row>
    <row r="2219" spans="1:14" x14ac:dyDescent="0.15">
      <c r="A2219" s="1">
        <v>275</v>
      </c>
      <c r="B2219" s="1" t="s">
        <v>3397</v>
      </c>
      <c r="C2219" s="1" t="s">
        <v>3400</v>
      </c>
      <c r="D2219" s="1" t="s">
        <v>3401</v>
      </c>
      <c r="E2219" s="1" t="s">
        <v>3400</v>
      </c>
      <c r="F2219" s="1" t="s">
        <v>3401</v>
      </c>
      <c r="G2219" s="1" t="s">
        <v>3405</v>
      </c>
      <c r="H2219" s="1" t="s">
        <v>3406</v>
      </c>
      <c r="I2219" s="1" t="s">
        <v>14157</v>
      </c>
      <c r="J2219" s="1" t="s">
        <v>14158</v>
      </c>
      <c r="K2219" s="1">
        <v>13</v>
      </c>
      <c r="L2219" s="1" t="s">
        <v>4219</v>
      </c>
      <c r="M2219" s="1">
        <v>3</v>
      </c>
      <c r="N2219" s="1" t="s">
        <v>3241</v>
      </c>
    </row>
    <row r="2220" spans="1:14" x14ac:dyDescent="0.15">
      <c r="A2220" s="1">
        <v>275</v>
      </c>
      <c r="B2220" s="1" t="s">
        <v>3397</v>
      </c>
      <c r="C2220" s="1" t="s">
        <v>3400</v>
      </c>
      <c r="D2220" s="1" t="s">
        <v>3401</v>
      </c>
      <c r="E2220" s="1" t="s">
        <v>3400</v>
      </c>
      <c r="F2220" s="1" t="s">
        <v>3401</v>
      </c>
      <c r="G2220" s="1" t="s">
        <v>3405</v>
      </c>
      <c r="H2220" s="1" t="s">
        <v>3406</v>
      </c>
      <c r="I2220" s="1" t="s">
        <v>14161</v>
      </c>
      <c r="J2220" s="1" t="s">
        <v>14162</v>
      </c>
      <c r="K2220" s="1">
        <v>13</v>
      </c>
      <c r="L2220" s="1" t="s">
        <v>4219</v>
      </c>
      <c r="M2220" s="1">
        <v>3</v>
      </c>
      <c r="N2220" s="1" t="s">
        <v>3241</v>
      </c>
    </row>
    <row r="2221" spans="1:14" x14ac:dyDescent="0.15">
      <c r="A2221" s="1">
        <v>275</v>
      </c>
      <c r="B2221" s="1" t="s">
        <v>3397</v>
      </c>
      <c r="C2221" s="1" t="s">
        <v>3400</v>
      </c>
      <c r="D2221" s="1" t="s">
        <v>3401</v>
      </c>
      <c r="E2221" s="1" t="s">
        <v>3400</v>
      </c>
      <c r="F2221" s="1" t="s">
        <v>3401</v>
      </c>
      <c r="G2221" s="1" t="s">
        <v>3405</v>
      </c>
      <c r="H2221" s="1" t="s">
        <v>3406</v>
      </c>
      <c r="I2221" s="1" t="s">
        <v>14165</v>
      </c>
      <c r="J2221" s="1" t="s">
        <v>4942</v>
      </c>
      <c r="K2221" s="1">
        <v>13</v>
      </c>
      <c r="L2221" s="1" t="s">
        <v>4219</v>
      </c>
      <c r="M2221" s="1">
        <v>3</v>
      </c>
      <c r="N2221" s="1" t="s">
        <v>3241</v>
      </c>
    </row>
    <row r="2222" spans="1:14" x14ac:dyDescent="0.15">
      <c r="A2222" s="1">
        <v>275</v>
      </c>
      <c r="B2222" s="1" t="s">
        <v>3397</v>
      </c>
      <c r="C2222" s="1" t="s">
        <v>3400</v>
      </c>
      <c r="D2222" s="1" t="s">
        <v>3401</v>
      </c>
      <c r="E2222" s="1" t="s">
        <v>3400</v>
      </c>
      <c r="F2222" s="1" t="s">
        <v>3401</v>
      </c>
      <c r="G2222" s="1" t="s">
        <v>3405</v>
      </c>
      <c r="H2222" s="1" t="s">
        <v>3406</v>
      </c>
      <c r="I2222" s="1" t="s">
        <v>14173</v>
      </c>
      <c r="J2222" s="1" t="s">
        <v>3051</v>
      </c>
      <c r="K2222" s="1">
        <v>13</v>
      </c>
      <c r="L2222" s="1" t="s">
        <v>4219</v>
      </c>
      <c r="M2222" s="1">
        <v>3</v>
      </c>
      <c r="N2222" s="1" t="s">
        <v>3241</v>
      </c>
    </row>
    <row r="2223" spans="1:14" x14ac:dyDescent="0.15">
      <c r="A2223" s="1">
        <v>275</v>
      </c>
      <c r="B2223" s="1" t="s">
        <v>3397</v>
      </c>
      <c r="C2223" s="1" t="s">
        <v>3400</v>
      </c>
      <c r="D2223" s="1" t="s">
        <v>3401</v>
      </c>
      <c r="E2223" s="1" t="s">
        <v>3400</v>
      </c>
      <c r="F2223" s="1" t="s">
        <v>3401</v>
      </c>
      <c r="G2223" s="1" t="s">
        <v>3405</v>
      </c>
      <c r="H2223" s="1" t="s">
        <v>3406</v>
      </c>
      <c r="I2223" s="1" t="s">
        <v>14177</v>
      </c>
      <c r="J2223" s="1" t="s">
        <v>3052</v>
      </c>
      <c r="K2223" s="1">
        <v>13</v>
      </c>
      <c r="L2223" s="1" t="s">
        <v>4219</v>
      </c>
      <c r="M2223" s="1">
        <v>3</v>
      </c>
      <c r="N2223" s="1" t="s">
        <v>3241</v>
      </c>
    </row>
    <row r="2224" spans="1:14" x14ac:dyDescent="0.15">
      <c r="A2224" s="1">
        <v>275</v>
      </c>
      <c r="B2224" s="1" t="s">
        <v>3397</v>
      </c>
      <c r="C2224" s="1" t="s">
        <v>3400</v>
      </c>
      <c r="D2224" s="1" t="s">
        <v>3401</v>
      </c>
      <c r="E2224" s="1" t="s">
        <v>3400</v>
      </c>
      <c r="F2224" s="1" t="s">
        <v>3401</v>
      </c>
      <c r="G2224" s="1" t="s">
        <v>3405</v>
      </c>
      <c r="H2224" s="1" t="s">
        <v>3406</v>
      </c>
      <c r="I2224" s="1" t="s">
        <v>14181</v>
      </c>
      <c r="J2224" s="1" t="s">
        <v>14182</v>
      </c>
      <c r="K2224" s="1">
        <v>13</v>
      </c>
      <c r="L2224" s="1" t="s">
        <v>4219</v>
      </c>
      <c r="M2224" s="1">
        <v>3</v>
      </c>
      <c r="N2224" s="1" t="s">
        <v>3241</v>
      </c>
    </row>
    <row r="2225" spans="1:14" x14ac:dyDescent="0.15">
      <c r="A2225" s="1">
        <v>275</v>
      </c>
      <c r="B2225" s="1" t="s">
        <v>3397</v>
      </c>
      <c r="C2225" s="1" t="s">
        <v>3400</v>
      </c>
      <c r="D2225" s="1" t="s">
        <v>3401</v>
      </c>
      <c r="E2225" s="1" t="s">
        <v>3400</v>
      </c>
      <c r="F2225" s="1" t="s">
        <v>3401</v>
      </c>
      <c r="G2225" s="1" t="s">
        <v>3407</v>
      </c>
      <c r="H2225" s="1" t="s">
        <v>3408</v>
      </c>
      <c r="I2225" s="1" t="s">
        <v>14892</v>
      </c>
      <c r="J2225" s="1" t="s">
        <v>14889</v>
      </c>
      <c r="K2225" s="1">
        <v>13</v>
      </c>
      <c r="L2225" s="1" t="s">
        <v>4219</v>
      </c>
      <c r="M2225" s="1">
        <v>3</v>
      </c>
      <c r="N2225" s="1" t="s">
        <v>3241</v>
      </c>
    </row>
    <row r="2226" spans="1:14" x14ac:dyDescent="0.15">
      <c r="A2226" s="1">
        <v>275</v>
      </c>
      <c r="B2226" s="1" t="s">
        <v>3397</v>
      </c>
      <c r="C2226" s="1" t="s">
        <v>3400</v>
      </c>
      <c r="D2226" s="1" t="s">
        <v>3401</v>
      </c>
      <c r="E2226" s="1" t="s">
        <v>3400</v>
      </c>
      <c r="F2226" s="1" t="s">
        <v>3401</v>
      </c>
      <c r="G2226" s="1" t="s">
        <v>3407</v>
      </c>
      <c r="H2226" s="1" t="s">
        <v>3408</v>
      </c>
      <c r="I2226" s="1" t="s">
        <v>14153</v>
      </c>
      <c r="J2226" s="1" t="s">
        <v>4972</v>
      </c>
      <c r="K2226" s="1">
        <v>13</v>
      </c>
      <c r="L2226" s="1" t="s">
        <v>4219</v>
      </c>
      <c r="M2226" s="1">
        <v>3</v>
      </c>
      <c r="N2226" s="1" t="s">
        <v>3241</v>
      </c>
    </row>
    <row r="2227" spans="1:14" x14ac:dyDescent="0.15">
      <c r="A2227" s="1">
        <v>275</v>
      </c>
      <c r="B2227" s="1" t="s">
        <v>3397</v>
      </c>
      <c r="C2227" s="1" t="s">
        <v>3400</v>
      </c>
      <c r="D2227" s="1" t="s">
        <v>3401</v>
      </c>
      <c r="E2227" s="1" t="s">
        <v>3400</v>
      </c>
      <c r="F2227" s="1" t="s">
        <v>3401</v>
      </c>
      <c r="G2227" s="1" t="s">
        <v>3407</v>
      </c>
      <c r="H2227" s="1" t="s">
        <v>3408</v>
      </c>
      <c r="I2227" s="1" t="s">
        <v>14157</v>
      </c>
      <c r="J2227" s="1" t="s">
        <v>14158</v>
      </c>
      <c r="K2227" s="1">
        <v>13</v>
      </c>
      <c r="L2227" s="1" t="s">
        <v>4219</v>
      </c>
      <c r="M2227" s="1">
        <v>3</v>
      </c>
      <c r="N2227" s="1" t="s">
        <v>3241</v>
      </c>
    </row>
    <row r="2228" spans="1:14" x14ac:dyDescent="0.15">
      <c r="A2228" s="1">
        <v>275</v>
      </c>
      <c r="B2228" s="1" t="s">
        <v>3397</v>
      </c>
      <c r="C2228" s="1" t="s">
        <v>3400</v>
      </c>
      <c r="D2228" s="1" t="s">
        <v>3401</v>
      </c>
      <c r="E2228" s="1" t="s">
        <v>3400</v>
      </c>
      <c r="F2228" s="1" t="s">
        <v>3401</v>
      </c>
      <c r="G2228" s="1" t="s">
        <v>3407</v>
      </c>
      <c r="H2228" s="1" t="s">
        <v>3408</v>
      </c>
      <c r="I2228" s="1" t="s">
        <v>14161</v>
      </c>
      <c r="J2228" s="1" t="s">
        <v>14162</v>
      </c>
      <c r="K2228" s="1">
        <v>13</v>
      </c>
      <c r="L2228" s="1" t="s">
        <v>4219</v>
      </c>
      <c r="M2228" s="1">
        <v>3</v>
      </c>
      <c r="N2228" s="1" t="s">
        <v>3241</v>
      </c>
    </row>
    <row r="2229" spans="1:14" x14ac:dyDescent="0.15">
      <c r="A2229" s="1">
        <v>275</v>
      </c>
      <c r="B2229" s="1" t="s">
        <v>3397</v>
      </c>
      <c r="C2229" s="1" t="s">
        <v>3400</v>
      </c>
      <c r="D2229" s="1" t="s">
        <v>3401</v>
      </c>
      <c r="E2229" s="1" t="s">
        <v>3400</v>
      </c>
      <c r="F2229" s="1" t="s">
        <v>3401</v>
      </c>
      <c r="G2229" s="1" t="s">
        <v>3407</v>
      </c>
      <c r="H2229" s="1" t="s">
        <v>3408</v>
      </c>
      <c r="I2229" s="1" t="s">
        <v>14165</v>
      </c>
      <c r="J2229" s="1" t="s">
        <v>4942</v>
      </c>
      <c r="K2229" s="1">
        <v>13</v>
      </c>
      <c r="L2229" s="1" t="s">
        <v>4219</v>
      </c>
      <c r="M2229" s="1">
        <v>3</v>
      </c>
      <c r="N2229" s="1" t="s">
        <v>3241</v>
      </c>
    </row>
    <row r="2230" spans="1:14" x14ac:dyDescent="0.15">
      <c r="A2230" s="1">
        <v>275</v>
      </c>
      <c r="B2230" s="1" t="s">
        <v>3397</v>
      </c>
      <c r="C2230" s="1" t="s">
        <v>3400</v>
      </c>
      <c r="D2230" s="1" t="s">
        <v>3401</v>
      </c>
      <c r="E2230" s="1" t="s">
        <v>3400</v>
      </c>
      <c r="F2230" s="1" t="s">
        <v>3401</v>
      </c>
      <c r="G2230" s="1" t="s">
        <v>3407</v>
      </c>
      <c r="H2230" s="1" t="s">
        <v>3408</v>
      </c>
      <c r="I2230" s="1" t="s">
        <v>14173</v>
      </c>
      <c r="J2230" s="1" t="s">
        <v>3051</v>
      </c>
      <c r="K2230" s="1">
        <v>13</v>
      </c>
      <c r="L2230" s="1" t="s">
        <v>4219</v>
      </c>
      <c r="M2230" s="1">
        <v>3</v>
      </c>
      <c r="N2230" s="1" t="s">
        <v>3241</v>
      </c>
    </row>
    <row r="2231" spans="1:14" x14ac:dyDescent="0.15">
      <c r="A2231" s="1">
        <v>275</v>
      </c>
      <c r="B2231" s="1" t="s">
        <v>3397</v>
      </c>
      <c r="C2231" s="1" t="s">
        <v>3400</v>
      </c>
      <c r="D2231" s="1" t="s">
        <v>3401</v>
      </c>
      <c r="E2231" s="1" t="s">
        <v>3400</v>
      </c>
      <c r="F2231" s="1" t="s">
        <v>3401</v>
      </c>
      <c r="G2231" s="1" t="s">
        <v>3407</v>
      </c>
      <c r="H2231" s="1" t="s">
        <v>3408</v>
      </c>
      <c r="I2231" s="1" t="s">
        <v>14177</v>
      </c>
      <c r="J2231" s="1" t="s">
        <v>3052</v>
      </c>
      <c r="K2231" s="1">
        <v>13</v>
      </c>
      <c r="L2231" s="1" t="s">
        <v>4219</v>
      </c>
      <c r="M2231" s="1">
        <v>3</v>
      </c>
      <c r="N2231" s="1" t="s">
        <v>3241</v>
      </c>
    </row>
    <row r="2232" spans="1:14" x14ac:dyDescent="0.15">
      <c r="A2232" s="1">
        <v>275</v>
      </c>
      <c r="B2232" s="1" t="s">
        <v>3397</v>
      </c>
      <c r="C2232" s="1" t="s">
        <v>3400</v>
      </c>
      <c r="D2232" s="1" t="s">
        <v>3401</v>
      </c>
      <c r="E2232" s="1" t="s">
        <v>3400</v>
      </c>
      <c r="F2232" s="1" t="s">
        <v>3401</v>
      </c>
      <c r="G2232" s="1" t="s">
        <v>3407</v>
      </c>
      <c r="H2232" s="1" t="s">
        <v>3408</v>
      </c>
      <c r="I2232" s="1" t="s">
        <v>14181</v>
      </c>
      <c r="J2232" s="1" t="s">
        <v>14182</v>
      </c>
      <c r="K2232" s="1">
        <v>13</v>
      </c>
      <c r="L2232" s="1" t="s">
        <v>4219</v>
      </c>
      <c r="M2232" s="1">
        <v>3</v>
      </c>
      <c r="N2232" s="1" t="s">
        <v>3241</v>
      </c>
    </row>
    <row r="2233" spans="1:14" x14ac:dyDescent="0.15">
      <c r="A2233" s="1">
        <v>275</v>
      </c>
      <c r="B2233" s="1" t="s">
        <v>3397</v>
      </c>
      <c r="C2233" s="1" t="s">
        <v>3409</v>
      </c>
      <c r="D2233" s="1" t="s">
        <v>3410</v>
      </c>
      <c r="E2233" s="1" t="s">
        <v>3409</v>
      </c>
      <c r="F2233" s="1" t="s">
        <v>3410</v>
      </c>
      <c r="G2233" s="1" t="s">
        <v>3411</v>
      </c>
      <c r="H2233" s="1" t="s">
        <v>3410</v>
      </c>
      <c r="I2233" s="1" t="s">
        <v>14145</v>
      </c>
      <c r="J2233" s="1" t="s">
        <v>14146</v>
      </c>
      <c r="K2233" s="1">
        <v>13</v>
      </c>
      <c r="L2233" s="1" t="s">
        <v>4219</v>
      </c>
      <c r="M2233" s="1">
        <v>3</v>
      </c>
      <c r="N2233" s="1" t="s">
        <v>3241</v>
      </c>
    </row>
    <row r="2234" spans="1:14" x14ac:dyDescent="0.15">
      <c r="A2234" s="1">
        <v>275</v>
      </c>
      <c r="B2234" s="1" t="s">
        <v>3397</v>
      </c>
      <c r="C2234" s="1" t="s">
        <v>3409</v>
      </c>
      <c r="D2234" s="1" t="s">
        <v>3410</v>
      </c>
      <c r="E2234" s="1" t="s">
        <v>3409</v>
      </c>
      <c r="F2234" s="1" t="s">
        <v>3410</v>
      </c>
      <c r="G2234" s="1" t="s">
        <v>3411</v>
      </c>
      <c r="H2234" s="1" t="s">
        <v>3410</v>
      </c>
      <c r="I2234" s="1" t="s">
        <v>14153</v>
      </c>
      <c r="J2234" s="1" t="s">
        <v>4972</v>
      </c>
      <c r="K2234" s="1">
        <v>13</v>
      </c>
      <c r="L2234" s="1" t="s">
        <v>4219</v>
      </c>
      <c r="M2234" s="1">
        <v>3</v>
      </c>
      <c r="N2234" s="1" t="s">
        <v>3241</v>
      </c>
    </row>
    <row r="2235" spans="1:14" x14ac:dyDescent="0.15">
      <c r="A2235" s="1">
        <v>275</v>
      </c>
      <c r="B2235" s="1" t="s">
        <v>3397</v>
      </c>
      <c r="C2235" s="1" t="s">
        <v>3409</v>
      </c>
      <c r="D2235" s="1" t="s">
        <v>3410</v>
      </c>
      <c r="E2235" s="1" t="s">
        <v>3409</v>
      </c>
      <c r="F2235" s="1" t="s">
        <v>3410</v>
      </c>
      <c r="G2235" s="1" t="s">
        <v>3411</v>
      </c>
      <c r="H2235" s="1" t="s">
        <v>3410</v>
      </c>
      <c r="I2235" s="1" t="s">
        <v>14169</v>
      </c>
      <c r="J2235" s="1" t="s">
        <v>3050</v>
      </c>
      <c r="K2235" s="1">
        <v>13</v>
      </c>
      <c r="L2235" s="1" t="s">
        <v>4219</v>
      </c>
      <c r="M2235" s="1">
        <v>3</v>
      </c>
      <c r="N2235" s="1" t="s">
        <v>3241</v>
      </c>
    </row>
    <row r="2236" spans="1:14" x14ac:dyDescent="0.15">
      <c r="A2236" s="1">
        <v>275</v>
      </c>
      <c r="B2236" s="1" t="s">
        <v>3397</v>
      </c>
      <c r="C2236" s="1" t="s">
        <v>3409</v>
      </c>
      <c r="D2236" s="1" t="s">
        <v>3410</v>
      </c>
      <c r="E2236" s="1" t="s">
        <v>3409</v>
      </c>
      <c r="F2236" s="1" t="s">
        <v>3410</v>
      </c>
      <c r="G2236" s="1" t="s">
        <v>3411</v>
      </c>
      <c r="H2236" s="1" t="s">
        <v>3410</v>
      </c>
      <c r="I2236" s="1" t="s">
        <v>14173</v>
      </c>
      <c r="J2236" s="1" t="s">
        <v>3051</v>
      </c>
      <c r="K2236" s="1">
        <v>13</v>
      </c>
      <c r="L2236" s="1" t="s">
        <v>4219</v>
      </c>
      <c r="M2236" s="1">
        <v>3</v>
      </c>
      <c r="N2236" s="1" t="s">
        <v>3241</v>
      </c>
    </row>
    <row r="2237" spans="1:14" x14ac:dyDescent="0.15">
      <c r="A2237" s="1">
        <v>275</v>
      </c>
      <c r="B2237" s="1" t="s">
        <v>3397</v>
      </c>
      <c r="C2237" s="1" t="s">
        <v>3409</v>
      </c>
      <c r="D2237" s="1" t="s">
        <v>3410</v>
      </c>
      <c r="E2237" s="1" t="s">
        <v>3409</v>
      </c>
      <c r="F2237" s="1" t="s">
        <v>3410</v>
      </c>
      <c r="G2237" s="1" t="s">
        <v>3411</v>
      </c>
      <c r="H2237" s="1" t="s">
        <v>3410</v>
      </c>
      <c r="I2237" s="1" t="s">
        <v>8439</v>
      </c>
      <c r="J2237" s="1" t="s">
        <v>3053</v>
      </c>
      <c r="K2237" s="1">
        <v>13</v>
      </c>
      <c r="L2237" s="1" t="s">
        <v>4219</v>
      </c>
      <c r="M2237" s="1">
        <v>3</v>
      </c>
      <c r="N2237" s="1" t="s">
        <v>3241</v>
      </c>
    </row>
    <row r="2238" spans="1:14" x14ac:dyDescent="0.15">
      <c r="A2238" s="1">
        <v>275</v>
      </c>
      <c r="B2238" s="1" t="s">
        <v>3397</v>
      </c>
      <c r="C2238" s="1" t="s">
        <v>3409</v>
      </c>
      <c r="D2238" s="1" t="s">
        <v>3410</v>
      </c>
      <c r="E2238" s="1" t="s">
        <v>3409</v>
      </c>
      <c r="F2238" s="1" t="s">
        <v>3410</v>
      </c>
      <c r="G2238" s="1" t="s">
        <v>3411</v>
      </c>
      <c r="H2238" s="1" t="s">
        <v>3410</v>
      </c>
      <c r="I2238" s="1" t="s">
        <v>8442</v>
      </c>
      <c r="J2238" s="1" t="s">
        <v>3054</v>
      </c>
      <c r="K2238" s="1">
        <v>13</v>
      </c>
      <c r="L2238" s="1" t="s">
        <v>4219</v>
      </c>
      <c r="M2238" s="1">
        <v>3</v>
      </c>
      <c r="N2238" s="1" t="s">
        <v>3241</v>
      </c>
    </row>
    <row r="2239" spans="1:14" x14ac:dyDescent="0.15">
      <c r="A2239" s="1">
        <v>275</v>
      </c>
      <c r="B2239" s="1" t="s">
        <v>3397</v>
      </c>
      <c r="C2239" s="1" t="s">
        <v>3409</v>
      </c>
      <c r="D2239" s="1" t="s">
        <v>3410</v>
      </c>
      <c r="E2239" s="1" t="s">
        <v>3409</v>
      </c>
      <c r="F2239" s="1" t="s">
        <v>3410</v>
      </c>
      <c r="G2239" s="1" t="s">
        <v>3411</v>
      </c>
      <c r="H2239" s="1" t="s">
        <v>3410</v>
      </c>
      <c r="I2239" s="1" t="s">
        <v>8445</v>
      </c>
      <c r="J2239" s="1" t="s">
        <v>3055</v>
      </c>
      <c r="K2239" s="1">
        <v>13</v>
      </c>
      <c r="L2239" s="1" t="s">
        <v>4219</v>
      </c>
      <c r="M2239" s="1">
        <v>3</v>
      </c>
      <c r="N2239" s="1" t="s">
        <v>3241</v>
      </c>
    </row>
    <row r="2240" spans="1:14" x14ac:dyDescent="0.15">
      <c r="A2240" s="1">
        <v>275</v>
      </c>
      <c r="B2240" s="1" t="s">
        <v>3397</v>
      </c>
      <c r="C2240" s="1" t="s">
        <v>3409</v>
      </c>
      <c r="D2240" s="1" t="s">
        <v>3410</v>
      </c>
      <c r="E2240" s="1" t="s">
        <v>3409</v>
      </c>
      <c r="F2240" s="1" t="s">
        <v>3410</v>
      </c>
      <c r="G2240" s="1" t="s">
        <v>3411</v>
      </c>
      <c r="H2240" s="1" t="s">
        <v>3410</v>
      </c>
      <c r="I2240" s="1" t="s">
        <v>14181</v>
      </c>
      <c r="J2240" s="1" t="s">
        <v>14182</v>
      </c>
      <c r="K2240" s="1">
        <v>13</v>
      </c>
      <c r="L2240" s="1" t="s">
        <v>4219</v>
      </c>
      <c r="M2240" s="1">
        <v>3</v>
      </c>
      <c r="N2240" s="1" t="s">
        <v>3241</v>
      </c>
    </row>
    <row r="2241" spans="1:14" x14ac:dyDescent="0.15">
      <c r="A2241" s="1">
        <v>275</v>
      </c>
      <c r="B2241" s="1" t="s">
        <v>3397</v>
      </c>
      <c r="C2241" s="1" t="s">
        <v>3409</v>
      </c>
      <c r="D2241" s="1" t="s">
        <v>3410</v>
      </c>
      <c r="E2241" s="1" t="s">
        <v>3409</v>
      </c>
      <c r="F2241" s="1" t="s">
        <v>3410</v>
      </c>
      <c r="G2241" s="1" t="s">
        <v>3412</v>
      </c>
      <c r="H2241" s="1" t="s">
        <v>3413</v>
      </c>
      <c r="I2241" s="1" t="s">
        <v>14153</v>
      </c>
      <c r="J2241" s="1" t="s">
        <v>4972</v>
      </c>
      <c r="K2241" s="1">
        <v>13</v>
      </c>
      <c r="L2241" s="1" t="s">
        <v>4219</v>
      </c>
      <c r="M2241" s="1">
        <v>3</v>
      </c>
      <c r="N2241" s="1" t="s">
        <v>3241</v>
      </c>
    </row>
    <row r="2242" spans="1:14" x14ac:dyDescent="0.15">
      <c r="A2242" s="1">
        <v>275</v>
      </c>
      <c r="B2242" s="1" t="s">
        <v>3397</v>
      </c>
      <c r="C2242" s="1" t="s">
        <v>3409</v>
      </c>
      <c r="D2242" s="1" t="s">
        <v>3410</v>
      </c>
      <c r="E2242" s="1" t="s">
        <v>3409</v>
      </c>
      <c r="F2242" s="1" t="s">
        <v>3410</v>
      </c>
      <c r="G2242" s="1" t="s">
        <v>3412</v>
      </c>
      <c r="H2242" s="1" t="s">
        <v>3413</v>
      </c>
      <c r="I2242" s="1" t="s">
        <v>14173</v>
      </c>
      <c r="J2242" s="1" t="s">
        <v>3051</v>
      </c>
      <c r="K2242" s="1">
        <v>13</v>
      </c>
      <c r="L2242" s="1" t="s">
        <v>4219</v>
      </c>
      <c r="M2242" s="1">
        <v>3</v>
      </c>
      <c r="N2242" s="1" t="s">
        <v>3241</v>
      </c>
    </row>
    <row r="2243" spans="1:14" x14ac:dyDescent="0.15">
      <c r="A2243" s="1">
        <v>275</v>
      </c>
      <c r="B2243" s="1" t="s">
        <v>3397</v>
      </c>
      <c r="C2243" s="1" t="s">
        <v>3409</v>
      </c>
      <c r="D2243" s="1" t="s">
        <v>3410</v>
      </c>
      <c r="E2243" s="1" t="s">
        <v>3409</v>
      </c>
      <c r="F2243" s="1" t="s">
        <v>3410</v>
      </c>
      <c r="G2243" s="1" t="s">
        <v>3412</v>
      </c>
      <c r="H2243" s="1" t="s">
        <v>3413</v>
      </c>
      <c r="I2243" s="1" t="s">
        <v>8439</v>
      </c>
      <c r="J2243" s="1" t="s">
        <v>3053</v>
      </c>
      <c r="K2243" s="1">
        <v>13</v>
      </c>
      <c r="L2243" s="1" t="s">
        <v>4219</v>
      </c>
      <c r="M2243" s="1">
        <v>3</v>
      </c>
      <c r="N2243" s="1" t="s">
        <v>3241</v>
      </c>
    </row>
    <row r="2244" spans="1:14" x14ac:dyDescent="0.15">
      <c r="A2244" s="1">
        <v>275</v>
      </c>
      <c r="B2244" s="1" t="s">
        <v>3397</v>
      </c>
      <c r="C2244" s="1" t="s">
        <v>3409</v>
      </c>
      <c r="D2244" s="1" t="s">
        <v>3410</v>
      </c>
      <c r="E2244" s="1" t="s">
        <v>3409</v>
      </c>
      <c r="F2244" s="1" t="s">
        <v>3410</v>
      </c>
      <c r="G2244" s="1" t="s">
        <v>3412</v>
      </c>
      <c r="H2244" s="1" t="s">
        <v>3413</v>
      </c>
      <c r="I2244" s="1" t="s">
        <v>14181</v>
      </c>
      <c r="J2244" s="1" t="s">
        <v>14182</v>
      </c>
      <c r="K2244" s="1">
        <v>13</v>
      </c>
      <c r="L2244" s="1" t="s">
        <v>4219</v>
      </c>
      <c r="M2244" s="1">
        <v>3</v>
      </c>
      <c r="N2244" s="1" t="s">
        <v>3241</v>
      </c>
    </row>
    <row r="2245" spans="1:14" x14ac:dyDescent="0.15">
      <c r="A2245" s="1">
        <v>275</v>
      </c>
      <c r="B2245" s="1" t="s">
        <v>3397</v>
      </c>
      <c r="C2245" s="1" t="s">
        <v>3409</v>
      </c>
      <c r="D2245" s="1" t="s">
        <v>3410</v>
      </c>
      <c r="E2245" s="1" t="s">
        <v>3409</v>
      </c>
      <c r="F2245" s="1" t="s">
        <v>3410</v>
      </c>
      <c r="G2245" s="1" t="s">
        <v>3412</v>
      </c>
      <c r="H2245" s="1" t="s">
        <v>3413</v>
      </c>
      <c r="I2245" s="1" t="s">
        <v>14145</v>
      </c>
      <c r="J2245" s="1" t="s">
        <v>14146</v>
      </c>
      <c r="K2245" s="1">
        <v>13</v>
      </c>
      <c r="L2245" s="1" t="s">
        <v>4219</v>
      </c>
      <c r="M2245" s="1">
        <v>3</v>
      </c>
      <c r="N2245" s="1" t="s">
        <v>3241</v>
      </c>
    </row>
    <row r="2246" spans="1:14" x14ac:dyDescent="0.15">
      <c r="A2246" s="1">
        <v>275</v>
      </c>
      <c r="B2246" s="1" t="s">
        <v>3397</v>
      </c>
      <c r="C2246" s="1" t="s">
        <v>3409</v>
      </c>
      <c r="D2246" s="1" t="s">
        <v>3410</v>
      </c>
      <c r="E2246" s="1" t="s">
        <v>3409</v>
      </c>
      <c r="F2246" s="1" t="s">
        <v>3410</v>
      </c>
      <c r="G2246" s="1" t="s">
        <v>3414</v>
      </c>
      <c r="H2246" s="1" t="s">
        <v>3415</v>
      </c>
      <c r="I2246" s="1" t="s">
        <v>14145</v>
      </c>
      <c r="J2246" s="1" t="s">
        <v>14146</v>
      </c>
      <c r="K2246" s="1">
        <v>13</v>
      </c>
      <c r="L2246" s="1" t="s">
        <v>4219</v>
      </c>
      <c r="M2246" s="1">
        <v>3</v>
      </c>
      <c r="N2246" s="1" t="s">
        <v>3241</v>
      </c>
    </row>
    <row r="2247" spans="1:14" x14ac:dyDescent="0.15">
      <c r="A2247" s="1">
        <v>275</v>
      </c>
      <c r="B2247" s="1" t="s">
        <v>3397</v>
      </c>
      <c r="C2247" s="1" t="s">
        <v>3409</v>
      </c>
      <c r="D2247" s="1" t="s">
        <v>3410</v>
      </c>
      <c r="E2247" s="1" t="s">
        <v>3409</v>
      </c>
      <c r="F2247" s="1" t="s">
        <v>3410</v>
      </c>
      <c r="G2247" s="1" t="s">
        <v>3414</v>
      </c>
      <c r="H2247" s="1" t="s">
        <v>3415</v>
      </c>
      <c r="I2247" s="1" t="s">
        <v>14153</v>
      </c>
      <c r="J2247" s="1" t="s">
        <v>4972</v>
      </c>
      <c r="K2247" s="1">
        <v>13</v>
      </c>
      <c r="L2247" s="1" t="s">
        <v>4219</v>
      </c>
      <c r="M2247" s="1">
        <v>3</v>
      </c>
      <c r="N2247" s="1" t="s">
        <v>3241</v>
      </c>
    </row>
    <row r="2248" spans="1:14" x14ac:dyDescent="0.15">
      <c r="A2248" s="1">
        <v>275</v>
      </c>
      <c r="B2248" s="1" t="s">
        <v>3397</v>
      </c>
      <c r="C2248" s="1" t="s">
        <v>3409</v>
      </c>
      <c r="D2248" s="1" t="s">
        <v>3410</v>
      </c>
      <c r="E2248" s="1" t="s">
        <v>3409</v>
      </c>
      <c r="F2248" s="1" t="s">
        <v>3410</v>
      </c>
      <c r="G2248" s="1" t="s">
        <v>3414</v>
      </c>
      <c r="H2248" s="1" t="s">
        <v>3415</v>
      </c>
      <c r="I2248" s="1" t="s">
        <v>14169</v>
      </c>
      <c r="J2248" s="1" t="s">
        <v>3050</v>
      </c>
      <c r="K2248" s="1">
        <v>13</v>
      </c>
      <c r="L2248" s="1" t="s">
        <v>4219</v>
      </c>
      <c r="M2248" s="1">
        <v>3</v>
      </c>
      <c r="N2248" s="1" t="s">
        <v>3241</v>
      </c>
    </row>
    <row r="2249" spans="1:14" x14ac:dyDescent="0.15">
      <c r="A2249" s="1">
        <v>275</v>
      </c>
      <c r="B2249" s="1" t="s">
        <v>3397</v>
      </c>
      <c r="C2249" s="1" t="s">
        <v>3409</v>
      </c>
      <c r="D2249" s="1" t="s">
        <v>3410</v>
      </c>
      <c r="E2249" s="1" t="s">
        <v>3409</v>
      </c>
      <c r="F2249" s="1" t="s">
        <v>3410</v>
      </c>
      <c r="G2249" s="1" t="s">
        <v>3414</v>
      </c>
      <c r="H2249" s="1" t="s">
        <v>3415</v>
      </c>
      <c r="I2249" s="1" t="s">
        <v>8439</v>
      </c>
      <c r="J2249" s="1" t="s">
        <v>3053</v>
      </c>
      <c r="K2249" s="1">
        <v>13</v>
      </c>
      <c r="L2249" s="1" t="s">
        <v>4219</v>
      </c>
      <c r="M2249" s="1">
        <v>3</v>
      </c>
      <c r="N2249" s="1" t="s">
        <v>3241</v>
      </c>
    </row>
    <row r="2250" spans="1:14" x14ac:dyDescent="0.15">
      <c r="A2250" s="1">
        <v>275</v>
      </c>
      <c r="B2250" s="1" t="s">
        <v>3397</v>
      </c>
      <c r="C2250" s="1" t="s">
        <v>3409</v>
      </c>
      <c r="D2250" s="1" t="s">
        <v>3410</v>
      </c>
      <c r="E2250" s="1" t="s">
        <v>3409</v>
      </c>
      <c r="F2250" s="1" t="s">
        <v>3410</v>
      </c>
      <c r="G2250" s="1" t="s">
        <v>3414</v>
      </c>
      <c r="H2250" s="1" t="s">
        <v>3415</v>
      </c>
      <c r="I2250" s="1" t="s">
        <v>8442</v>
      </c>
      <c r="J2250" s="1" t="s">
        <v>3054</v>
      </c>
      <c r="K2250" s="1">
        <v>13</v>
      </c>
      <c r="L2250" s="1" t="s">
        <v>4219</v>
      </c>
      <c r="M2250" s="1">
        <v>3</v>
      </c>
      <c r="N2250" s="1" t="s">
        <v>3241</v>
      </c>
    </row>
    <row r="2251" spans="1:14" x14ac:dyDescent="0.15">
      <c r="A2251" s="1">
        <v>275</v>
      </c>
      <c r="B2251" s="1" t="s">
        <v>3397</v>
      </c>
      <c r="C2251" s="1" t="s">
        <v>3409</v>
      </c>
      <c r="D2251" s="1" t="s">
        <v>3410</v>
      </c>
      <c r="E2251" s="1" t="s">
        <v>3409</v>
      </c>
      <c r="F2251" s="1" t="s">
        <v>3410</v>
      </c>
      <c r="G2251" s="1" t="s">
        <v>3414</v>
      </c>
      <c r="H2251" s="1" t="s">
        <v>3415</v>
      </c>
      <c r="I2251" s="1" t="s">
        <v>8445</v>
      </c>
      <c r="J2251" s="1" t="s">
        <v>3055</v>
      </c>
      <c r="K2251" s="1">
        <v>13</v>
      </c>
      <c r="L2251" s="1" t="s">
        <v>4219</v>
      </c>
      <c r="M2251" s="1">
        <v>3</v>
      </c>
      <c r="N2251" s="1" t="s">
        <v>3241</v>
      </c>
    </row>
    <row r="2252" spans="1:14" x14ac:dyDescent="0.15">
      <c r="A2252" s="1">
        <v>275</v>
      </c>
      <c r="B2252" s="1" t="s">
        <v>3397</v>
      </c>
      <c r="C2252" s="1" t="s">
        <v>3409</v>
      </c>
      <c r="D2252" s="1" t="s">
        <v>3410</v>
      </c>
      <c r="E2252" s="1" t="s">
        <v>3409</v>
      </c>
      <c r="F2252" s="1" t="s">
        <v>3410</v>
      </c>
      <c r="G2252" s="1" t="s">
        <v>3414</v>
      </c>
      <c r="H2252" s="1" t="s">
        <v>3415</v>
      </c>
      <c r="I2252" s="1" t="s">
        <v>14181</v>
      </c>
      <c r="J2252" s="1" t="s">
        <v>14182</v>
      </c>
      <c r="K2252" s="1">
        <v>13</v>
      </c>
      <c r="L2252" s="1" t="s">
        <v>4219</v>
      </c>
      <c r="M2252" s="1">
        <v>3</v>
      </c>
      <c r="N2252" s="1" t="s">
        <v>3241</v>
      </c>
    </row>
    <row r="2253" spans="1:14" x14ac:dyDescent="0.15">
      <c r="A2253" s="1">
        <v>276</v>
      </c>
      <c r="B2253" s="1" t="s">
        <v>3416</v>
      </c>
      <c r="C2253" s="1" t="s">
        <v>3417</v>
      </c>
      <c r="D2253" s="1" t="s">
        <v>3416</v>
      </c>
      <c r="E2253" s="1" t="s">
        <v>3417</v>
      </c>
      <c r="F2253" s="1" t="s">
        <v>3416</v>
      </c>
      <c r="G2253" s="1" t="s">
        <v>3418</v>
      </c>
      <c r="H2253" s="1" t="s">
        <v>3416</v>
      </c>
      <c r="I2253" s="1" t="s">
        <v>14042</v>
      </c>
      <c r="J2253" s="1" t="s">
        <v>3044</v>
      </c>
      <c r="K2253" s="1">
        <v>13</v>
      </c>
      <c r="L2253" s="1" t="s">
        <v>4219</v>
      </c>
      <c r="M2253" s="1">
        <v>3</v>
      </c>
      <c r="N2253" s="1" t="s">
        <v>3241</v>
      </c>
    </row>
    <row r="2254" spans="1:14" x14ac:dyDescent="0.15">
      <c r="A2254" s="1">
        <v>276</v>
      </c>
      <c r="B2254" s="1" t="s">
        <v>3416</v>
      </c>
      <c r="C2254" s="1" t="s">
        <v>3417</v>
      </c>
      <c r="D2254" s="1" t="s">
        <v>3416</v>
      </c>
      <c r="E2254" s="1" t="s">
        <v>3417</v>
      </c>
      <c r="F2254" s="1" t="s">
        <v>3416</v>
      </c>
      <c r="G2254" s="1" t="s">
        <v>3418</v>
      </c>
      <c r="H2254" s="1" t="s">
        <v>3416</v>
      </c>
      <c r="I2254" s="1" t="s">
        <v>8379</v>
      </c>
      <c r="J2254" s="1" t="s">
        <v>3360</v>
      </c>
      <c r="K2254" s="1">
        <v>13</v>
      </c>
      <c r="L2254" s="1" t="s">
        <v>4219</v>
      </c>
      <c r="M2254" s="1">
        <v>3</v>
      </c>
      <c r="N2254" s="1" t="s">
        <v>3241</v>
      </c>
    </row>
    <row r="2255" spans="1:14" x14ac:dyDescent="0.15">
      <c r="A2255" s="1">
        <v>276</v>
      </c>
      <c r="B2255" s="1" t="s">
        <v>3416</v>
      </c>
      <c r="C2255" s="1" t="s">
        <v>3417</v>
      </c>
      <c r="D2255" s="1" t="s">
        <v>3416</v>
      </c>
      <c r="E2255" s="1" t="s">
        <v>3417</v>
      </c>
      <c r="F2255" s="1" t="s">
        <v>3416</v>
      </c>
      <c r="G2255" s="1" t="s">
        <v>3418</v>
      </c>
      <c r="H2255" s="1" t="s">
        <v>3416</v>
      </c>
      <c r="I2255" s="1" t="s">
        <v>8382</v>
      </c>
      <c r="J2255" s="1" t="s">
        <v>3419</v>
      </c>
      <c r="K2255" s="1">
        <v>13</v>
      </c>
      <c r="L2255" s="1" t="s">
        <v>4219</v>
      </c>
      <c r="M2255" s="1">
        <v>3</v>
      </c>
      <c r="N2255" s="1" t="s">
        <v>3241</v>
      </c>
    </row>
    <row r="2256" spans="1:14" x14ac:dyDescent="0.15">
      <c r="A2256" s="1">
        <v>276</v>
      </c>
      <c r="B2256" s="1" t="s">
        <v>3416</v>
      </c>
      <c r="C2256" s="1" t="s">
        <v>3417</v>
      </c>
      <c r="D2256" s="1" t="s">
        <v>3416</v>
      </c>
      <c r="E2256" s="1" t="s">
        <v>3417</v>
      </c>
      <c r="F2256" s="1" t="s">
        <v>3416</v>
      </c>
      <c r="G2256" s="1" t="s">
        <v>3418</v>
      </c>
      <c r="H2256" s="1" t="s">
        <v>3416</v>
      </c>
      <c r="I2256" s="1" t="s">
        <v>14062</v>
      </c>
      <c r="J2256" s="1" t="s">
        <v>3047</v>
      </c>
      <c r="K2256" s="1">
        <v>13</v>
      </c>
      <c r="L2256" s="1" t="s">
        <v>4219</v>
      </c>
      <c r="M2256" s="1">
        <v>3</v>
      </c>
      <c r="N2256" s="1" t="s">
        <v>3241</v>
      </c>
    </row>
    <row r="2257" spans="1:14" x14ac:dyDescent="0.15">
      <c r="A2257" s="1">
        <v>280</v>
      </c>
      <c r="B2257" s="1" t="s">
        <v>3420</v>
      </c>
      <c r="C2257" s="1" t="s">
        <v>3421</v>
      </c>
      <c r="D2257" s="1" t="s">
        <v>3420</v>
      </c>
      <c r="E2257" s="1" t="s">
        <v>3422</v>
      </c>
      <c r="F2257" s="1" t="s">
        <v>3423</v>
      </c>
      <c r="G2257" s="1" t="s">
        <v>3424</v>
      </c>
      <c r="H2257" s="1" t="s">
        <v>3423</v>
      </c>
      <c r="I2257" s="1" t="s">
        <v>17743</v>
      </c>
      <c r="J2257" s="1" t="s">
        <v>17744</v>
      </c>
      <c r="K2257" s="1">
        <v>13</v>
      </c>
      <c r="L2257" s="1" t="s">
        <v>4219</v>
      </c>
      <c r="M2257" s="1">
        <v>3</v>
      </c>
      <c r="N2257" s="1" t="s">
        <v>3241</v>
      </c>
    </row>
    <row r="2258" spans="1:14" x14ac:dyDescent="0.15">
      <c r="A2258" s="1">
        <v>280</v>
      </c>
      <c r="B2258" s="1" t="s">
        <v>3420</v>
      </c>
      <c r="C2258" s="1" t="s">
        <v>3421</v>
      </c>
      <c r="D2258" s="1" t="s">
        <v>3420</v>
      </c>
      <c r="E2258" s="1" t="s">
        <v>3422</v>
      </c>
      <c r="F2258" s="1" t="s">
        <v>3423</v>
      </c>
      <c r="G2258" s="1" t="s">
        <v>3424</v>
      </c>
      <c r="H2258" s="1" t="s">
        <v>3423</v>
      </c>
      <c r="I2258" s="1" t="s">
        <v>17766</v>
      </c>
      <c r="J2258" s="1" t="s">
        <v>3061</v>
      </c>
      <c r="K2258" s="1">
        <v>13</v>
      </c>
      <c r="L2258" s="1" t="s">
        <v>4219</v>
      </c>
      <c r="M2258" s="1">
        <v>3</v>
      </c>
      <c r="N2258" s="1" t="s">
        <v>3241</v>
      </c>
    </row>
    <row r="2259" spans="1:14" x14ac:dyDescent="0.15">
      <c r="A2259" s="1">
        <v>280</v>
      </c>
      <c r="B2259" s="1" t="s">
        <v>3420</v>
      </c>
      <c r="C2259" s="1" t="s">
        <v>3421</v>
      </c>
      <c r="D2259" s="1" t="s">
        <v>3420</v>
      </c>
      <c r="E2259" s="1" t="s">
        <v>3425</v>
      </c>
      <c r="F2259" s="1" t="s">
        <v>3426</v>
      </c>
      <c r="G2259" s="1" t="s">
        <v>3427</v>
      </c>
      <c r="H2259" s="1" t="s">
        <v>3426</v>
      </c>
      <c r="I2259" s="1" t="s">
        <v>17725</v>
      </c>
      <c r="J2259" s="1" t="s">
        <v>3059</v>
      </c>
      <c r="K2259" s="1">
        <v>13</v>
      </c>
      <c r="L2259" s="1" t="s">
        <v>4219</v>
      </c>
      <c r="M2259" s="1">
        <v>3</v>
      </c>
      <c r="N2259" s="1" t="s">
        <v>3241</v>
      </c>
    </row>
    <row r="2260" spans="1:14" x14ac:dyDescent="0.15">
      <c r="A2260" s="1">
        <v>281</v>
      </c>
      <c r="B2260" s="1" t="s">
        <v>3428</v>
      </c>
      <c r="C2260" s="1" t="s">
        <v>3429</v>
      </c>
      <c r="D2260" s="1" t="s">
        <v>3428</v>
      </c>
      <c r="E2260" s="1" t="s">
        <v>3429</v>
      </c>
      <c r="F2260" s="1" t="s">
        <v>3428</v>
      </c>
      <c r="G2260" s="1" t="s">
        <v>3430</v>
      </c>
      <c r="H2260" s="1" t="s">
        <v>3428</v>
      </c>
      <c r="I2260" s="1" t="s">
        <v>11879</v>
      </c>
      <c r="J2260" s="1" t="s">
        <v>4278</v>
      </c>
      <c r="K2260" s="1">
        <v>13</v>
      </c>
      <c r="L2260" s="1" t="s">
        <v>4219</v>
      </c>
      <c r="M2260" s="1">
        <v>3</v>
      </c>
      <c r="N2260" s="1" t="s">
        <v>3241</v>
      </c>
    </row>
    <row r="2261" spans="1:14" x14ac:dyDescent="0.15">
      <c r="A2261" s="1">
        <v>281</v>
      </c>
      <c r="B2261" s="1" t="s">
        <v>3428</v>
      </c>
      <c r="C2261" s="1" t="s">
        <v>3429</v>
      </c>
      <c r="D2261" s="1" t="s">
        <v>3428</v>
      </c>
      <c r="E2261" s="1" t="s">
        <v>3431</v>
      </c>
      <c r="F2261" s="1" t="s">
        <v>3432</v>
      </c>
      <c r="G2261" s="1" t="s">
        <v>3433</v>
      </c>
      <c r="H2261" s="1" t="s">
        <v>3432</v>
      </c>
      <c r="I2261" s="1" t="s">
        <v>17739</v>
      </c>
      <c r="J2261" s="1" t="s">
        <v>17740</v>
      </c>
      <c r="K2261" s="1">
        <v>13</v>
      </c>
      <c r="L2261" s="1" t="s">
        <v>4219</v>
      </c>
      <c r="M2261" s="1">
        <v>3</v>
      </c>
      <c r="N2261" s="1" t="s">
        <v>3241</v>
      </c>
    </row>
    <row r="2262" spans="1:14" x14ac:dyDescent="0.15">
      <c r="A2262" s="1">
        <v>281</v>
      </c>
      <c r="B2262" s="1" t="s">
        <v>3428</v>
      </c>
      <c r="C2262" s="1" t="s">
        <v>3429</v>
      </c>
      <c r="D2262" s="1" t="s">
        <v>3428</v>
      </c>
      <c r="E2262" s="1" t="s">
        <v>3431</v>
      </c>
      <c r="F2262" s="1" t="s">
        <v>3432</v>
      </c>
      <c r="G2262" s="1" t="s">
        <v>3433</v>
      </c>
      <c r="H2262" s="1" t="s">
        <v>3432</v>
      </c>
      <c r="I2262" s="1" t="s">
        <v>17743</v>
      </c>
      <c r="J2262" s="1" t="s">
        <v>17744</v>
      </c>
      <c r="K2262" s="1">
        <v>13</v>
      </c>
      <c r="L2262" s="1" t="s">
        <v>4219</v>
      </c>
      <c r="M2262" s="1">
        <v>3</v>
      </c>
      <c r="N2262" s="1" t="s">
        <v>3241</v>
      </c>
    </row>
    <row r="2263" spans="1:14" x14ac:dyDescent="0.15">
      <c r="A2263" s="1">
        <v>281</v>
      </c>
      <c r="B2263" s="1" t="s">
        <v>3428</v>
      </c>
      <c r="C2263" s="1" t="s">
        <v>3429</v>
      </c>
      <c r="D2263" s="1" t="s">
        <v>3428</v>
      </c>
      <c r="E2263" s="1" t="s">
        <v>3431</v>
      </c>
      <c r="F2263" s="1" t="s">
        <v>3432</v>
      </c>
      <c r="G2263" s="1" t="s">
        <v>3433</v>
      </c>
      <c r="H2263" s="1" t="s">
        <v>3432</v>
      </c>
      <c r="I2263" s="1" t="s">
        <v>17766</v>
      </c>
      <c r="J2263" s="1" t="s">
        <v>3061</v>
      </c>
      <c r="K2263" s="1">
        <v>13</v>
      </c>
      <c r="L2263" s="1" t="s">
        <v>4219</v>
      </c>
      <c r="M2263" s="1">
        <v>3</v>
      </c>
      <c r="N2263" s="1" t="s">
        <v>3241</v>
      </c>
    </row>
    <row r="2264" spans="1:14" x14ac:dyDescent="0.15">
      <c r="A2264" s="1">
        <v>281</v>
      </c>
      <c r="B2264" s="1" t="s">
        <v>3428</v>
      </c>
      <c r="C2264" s="1" t="s">
        <v>3429</v>
      </c>
      <c r="D2264" s="1" t="s">
        <v>3428</v>
      </c>
      <c r="E2264" s="1" t="s">
        <v>3431</v>
      </c>
      <c r="F2264" s="1" t="s">
        <v>3432</v>
      </c>
      <c r="G2264" s="1" t="s">
        <v>3433</v>
      </c>
      <c r="H2264" s="1" t="s">
        <v>3432</v>
      </c>
      <c r="I2264" s="1" t="s">
        <v>11000</v>
      </c>
      <c r="J2264" s="1" t="s">
        <v>3063</v>
      </c>
      <c r="K2264" s="1">
        <v>13</v>
      </c>
      <c r="L2264" s="1" t="s">
        <v>4219</v>
      </c>
      <c r="M2264" s="1">
        <v>3</v>
      </c>
      <c r="N2264" s="1" t="s">
        <v>3241</v>
      </c>
    </row>
    <row r="2265" spans="1:14" x14ac:dyDescent="0.15">
      <c r="A2265" s="1">
        <v>281</v>
      </c>
      <c r="B2265" s="1" t="s">
        <v>3428</v>
      </c>
      <c r="C2265" s="1" t="s">
        <v>3429</v>
      </c>
      <c r="D2265" s="1" t="s">
        <v>3428</v>
      </c>
      <c r="E2265" s="1" t="s">
        <v>3434</v>
      </c>
      <c r="F2265" s="1" t="s">
        <v>3435</v>
      </c>
      <c r="G2265" s="1" t="s">
        <v>3436</v>
      </c>
      <c r="H2265" s="1" t="s">
        <v>3435</v>
      </c>
      <c r="I2265" s="1" t="s">
        <v>11698</v>
      </c>
      <c r="J2265" s="1" t="s">
        <v>3337</v>
      </c>
      <c r="K2265" s="1">
        <v>13</v>
      </c>
      <c r="L2265" s="1" t="s">
        <v>4219</v>
      </c>
      <c r="M2265" s="1">
        <v>3</v>
      </c>
      <c r="N2265" s="1" t="s">
        <v>3241</v>
      </c>
    </row>
    <row r="2266" spans="1:14" x14ac:dyDescent="0.15">
      <c r="A2266" s="1">
        <v>281</v>
      </c>
      <c r="B2266" s="1" t="s">
        <v>3428</v>
      </c>
      <c r="C2266" s="1" t="s">
        <v>3429</v>
      </c>
      <c r="D2266" s="1" t="s">
        <v>3428</v>
      </c>
      <c r="E2266" s="1" t="s">
        <v>3434</v>
      </c>
      <c r="F2266" s="1" t="s">
        <v>3435</v>
      </c>
      <c r="G2266" s="1" t="s">
        <v>3436</v>
      </c>
      <c r="H2266" s="1" t="s">
        <v>3435</v>
      </c>
      <c r="I2266" s="1" t="s">
        <v>11485</v>
      </c>
      <c r="J2266" s="1" t="s">
        <v>3060</v>
      </c>
      <c r="K2266" s="1">
        <v>13</v>
      </c>
      <c r="L2266" s="1" t="s">
        <v>4219</v>
      </c>
      <c r="M2266" s="1">
        <v>3</v>
      </c>
      <c r="N2266" s="1" t="s">
        <v>3241</v>
      </c>
    </row>
    <row r="2267" spans="1:14" x14ac:dyDescent="0.15">
      <c r="A2267" s="1">
        <v>281</v>
      </c>
      <c r="B2267" s="1" t="s">
        <v>3428</v>
      </c>
      <c r="C2267" s="1" t="s">
        <v>3429</v>
      </c>
      <c r="D2267" s="1" t="s">
        <v>3428</v>
      </c>
      <c r="E2267" s="1" t="s">
        <v>3434</v>
      </c>
      <c r="F2267" s="1" t="s">
        <v>3435</v>
      </c>
      <c r="G2267" s="1" t="s">
        <v>3436</v>
      </c>
      <c r="H2267" s="1" t="s">
        <v>3435</v>
      </c>
      <c r="I2267" s="1" t="s">
        <v>17739</v>
      </c>
      <c r="J2267" s="1" t="s">
        <v>17740</v>
      </c>
      <c r="K2267" s="1">
        <v>13</v>
      </c>
      <c r="L2267" s="1" t="s">
        <v>4219</v>
      </c>
      <c r="M2267" s="1">
        <v>3</v>
      </c>
      <c r="N2267" s="1" t="s">
        <v>3241</v>
      </c>
    </row>
    <row r="2268" spans="1:14" x14ac:dyDescent="0.15">
      <c r="A2268" s="1">
        <v>281</v>
      </c>
      <c r="B2268" s="1" t="s">
        <v>3428</v>
      </c>
      <c r="C2268" s="1" t="s">
        <v>3429</v>
      </c>
      <c r="D2268" s="1" t="s">
        <v>3428</v>
      </c>
      <c r="E2268" s="1" t="s">
        <v>3434</v>
      </c>
      <c r="F2268" s="1" t="s">
        <v>3435</v>
      </c>
      <c r="G2268" s="1" t="s">
        <v>3436</v>
      </c>
      <c r="H2268" s="1" t="s">
        <v>3435</v>
      </c>
      <c r="I2268" s="1" t="s">
        <v>17743</v>
      </c>
      <c r="J2268" s="1" t="s">
        <v>17744</v>
      </c>
      <c r="K2268" s="1">
        <v>13</v>
      </c>
      <c r="L2268" s="1" t="s">
        <v>4219</v>
      </c>
      <c r="M2268" s="1">
        <v>3</v>
      </c>
      <c r="N2268" s="1" t="s">
        <v>3241</v>
      </c>
    </row>
    <row r="2269" spans="1:14" x14ac:dyDescent="0.15">
      <c r="A2269" s="1">
        <v>281</v>
      </c>
      <c r="B2269" s="1" t="s">
        <v>3428</v>
      </c>
      <c r="C2269" s="1" t="s">
        <v>3429</v>
      </c>
      <c r="D2269" s="1" t="s">
        <v>3428</v>
      </c>
      <c r="E2269" s="1" t="s">
        <v>3434</v>
      </c>
      <c r="F2269" s="1" t="s">
        <v>3435</v>
      </c>
      <c r="G2269" s="1" t="s">
        <v>3436</v>
      </c>
      <c r="H2269" s="1" t="s">
        <v>3435</v>
      </c>
      <c r="I2269" s="1" t="s">
        <v>11500</v>
      </c>
      <c r="J2269" s="1" t="s">
        <v>3437</v>
      </c>
      <c r="K2269" s="1">
        <v>13</v>
      </c>
      <c r="L2269" s="1" t="s">
        <v>4219</v>
      </c>
      <c r="M2269" s="1">
        <v>3</v>
      </c>
      <c r="N2269" s="1" t="s">
        <v>3241</v>
      </c>
    </row>
    <row r="2270" spans="1:14" x14ac:dyDescent="0.15">
      <c r="A2270" s="1">
        <v>281</v>
      </c>
      <c r="B2270" s="1" t="s">
        <v>3428</v>
      </c>
      <c r="C2270" s="1" t="s">
        <v>3429</v>
      </c>
      <c r="D2270" s="1" t="s">
        <v>3428</v>
      </c>
      <c r="E2270" s="1" t="s">
        <v>3434</v>
      </c>
      <c r="F2270" s="1" t="s">
        <v>3435</v>
      </c>
      <c r="G2270" s="1" t="s">
        <v>3436</v>
      </c>
      <c r="H2270" s="1" t="s">
        <v>3435</v>
      </c>
      <c r="I2270" s="1" t="s">
        <v>17751</v>
      </c>
      <c r="J2270" s="1" t="s">
        <v>6768</v>
      </c>
      <c r="K2270" s="1">
        <v>13</v>
      </c>
      <c r="L2270" s="1" t="s">
        <v>4219</v>
      </c>
      <c r="M2270" s="1">
        <v>3</v>
      </c>
      <c r="N2270" s="1" t="s">
        <v>3241</v>
      </c>
    </row>
    <row r="2271" spans="1:14" x14ac:dyDescent="0.15">
      <c r="A2271" s="1">
        <v>281</v>
      </c>
      <c r="B2271" s="1" t="s">
        <v>3428</v>
      </c>
      <c r="C2271" s="1" t="s">
        <v>3429</v>
      </c>
      <c r="D2271" s="1" t="s">
        <v>3428</v>
      </c>
      <c r="E2271" s="1" t="s">
        <v>3434</v>
      </c>
      <c r="F2271" s="1" t="s">
        <v>3435</v>
      </c>
      <c r="G2271" s="1" t="s">
        <v>3436</v>
      </c>
      <c r="H2271" s="1" t="s">
        <v>3435</v>
      </c>
      <c r="I2271" s="1" t="s">
        <v>11000</v>
      </c>
      <c r="J2271" s="1" t="s">
        <v>3063</v>
      </c>
      <c r="K2271" s="1">
        <v>13</v>
      </c>
      <c r="L2271" s="1" t="s">
        <v>4219</v>
      </c>
      <c r="M2271" s="1">
        <v>3</v>
      </c>
      <c r="N2271" s="1" t="s">
        <v>3241</v>
      </c>
    </row>
    <row r="2272" spans="1:14" x14ac:dyDescent="0.15">
      <c r="A2272" s="1">
        <v>282</v>
      </c>
      <c r="B2272" s="1" t="s">
        <v>3438</v>
      </c>
      <c r="C2272" s="1" t="s">
        <v>3439</v>
      </c>
      <c r="D2272" s="1" t="s">
        <v>3438</v>
      </c>
      <c r="E2272" s="1" t="s">
        <v>3439</v>
      </c>
      <c r="F2272" s="1" t="s">
        <v>3438</v>
      </c>
      <c r="G2272" s="1" t="s">
        <v>3440</v>
      </c>
      <c r="H2272" s="1" t="s">
        <v>3438</v>
      </c>
      <c r="I2272" s="1" t="s">
        <v>10993</v>
      </c>
      <c r="J2272" s="1" t="s">
        <v>4218</v>
      </c>
      <c r="K2272" s="1">
        <v>13</v>
      </c>
      <c r="L2272" s="1" t="s">
        <v>4219</v>
      </c>
      <c r="M2272" s="1">
        <v>3</v>
      </c>
      <c r="N2272" s="1" t="s">
        <v>3241</v>
      </c>
    </row>
    <row r="2273" spans="1:14" x14ac:dyDescent="0.15">
      <c r="A2273" s="1">
        <v>282</v>
      </c>
      <c r="B2273" s="1" t="s">
        <v>3438</v>
      </c>
      <c r="C2273" s="1" t="s">
        <v>3439</v>
      </c>
      <c r="D2273" s="1" t="s">
        <v>3438</v>
      </c>
      <c r="E2273" s="1" t="s">
        <v>3439</v>
      </c>
      <c r="F2273" s="1" t="s">
        <v>3438</v>
      </c>
      <c r="G2273" s="1" t="s">
        <v>3440</v>
      </c>
      <c r="H2273" s="1" t="s">
        <v>3438</v>
      </c>
      <c r="I2273" s="1" t="s">
        <v>11000</v>
      </c>
      <c r="J2273" s="1" t="s">
        <v>3063</v>
      </c>
      <c r="K2273" s="1">
        <v>13</v>
      </c>
      <c r="L2273" s="1" t="s">
        <v>4219</v>
      </c>
      <c r="M2273" s="1">
        <v>3</v>
      </c>
      <c r="N2273" s="1" t="s">
        <v>3241</v>
      </c>
    </row>
    <row r="2274" spans="1:14" x14ac:dyDescent="0.15">
      <c r="A2274" s="1">
        <v>282</v>
      </c>
      <c r="B2274" s="1" t="s">
        <v>3438</v>
      </c>
      <c r="C2274" s="1" t="s">
        <v>3439</v>
      </c>
      <c r="D2274" s="1" t="s">
        <v>3438</v>
      </c>
      <c r="E2274" s="1" t="s">
        <v>3439</v>
      </c>
      <c r="F2274" s="1" t="s">
        <v>3438</v>
      </c>
      <c r="G2274" s="1" t="s">
        <v>3440</v>
      </c>
      <c r="H2274" s="1" t="s">
        <v>3438</v>
      </c>
      <c r="I2274" s="1" t="s">
        <v>11003</v>
      </c>
      <c r="J2274" s="1" t="s">
        <v>2815</v>
      </c>
      <c r="K2274" s="1">
        <v>13</v>
      </c>
      <c r="L2274" s="1" t="s">
        <v>4219</v>
      </c>
      <c r="M2274" s="1">
        <v>3</v>
      </c>
      <c r="N2274" s="1" t="s">
        <v>3241</v>
      </c>
    </row>
    <row r="2275" spans="1:14" x14ac:dyDescent="0.15">
      <c r="A2275" s="1">
        <v>282</v>
      </c>
      <c r="B2275" s="1" t="s">
        <v>3438</v>
      </c>
      <c r="C2275" s="1" t="s">
        <v>3439</v>
      </c>
      <c r="D2275" s="1" t="s">
        <v>3438</v>
      </c>
      <c r="E2275" s="1" t="s">
        <v>3439</v>
      </c>
      <c r="F2275" s="1" t="s">
        <v>3438</v>
      </c>
      <c r="G2275" s="1" t="s">
        <v>3440</v>
      </c>
      <c r="H2275" s="1" t="s">
        <v>3438</v>
      </c>
      <c r="I2275" s="1" t="s">
        <v>17149</v>
      </c>
      <c r="J2275" s="1" t="s">
        <v>3441</v>
      </c>
      <c r="K2275" s="1">
        <v>13</v>
      </c>
      <c r="L2275" s="1" t="s">
        <v>4219</v>
      </c>
      <c r="M2275" s="1">
        <v>3</v>
      </c>
      <c r="N2275" s="1" t="s">
        <v>3241</v>
      </c>
    </row>
    <row r="2276" spans="1:14" x14ac:dyDescent="0.15">
      <c r="A2276" s="1">
        <v>283</v>
      </c>
      <c r="B2276" s="1" t="s">
        <v>3442</v>
      </c>
      <c r="C2276" s="1" t="s">
        <v>3443</v>
      </c>
      <c r="D2276" s="1" t="s">
        <v>3442</v>
      </c>
      <c r="E2276" s="1" t="s">
        <v>3443</v>
      </c>
      <c r="F2276" s="1" t="s">
        <v>3442</v>
      </c>
      <c r="G2276" s="1" t="s">
        <v>3440</v>
      </c>
      <c r="H2276" s="1" t="s">
        <v>3442</v>
      </c>
      <c r="I2276" s="1" t="s">
        <v>17725</v>
      </c>
      <c r="J2276" s="1" t="s">
        <v>3059</v>
      </c>
      <c r="K2276" s="1">
        <v>13</v>
      </c>
      <c r="L2276" s="1" t="s">
        <v>4219</v>
      </c>
      <c r="M2276" s="1">
        <v>3</v>
      </c>
      <c r="N2276" s="1" t="s">
        <v>3241</v>
      </c>
    </row>
    <row r="2277" spans="1:14" x14ac:dyDescent="0.15">
      <c r="A2277" s="1">
        <v>283</v>
      </c>
      <c r="B2277" s="1" t="s">
        <v>3442</v>
      </c>
      <c r="C2277" s="1" t="s">
        <v>3443</v>
      </c>
      <c r="D2277" s="1" t="s">
        <v>3442</v>
      </c>
      <c r="E2277" s="1" t="s">
        <v>3443</v>
      </c>
      <c r="F2277" s="1" t="s">
        <v>3442</v>
      </c>
      <c r="G2277" s="1" t="s">
        <v>3444</v>
      </c>
      <c r="H2277" s="1" t="s">
        <v>3442</v>
      </c>
      <c r="I2277" s="1" t="s">
        <v>11485</v>
      </c>
      <c r="J2277" s="1" t="s">
        <v>3060</v>
      </c>
      <c r="K2277" s="1">
        <v>13</v>
      </c>
      <c r="L2277" s="1" t="s">
        <v>4219</v>
      </c>
      <c r="M2277" s="1">
        <v>3</v>
      </c>
      <c r="N2277" s="1" t="s">
        <v>3241</v>
      </c>
    </row>
    <row r="2278" spans="1:14" x14ac:dyDescent="0.15">
      <c r="A2278" s="1">
        <v>283</v>
      </c>
      <c r="B2278" s="1" t="s">
        <v>3442</v>
      </c>
      <c r="C2278" s="1" t="s">
        <v>3443</v>
      </c>
      <c r="D2278" s="1" t="s">
        <v>3442</v>
      </c>
      <c r="E2278" s="1" t="s">
        <v>3443</v>
      </c>
      <c r="F2278" s="1" t="s">
        <v>3442</v>
      </c>
      <c r="G2278" s="1" t="s">
        <v>3444</v>
      </c>
      <c r="H2278" s="1" t="s">
        <v>3442</v>
      </c>
      <c r="I2278" s="1" t="s">
        <v>17739</v>
      </c>
      <c r="J2278" s="1" t="s">
        <v>17740</v>
      </c>
      <c r="K2278" s="1">
        <v>13</v>
      </c>
      <c r="L2278" s="1" t="s">
        <v>4219</v>
      </c>
      <c r="M2278" s="1">
        <v>3</v>
      </c>
      <c r="N2278" s="1" t="s">
        <v>3241</v>
      </c>
    </row>
    <row r="2279" spans="1:14" x14ac:dyDescent="0.15">
      <c r="A2279" s="1">
        <v>283</v>
      </c>
      <c r="B2279" s="1" t="s">
        <v>3442</v>
      </c>
      <c r="C2279" s="1" t="s">
        <v>3443</v>
      </c>
      <c r="D2279" s="1" t="s">
        <v>3442</v>
      </c>
      <c r="E2279" s="1" t="s">
        <v>3443</v>
      </c>
      <c r="F2279" s="1" t="s">
        <v>3442</v>
      </c>
      <c r="G2279" s="1" t="s">
        <v>3444</v>
      </c>
      <c r="H2279" s="1" t="s">
        <v>3442</v>
      </c>
      <c r="I2279" s="1" t="s">
        <v>17743</v>
      </c>
      <c r="J2279" s="1" t="s">
        <v>17744</v>
      </c>
      <c r="K2279" s="1">
        <v>13</v>
      </c>
      <c r="L2279" s="1" t="s">
        <v>4219</v>
      </c>
      <c r="M2279" s="1">
        <v>3</v>
      </c>
      <c r="N2279" s="1" t="s">
        <v>3241</v>
      </c>
    </row>
    <row r="2280" spans="1:14" x14ac:dyDescent="0.15">
      <c r="A2280" s="1">
        <v>283</v>
      </c>
      <c r="B2280" s="1" t="s">
        <v>3442</v>
      </c>
      <c r="C2280" s="1" t="s">
        <v>3443</v>
      </c>
      <c r="D2280" s="1" t="s">
        <v>3442</v>
      </c>
      <c r="E2280" s="1" t="s">
        <v>3443</v>
      </c>
      <c r="F2280" s="1" t="s">
        <v>3442</v>
      </c>
      <c r="G2280" s="1" t="s">
        <v>3444</v>
      </c>
      <c r="H2280" s="1" t="s">
        <v>3442</v>
      </c>
      <c r="I2280" s="1" t="s">
        <v>11011</v>
      </c>
      <c r="J2280" s="1" t="s">
        <v>3445</v>
      </c>
      <c r="K2280" s="1">
        <v>13</v>
      </c>
      <c r="L2280" s="1" t="s">
        <v>4219</v>
      </c>
      <c r="M2280" s="1">
        <v>3</v>
      </c>
      <c r="N2280" s="1" t="s">
        <v>3241</v>
      </c>
    </row>
    <row r="2281" spans="1:14" x14ac:dyDescent="0.15">
      <c r="A2281" s="1">
        <v>283</v>
      </c>
      <c r="B2281" s="1" t="s">
        <v>3442</v>
      </c>
      <c r="C2281" s="1" t="s">
        <v>3443</v>
      </c>
      <c r="D2281" s="1" t="s">
        <v>3442</v>
      </c>
      <c r="E2281" s="1" t="s">
        <v>3443</v>
      </c>
      <c r="F2281" s="1" t="s">
        <v>3442</v>
      </c>
      <c r="G2281" s="1" t="s">
        <v>3444</v>
      </c>
      <c r="H2281" s="1" t="s">
        <v>3442</v>
      </c>
      <c r="I2281" s="1" t="s">
        <v>17773</v>
      </c>
      <c r="J2281" s="1" t="s">
        <v>3064</v>
      </c>
      <c r="K2281" s="1">
        <v>13</v>
      </c>
      <c r="L2281" s="1" t="s">
        <v>4219</v>
      </c>
      <c r="M2281" s="1">
        <v>3</v>
      </c>
      <c r="N2281" s="1" t="s">
        <v>3241</v>
      </c>
    </row>
    <row r="2282" spans="1:14" x14ac:dyDescent="0.15">
      <c r="A2282" s="1">
        <v>283</v>
      </c>
      <c r="B2282" s="1" t="s">
        <v>3442</v>
      </c>
      <c r="C2282" s="1" t="s">
        <v>3443</v>
      </c>
      <c r="D2282" s="1" t="s">
        <v>3442</v>
      </c>
      <c r="E2282" s="1" t="s">
        <v>3443</v>
      </c>
      <c r="F2282" s="1" t="s">
        <v>3442</v>
      </c>
      <c r="G2282" s="1" t="s">
        <v>3444</v>
      </c>
      <c r="H2282" s="1" t="s">
        <v>3442</v>
      </c>
      <c r="I2282" s="1" t="s">
        <v>15715</v>
      </c>
      <c r="J2282" s="1" t="s">
        <v>12397</v>
      </c>
      <c r="K2282" s="1">
        <v>13</v>
      </c>
      <c r="L2282" s="1" t="s">
        <v>4219</v>
      </c>
      <c r="M2282" s="1">
        <v>3</v>
      </c>
      <c r="N2282" s="1" t="s">
        <v>3241</v>
      </c>
    </row>
    <row r="2283" spans="1:14" x14ac:dyDescent="0.15">
      <c r="A2283" s="1">
        <v>283</v>
      </c>
      <c r="B2283" s="1" t="s">
        <v>3442</v>
      </c>
      <c r="C2283" s="1" t="s">
        <v>3443</v>
      </c>
      <c r="D2283" s="1" t="s">
        <v>3442</v>
      </c>
      <c r="E2283" s="1" t="s">
        <v>3443</v>
      </c>
      <c r="F2283" s="1" t="s">
        <v>3442</v>
      </c>
      <c r="G2283" s="1" t="s">
        <v>3444</v>
      </c>
      <c r="H2283" s="1" t="s">
        <v>3442</v>
      </c>
      <c r="I2283" s="1" t="s">
        <v>15743</v>
      </c>
      <c r="J2283" s="1" t="s">
        <v>3069</v>
      </c>
      <c r="K2283" s="1">
        <v>13</v>
      </c>
      <c r="L2283" s="1" t="s">
        <v>4219</v>
      </c>
      <c r="M2283" s="1">
        <v>3</v>
      </c>
      <c r="N2283" s="1" t="s">
        <v>3241</v>
      </c>
    </row>
    <row r="2284" spans="1:14" x14ac:dyDescent="0.15">
      <c r="A2284" s="1">
        <v>283</v>
      </c>
      <c r="B2284" s="1" t="s">
        <v>3442</v>
      </c>
      <c r="C2284" s="1" t="s">
        <v>3443</v>
      </c>
      <c r="D2284" s="1" t="s">
        <v>3442</v>
      </c>
      <c r="E2284" s="1" t="s">
        <v>3443</v>
      </c>
      <c r="F2284" s="1" t="s">
        <v>3442</v>
      </c>
      <c r="G2284" s="1" t="s">
        <v>3444</v>
      </c>
      <c r="H2284" s="1" t="s">
        <v>3442</v>
      </c>
      <c r="I2284" s="1" t="s">
        <v>12817</v>
      </c>
      <c r="J2284" s="1" t="s">
        <v>5267</v>
      </c>
      <c r="K2284" s="1">
        <v>13</v>
      </c>
      <c r="L2284" s="1" t="s">
        <v>4219</v>
      </c>
      <c r="M2284" s="1">
        <v>3</v>
      </c>
      <c r="N2284" s="1" t="s">
        <v>3241</v>
      </c>
    </row>
    <row r="2285" spans="1:14" x14ac:dyDescent="0.15">
      <c r="A2285" s="1">
        <v>284</v>
      </c>
      <c r="B2285" s="1" t="s">
        <v>3446</v>
      </c>
      <c r="C2285" s="1" t="s">
        <v>3447</v>
      </c>
      <c r="D2285" s="1" t="s">
        <v>3446</v>
      </c>
      <c r="E2285" s="1" t="s">
        <v>3447</v>
      </c>
      <c r="F2285" s="1" t="s">
        <v>3446</v>
      </c>
      <c r="G2285" s="1" t="s">
        <v>3444</v>
      </c>
      <c r="H2285" s="1" t="s">
        <v>3446</v>
      </c>
      <c r="I2285" s="1" t="s">
        <v>17149</v>
      </c>
      <c r="J2285" s="1" t="s">
        <v>3441</v>
      </c>
      <c r="K2285" s="1">
        <v>13</v>
      </c>
      <c r="L2285" s="1" t="s">
        <v>4219</v>
      </c>
      <c r="M2285" s="1">
        <v>3</v>
      </c>
      <c r="N2285" s="1" t="s">
        <v>3241</v>
      </c>
    </row>
    <row r="2286" spans="1:14" x14ac:dyDescent="0.15">
      <c r="A2286" s="1">
        <v>284</v>
      </c>
      <c r="B2286" s="1" t="s">
        <v>3446</v>
      </c>
      <c r="C2286" s="1" t="s">
        <v>3447</v>
      </c>
      <c r="D2286" s="1" t="s">
        <v>3446</v>
      </c>
      <c r="E2286" s="1" t="s">
        <v>3447</v>
      </c>
      <c r="F2286" s="1" t="s">
        <v>3446</v>
      </c>
      <c r="G2286" s="1" t="s">
        <v>3448</v>
      </c>
      <c r="H2286" s="1" t="s">
        <v>3446</v>
      </c>
      <c r="I2286" s="1" t="s">
        <v>15743</v>
      </c>
      <c r="J2286" s="1" t="s">
        <v>3069</v>
      </c>
      <c r="K2286" s="1">
        <v>13</v>
      </c>
      <c r="L2286" s="1" t="s">
        <v>4219</v>
      </c>
      <c r="M2286" s="1">
        <v>3</v>
      </c>
      <c r="N2286" s="1" t="s">
        <v>3241</v>
      </c>
    </row>
    <row r="2287" spans="1:14" x14ac:dyDescent="0.15">
      <c r="A2287" s="1">
        <v>284</v>
      </c>
      <c r="B2287" s="1" t="s">
        <v>3446</v>
      </c>
      <c r="C2287" s="1" t="s">
        <v>3447</v>
      </c>
      <c r="D2287" s="1" t="s">
        <v>3446</v>
      </c>
      <c r="E2287" s="1" t="s">
        <v>3447</v>
      </c>
      <c r="F2287" s="1" t="s">
        <v>3446</v>
      </c>
      <c r="G2287" s="1" t="s">
        <v>3448</v>
      </c>
      <c r="H2287" s="1" t="s">
        <v>3446</v>
      </c>
      <c r="I2287" s="1" t="s">
        <v>12817</v>
      </c>
      <c r="J2287" s="1" t="s">
        <v>5267</v>
      </c>
      <c r="K2287" s="1">
        <v>13</v>
      </c>
      <c r="L2287" s="1" t="s">
        <v>4219</v>
      </c>
      <c r="M2287" s="1">
        <v>3</v>
      </c>
      <c r="N2287" s="1" t="s">
        <v>3241</v>
      </c>
    </row>
    <row r="2288" spans="1:14" x14ac:dyDescent="0.15">
      <c r="A2288" s="1">
        <v>285</v>
      </c>
      <c r="B2288" s="1" t="s">
        <v>3449</v>
      </c>
      <c r="C2288" s="1" t="s">
        <v>3450</v>
      </c>
      <c r="D2288" s="1" t="s">
        <v>3449</v>
      </c>
      <c r="E2288" s="1" t="s">
        <v>3450</v>
      </c>
      <c r="F2288" s="1" t="s">
        <v>3449</v>
      </c>
      <c r="G2288" s="1" t="s">
        <v>3448</v>
      </c>
      <c r="H2288" s="1" t="s">
        <v>3449</v>
      </c>
      <c r="I2288" s="1" t="s">
        <v>17725</v>
      </c>
      <c r="J2288" s="1" t="s">
        <v>3059</v>
      </c>
      <c r="K2288" s="1">
        <v>13</v>
      </c>
      <c r="L2288" s="1" t="s">
        <v>4219</v>
      </c>
      <c r="M2288" s="1">
        <v>3</v>
      </c>
      <c r="N2288" s="1" t="s">
        <v>3241</v>
      </c>
    </row>
    <row r="2289" spans="1:14" x14ac:dyDescent="0.15">
      <c r="A2289" s="1">
        <v>285</v>
      </c>
      <c r="B2289" s="1" t="s">
        <v>3449</v>
      </c>
      <c r="C2289" s="1" t="s">
        <v>3450</v>
      </c>
      <c r="D2289" s="1" t="s">
        <v>3449</v>
      </c>
      <c r="E2289" s="1" t="s">
        <v>3450</v>
      </c>
      <c r="F2289" s="1" t="s">
        <v>3449</v>
      </c>
      <c r="G2289" s="1" t="s">
        <v>3451</v>
      </c>
      <c r="H2289" s="1" t="s">
        <v>3449</v>
      </c>
      <c r="I2289" s="1" t="s">
        <v>11485</v>
      </c>
      <c r="J2289" s="1" t="s">
        <v>3060</v>
      </c>
      <c r="K2289" s="1">
        <v>13</v>
      </c>
      <c r="L2289" s="1" t="s">
        <v>4219</v>
      </c>
      <c r="M2289" s="1">
        <v>3</v>
      </c>
      <c r="N2289" s="1" t="s">
        <v>3241</v>
      </c>
    </row>
    <row r="2290" spans="1:14" x14ac:dyDescent="0.15">
      <c r="A2290" s="1">
        <v>285</v>
      </c>
      <c r="B2290" s="1" t="s">
        <v>3449</v>
      </c>
      <c r="C2290" s="1" t="s">
        <v>3450</v>
      </c>
      <c r="D2290" s="1" t="s">
        <v>3449</v>
      </c>
      <c r="E2290" s="1" t="s">
        <v>3450</v>
      </c>
      <c r="F2290" s="1" t="s">
        <v>3449</v>
      </c>
      <c r="G2290" s="1" t="s">
        <v>3451</v>
      </c>
      <c r="H2290" s="1" t="s">
        <v>3449</v>
      </c>
      <c r="I2290" s="1" t="s">
        <v>17739</v>
      </c>
      <c r="J2290" s="1" t="s">
        <v>17740</v>
      </c>
      <c r="K2290" s="1">
        <v>13</v>
      </c>
      <c r="L2290" s="1" t="s">
        <v>4219</v>
      </c>
      <c r="M2290" s="1">
        <v>3</v>
      </c>
      <c r="N2290" s="1" t="s">
        <v>3241</v>
      </c>
    </row>
    <row r="2291" spans="1:14" x14ac:dyDescent="0.15">
      <c r="A2291" s="1">
        <v>285</v>
      </c>
      <c r="B2291" s="1" t="s">
        <v>3449</v>
      </c>
      <c r="C2291" s="1" t="s">
        <v>3450</v>
      </c>
      <c r="D2291" s="1" t="s">
        <v>3449</v>
      </c>
      <c r="E2291" s="1" t="s">
        <v>3450</v>
      </c>
      <c r="F2291" s="1" t="s">
        <v>3449</v>
      </c>
      <c r="G2291" s="1" t="s">
        <v>3451</v>
      </c>
      <c r="H2291" s="1" t="s">
        <v>3449</v>
      </c>
      <c r="I2291" s="1" t="s">
        <v>17743</v>
      </c>
      <c r="J2291" s="1" t="s">
        <v>17744</v>
      </c>
      <c r="K2291" s="1">
        <v>13</v>
      </c>
      <c r="L2291" s="1" t="s">
        <v>4219</v>
      </c>
      <c r="M2291" s="1">
        <v>3</v>
      </c>
      <c r="N2291" s="1" t="s">
        <v>3241</v>
      </c>
    </row>
    <row r="2292" spans="1:14" x14ac:dyDescent="0.15">
      <c r="A2292" s="1">
        <v>285</v>
      </c>
      <c r="B2292" s="1" t="s">
        <v>3449</v>
      </c>
      <c r="C2292" s="1" t="s">
        <v>3450</v>
      </c>
      <c r="D2292" s="1" t="s">
        <v>3449</v>
      </c>
      <c r="E2292" s="1" t="s">
        <v>3450</v>
      </c>
      <c r="F2292" s="1" t="s">
        <v>3449</v>
      </c>
      <c r="G2292" s="1" t="s">
        <v>3451</v>
      </c>
      <c r="H2292" s="1" t="s">
        <v>3449</v>
      </c>
      <c r="I2292" s="1" t="s">
        <v>17773</v>
      </c>
      <c r="J2292" s="1" t="s">
        <v>3064</v>
      </c>
      <c r="K2292" s="1">
        <v>13</v>
      </c>
      <c r="L2292" s="1" t="s">
        <v>4219</v>
      </c>
      <c r="M2292" s="1">
        <v>3</v>
      </c>
      <c r="N2292" s="1" t="s">
        <v>3241</v>
      </c>
    </row>
    <row r="2293" spans="1:14" x14ac:dyDescent="0.15">
      <c r="A2293" s="1">
        <v>285</v>
      </c>
      <c r="B2293" s="1" t="s">
        <v>3449</v>
      </c>
      <c r="C2293" s="1" t="s">
        <v>3450</v>
      </c>
      <c r="D2293" s="1" t="s">
        <v>3449</v>
      </c>
      <c r="E2293" s="1" t="s">
        <v>3450</v>
      </c>
      <c r="F2293" s="1" t="s">
        <v>3449</v>
      </c>
      <c r="G2293" s="1" t="s">
        <v>3451</v>
      </c>
      <c r="H2293" s="1" t="s">
        <v>3449</v>
      </c>
      <c r="I2293" s="1" t="s">
        <v>17149</v>
      </c>
      <c r="J2293" s="1" t="s">
        <v>3441</v>
      </c>
      <c r="K2293" s="1">
        <v>13</v>
      </c>
      <c r="L2293" s="1" t="s">
        <v>4219</v>
      </c>
      <c r="M2293" s="1">
        <v>3</v>
      </c>
      <c r="N2293" s="1" t="s">
        <v>3241</v>
      </c>
    </row>
    <row r="2294" spans="1:14" x14ac:dyDescent="0.15">
      <c r="A2294" s="1">
        <v>285</v>
      </c>
      <c r="B2294" s="1" t="s">
        <v>3449</v>
      </c>
      <c r="C2294" s="1" t="s">
        <v>3450</v>
      </c>
      <c r="D2294" s="1" t="s">
        <v>3449</v>
      </c>
      <c r="E2294" s="1" t="s">
        <v>3450</v>
      </c>
      <c r="F2294" s="1" t="s">
        <v>3449</v>
      </c>
      <c r="G2294" s="1" t="s">
        <v>3451</v>
      </c>
      <c r="H2294" s="1" t="s">
        <v>3449</v>
      </c>
      <c r="I2294" s="1" t="s">
        <v>15708</v>
      </c>
      <c r="J2294" s="1" t="s">
        <v>15705</v>
      </c>
      <c r="K2294" s="1">
        <v>13</v>
      </c>
      <c r="L2294" s="1" t="s">
        <v>4219</v>
      </c>
      <c r="M2294" s="1">
        <v>3</v>
      </c>
      <c r="N2294" s="1" t="s">
        <v>3241</v>
      </c>
    </row>
    <row r="2295" spans="1:14" x14ac:dyDescent="0.15">
      <c r="A2295" s="1">
        <v>285</v>
      </c>
      <c r="B2295" s="1" t="s">
        <v>3449</v>
      </c>
      <c r="C2295" s="1" t="s">
        <v>3450</v>
      </c>
      <c r="D2295" s="1" t="s">
        <v>3449</v>
      </c>
      <c r="E2295" s="1" t="s">
        <v>3450</v>
      </c>
      <c r="F2295" s="1" t="s">
        <v>3449</v>
      </c>
      <c r="G2295" s="1" t="s">
        <v>3451</v>
      </c>
      <c r="H2295" s="1" t="s">
        <v>3449</v>
      </c>
      <c r="I2295" s="1" t="s">
        <v>15715</v>
      </c>
      <c r="J2295" s="1" t="s">
        <v>12397</v>
      </c>
      <c r="K2295" s="1">
        <v>13</v>
      </c>
      <c r="L2295" s="1" t="s">
        <v>4219</v>
      </c>
      <c r="M2295" s="1">
        <v>3</v>
      </c>
      <c r="N2295" s="1" t="s">
        <v>3241</v>
      </c>
    </row>
    <row r="2296" spans="1:14" x14ac:dyDescent="0.15">
      <c r="A2296" s="1">
        <v>285</v>
      </c>
      <c r="B2296" s="1" t="s">
        <v>3449</v>
      </c>
      <c r="C2296" s="1" t="s">
        <v>3450</v>
      </c>
      <c r="D2296" s="1" t="s">
        <v>3449</v>
      </c>
      <c r="E2296" s="1" t="s">
        <v>3450</v>
      </c>
      <c r="F2296" s="1" t="s">
        <v>3449</v>
      </c>
      <c r="G2296" s="1" t="s">
        <v>3451</v>
      </c>
      <c r="H2296" s="1" t="s">
        <v>3449</v>
      </c>
      <c r="I2296" s="1" t="s">
        <v>15743</v>
      </c>
      <c r="J2296" s="1" t="s">
        <v>3069</v>
      </c>
      <c r="K2296" s="1">
        <v>13</v>
      </c>
      <c r="L2296" s="1" t="s">
        <v>4219</v>
      </c>
      <c r="M2296" s="1">
        <v>3</v>
      </c>
      <c r="N2296" s="1" t="s">
        <v>3241</v>
      </c>
    </row>
    <row r="2297" spans="1:14" x14ac:dyDescent="0.15">
      <c r="A2297" s="1">
        <v>285</v>
      </c>
      <c r="B2297" s="1" t="s">
        <v>3449</v>
      </c>
      <c r="C2297" s="1" t="s">
        <v>3450</v>
      </c>
      <c r="D2297" s="1" t="s">
        <v>3449</v>
      </c>
      <c r="E2297" s="1" t="s">
        <v>3450</v>
      </c>
      <c r="F2297" s="1" t="s">
        <v>3449</v>
      </c>
      <c r="G2297" s="1" t="s">
        <v>3451</v>
      </c>
      <c r="H2297" s="1" t="s">
        <v>3449</v>
      </c>
      <c r="I2297" s="1" t="s">
        <v>14054</v>
      </c>
      <c r="J2297" s="1" t="s">
        <v>14055</v>
      </c>
      <c r="K2297" s="1">
        <v>13</v>
      </c>
      <c r="L2297" s="1" t="s">
        <v>4219</v>
      </c>
      <c r="M2297" s="1">
        <v>3</v>
      </c>
      <c r="N2297" s="1" t="s">
        <v>3241</v>
      </c>
    </row>
    <row r="2298" spans="1:14" x14ac:dyDescent="0.15">
      <c r="A2298" s="1">
        <v>285</v>
      </c>
      <c r="B2298" s="1" t="s">
        <v>3449</v>
      </c>
      <c r="C2298" s="1" t="s">
        <v>3450</v>
      </c>
      <c r="D2298" s="1" t="s">
        <v>3449</v>
      </c>
      <c r="E2298" s="1" t="s">
        <v>3450</v>
      </c>
      <c r="F2298" s="1" t="s">
        <v>3449</v>
      </c>
      <c r="G2298" s="1" t="s">
        <v>3451</v>
      </c>
      <c r="H2298" s="1" t="s">
        <v>3449</v>
      </c>
      <c r="I2298" s="1" t="s">
        <v>12817</v>
      </c>
      <c r="J2298" s="1" t="s">
        <v>5267</v>
      </c>
      <c r="K2298" s="1">
        <v>13</v>
      </c>
      <c r="L2298" s="1" t="s">
        <v>4219</v>
      </c>
      <c r="M2298" s="1">
        <v>3</v>
      </c>
      <c r="N2298" s="1" t="s">
        <v>3241</v>
      </c>
    </row>
    <row r="2299" spans="1:14" x14ac:dyDescent="0.15">
      <c r="A2299" s="1">
        <v>285</v>
      </c>
      <c r="B2299" s="1" t="s">
        <v>3449</v>
      </c>
      <c r="C2299" s="1" t="s">
        <v>3450</v>
      </c>
      <c r="D2299" s="1" t="s">
        <v>3449</v>
      </c>
      <c r="E2299" s="1" t="s">
        <v>3450</v>
      </c>
      <c r="F2299" s="1" t="s">
        <v>3449</v>
      </c>
      <c r="G2299" s="1" t="s">
        <v>3452</v>
      </c>
      <c r="H2299" s="1" t="s">
        <v>3453</v>
      </c>
      <c r="I2299" s="1" t="s">
        <v>17725</v>
      </c>
      <c r="J2299" s="1" t="s">
        <v>3059</v>
      </c>
      <c r="K2299" s="1">
        <v>13</v>
      </c>
      <c r="L2299" s="1" t="s">
        <v>4219</v>
      </c>
      <c r="M2299" s="1">
        <v>3</v>
      </c>
      <c r="N2299" s="1" t="s">
        <v>3241</v>
      </c>
    </row>
    <row r="2300" spans="1:14" x14ac:dyDescent="0.15">
      <c r="A2300" s="1">
        <v>285</v>
      </c>
      <c r="B2300" s="1" t="s">
        <v>3449</v>
      </c>
      <c r="C2300" s="1" t="s">
        <v>3450</v>
      </c>
      <c r="D2300" s="1" t="s">
        <v>3449</v>
      </c>
      <c r="E2300" s="1" t="s">
        <v>3450</v>
      </c>
      <c r="F2300" s="1" t="s">
        <v>3449</v>
      </c>
      <c r="G2300" s="1" t="s">
        <v>3452</v>
      </c>
      <c r="H2300" s="1" t="s">
        <v>3453</v>
      </c>
      <c r="I2300" s="1" t="s">
        <v>15708</v>
      </c>
      <c r="J2300" s="1" t="s">
        <v>15705</v>
      </c>
      <c r="K2300" s="1">
        <v>13</v>
      </c>
      <c r="L2300" s="1" t="s">
        <v>4219</v>
      </c>
      <c r="M2300" s="1">
        <v>3</v>
      </c>
      <c r="N2300" s="1" t="s">
        <v>3241</v>
      </c>
    </row>
    <row r="2301" spans="1:14" x14ac:dyDescent="0.15">
      <c r="A2301" s="1">
        <v>285</v>
      </c>
      <c r="B2301" s="1" t="s">
        <v>3449</v>
      </c>
      <c r="C2301" s="1" t="s">
        <v>3450</v>
      </c>
      <c r="D2301" s="1" t="s">
        <v>3449</v>
      </c>
      <c r="E2301" s="1" t="s">
        <v>3450</v>
      </c>
      <c r="F2301" s="1" t="s">
        <v>3449</v>
      </c>
      <c r="G2301" s="1" t="s">
        <v>3452</v>
      </c>
      <c r="H2301" s="1" t="s">
        <v>3453</v>
      </c>
      <c r="I2301" s="1" t="s">
        <v>15715</v>
      </c>
      <c r="J2301" s="1" t="s">
        <v>12397</v>
      </c>
      <c r="K2301" s="1">
        <v>13</v>
      </c>
      <c r="L2301" s="1" t="s">
        <v>4219</v>
      </c>
      <c r="M2301" s="1">
        <v>3</v>
      </c>
      <c r="N2301" s="1" t="s">
        <v>3241</v>
      </c>
    </row>
    <row r="2302" spans="1:14" x14ac:dyDescent="0.15">
      <c r="A2302" s="1">
        <v>285</v>
      </c>
      <c r="B2302" s="1" t="s">
        <v>3449</v>
      </c>
      <c r="C2302" s="1" t="s">
        <v>3450</v>
      </c>
      <c r="D2302" s="1" t="s">
        <v>3449</v>
      </c>
      <c r="E2302" s="1" t="s">
        <v>3450</v>
      </c>
      <c r="F2302" s="1" t="s">
        <v>3449</v>
      </c>
      <c r="G2302" s="1" t="s">
        <v>3454</v>
      </c>
      <c r="H2302" s="1" t="s">
        <v>3455</v>
      </c>
      <c r="I2302" s="1" t="s">
        <v>17725</v>
      </c>
      <c r="J2302" s="1" t="s">
        <v>3059</v>
      </c>
      <c r="K2302" s="1">
        <v>13</v>
      </c>
      <c r="L2302" s="1" t="s">
        <v>4219</v>
      </c>
      <c r="M2302" s="1">
        <v>3</v>
      </c>
      <c r="N2302" s="1" t="s">
        <v>3241</v>
      </c>
    </row>
    <row r="2303" spans="1:14" x14ac:dyDescent="0.15">
      <c r="A2303" s="1">
        <v>285</v>
      </c>
      <c r="B2303" s="1" t="s">
        <v>3449</v>
      </c>
      <c r="C2303" s="1" t="s">
        <v>3450</v>
      </c>
      <c r="D2303" s="1" t="s">
        <v>3449</v>
      </c>
      <c r="E2303" s="1" t="s">
        <v>3450</v>
      </c>
      <c r="F2303" s="1" t="s">
        <v>3449</v>
      </c>
      <c r="G2303" s="1" t="s">
        <v>3454</v>
      </c>
      <c r="H2303" s="1" t="s">
        <v>3455</v>
      </c>
      <c r="I2303" s="1" t="s">
        <v>11485</v>
      </c>
      <c r="J2303" s="1" t="s">
        <v>3060</v>
      </c>
      <c r="K2303" s="1">
        <v>13</v>
      </c>
      <c r="L2303" s="1" t="s">
        <v>4219</v>
      </c>
      <c r="M2303" s="1">
        <v>3</v>
      </c>
      <c r="N2303" s="1" t="s">
        <v>3241</v>
      </c>
    </row>
    <row r="2304" spans="1:14" x14ac:dyDescent="0.15">
      <c r="A2304" s="1">
        <v>285</v>
      </c>
      <c r="B2304" s="1" t="s">
        <v>3449</v>
      </c>
      <c r="C2304" s="1" t="s">
        <v>3450</v>
      </c>
      <c r="D2304" s="1" t="s">
        <v>3449</v>
      </c>
      <c r="E2304" s="1" t="s">
        <v>3450</v>
      </c>
      <c r="F2304" s="1" t="s">
        <v>3449</v>
      </c>
      <c r="G2304" s="1" t="s">
        <v>3454</v>
      </c>
      <c r="H2304" s="1" t="s">
        <v>3455</v>
      </c>
      <c r="I2304" s="1" t="s">
        <v>17149</v>
      </c>
      <c r="J2304" s="1" t="s">
        <v>3441</v>
      </c>
      <c r="K2304" s="1">
        <v>13</v>
      </c>
      <c r="L2304" s="1" t="s">
        <v>4219</v>
      </c>
      <c r="M2304" s="1">
        <v>3</v>
      </c>
      <c r="N2304" s="1" t="s">
        <v>3241</v>
      </c>
    </row>
    <row r="2305" spans="1:14" x14ac:dyDescent="0.15">
      <c r="A2305" s="1">
        <v>285</v>
      </c>
      <c r="B2305" s="1" t="s">
        <v>3449</v>
      </c>
      <c r="C2305" s="1" t="s">
        <v>3450</v>
      </c>
      <c r="D2305" s="1" t="s">
        <v>3449</v>
      </c>
      <c r="E2305" s="1" t="s">
        <v>3450</v>
      </c>
      <c r="F2305" s="1" t="s">
        <v>3449</v>
      </c>
      <c r="G2305" s="1" t="s">
        <v>3454</v>
      </c>
      <c r="H2305" s="1" t="s">
        <v>3455</v>
      </c>
      <c r="I2305" s="1" t="s">
        <v>15708</v>
      </c>
      <c r="J2305" s="1" t="s">
        <v>15705</v>
      </c>
      <c r="K2305" s="1">
        <v>13</v>
      </c>
      <c r="L2305" s="1" t="s">
        <v>4219</v>
      </c>
      <c r="M2305" s="1">
        <v>3</v>
      </c>
      <c r="N2305" s="1" t="s">
        <v>3241</v>
      </c>
    </row>
    <row r="2306" spans="1:14" x14ac:dyDescent="0.15">
      <c r="A2306" s="1">
        <v>285</v>
      </c>
      <c r="B2306" s="1" t="s">
        <v>3449</v>
      </c>
      <c r="C2306" s="1" t="s">
        <v>3450</v>
      </c>
      <c r="D2306" s="1" t="s">
        <v>3449</v>
      </c>
      <c r="E2306" s="1" t="s">
        <v>3450</v>
      </c>
      <c r="F2306" s="1" t="s">
        <v>3449</v>
      </c>
      <c r="G2306" s="1" t="s">
        <v>3454</v>
      </c>
      <c r="H2306" s="1" t="s">
        <v>3455</v>
      </c>
      <c r="I2306" s="1" t="s">
        <v>15715</v>
      </c>
      <c r="J2306" s="1" t="s">
        <v>12397</v>
      </c>
      <c r="K2306" s="1">
        <v>13</v>
      </c>
      <c r="L2306" s="1" t="s">
        <v>4219</v>
      </c>
      <c r="M2306" s="1">
        <v>3</v>
      </c>
      <c r="N2306" s="1" t="s">
        <v>3241</v>
      </c>
    </row>
    <row r="2307" spans="1:14" x14ac:dyDescent="0.15">
      <c r="A2307" s="1">
        <v>285</v>
      </c>
      <c r="B2307" s="1" t="s">
        <v>3449</v>
      </c>
      <c r="C2307" s="1" t="s">
        <v>3450</v>
      </c>
      <c r="D2307" s="1" t="s">
        <v>3449</v>
      </c>
      <c r="E2307" s="1" t="s">
        <v>3450</v>
      </c>
      <c r="F2307" s="1" t="s">
        <v>3449</v>
      </c>
      <c r="G2307" s="1" t="s">
        <v>3454</v>
      </c>
      <c r="H2307" s="1" t="s">
        <v>3455</v>
      </c>
      <c r="I2307" s="1" t="s">
        <v>14054</v>
      </c>
      <c r="J2307" s="1" t="s">
        <v>14055</v>
      </c>
      <c r="K2307" s="1">
        <v>13</v>
      </c>
      <c r="L2307" s="1" t="s">
        <v>4219</v>
      </c>
      <c r="M2307" s="1">
        <v>3</v>
      </c>
      <c r="N2307" s="1" t="s">
        <v>3241</v>
      </c>
    </row>
    <row r="2308" spans="1:14" x14ac:dyDescent="0.15">
      <c r="A2308" s="1">
        <v>285</v>
      </c>
      <c r="B2308" s="1" t="s">
        <v>3449</v>
      </c>
      <c r="C2308" s="1" t="s">
        <v>3450</v>
      </c>
      <c r="D2308" s="1" t="s">
        <v>3449</v>
      </c>
      <c r="E2308" s="1" t="s">
        <v>3450</v>
      </c>
      <c r="F2308" s="1" t="s">
        <v>3449</v>
      </c>
      <c r="G2308" s="1" t="s">
        <v>3456</v>
      </c>
      <c r="H2308" s="1" t="s">
        <v>3457</v>
      </c>
      <c r="I2308" s="1" t="s">
        <v>17725</v>
      </c>
      <c r="J2308" s="1" t="s">
        <v>3059</v>
      </c>
      <c r="K2308" s="1">
        <v>13</v>
      </c>
      <c r="L2308" s="1" t="s">
        <v>4219</v>
      </c>
      <c r="M2308" s="1">
        <v>3</v>
      </c>
      <c r="N2308" s="1" t="s">
        <v>3241</v>
      </c>
    </row>
    <row r="2309" spans="1:14" x14ac:dyDescent="0.15">
      <c r="A2309" s="1">
        <v>285</v>
      </c>
      <c r="B2309" s="1" t="s">
        <v>3449</v>
      </c>
      <c r="C2309" s="1" t="s">
        <v>3450</v>
      </c>
      <c r="D2309" s="1" t="s">
        <v>3449</v>
      </c>
      <c r="E2309" s="1" t="s">
        <v>3450</v>
      </c>
      <c r="F2309" s="1" t="s">
        <v>3449</v>
      </c>
      <c r="G2309" s="1" t="s">
        <v>3456</v>
      </c>
      <c r="H2309" s="1" t="s">
        <v>3457</v>
      </c>
      <c r="I2309" s="1" t="s">
        <v>11485</v>
      </c>
      <c r="J2309" s="1" t="s">
        <v>3060</v>
      </c>
      <c r="K2309" s="1">
        <v>13</v>
      </c>
      <c r="L2309" s="1" t="s">
        <v>4219</v>
      </c>
      <c r="M2309" s="1">
        <v>3</v>
      </c>
      <c r="N2309" s="1" t="s">
        <v>3241</v>
      </c>
    </row>
    <row r="2310" spans="1:14" x14ac:dyDescent="0.15">
      <c r="A2310" s="1">
        <v>285</v>
      </c>
      <c r="B2310" s="1" t="s">
        <v>3449</v>
      </c>
      <c r="C2310" s="1" t="s">
        <v>3450</v>
      </c>
      <c r="D2310" s="1" t="s">
        <v>3449</v>
      </c>
      <c r="E2310" s="1" t="s">
        <v>3450</v>
      </c>
      <c r="F2310" s="1" t="s">
        <v>3449</v>
      </c>
      <c r="G2310" s="1" t="s">
        <v>3456</v>
      </c>
      <c r="H2310" s="1" t="s">
        <v>3457</v>
      </c>
      <c r="I2310" s="1" t="s">
        <v>17739</v>
      </c>
      <c r="J2310" s="1" t="s">
        <v>17740</v>
      </c>
      <c r="K2310" s="1">
        <v>13</v>
      </c>
      <c r="L2310" s="1" t="s">
        <v>4219</v>
      </c>
      <c r="M2310" s="1">
        <v>3</v>
      </c>
      <c r="N2310" s="1" t="s">
        <v>3241</v>
      </c>
    </row>
    <row r="2311" spans="1:14" x14ac:dyDescent="0.15">
      <c r="A2311" s="1">
        <v>285</v>
      </c>
      <c r="B2311" s="1" t="s">
        <v>3449</v>
      </c>
      <c r="C2311" s="1" t="s">
        <v>3450</v>
      </c>
      <c r="D2311" s="1" t="s">
        <v>3449</v>
      </c>
      <c r="E2311" s="1" t="s">
        <v>3450</v>
      </c>
      <c r="F2311" s="1" t="s">
        <v>3449</v>
      </c>
      <c r="G2311" s="1" t="s">
        <v>3456</v>
      </c>
      <c r="H2311" s="1" t="s">
        <v>3457</v>
      </c>
      <c r="I2311" s="1" t="s">
        <v>15708</v>
      </c>
      <c r="J2311" s="1" t="s">
        <v>15705</v>
      </c>
      <c r="K2311" s="1">
        <v>13</v>
      </c>
      <c r="L2311" s="1" t="s">
        <v>4219</v>
      </c>
      <c r="M2311" s="1">
        <v>3</v>
      </c>
      <c r="N2311" s="1" t="s">
        <v>3241</v>
      </c>
    </row>
    <row r="2312" spans="1:14" x14ac:dyDescent="0.15">
      <c r="A2312" s="1">
        <v>285</v>
      </c>
      <c r="B2312" s="1" t="s">
        <v>3449</v>
      </c>
      <c r="C2312" s="1" t="s">
        <v>3450</v>
      </c>
      <c r="D2312" s="1" t="s">
        <v>3449</v>
      </c>
      <c r="E2312" s="1" t="s">
        <v>3450</v>
      </c>
      <c r="F2312" s="1" t="s">
        <v>3449</v>
      </c>
      <c r="G2312" s="1" t="s">
        <v>3458</v>
      </c>
      <c r="H2312" s="1" t="s">
        <v>3459</v>
      </c>
      <c r="I2312" s="1" t="s">
        <v>17725</v>
      </c>
      <c r="J2312" s="1" t="s">
        <v>3059</v>
      </c>
      <c r="K2312" s="1">
        <v>13</v>
      </c>
      <c r="L2312" s="1" t="s">
        <v>4219</v>
      </c>
      <c r="M2312" s="1">
        <v>3</v>
      </c>
      <c r="N2312" s="1" t="s">
        <v>3241</v>
      </c>
    </row>
    <row r="2313" spans="1:14" x14ac:dyDescent="0.15">
      <c r="A2313" s="1">
        <v>285</v>
      </c>
      <c r="B2313" s="1" t="s">
        <v>3449</v>
      </c>
      <c r="C2313" s="1" t="s">
        <v>3450</v>
      </c>
      <c r="D2313" s="1" t="s">
        <v>3449</v>
      </c>
      <c r="E2313" s="1" t="s">
        <v>3450</v>
      </c>
      <c r="F2313" s="1" t="s">
        <v>3449</v>
      </c>
      <c r="G2313" s="1" t="s">
        <v>3458</v>
      </c>
      <c r="H2313" s="1" t="s">
        <v>3459</v>
      </c>
      <c r="I2313" s="1" t="s">
        <v>11485</v>
      </c>
      <c r="J2313" s="1" t="s">
        <v>3060</v>
      </c>
      <c r="K2313" s="1">
        <v>13</v>
      </c>
      <c r="L2313" s="1" t="s">
        <v>4219</v>
      </c>
      <c r="M2313" s="1">
        <v>3</v>
      </c>
      <c r="N2313" s="1" t="s">
        <v>3241</v>
      </c>
    </row>
    <row r="2314" spans="1:14" x14ac:dyDescent="0.15">
      <c r="A2314" s="1">
        <v>285</v>
      </c>
      <c r="B2314" s="1" t="s">
        <v>3449</v>
      </c>
      <c r="C2314" s="1" t="s">
        <v>3450</v>
      </c>
      <c r="D2314" s="1" t="s">
        <v>3449</v>
      </c>
      <c r="E2314" s="1" t="s">
        <v>3450</v>
      </c>
      <c r="F2314" s="1" t="s">
        <v>3449</v>
      </c>
      <c r="G2314" s="1" t="s">
        <v>3458</v>
      </c>
      <c r="H2314" s="1" t="s">
        <v>3459</v>
      </c>
      <c r="I2314" s="1" t="s">
        <v>17739</v>
      </c>
      <c r="J2314" s="1" t="s">
        <v>17740</v>
      </c>
      <c r="K2314" s="1">
        <v>13</v>
      </c>
      <c r="L2314" s="1" t="s">
        <v>4219</v>
      </c>
      <c r="M2314" s="1">
        <v>3</v>
      </c>
      <c r="N2314" s="1" t="s">
        <v>3241</v>
      </c>
    </row>
    <row r="2315" spans="1:14" x14ac:dyDescent="0.15">
      <c r="A2315" s="1">
        <v>285</v>
      </c>
      <c r="B2315" s="1" t="s">
        <v>3449</v>
      </c>
      <c r="C2315" s="1" t="s">
        <v>3450</v>
      </c>
      <c r="D2315" s="1" t="s">
        <v>3449</v>
      </c>
      <c r="E2315" s="1" t="s">
        <v>3450</v>
      </c>
      <c r="F2315" s="1" t="s">
        <v>3449</v>
      </c>
      <c r="G2315" s="1" t="s">
        <v>3458</v>
      </c>
      <c r="H2315" s="1" t="s">
        <v>3459</v>
      </c>
      <c r="I2315" s="1" t="s">
        <v>15708</v>
      </c>
      <c r="J2315" s="1" t="s">
        <v>15705</v>
      </c>
      <c r="K2315" s="1">
        <v>13</v>
      </c>
      <c r="L2315" s="1" t="s">
        <v>4219</v>
      </c>
      <c r="M2315" s="1">
        <v>3</v>
      </c>
      <c r="N2315" s="1" t="s">
        <v>3241</v>
      </c>
    </row>
    <row r="2316" spans="1:14" x14ac:dyDescent="0.15">
      <c r="A2316" s="1">
        <v>286</v>
      </c>
      <c r="B2316" s="1" t="s">
        <v>3460</v>
      </c>
      <c r="C2316" s="1" t="s">
        <v>3461</v>
      </c>
      <c r="D2316" s="1" t="s">
        <v>3460</v>
      </c>
      <c r="E2316" s="1" t="s">
        <v>3461</v>
      </c>
      <c r="F2316" s="1" t="s">
        <v>3460</v>
      </c>
      <c r="G2316" s="1" t="s">
        <v>3462</v>
      </c>
      <c r="H2316" s="1" t="s">
        <v>3460</v>
      </c>
      <c r="I2316" s="1" t="s">
        <v>11879</v>
      </c>
      <c r="J2316" s="1" t="s">
        <v>4278</v>
      </c>
      <c r="K2316" s="1">
        <v>2</v>
      </c>
      <c r="L2316" s="1" t="s">
        <v>4193</v>
      </c>
      <c r="M2316" s="1">
        <v>4</v>
      </c>
      <c r="N2316" s="1" t="s">
        <v>4194</v>
      </c>
    </row>
    <row r="2317" spans="1:14" x14ac:dyDescent="0.15">
      <c r="A2317" s="1">
        <v>286</v>
      </c>
      <c r="B2317" s="1" t="s">
        <v>3460</v>
      </c>
      <c r="C2317" s="1" t="s">
        <v>3463</v>
      </c>
      <c r="D2317" s="1" t="s">
        <v>3464</v>
      </c>
      <c r="E2317" s="1" t="s">
        <v>3463</v>
      </c>
      <c r="F2317" s="1" t="s">
        <v>3464</v>
      </c>
      <c r="G2317" s="1" t="s">
        <v>3465</v>
      </c>
      <c r="H2317" s="1" t="s">
        <v>3464</v>
      </c>
      <c r="I2317" s="1" t="s">
        <v>17030</v>
      </c>
      <c r="J2317" s="1" t="s">
        <v>3210</v>
      </c>
      <c r="K2317" s="1">
        <v>2</v>
      </c>
      <c r="L2317" s="1" t="s">
        <v>4193</v>
      </c>
      <c r="M2317" s="1">
        <v>4</v>
      </c>
      <c r="N2317" s="1" t="s">
        <v>4194</v>
      </c>
    </row>
    <row r="2318" spans="1:14" x14ac:dyDescent="0.15">
      <c r="A2318" s="1">
        <v>286</v>
      </c>
      <c r="B2318" s="1" t="s">
        <v>3460</v>
      </c>
      <c r="C2318" s="1" t="s">
        <v>3463</v>
      </c>
      <c r="D2318" s="1" t="s">
        <v>3464</v>
      </c>
      <c r="E2318" s="1" t="s">
        <v>3463</v>
      </c>
      <c r="F2318" s="1" t="s">
        <v>3464</v>
      </c>
      <c r="G2318" s="1" t="s">
        <v>3465</v>
      </c>
      <c r="H2318" s="1" t="s">
        <v>3464</v>
      </c>
      <c r="I2318" s="1" t="s">
        <v>15971</v>
      </c>
      <c r="J2318" s="1" t="s">
        <v>3074</v>
      </c>
      <c r="K2318" s="1">
        <v>2</v>
      </c>
      <c r="L2318" s="1" t="s">
        <v>4193</v>
      </c>
      <c r="M2318" s="1">
        <v>4</v>
      </c>
      <c r="N2318" s="1" t="s">
        <v>4194</v>
      </c>
    </row>
    <row r="2319" spans="1:14" x14ac:dyDescent="0.15">
      <c r="A2319" s="1">
        <v>286</v>
      </c>
      <c r="B2319" s="1" t="s">
        <v>3460</v>
      </c>
      <c r="C2319" s="1" t="s">
        <v>3463</v>
      </c>
      <c r="D2319" s="1" t="s">
        <v>3464</v>
      </c>
      <c r="E2319" s="1" t="s">
        <v>3463</v>
      </c>
      <c r="F2319" s="1" t="s">
        <v>3464</v>
      </c>
      <c r="G2319" s="1" t="s">
        <v>3465</v>
      </c>
      <c r="H2319" s="1" t="s">
        <v>3464</v>
      </c>
      <c r="I2319" s="1" t="s">
        <v>15975</v>
      </c>
      <c r="J2319" s="1" t="s">
        <v>15976</v>
      </c>
      <c r="K2319" s="1">
        <v>2</v>
      </c>
      <c r="L2319" s="1" t="s">
        <v>4193</v>
      </c>
      <c r="M2319" s="1">
        <v>4</v>
      </c>
      <c r="N2319" s="1" t="s">
        <v>4194</v>
      </c>
    </row>
    <row r="2320" spans="1:14" x14ac:dyDescent="0.15">
      <c r="A2320" s="1">
        <v>286</v>
      </c>
      <c r="B2320" s="1" t="s">
        <v>3460</v>
      </c>
      <c r="C2320" s="1" t="s">
        <v>3463</v>
      </c>
      <c r="D2320" s="1" t="s">
        <v>3464</v>
      </c>
      <c r="E2320" s="1" t="s">
        <v>3463</v>
      </c>
      <c r="F2320" s="1" t="s">
        <v>3464</v>
      </c>
      <c r="G2320" s="1" t="s">
        <v>3465</v>
      </c>
      <c r="H2320" s="1" t="s">
        <v>3464</v>
      </c>
      <c r="I2320" s="1" t="s">
        <v>15979</v>
      </c>
      <c r="J2320" s="1" t="s">
        <v>3075</v>
      </c>
      <c r="K2320" s="1">
        <v>2</v>
      </c>
      <c r="L2320" s="1" t="s">
        <v>4193</v>
      </c>
      <c r="M2320" s="1">
        <v>4</v>
      </c>
      <c r="N2320" s="1" t="s">
        <v>4194</v>
      </c>
    </row>
    <row r="2321" spans="1:14" x14ac:dyDescent="0.15">
      <c r="A2321" s="1">
        <v>286</v>
      </c>
      <c r="B2321" s="1" t="s">
        <v>3460</v>
      </c>
      <c r="C2321" s="1" t="s">
        <v>3463</v>
      </c>
      <c r="D2321" s="1" t="s">
        <v>3464</v>
      </c>
      <c r="E2321" s="1" t="s">
        <v>3463</v>
      </c>
      <c r="F2321" s="1" t="s">
        <v>3464</v>
      </c>
      <c r="G2321" s="1" t="s">
        <v>3465</v>
      </c>
      <c r="H2321" s="1" t="s">
        <v>3464</v>
      </c>
      <c r="I2321" s="1" t="s">
        <v>11566</v>
      </c>
      <c r="J2321" s="1" t="s">
        <v>3076</v>
      </c>
      <c r="K2321" s="1">
        <v>2</v>
      </c>
      <c r="L2321" s="1" t="s">
        <v>4193</v>
      </c>
      <c r="M2321" s="1">
        <v>4</v>
      </c>
      <c r="N2321" s="1" t="s">
        <v>4194</v>
      </c>
    </row>
    <row r="2322" spans="1:14" x14ac:dyDescent="0.15">
      <c r="A2322" s="1">
        <v>286</v>
      </c>
      <c r="B2322" s="1" t="s">
        <v>3460</v>
      </c>
      <c r="C2322" s="1" t="s">
        <v>3463</v>
      </c>
      <c r="D2322" s="1" t="s">
        <v>3464</v>
      </c>
      <c r="E2322" s="1" t="s">
        <v>3463</v>
      </c>
      <c r="F2322" s="1" t="s">
        <v>3464</v>
      </c>
      <c r="G2322" s="1" t="s">
        <v>3465</v>
      </c>
      <c r="H2322" s="1" t="s">
        <v>3464</v>
      </c>
      <c r="I2322" s="1" t="s">
        <v>11332</v>
      </c>
      <c r="J2322" s="1" t="s">
        <v>3077</v>
      </c>
      <c r="K2322" s="1">
        <v>2</v>
      </c>
      <c r="L2322" s="1" t="s">
        <v>4193</v>
      </c>
      <c r="M2322" s="1">
        <v>4</v>
      </c>
      <c r="N2322" s="1" t="s">
        <v>4194</v>
      </c>
    </row>
    <row r="2323" spans="1:14" x14ac:dyDescent="0.15">
      <c r="A2323" s="1">
        <v>286</v>
      </c>
      <c r="B2323" s="1" t="s">
        <v>3460</v>
      </c>
      <c r="C2323" s="1" t="s">
        <v>3463</v>
      </c>
      <c r="D2323" s="1" t="s">
        <v>3464</v>
      </c>
      <c r="E2323" s="1" t="s">
        <v>3463</v>
      </c>
      <c r="F2323" s="1" t="s">
        <v>3464</v>
      </c>
      <c r="G2323" s="1" t="s">
        <v>3465</v>
      </c>
      <c r="H2323" s="1" t="s">
        <v>3464</v>
      </c>
      <c r="I2323" s="1" t="s">
        <v>15987</v>
      </c>
      <c r="J2323" s="1" t="s">
        <v>15988</v>
      </c>
      <c r="K2323" s="1">
        <v>2</v>
      </c>
      <c r="L2323" s="1" t="s">
        <v>4193</v>
      </c>
      <c r="M2323" s="1">
        <v>4</v>
      </c>
      <c r="N2323" s="1" t="s">
        <v>4194</v>
      </c>
    </row>
    <row r="2324" spans="1:14" x14ac:dyDescent="0.15">
      <c r="A2324" s="1">
        <v>286</v>
      </c>
      <c r="B2324" s="1" t="s">
        <v>3460</v>
      </c>
      <c r="C2324" s="1" t="s">
        <v>3463</v>
      </c>
      <c r="D2324" s="1" t="s">
        <v>3464</v>
      </c>
      <c r="E2324" s="1" t="s">
        <v>3463</v>
      </c>
      <c r="F2324" s="1" t="s">
        <v>3464</v>
      </c>
      <c r="G2324" s="1" t="s">
        <v>3465</v>
      </c>
      <c r="H2324" s="1" t="s">
        <v>3464</v>
      </c>
      <c r="I2324" s="1" t="s">
        <v>15991</v>
      </c>
      <c r="J2324" s="1" t="s">
        <v>15992</v>
      </c>
      <c r="K2324" s="1">
        <v>2</v>
      </c>
      <c r="L2324" s="1" t="s">
        <v>4193</v>
      </c>
      <c r="M2324" s="1">
        <v>4</v>
      </c>
      <c r="N2324" s="1" t="s">
        <v>4194</v>
      </c>
    </row>
    <row r="2325" spans="1:14" x14ac:dyDescent="0.15">
      <c r="A2325" s="1">
        <v>286</v>
      </c>
      <c r="B2325" s="1" t="s">
        <v>3460</v>
      </c>
      <c r="C2325" s="1" t="s">
        <v>3463</v>
      </c>
      <c r="D2325" s="1" t="s">
        <v>3464</v>
      </c>
      <c r="E2325" s="1" t="s">
        <v>3463</v>
      </c>
      <c r="F2325" s="1" t="s">
        <v>3464</v>
      </c>
      <c r="G2325" s="1" t="s">
        <v>3465</v>
      </c>
      <c r="H2325" s="1" t="s">
        <v>3464</v>
      </c>
      <c r="I2325" s="1" t="s">
        <v>11427</v>
      </c>
      <c r="J2325" s="1" t="s">
        <v>3078</v>
      </c>
      <c r="K2325" s="1">
        <v>2</v>
      </c>
      <c r="L2325" s="1" t="s">
        <v>4193</v>
      </c>
      <c r="M2325" s="1">
        <v>4</v>
      </c>
      <c r="N2325" s="1" t="s">
        <v>4194</v>
      </c>
    </row>
    <row r="2326" spans="1:14" x14ac:dyDescent="0.15">
      <c r="A2326" s="1">
        <v>286</v>
      </c>
      <c r="B2326" s="1" t="s">
        <v>3460</v>
      </c>
      <c r="C2326" s="1" t="s">
        <v>3463</v>
      </c>
      <c r="D2326" s="1" t="s">
        <v>3464</v>
      </c>
      <c r="E2326" s="1" t="s">
        <v>3463</v>
      </c>
      <c r="F2326" s="1" t="s">
        <v>3464</v>
      </c>
      <c r="G2326" s="1" t="s">
        <v>3465</v>
      </c>
      <c r="H2326" s="1" t="s">
        <v>3464</v>
      </c>
      <c r="I2326" s="1" t="s">
        <v>11440</v>
      </c>
      <c r="J2326" s="1" t="s">
        <v>3079</v>
      </c>
      <c r="K2326" s="1">
        <v>2</v>
      </c>
      <c r="L2326" s="1" t="s">
        <v>4193</v>
      </c>
      <c r="M2326" s="1">
        <v>4</v>
      </c>
      <c r="N2326" s="1" t="s">
        <v>4194</v>
      </c>
    </row>
    <row r="2327" spans="1:14" x14ac:dyDescent="0.15">
      <c r="A2327" s="1">
        <v>286</v>
      </c>
      <c r="B2327" s="1" t="s">
        <v>3460</v>
      </c>
      <c r="C2327" s="1" t="s">
        <v>3463</v>
      </c>
      <c r="D2327" s="1" t="s">
        <v>3464</v>
      </c>
      <c r="E2327" s="1" t="s">
        <v>3463</v>
      </c>
      <c r="F2327" s="1" t="s">
        <v>3464</v>
      </c>
      <c r="G2327" s="1" t="s">
        <v>3465</v>
      </c>
      <c r="H2327" s="1" t="s">
        <v>3464</v>
      </c>
      <c r="I2327" s="1" t="s">
        <v>15995</v>
      </c>
      <c r="J2327" s="1" t="s">
        <v>3080</v>
      </c>
      <c r="K2327" s="1">
        <v>2</v>
      </c>
      <c r="L2327" s="1" t="s">
        <v>4193</v>
      </c>
      <c r="M2327" s="1">
        <v>4</v>
      </c>
      <c r="N2327" s="1" t="s">
        <v>4194</v>
      </c>
    </row>
    <row r="2328" spans="1:14" x14ac:dyDescent="0.15">
      <c r="A2328" s="1">
        <v>286</v>
      </c>
      <c r="B2328" s="1" t="s">
        <v>3460</v>
      </c>
      <c r="C2328" s="1" t="s">
        <v>3463</v>
      </c>
      <c r="D2328" s="1" t="s">
        <v>3464</v>
      </c>
      <c r="E2328" s="1" t="s">
        <v>3463</v>
      </c>
      <c r="F2328" s="1" t="s">
        <v>3464</v>
      </c>
      <c r="G2328" s="1" t="s">
        <v>3465</v>
      </c>
      <c r="H2328" s="1" t="s">
        <v>3464</v>
      </c>
      <c r="I2328" s="1" t="s">
        <v>11341</v>
      </c>
      <c r="J2328" s="1" t="s">
        <v>3081</v>
      </c>
      <c r="K2328" s="1">
        <v>2</v>
      </c>
      <c r="L2328" s="1" t="s">
        <v>4193</v>
      </c>
      <c r="M2328" s="1">
        <v>4</v>
      </c>
      <c r="N2328" s="1" t="s">
        <v>4194</v>
      </c>
    </row>
    <row r="2329" spans="1:14" x14ac:dyDescent="0.15">
      <c r="A2329" s="1">
        <v>286</v>
      </c>
      <c r="B2329" s="1" t="s">
        <v>3460</v>
      </c>
      <c r="C2329" s="1" t="s">
        <v>3463</v>
      </c>
      <c r="D2329" s="1" t="s">
        <v>3464</v>
      </c>
      <c r="E2329" s="1" t="s">
        <v>3463</v>
      </c>
      <c r="F2329" s="1" t="s">
        <v>3464</v>
      </c>
      <c r="G2329" s="1" t="s">
        <v>3465</v>
      </c>
      <c r="H2329" s="1" t="s">
        <v>3464</v>
      </c>
      <c r="I2329" s="1" t="s">
        <v>11346</v>
      </c>
      <c r="J2329" s="1" t="s">
        <v>3082</v>
      </c>
      <c r="K2329" s="1">
        <v>2</v>
      </c>
      <c r="L2329" s="1" t="s">
        <v>4193</v>
      </c>
      <c r="M2329" s="1">
        <v>4</v>
      </c>
      <c r="N2329" s="1" t="s">
        <v>4194</v>
      </c>
    </row>
    <row r="2330" spans="1:14" x14ac:dyDescent="0.15">
      <c r="A2330" s="1">
        <v>286</v>
      </c>
      <c r="B2330" s="1" t="s">
        <v>3460</v>
      </c>
      <c r="C2330" s="1" t="s">
        <v>3463</v>
      </c>
      <c r="D2330" s="1" t="s">
        <v>3464</v>
      </c>
      <c r="E2330" s="1" t="s">
        <v>3463</v>
      </c>
      <c r="F2330" s="1" t="s">
        <v>3464</v>
      </c>
      <c r="G2330" s="1" t="s">
        <v>3465</v>
      </c>
      <c r="H2330" s="1" t="s">
        <v>3464</v>
      </c>
      <c r="I2330" s="1" t="s">
        <v>16003</v>
      </c>
      <c r="J2330" s="1" t="s">
        <v>16004</v>
      </c>
      <c r="K2330" s="1">
        <v>2</v>
      </c>
      <c r="L2330" s="1" t="s">
        <v>4193</v>
      </c>
      <c r="M2330" s="1">
        <v>4</v>
      </c>
      <c r="N2330" s="1" t="s">
        <v>4194</v>
      </c>
    </row>
    <row r="2331" spans="1:14" x14ac:dyDescent="0.15">
      <c r="A2331" s="1">
        <v>286</v>
      </c>
      <c r="B2331" s="1" t="s">
        <v>3460</v>
      </c>
      <c r="C2331" s="1" t="s">
        <v>3463</v>
      </c>
      <c r="D2331" s="1" t="s">
        <v>3464</v>
      </c>
      <c r="E2331" s="1" t="s">
        <v>3463</v>
      </c>
      <c r="F2331" s="1" t="s">
        <v>3464</v>
      </c>
      <c r="G2331" s="1" t="s">
        <v>3465</v>
      </c>
      <c r="H2331" s="1" t="s">
        <v>3464</v>
      </c>
      <c r="I2331" s="1" t="s">
        <v>10223</v>
      </c>
      <c r="J2331" s="1" t="s">
        <v>3083</v>
      </c>
      <c r="K2331" s="1">
        <v>2</v>
      </c>
      <c r="L2331" s="1" t="s">
        <v>4193</v>
      </c>
      <c r="M2331" s="1">
        <v>4</v>
      </c>
      <c r="N2331" s="1" t="s">
        <v>4194</v>
      </c>
    </row>
    <row r="2332" spans="1:14" x14ac:dyDescent="0.15">
      <c r="A2332" s="1">
        <v>286</v>
      </c>
      <c r="B2332" s="1" t="s">
        <v>3460</v>
      </c>
      <c r="C2332" s="1" t="s">
        <v>3463</v>
      </c>
      <c r="D2332" s="1" t="s">
        <v>3464</v>
      </c>
      <c r="E2332" s="1" t="s">
        <v>3463</v>
      </c>
      <c r="F2332" s="1" t="s">
        <v>3464</v>
      </c>
      <c r="G2332" s="1" t="s">
        <v>3465</v>
      </c>
      <c r="H2332" s="1" t="s">
        <v>3464</v>
      </c>
      <c r="I2332" s="1" t="s">
        <v>10226</v>
      </c>
      <c r="J2332" s="1" t="s">
        <v>3084</v>
      </c>
      <c r="K2332" s="1">
        <v>2</v>
      </c>
      <c r="L2332" s="1" t="s">
        <v>4193</v>
      </c>
      <c r="M2332" s="1">
        <v>4</v>
      </c>
      <c r="N2332" s="1" t="s">
        <v>4194</v>
      </c>
    </row>
    <row r="2333" spans="1:14" x14ac:dyDescent="0.15">
      <c r="A2333" s="1">
        <v>286</v>
      </c>
      <c r="B2333" s="1" t="s">
        <v>3460</v>
      </c>
      <c r="C2333" s="1" t="s">
        <v>3463</v>
      </c>
      <c r="D2333" s="1" t="s">
        <v>3464</v>
      </c>
      <c r="E2333" s="1" t="s">
        <v>3463</v>
      </c>
      <c r="F2333" s="1" t="s">
        <v>3464</v>
      </c>
      <c r="G2333" s="1" t="s">
        <v>3465</v>
      </c>
      <c r="H2333" s="1" t="s">
        <v>3464</v>
      </c>
      <c r="I2333" s="1" t="s">
        <v>16011</v>
      </c>
      <c r="J2333" s="1" t="s">
        <v>3085</v>
      </c>
      <c r="K2333" s="1">
        <v>2</v>
      </c>
      <c r="L2333" s="1" t="s">
        <v>4193</v>
      </c>
      <c r="M2333" s="1">
        <v>4</v>
      </c>
      <c r="N2333" s="1" t="s">
        <v>4194</v>
      </c>
    </row>
    <row r="2334" spans="1:14" x14ac:dyDescent="0.15">
      <c r="A2334" s="1">
        <v>286</v>
      </c>
      <c r="B2334" s="1" t="s">
        <v>3460</v>
      </c>
      <c r="C2334" s="1" t="s">
        <v>3463</v>
      </c>
      <c r="D2334" s="1" t="s">
        <v>3464</v>
      </c>
      <c r="E2334" s="1" t="s">
        <v>3463</v>
      </c>
      <c r="F2334" s="1" t="s">
        <v>3464</v>
      </c>
      <c r="G2334" s="1" t="s">
        <v>3465</v>
      </c>
      <c r="H2334" s="1" t="s">
        <v>3464</v>
      </c>
      <c r="I2334" s="1" t="s">
        <v>11432</v>
      </c>
      <c r="J2334" s="1" t="s">
        <v>3086</v>
      </c>
      <c r="K2334" s="1">
        <v>2</v>
      </c>
      <c r="L2334" s="1" t="s">
        <v>4193</v>
      </c>
      <c r="M2334" s="1">
        <v>4</v>
      </c>
      <c r="N2334" s="1" t="s">
        <v>4194</v>
      </c>
    </row>
    <row r="2335" spans="1:14" x14ac:dyDescent="0.15">
      <c r="A2335" s="1">
        <v>286</v>
      </c>
      <c r="B2335" s="1" t="s">
        <v>3460</v>
      </c>
      <c r="C2335" s="1" t="s">
        <v>3463</v>
      </c>
      <c r="D2335" s="1" t="s">
        <v>3464</v>
      </c>
      <c r="E2335" s="1" t="s">
        <v>3463</v>
      </c>
      <c r="F2335" s="1" t="s">
        <v>3464</v>
      </c>
      <c r="G2335" s="1" t="s">
        <v>3465</v>
      </c>
      <c r="H2335" s="1" t="s">
        <v>3464</v>
      </c>
      <c r="I2335" s="1" t="s">
        <v>10232</v>
      </c>
      <c r="J2335" s="1" t="s">
        <v>3087</v>
      </c>
      <c r="K2335" s="1">
        <v>2</v>
      </c>
      <c r="L2335" s="1" t="s">
        <v>4193</v>
      </c>
      <c r="M2335" s="1">
        <v>4</v>
      </c>
      <c r="N2335" s="1" t="s">
        <v>4194</v>
      </c>
    </row>
    <row r="2336" spans="1:14" x14ac:dyDescent="0.15">
      <c r="A2336" s="1">
        <v>286</v>
      </c>
      <c r="B2336" s="1" t="s">
        <v>3460</v>
      </c>
      <c r="C2336" s="1" t="s">
        <v>3463</v>
      </c>
      <c r="D2336" s="1" t="s">
        <v>3464</v>
      </c>
      <c r="E2336" s="1" t="s">
        <v>3463</v>
      </c>
      <c r="F2336" s="1" t="s">
        <v>3464</v>
      </c>
      <c r="G2336" s="1" t="s">
        <v>3465</v>
      </c>
      <c r="H2336" s="1" t="s">
        <v>3464</v>
      </c>
      <c r="I2336" s="1" t="s">
        <v>10235</v>
      </c>
      <c r="J2336" s="1" t="s">
        <v>3088</v>
      </c>
      <c r="K2336" s="1">
        <v>2</v>
      </c>
      <c r="L2336" s="1" t="s">
        <v>4193</v>
      </c>
      <c r="M2336" s="1">
        <v>4</v>
      </c>
      <c r="N2336" s="1" t="s">
        <v>4194</v>
      </c>
    </row>
    <row r="2337" spans="1:14" x14ac:dyDescent="0.15">
      <c r="A2337" s="1">
        <v>286</v>
      </c>
      <c r="B2337" s="1" t="s">
        <v>3460</v>
      </c>
      <c r="C2337" s="1" t="s">
        <v>3463</v>
      </c>
      <c r="D2337" s="1" t="s">
        <v>3464</v>
      </c>
      <c r="E2337" s="1" t="s">
        <v>3463</v>
      </c>
      <c r="F2337" s="1" t="s">
        <v>3464</v>
      </c>
      <c r="G2337" s="1" t="s">
        <v>3465</v>
      </c>
      <c r="H2337" s="1" t="s">
        <v>3464</v>
      </c>
      <c r="I2337" s="1" t="s">
        <v>11445</v>
      </c>
      <c r="J2337" s="1" t="s">
        <v>3089</v>
      </c>
      <c r="K2337" s="1">
        <v>2</v>
      </c>
      <c r="L2337" s="1" t="s">
        <v>4193</v>
      </c>
      <c r="M2337" s="1">
        <v>4</v>
      </c>
      <c r="N2337" s="1" t="s">
        <v>4194</v>
      </c>
    </row>
    <row r="2338" spans="1:14" x14ac:dyDescent="0.15">
      <c r="A2338" s="1">
        <v>286</v>
      </c>
      <c r="B2338" s="1" t="s">
        <v>3460</v>
      </c>
      <c r="C2338" s="1" t="s">
        <v>3463</v>
      </c>
      <c r="D2338" s="1" t="s">
        <v>3464</v>
      </c>
      <c r="E2338" s="1" t="s">
        <v>3463</v>
      </c>
      <c r="F2338" s="1" t="s">
        <v>3464</v>
      </c>
      <c r="G2338" s="1" t="s">
        <v>3465</v>
      </c>
      <c r="H2338" s="1" t="s">
        <v>3464</v>
      </c>
      <c r="I2338" s="1" t="s">
        <v>16013</v>
      </c>
      <c r="J2338" s="1" t="s">
        <v>3090</v>
      </c>
      <c r="K2338" s="1">
        <v>2</v>
      </c>
      <c r="L2338" s="1" t="s">
        <v>4193</v>
      </c>
      <c r="M2338" s="1">
        <v>4</v>
      </c>
      <c r="N2338" s="1" t="s">
        <v>4194</v>
      </c>
    </row>
    <row r="2339" spans="1:14" x14ac:dyDescent="0.15">
      <c r="A2339" s="1">
        <v>286</v>
      </c>
      <c r="B2339" s="1" t="s">
        <v>3460</v>
      </c>
      <c r="C2339" s="1" t="s">
        <v>3463</v>
      </c>
      <c r="D2339" s="1" t="s">
        <v>3464</v>
      </c>
      <c r="E2339" s="1" t="s">
        <v>3463</v>
      </c>
      <c r="F2339" s="1" t="s">
        <v>3464</v>
      </c>
      <c r="G2339" s="1" t="s">
        <v>3465</v>
      </c>
      <c r="H2339" s="1" t="s">
        <v>3464</v>
      </c>
      <c r="I2339" s="1" t="s">
        <v>11335</v>
      </c>
      <c r="J2339" s="1" t="s">
        <v>3091</v>
      </c>
      <c r="K2339" s="1">
        <v>2</v>
      </c>
      <c r="L2339" s="1" t="s">
        <v>4193</v>
      </c>
      <c r="M2339" s="1">
        <v>4</v>
      </c>
      <c r="N2339" s="1" t="s">
        <v>4194</v>
      </c>
    </row>
    <row r="2340" spans="1:14" x14ac:dyDescent="0.15">
      <c r="A2340" s="1">
        <v>286</v>
      </c>
      <c r="B2340" s="1" t="s">
        <v>3460</v>
      </c>
      <c r="C2340" s="1" t="s">
        <v>3463</v>
      </c>
      <c r="D2340" s="1" t="s">
        <v>3464</v>
      </c>
      <c r="E2340" s="1" t="s">
        <v>3463</v>
      </c>
      <c r="F2340" s="1" t="s">
        <v>3464</v>
      </c>
      <c r="G2340" s="1" t="s">
        <v>3465</v>
      </c>
      <c r="H2340" s="1" t="s">
        <v>3464</v>
      </c>
      <c r="I2340" s="1" t="s">
        <v>16021</v>
      </c>
      <c r="J2340" s="1" t="s">
        <v>16022</v>
      </c>
      <c r="K2340" s="1">
        <v>2</v>
      </c>
      <c r="L2340" s="1" t="s">
        <v>4193</v>
      </c>
      <c r="M2340" s="1">
        <v>4</v>
      </c>
      <c r="N2340" s="1" t="s">
        <v>4194</v>
      </c>
    </row>
    <row r="2341" spans="1:14" x14ac:dyDescent="0.15">
      <c r="A2341" s="1">
        <v>286</v>
      </c>
      <c r="B2341" s="1" t="s">
        <v>3460</v>
      </c>
      <c r="C2341" s="1" t="s">
        <v>3463</v>
      </c>
      <c r="D2341" s="1" t="s">
        <v>3464</v>
      </c>
      <c r="E2341" s="1" t="s">
        <v>3463</v>
      </c>
      <c r="F2341" s="1" t="s">
        <v>3464</v>
      </c>
      <c r="G2341" s="1" t="s">
        <v>3465</v>
      </c>
      <c r="H2341" s="1" t="s">
        <v>3464</v>
      </c>
      <c r="I2341" s="1" t="s">
        <v>16025</v>
      </c>
      <c r="J2341" s="1" t="s">
        <v>3092</v>
      </c>
      <c r="K2341" s="1">
        <v>2</v>
      </c>
      <c r="L2341" s="1" t="s">
        <v>4193</v>
      </c>
      <c r="M2341" s="1">
        <v>4</v>
      </c>
      <c r="N2341" s="1" t="s">
        <v>4194</v>
      </c>
    </row>
    <row r="2342" spans="1:14" x14ac:dyDescent="0.15">
      <c r="A2342" s="1">
        <v>286</v>
      </c>
      <c r="B2342" s="1" t="s">
        <v>3460</v>
      </c>
      <c r="C2342" s="1" t="s">
        <v>3463</v>
      </c>
      <c r="D2342" s="1" t="s">
        <v>3464</v>
      </c>
      <c r="E2342" s="1" t="s">
        <v>3463</v>
      </c>
      <c r="F2342" s="1" t="s">
        <v>3464</v>
      </c>
      <c r="G2342" s="1" t="s">
        <v>3465</v>
      </c>
      <c r="H2342" s="1" t="s">
        <v>3464</v>
      </c>
      <c r="I2342" s="1" t="s">
        <v>10246</v>
      </c>
      <c r="J2342" s="1" t="s">
        <v>3093</v>
      </c>
      <c r="K2342" s="1">
        <v>2</v>
      </c>
      <c r="L2342" s="1" t="s">
        <v>4193</v>
      </c>
      <c r="M2342" s="1">
        <v>4</v>
      </c>
      <c r="N2342" s="1" t="s">
        <v>4194</v>
      </c>
    </row>
    <row r="2343" spans="1:14" x14ac:dyDescent="0.15">
      <c r="A2343" s="1">
        <v>286</v>
      </c>
      <c r="B2343" s="1" t="s">
        <v>3460</v>
      </c>
      <c r="C2343" s="1" t="s">
        <v>3463</v>
      </c>
      <c r="D2343" s="1" t="s">
        <v>3464</v>
      </c>
      <c r="E2343" s="1" t="s">
        <v>3463</v>
      </c>
      <c r="F2343" s="1" t="s">
        <v>3464</v>
      </c>
      <c r="G2343" s="1" t="s">
        <v>3465</v>
      </c>
      <c r="H2343" s="1" t="s">
        <v>3464</v>
      </c>
      <c r="I2343" s="1" t="s">
        <v>10249</v>
      </c>
      <c r="J2343" s="1" t="s">
        <v>3094</v>
      </c>
      <c r="K2343" s="1">
        <v>2</v>
      </c>
      <c r="L2343" s="1" t="s">
        <v>4193</v>
      </c>
      <c r="M2343" s="1">
        <v>4</v>
      </c>
      <c r="N2343" s="1" t="s">
        <v>4194</v>
      </c>
    </row>
    <row r="2344" spans="1:14" x14ac:dyDescent="0.15">
      <c r="A2344" s="1">
        <v>286</v>
      </c>
      <c r="B2344" s="1" t="s">
        <v>3460</v>
      </c>
      <c r="C2344" s="1" t="s">
        <v>3463</v>
      </c>
      <c r="D2344" s="1" t="s">
        <v>3464</v>
      </c>
      <c r="E2344" s="1" t="s">
        <v>3463</v>
      </c>
      <c r="F2344" s="1" t="s">
        <v>3464</v>
      </c>
      <c r="G2344" s="1" t="s">
        <v>3465</v>
      </c>
      <c r="H2344" s="1" t="s">
        <v>3464</v>
      </c>
      <c r="I2344" s="1" t="s">
        <v>10252</v>
      </c>
      <c r="J2344" s="1" t="s">
        <v>3095</v>
      </c>
      <c r="K2344" s="1">
        <v>2</v>
      </c>
      <c r="L2344" s="1" t="s">
        <v>4193</v>
      </c>
      <c r="M2344" s="1">
        <v>4</v>
      </c>
      <c r="N2344" s="1" t="s">
        <v>4194</v>
      </c>
    </row>
    <row r="2345" spans="1:14" x14ac:dyDescent="0.15">
      <c r="A2345" s="1">
        <v>286</v>
      </c>
      <c r="B2345" s="1" t="s">
        <v>3460</v>
      </c>
      <c r="C2345" s="1" t="s">
        <v>3463</v>
      </c>
      <c r="D2345" s="1" t="s">
        <v>3464</v>
      </c>
      <c r="E2345" s="1" t="s">
        <v>3463</v>
      </c>
      <c r="F2345" s="1" t="s">
        <v>3464</v>
      </c>
      <c r="G2345" s="1" t="s">
        <v>3465</v>
      </c>
      <c r="H2345" s="1" t="s">
        <v>3464</v>
      </c>
      <c r="I2345" s="1" t="s">
        <v>10255</v>
      </c>
      <c r="J2345" s="1" t="s">
        <v>3096</v>
      </c>
      <c r="K2345" s="1">
        <v>2</v>
      </c>
      <c r="L2345" s="1" t="s">
        <v>4193</v>
      </c>
      <c r="M2345" s="1">
        <v>4</v>
      </c>
      <c r="N2345" s="1" t="s">
        <v>4194</v>
      </c>
    </row>
    <row r="2346" spans="1:14" x14ac:dyDescent="0.15">
      <c r="A2346" s="1">
        <v>286</v>
      </c>
      <c r="B2346" s="1" t="s">
        <v>3460</v>
      </c>
      <c r="C2346" s="1" t="s">
        <v>3463</v>
      </c>
      <c r="D2346" s="1" t="s">
        <v>3464</v>
      </c>
      <c r="E2346" s="1" t="s">
        <v>3463</v>
      </c>
      <c r="F2346" s="1" t="s">
        <v>3464</v>
      </c>
      <c r="G2346" s="1" t="s">
        <v>3465</v>
      </c>
      <c r="H2346" s="1" t="s">
        <v>3464</v>
      </c>
      <c r="I2346" s="1" t="s">
        <v>16029</v>
      </c>
      <c r="J2346" s="1" t="s">
        <v>3097</v>
      </c>
      <c r="K2346" s="1">
        <v>2</v>
      </c>
      <c r="L2346" s="1" t="s">
        <v>4193</v>
      </c>
      <c r="M2346" s="1">
        <v>4</v>
      </c>
      <c r="N2346" s="1" t="s">
        <v>4194</v>
      </c>
    </row>
    <row r="2347" spans="1:14" x14ac:dyDescent="0.15">
      <c r="A2347" s="1">
        <v>286</v>
      </c>
      <c r="B2347" s="1" t="s">
        <v>3460</v>
      </c>
      <c r="C2347" s="1" t="s">
        <v>3463</v>
      </c>
      <c r="D2347" s="1" t="s">
        <v>3464</v>
      </c>
      <c r="E2347" s="1" t="s">
        <v>3463</v>
      </c>
      <c r="F2347" s="1" t="s">
        <v>3464</v>
      </c>
      <c r="G2347" s="1" t="s">
        <v>3465</v>
      </c>
      <c r="H2347" s="1" t="s">
        <v>3464</v>
      </c>
      <c r="I2347" s="1" t="s">
        <v>16037</v>
      </c>
      <c r="J2347" s="1" t="s">
        <v>3098</v>
      </c>
      <c r="K2347" s="1">
        <v>2</v>
      </c>
      <c r="L2347" s="1" t="s">
        <v>4193</v>
      </c>
      <c r="M2347" s="1">
        <v>4</v>
      </c>
      <c r="N2347" s="1" t="s">
        <v>4194</v>
      </c>
    </row>
    <row r="2348" spans="1:14" x14ac:dyDescent="0.15">
      <c r="A2348" s="1">
        <v>286</v>
      </c>
      <c r="B2348" s="1" t="s">
        <v>3460</v>
      </c>
      <c r="C2348" s="1" t="s">
        <v>3463</v>
      </c>
      <c r="D2348" s="1" t="s">
        <v>3464</v>
      </c>
      <c r="E2348" s="1" t="s">
        <v>3463</v>
      </c>
      <c r="F2348" s="1" t="s">
        <v>3464</v>
      </c>
      <c r="G2348" s="1" t="s">
        <v>3465</v>
      </c>
      <c r="H2348" s="1" t="s">
        <v>3464</v>
      </c>
      <c r="I2348" s="1" t="s">
        <v>11318</v>
      </c>
      <c r="J2348" s="1" t="s">
        <v>3099</v>
      </c>
      <c r="K2348" s="1">
        <v>2</v>
      </c>
      <c r="L2348" s="1" t="s">
        <v>4193</v>
      </c>
      <c r="M2348" s="1">
        <v>4</v>
      </c>
      <c r="N2348" s="1" t="s">
        <v>4194</v>
      </c>
    </row>
    <row r="2349" spans="1:14" x14ac:dyDescent="0.15">
      <c r="A2349" s="1">
        <v>286</v>
      </c>
      <c r="B2349" s="1" t="s">
        <v>3460</v>
      </c>
      <c r="C2349" s="1" t="s">
        <v>3463</v>
      </c>
      <c r="D2349" s="1" t="s">
        <v>3464</v>
      </c>
      <c r="E2349" s="1" t="s">
        <v>3463</v>
      </c>
      <c r="F2349" s="1" t="s">
        <v>3464</v>
      </c>
      <c r="G2349" s="1" t="s">
        <v>3465</v>
      </c>
      <c r="H2349" s="1" t="s">
        <v>3464</v>
      </c>
      <c r="I2349" s="1" t="s">
        <v>10266</v>
      </c>
      <c r="J2349" s="1" t="s">
        <v>3100</v>
      </c>
      <c r="K2349" s="1">
        <v>2</v>
      </c>
      <c r="L2349" s="1" t="s">
        <v>4193</v>
      </c>
      <c r="M2349" s="1">
        <v>4</v>
      </c>
      <c r="N2349" s="1" t="s">
        <v>4194</v>
      </c>
    </row>
    <row r="2350" spans="1:14" x14ac:dyDescent="0.15">
      <c r="A2350" s="1">
        <v>286</v>
      </c>
      <c r="B2350" s="1" t="s">
        <v>3460</v>
      </c>
      <c r="C2350" s="1" t="s">
        <v>3463</v>
      </c>
      <c r="D2350" s="1" t="s">
        <v>3464</v>
      </c>
      <c r="E2350" s="1" t="s">
        <v>3463</v>
      </c>
      <c r="F2350" s="1" t="s">
        <v>3464</v>
      </c>
      <c r="G2350" s="1" t="s">
        <v>3465</v>
      </c>
      <c r="H2350" s="1" t="s">
        <v>3464</v>
      </c>
      <c r="I2350" s="1" t="s">
        <v>10269</v>
      </c>
      <c r="J2350" s="1" t="s">
        <v>3101</v>
      </c>
      <c r="K2350" s="1">
        <v>2</v>
      </c>
      <c r="L2350" s="1" t="s">
        <v>4193</v>
      </c>
      <c r="M2350" s="1">
        <v>4</v>
      </c>
      <c r="N2350" s="1" t="s">
        <v>4194</v>
      </c>
    </row>
    <row r="2351" spans="1:14" x14ac:dyDescent="0.15">
      <c r="A2351" s="1">
        <v>286</v>
      </c>
      <c r="B2351" s="1" t="s">
        <v>3460</v>
      </c>
      <c r="C2351" s="1" t="s">
        <v>3463</v>
      </c>
      <c r="D2351" s="1" t="s">
        <v>3464</v>
      </c>
      <c r="E2351" s="1" t="s">
        <v>3463</v>
      </c>
      <c r="F2351" s="1" t="s">
        <v>3464</v>
      </c>
      <c r="G2351" s="1" t="s">
        <v>3465</v>
      </c>
      <c r="H2351" s="1" t="s">
        <v>3464</v>
      </c>
      <c r="I2351" s="1" t="s">
        <v>10275</v>
      </c>
      <c r="J2351" s="1" t="s">
        <v>3102</v>
      </c>
      <c r="K2351" s="1">
        <v>2</v>
      </c>
      <c r="L2351" s="1" t="s">
        <v>4193</v>
      </c>
      <c r="M2351" s="1">
        <v>4</v>
      </c>
      <c r="N2351" s="1" t="s">
        <v>4194</v>
      </c>
    </row>
    <row r="2352" spans="1:14" x14ac:dyDescent="0.15">
      <c r="A2352" s="1">
        <v>286</v>
      </c>
      <c r="B2352" s="1" t="s">
        <v>3460</v>
      </c>
      <c r="C2352" s="1" t="s">
        <v>3463</v>
      </c>
      <c r="D2352" s="1" t="s">
        <v>3464</v>
      </c>
      <c r="E2352" s="1" t="s">
        <v>3463</v>
      </c>
      <c r="F2352" s="1" t="s">
        <v>3464</v>
      </c>
      <c r="G2352" s="1" t="s">
        <v>3465</v>
      </c>
      <c r="H2352" s="1" t="s">
        <v>3464</v>
      </c>
      <c r="I2352" s="1" t="s">
        <v>10278</v>
      </c>
      <c r="J2352" s="1" t="s">
        <v>3103</v>
      </c>
      <c r="K2352" s="1">
        <v>2</v>
      </c>
      <c r="L2352" s="1" t="s">
        <v>4193</v>
      </c>
      <c r="M2352" s="1">
        <v>4</v>
      </c>
      <c r="N2352" s="1" t="s">
        <v>4194</v>
      </c>
    </row>
    <row r="2353" spans="1:14" x14ac:dyDescent="0.15">
      <c r="A2353" s="1">
        <v>286</v>
      </c>
      <c r="B2353" s="1" t="s">
        <v>3460</v>
      </c>
      <c r="C2353" s="1" t="s">
        <v>3463</v>
      </c>
      <c r="D2353" s="1" t="s">
        <v>3464</v>
      </c>
      <c r="E2353" s="1" t="s">
        <v>3463</v>
      </c>
      <c r="F2353" s="1" t="s">
        <v>3464</v>
      </c>
      <c r="G2353" s="1" t="s">
        <v>3465</v>
      </c>
      <c r="H2353" s="1" t="s">
        <v>3464</v>
      </c>
      <c r="I2353" s="1" t="s">
        <v>10278</v>
      </c>
      <c r="J2353" s="1" t="s">
        <v>3103</v>
      </c>
      <c r="K2353" s="1">
        <v>2</v>
      </c>
      <c r="L2353" s="1" t="s">
        <v>4193</v>
      </c>
      <c r="M2353" s="1">
        <v>4</v>
      </c>
      <c r="N2353" s="1" t="s">
        <v>4194</v>
      </c>
    </row>
    <row r="2354" spans="1:14" x14ac:dyDescent="0.15">
      <c r="A2354" s="1">
        <v>286</v>
      </c>
      <c r="B2354" s="1" t="s">
        <v>3460</v>
      </c>
      <c r="C2354" s="1" t="s">
        <v>3463</v>
      </c>
      <c r="D2354" s="1" t="s">
        <v>3464</v>
      </c>
      <c r="E2354" s="1" t="s">
        <v>3463</v>
      </c>
      <c r="F2354" s="1" t="s">
        <v>3464</v>
      </c>
      <c r="G2354" s="1" t="s">
        <v>3465</v>
      </c>
      <c r="H2354" s="1" t="s">
        <v>3464</v>
      </c>
      <c r="I2354" s="1" t="s">
        <v>10281</v>
      </c>
      <c r="J2354" s="1" t="s">
        <v>3104</v>
      </c>
      <c r="K2354" s="1">
        <v>2</v>
      </c>
      <c r="L2354" s="1" t="s">
        <v>4193</v>
      </c>
      <c r="M2354" s="1">
        <v>4</v>
      </c>
      <c r="N2354" s="1" t="s">
        <v>4194</v>
      </c>
    </row>
    <row r="2355" spans="1:14" x14ac:dyDescent="0.15">
      <c r="A2355" s="1">
        <v>286</v>
      </c>
      <c r="B2355" s="1" t="s">
        <v>3460</v>
      </c>
      <c r="C2355" s="1" t="s">
        <v>3463</v>
      </c>
      <c r="D2355" s="1" t="s">
        <v>3464</v>
      </c>
      <c r="E2355" s="1" t="s">
        <v>3463</v>
      </c>
      <c r="F2355" s="1" t="s">
        <v>3464</v>
      </c>
      <c r="G2355" s="1" t="s">
        <v>3465</v>
      </c>
      <c r="H2355" s="1" t="s">
        <v>3464</v>
      </c>
      <c r="I2355" s="1" t="s">
        <v>9844</v>
      </c>
      <c r="J2355" s="1" t="s">
        <v>3105</v>
      </c>
      <c r="K2355" s="1">
        <v>2</v>
      </c>
      <c r="L2355" s="1" t="s">
        <v>4193</v>
      </c>
      <c r="M2355" s="1">
        <v>4</v>
      </c>
      <c r="N2355" s="1" t="s">
        <v>4194</v>
      </c>
    </row>
    <row r="2356" spans="1:14" x14ac:dyDescent="0.15">
      <c r="A2356" s="1">
        <v>286</v>
      </c>
      <c r="B2356" s="1" t="s">
        <v>3460</v>
      </c>
      <c r="C2356" s="1" t="s">
        <v>3463</v>
      </c>
      <c r="D2356" s="1" t="s">
        <v>3464</v>
      </c>
      <c r="E2356" s="1" t="s">
        <v>3463</v>
      </c>
      <c r="F2356" s="1" t="s">
        <v>3464</v>
      </c>
      <c r="G2356" s="1" t="s">
        <v>3465</v>
      </c>
      <c r="H2356" s="1" t="s">
        <v>3464</v>
      </c>
      <c r="I2356" s="1" t="s">
        <v>9847</v>
      </c>
      <c r="J2356" s="1" t="s">
        <v>3106</v>
      </c>
      <c r="K2356" s="1">
        <v>2</v>
      </c>
      <c r="L2356" s="1" t="s">
        <v>4193</v>
      </c>
      <c r="M2356" s="1">
        <v>4</v>
      </c>
      <c r="N2356" s="1" t="s">
        <v>4194</v>
      </c>
    </row>
    <row r="2357" spans="1:14" x14ac:dyDescent="0.15">
      <c r="A2357" s="1">
        <v>286</v>
      </c>
      <c r="B2357" s="1" t="s">
        <v>3460</v>
      </c>
      <c r="C2357" s="1" t="s">
        <v>3463</v>
      </c>
      <c r="D2357" s="1" t="s">
        <v>3464</v>
      </c>
      <c r="E2357" s="1" t="s">
        <v>3463</v>
      </c>
      <c r="F2357" s="1" t="s">
        <v>3464</v>
      </c>
      <c r="G2357" s="1" t="s">
        <v>3465</v>
      </c>
      <c r="H2357" s="1" t="s">
        <v>3464</v>
      </c>
      <c r="I2357" s="1" t="s">
        <v>9853</v>
      </c>
      <c r="J2357" s="1" t="s">
        <v>3107</v>
      </c>
      <c r="K2357" s="1">
        <v>2</v>
      </c>
      <c r="L2357" s="1" t="s">
        <v>4193</v>
      </c>
      <c r="M2357" s="1">
        <v>4</v>
      </c>
      <c r="N2357" s="1" t="s">
        <v>4194</v>
      </c>
    </row>
    <row r="2358" spans="1:14" x14ac:dyDescent="0.15">
      <c r="A2358" s="1">
        <v>286</v>
      </c>
      <c r="B2358" s="1" t="s">
        <v>3460</v>
      </c>
      <c r="C2358" s="1" t="s">
        <v>3463</v>
      </c>
      <c r="D2358" s="1" t="s">
        <v>3464</v>
      </c>
      <c r="E2358" s="1" t="s">
        <v>3463</v>
      </c>
      <c r="F2358" s="1" t="s">
        <v>3464</v>
      </c>
      <c r="G2358" s="1" t="s">
        <v>3465</v>
      </c>
      <c r="H2358" s="1" t="s">
        <v>3464</v>
      </c>
      <c r="I2358" s="1" t="s">
        <v>11339</v>
      </c>
      <c r="J2358" s="1" t="s">
        <v>3108</v>
      </c>
      <c r="K2358" s="1">
        <v>2</v>
      </c>
      <c r="L2358" s="1" t="s">
        <v>4193</v>
      </c>
      <c r="M2358" s="1">
        <v>4</v>
      </c>
      <c r="N2358" s="1" t="s">
        <v>4194</v>
      </c>
    </row>
    <row r="2359" spans="1:14" x14ac:dyDescent="0.15">
      <c r="A2359" s="1">
        <v>286</v>
      </c>
      <c r="B2359" s="1" t="s">
        <v>3460</v>
      </c>
      <c r="C2359" s="1" t="s">
        <v>3463</v>
      </c>
      <c r="D2359" s="1" t="s">
        <v>3464</v>
      </c>
      <c r="E2359" s="1" t="s">
        <v>3463</v>
      </c>
      <c r="F2359" s="1" t="s">
        <v>3464</v>
      </c>
      <c r="G2359" s="1" t="s">
        <v>3465</v>
      </c>
      <c r="H2359" s="1" t="s">
        <v>3464</v>
      </c>
      <c r="I2359" s="1" t="s">
        <v>16051</v>
      </c>
      <c r="J2359" s="1" t="s">
        <v>16052</v>
      </c>
      <c r="K2359" s="1">
        <v>2</v>
      </c>
      <c r="L2359" s="1" t="s">
        <v>4193</v>
      </c>
      <c r="M2359" s="1">
        <v>4</v>
      </c>
      <c r="N2359" s="1" t="s">
        <v>4194</v>
      </c>
    </row>
    <row r="2360" spans="1:14" x14ac:dyDescent="0.15">
      <c r="A2360" s="1">
        <v>286</v>
      </c>
      <c r="B2360" s="1" t="s">
        <v>3460</v>
      </c>
      <c r="C2360" s="1" t="s">
        <v>3463</v>
      </c>
      <c r="D2360" s="1" t="s">
        <v>3464</v>
      </c>
      <c r="E2360" s="1" t="s">
        <v>3463</v>
      </c>
      <c r="F2360" s="1" t="s">
        <v>3464</v>
      </c>
      <c r="G2360" s="1" t="s">
        <v>3465</v>
      </c>
      <c r="H2360" s="1" t="s">
        <v>3464</v>
      </c>
      <c r="I2360" s="1" t="s">
        <v>16055</v>
      </c>
      <c r="J2360" s="1" t="s">
        <v>16056</v>
      </c>
      <c r="K2360" s="1">
        <v>2</v>
      </c>
      <c r="L2360" s="1" t="s">
        <v>4193</v>
      </c>
      <c r="M2360" s="1">
        <v>4</v>
      </c>
      <c r="N2360" s="1" t="s">
        <v>4194</v>
      </c>
    </row>
    <row r="2361" spans="1:14" x14ac:dyDescent="0.15">
      <c r="A2361" s="1">
        <v>286</v>
      </c>
      <c r="B2361" s="1" t="s">
        <v>3460</v>
      </c>
      <c r="C2361" s="1" t="s">
        <v>3463</v>
      </c>
      <c r="D2361" s="1" t="s">
        <v>3464</v>
      </c>
      <c r="E2361" s="1" t="s">
        <v>3463</v>
      </c>
      <c r="F2361" s="1" t="s">
        <v>3464</v>
      </c>
      <c r="G2361" s="1" t="s">
        <v>3465</v>
      </c>
      <c r="H2361" s="1" t="s">
        <v>3464</v>
      </c>
      <c r="I2361" s="1" t="s">
        <v>16059</v>
      </c>
      <c r="J2361" s="1" t="s">
        <v>16060</v>
      </c>
      <c r="K2361" s="1">
        <v>2</v>
      </c>
      <c r="L2361" s="1" t="s">
        <v>4193</v>
      </c>
      <c r="M2361" s="1">
        <v>4</v>
      </c>
      <c r="N2361" s="1" t="s">
        <v>4194</v>
      </c>
    </row>
    <row r="2362" spans="1:14" x14ac:dyDescent="0.15">
      <c r="A2362" s="1">
        <v>286</v>
      </c>
      <c r="B2362" s="1" t="s">
        <v>3460</v>
      </c>
      <c r="C2362" s="1" t="s">
        <v>3463</v>
      </c>
      <c r="D2362" s="1" t="s">
        <v>3464</v>
      </c>
      <c r="E2362" s="1" t="s">
        <v>3463</v>
      </c>
      <c r="F2362" s="1" t="s">
        <v>3464</v>
      </c>
      <c r="G2362" s="1" t="s">
        <v>3465</v>
      </c>
      <c r="H2362" s="1" t="s">
        <v>3464</v>
      </c>
      <c r="I2362" s="1" t="s">
        <v>16063</v>
      </c>
      <c r="J2362" s="1" t="s">
        <v>16064</v>
      </c>
      <c r="K2362" s="1">
        <v>2</v>
      </c>
      <c r="L2362" s="1" t="s">
        <v>4193</v>
      </c>
      <c r="M2362" s="1">
        <v>4</v>
      </c>
      <c r="N2362" s="1" t="s">
        <v>4194</v>
      </c>
    </row>
    <row r="2363" spans="1:14" x14ac:dyDescent="0.15">
      <c r="A2363" s="1">
        <v>286</v>
      </c>
      <c r="B2363" s="1" t="s">
        <v>3460</v>
      </c>
      <c r="C2363" s="1" t="s">
        <v>3463</v>
      </c>
      <c r="D2363" s="1" t="s">
        <v>3464</v>
      </c>
      <c r="E2363" s="1" t="s">
        <v>3463</v>
      </c>
      <c r="F2363" s="1" t="s">
        <v>3464</v>
      </c>
      <c r="G2363" s="1" t="s">
        <v>3465</v>
      </c>
      <c r="H2363" s="1" t="s">
        <v>3464</v>
      </c>
      <c r="I2363" s="1" t="s">
        <v>9863</v>
      </c>
      <c r="J2363" s="1" t="s">
        <v>3109</v>
      </c>
      <c r="K2363" s="1">
        <v>2</v>
      </c>
      <c r="L2363" s="1" t="s">
        <v>4193</v>
      </c>
      <c r="M2363" s="1">
        <v>4</v>
      </c>
      <c r="N2363" s="1" t="s">
        <v>4194</v>
      </c>
    </row>
    <row r="2364" spans="1:14" x14ac:dyDescent="0.15">
      <c r="A2364" s="1">
        <v>286</v>
      </c>
      <c r="B2364" s="1" t="s">
        <v>3460</v>
      </c>
      <c r="C2364" s="1" t="s">
        <v>3463</v>
      </c>
      <c r="D2364" s="1" t="s">
        <v>3464</v>
      </c>
      <c r="E2364" s="1" t="s">
        <v>3463</v>
      </c>
      <c r="F2364" s="1" t="s">
        <v>3464</v>
      </c>
      <c r="G2364" s="1" t="s">
        <v>3465</v>
      </c>
      <c r="H2364" s="1" t="s">
        <v>3464</v>
      </c>
      <c r="I2364" s="1" t="s">
        <v>9866</v>
      </c>
      <c r="J2364" s="1" t="s">
        <v>3110</v>
      </c>
      <c r="K2364" s="1">
        <v>2</v>
      </c>
      <c r="L2364" s="1" t="s">
        <v>4193</v>
      </c>
      <c r="M2364" s="1">
        <v>4</v>
      </c>
      <c r="N2364" s="1" t="s">
        <v>4194</v>
      </c>
    </row>
    <row r="2365" spans="1:14" x14ac:dyDescent="0.15">
      <c r="A2365" s="1">
        <v>286</v>
      </c>
      <c r="B2365" s="1" t="s">
        <v>3460</v>
      </c>
      <c r="C2365" s="1" t="s">
        <v>3463</v>
      </c>
      <c r="D2365" s="1" t="s">
        <v>3464</v>
      </c>
      <c r="E2365" s="1" t="s">
        <v>3463</v>
      </c>
      <c r="F2365" s="1" t="s">
        <v>3464</v>
      </c>
      <c r="G2365" s="1" t="s">
        <v>3465</v>
      </c>
      <c r="H2365" s="1" t="s">
        <v>3464</v>
      </c>
      <c r="I2365" s="1" t="s">
        <v>16067</v>
      </c>
      <c r="J2365" s="1" t="s">
        <v>3111</v>
      </c>
      <c r="K2365" s="1">
        <v>2</v>
      </c>
      <c r="L2365" s="1" t="s">
        <v>4193</v>
      </c>
      <c r="M2365" s="1">
        <v>4</v>
      </c>
      <c r="N2365" s="1" t="s">
        <v>4194</v>
      </c>
    </row>
    <row r="2366" spans="1:14" x14ac:dyDescent="0.15">
      <c r="A2366" s="1">
        <v>286</v>
      </c>
      <c r="B2366" s="1" t="s">
        <v>3460</v>
      </c>
      <c r="C2366" s="1" t="s">
        <v>3463</v>
      </c>
      <c r="D2366" s="1" t="s">
        <v>3464</v>
      </c>
      <c r="E2366" s="1" t="s">
        <v>3463</v>
      </c>
      <c r="F2366" s="1" t="s">
        <v>3464</v>
      </c>
      <c r="G2366" s="1" t="s">
        <v>3465</v>
      </c>
      <c r="H2366" s="1" t="s">
        <v>3464</v>
      </c>
      <c r="I2366" s="1" t="s">
        <v>11356</v>
      </c>
      <c r="J2366" s="1" t="s">
        <v>3112</v>
      </c>
      <c r="K2366" s="1">
        <v>2</v>
      </c>
      <c r="L2366" s="1" t="s">
        <v>4193</v>
      </c>
      <c r="M2366" s="1">
        <v>4</v>
      </c>
      <c r="N2366" s="1" t="s">
        <v>4194</v>
      </c>
    </row>
    <row r="2367" spans="1:14" x14ac:dyDescent="0.15">
      <c r="A2367" s="1">
        <v>286</v>
      </c>
      <c r="B2367" s="1" t="s">
        <v>3460</v>
      </c>
      <c r="C2367" s="1" t="s">
        <v>3463</v>
      </c>
      <c r="D2367" s="1" t="s">
        <v>3464</v>
      </c>
      <c r="E2367" s="1" t="s">
        <v>3463</v>
      </c>
      <c r="F2367" s="1" t="s">
        <v>3464</v>
      </c>
      <c r="G2367" s="1" t="s">
        <v>3465</v>
      </c>
      <c r="H2367" s="1" t="s">
        <v>3464</v>
      </c>
      <c r="I2367" s="1" t="s">
        <v>11338</v>
      </c>
      <c r="J2367" s="1" t="s">
        <v>3113</v>
      </c>
      <c r="K2367" s="1">
        <v>2</v>
      </c>
      <c r="L2367" s="1" t="s">
        <v>4193</v>
      </c>
      <c r="M2367" s="1">
        <v>4</v>
      </c>
      <c r="N2367" s="1" t="s">
        <v>4194</v>
      </c>
    </row>
    <row r="2368" spans="1:14" x14ac:dyDescent="0.15">
      <c r="A2368" s="1">
        <v>286</v>
      </c>
      <c r="B2368" s="1" t="s">
        <v>3460</v>
      </c>
      <c r="C2368" s="1" t="s">
        <v>3463</v>
      </c>
      <c r="D2368" s="1" t="s">
        <v>3464</v>
      </c>
      <c r="E2368" s="1" t="s">
        <v>3463</v>
      </c>
      <c r="F2368" s="1" t="s">
        <v>3464</v>
      </c>
      <c r="G2368" s="1" t="s">
        <v>3465</v>
      </c>
      <c r="H2368" s="1" t="s">
        <v>3464</v>
      </c>
      <c r="I2368" s="1" t="s">
        <v>16075</v>
      </c>
      <c r="J2368" s="1" t="s">
        <v>16076</v>
      </c>
      <c r="K2368" s="1">
        <v>2</v>
      </c>
      <c r="L2368" s="1" t="s">
        <v>4193</v>
      </c>
      <c r="M2368" s="1">
        <v>4</v>
      </c>
      <c r="N2368" s="1" t="s">
        <v>4194</v>
      </c>
    </row>
    <row r="2369" spans="1:14" x14ac:dyDescent="0.15">
      <c r="A2369" s="1">
        <v>286</v>
      </c>
      <c r="B2369" s="1" t="s">
        <v>3460</v>
      </c>
      <c r="C2369" s="1" t="s">
        <v>3463</v>
      </c>
      <c r="D2369" s="1" t="s">
        <v>3464</v>
      </c>
      <c r="E2369" s="1" t="s">
        <v>3463</v>
      </c>
      <c r="F2369" s="1" t="s">
        <v>3464</v>
      </c>
      <c r="G2369" s="1" t="s">
        <v>3465</v>
      </c>
      <c r="H2369" s="1" t="s">
        <v>3464</v>
      </c>
      <c r="I2369" s="1" t="s">
        <v>16079</v>
      </c>
      <c r="J2369" s="1" t="s">
        <v>16080</v>
      </c>
      <c r="K2369" s="1">
        <v>2</v>
      </c>
      <c r="L2369" s="1" t="s">
        <v>4193</v>
      </c>
      <c r="M2369" s="1">
        <v>4</v>
      </c>
      <c r="N2369" s="1" t="s">
        <v>4194</v>
      </c>
    </row>
    <row r="2370" spans="1:14" x14ac:dyDescent="0.15">
      <c r="A2370" s="1">
        <v>286</v>
      </c>
      <c r="B2370" s="1" t="s">
        <v>3460</v>
      </c>
      <c r="C2370" s="1" t="s">
        <v>3463</v>
      </c>
      <c r="D2370" s="1" t="s">
        <v>3464</v>
      </c>
      <c r="E2370" s="1" t="s">
        <v>3463</v>
      </c>
      <c r="F2370" s="1" t="s">
        <v>3464</v>
      </c>
      <c r="G2370" s="1" t="s">
        <v>3465</v>
      </c>
      <c r="H2370" s="1" t="s">
        <v>3464</v>
      </c>
      <c r="I2370" s="1" t="s">
        <v>9885</v>
      </c>
      <c r="J2370" s="1" t="s">
        <v>3114</v>
      </c>
      <c r="K2370" s="1">
        <v>2</v>
      </c>
      <c r="L2370" s="1" t="s">
        <v>4193</v>
      </c>
      <c r="M2370" s="1">
        <v>4</v>
      </c>
      <c r="N2370" s="1" t="s">
        <v>4194</v>
      </c>
    </row>
    <row r="2371" spans="1:14" x14ac:dyDescent="0.15">
      <c r="A2371" s="1">
        <v>286</v>
      </c>
      <c r="B2371" s="1" t="s">
        <v>3460</v>
      </c>
      <c r="C2371" s="1" t="s">
        <v>3463</v>
      </c>
      <c r="D2371" s="1" t="s">
        <v>3464</v>
      </c>
      <c r="E2371" s="1" t="s">
        <v>3463</v>
      </c>
      <c r="F2371" s="1" t="s">
        <v>3464</v>
      </c>
      <c r="G2371" s="1" t="s">
        <v>3465</v>
      </c>
      <c r="H2371" s="1" t="s">
        <v>3464</v>
      </c>
      <c r="I2371" s="1" t="s">
        <v>16083</v>
      </c>
      <c r="J2371" s="1" t="s">
        <v>3115</v>
      </c>
      <c r="K2371" s="1">
        <v>2</v>
      </c>
      <c r="L2371" s="1" t="s">
        <v>4193</v>
      </c>
      <c r="M2371" s="1">
        <v>4</v>
      </c>
      <c r="N2371" s="1" t="s">
        <v>4194</v>
      </c>
    </row>
    <row r="2372" spans="1:14" x14ac:dyDescent="0.15">
      <c r="A2372" s="1">
        <v>286</v>
      </c>
      <c r="B2372" s="1" t="s">
        <v>3460</v>
      </c>
      <c r="C2372" s="1" t="s">
        <v>3463</v>
      </c>
      <c r="D2372" s="1" t="s">
        <v>3464</v>
      </c>
      <c r="E2372" s="1" t="s">
        <v>3463</v>
      </c>
      <c r="F2372" s="1" t="s">
        <v>3464</v>
      </c>
      <c r="G2372" s="1" t="s">
        <v>3465</v>
      </c>
      <c r="H2372" s="1" t="s">
        <v>3464</v>
      </c>
      <c r="I2372" s="1" t="s">
        <v>9891</v>
      </c>
      <c r="J2372" s="1" t="s">
        <v>3116</v>
      </c>
      <c r="K2372" s="1">
        <v>2</v>
      </c>
      <c r="L2372" s="1" t="s">
        <v>4193</v>
      </c>
      <c r="M2372" s="1">
        <v>4</v>
      </c>
      <c r="N2372" s="1" t="s">
        <v>4194</v>
      </c>
    </row>
    <row r="2373" spans="1:14" x14ac:dyDescent="0.15">
      <c r="A2373" s="1">
        <v>286</v>
      </c>
      <c r="B2373" s="1" t="s">
        <v>3460</v>
      </c>
      <c r="C2373" s="1" t="s">
        <v>3463</v>
      </c>
      <c r="D2373" s="1" t="s">
        <v>3464</v>
      </c>
      <c r="E2373" s="1" t="s">
        <v>3463</v>
      </c>
      <c r="F2373" s="1" t="s">
        <v>3464</v>
      </c>
      <c r="G2373" s="1" t="s">
        <v>3465</v>
      </c>
      <c r="H2373" s="1" t="s">
        <v>3464</v>
      </c>
      <c r="I2373" s="1" t="s">
        <v>16095</v>
      </c>
      <c r="J2373" s="1" t="s">
        <v>3117</v>
      </c>
      <c r="K2373" s="1">
        <v>2</v>
      </c>
      <c r="L2373" s="1" t="s">
        <v>4193</v>
      </c>
      <c r="M2373" s="1">
        <v>4</v>
      </c>
      <c r="N2373" s="1" t="s">
        <v>4194</v>
      </c>
    </row>
    <row r="2374" spans="1:14" x14ac:dyDescent="0.15">
      <c r="A2374" s="1">
        <v>286</v>
      </c>
      <c r="B2374" s="1" t="s">
        <v>3460</v>
      </c>
      <c r="C2374" s="1" t="s">
        <v>3463</v>
      </c>
      <c r="D2374" s="1" t="s">
        <v>3464</v>
      </c>
      <c r="E2374" s="1" t="s">
        <v>3463</v>
      </c>
      <c r="F2374" s="1" t="s">
        <v>3464</v>
      </c>
      <c r="G2374" s="1" t="s">
        <v>3465</v>
      </c>
      <c r="H2374" s="1" t="s">
        <v>3464</v>
      </c>
      <c r="I2374" s="1" t="s">
        <v>16099</v>
      </c>
      <c r="J2374" s="1" t="s">
        <v>3118</v>
      </c>
      <c r="K2374" s="1">
        <v>2</v>
      </c>
      <c r="L2374" s="1" t="s">
        <v>4193</v>
      </c>
      <c r="M2374" s="1">
        <v>4</v>
      </c>
      <c r="N2374" s="1" t="s">
        <v>4194</v>
      </c>
    </row>
    <row r="2375" spans="1:14" x14ac:dyDescent="0.15">
      <c r="A2375" s="1">
        <v>286</v>
      </c>
      <c r="B2375" s="1" t="s">
        <v>3460</v>
      </c>
      <c r="C2375" s="1" t="s">
        <v>3463</v>
      </c>
      <c r="D2375" s="1" t="s">
        <v>3464</v>
      </c>
      <c r="E2375" s="1" t="s">
        <v>3463</v>
      </c>
      <c r="F2375" s="1" t="s">
        <v>3464</v>
      </c>
      <c r="G2375" s="1" t="s">
        <v>3465</v>
      </c>
      <c r="H2375" s="1" t="s">
        <v>3464</v>
      </c>
      <c r="I2375" s="1" t="s">
        <v>16103</v>
      </c>
      <c r="J2375" s="1" t="s">
        <v>3119</v>
      </c>
      <c r="K2375" s="1">
        <v>2</v>
      </c>
      <c r="L2375" s="1" t="s">
        <v>4193</v>
      </c>
      <c r="M2375" s="1">
        <v>4</v>
      </c>
      <c r="N2375" s="1" t="s">
        <v>4194</v>
      </c>
    </row>
    <row r="2376" spans="1:14" x14ac:dyDescent="0.15">
      <c r="A2376" s="1">
        <v>286</v>
      </c>
      <c r="B2376" s="1" t="s">
        <v>3460</v>
      </c>
      <c r="C2376" s="1" t="s">
        <v>3463</v>
      </c>
      <c r="D2376" s="1" t="s">
        <v>3464</v>
      </c>
      <c r="E2376" s="1" t="s">
        <v>3463</v>
      </c>
      <c r="F2376" s="1" t="s">
        <v>3464</v>
      </c>
      <c r="G2376" s="1" t="s">
        <v>3465</v>
      </c>
      <c r="H2376" s="1" t="s">
        <v>3464</v>
      </c>
      <c r="I2376" s="1" t="s">
        <v>11348</v>
      </c>
      <c r="J2376" s="1" t="s">
        <v>3120</v>
      </c>
      <c r="K2376" s="1">
        <v>2</v>
      </c>
      <c r="L2376" s="1" t="s">
        <v>4193</v>
      </c>
      <c r="M2376" s="1">
        <v>4</v>
      </c>
      <c r="N2376" s="1" t="s">
        <v>4194</v>
      </c>
    </row>
    <row r="2377" spans="1:14" x14ac:dyDescent="0.15">
      <c r="A2377" s="1">
        <v>286</v>
      </c>
      <c r="B2377" s="1" t="s">
        <v>3460</v>
      </c>
      <c r="C2377" s="1" t="s">
        <v>3463</v>
      </c>
      <c r="D2377" s="1" t="s">
        <v>3464</v>
      </c>
      <c r="E2377" s="1" t="s">
        <v>3463</v>
      </c>
      <c r="F2377" s="1" t="s">
        <v>3464</v>
      </c>
      <c r="G2377" s="1" t="s">
        <v>3465</v>
      </c>
      <c r="H2377" s="1" t="s">
        <v>3464</v>
      </c>
      <c r="I2377" s="1" t="s">
        <v>11320</v>
      </c>
      <c r="J2377" s="1" t="s">
        <v>3121</v>
      </c>
      <c r="K2377" s="1">
        <v>2</v>
      </c>
      <c r="L2377" s="1" t="s">
        <v>4193</v>
      </c>
      <c r="M2377" s="1">
        <v>4</v>
      </c>
      <c r="N2377" s="1" t="s">
        <v>4194</v>
      </c>
    </row>
    <row r="2378" spans="1:14" x14ac:dyDescent="0.15">
      <c r="A2378" s="1">
        <v>286</v>
      </c>
      <c r="B2378" s="1" t="s">
        <v>3460</v>
      </c>
      <c r="C2378" s="1" t="s">
        <v>3463</v>
      </c>
      <c r="D2378" s="1" t="s">
        <v>3464</v>
      </c>
      <c r="E2378" s="1" t="s">
        <v>3463</v>
      </c>
      <c r="F2378" s="1" t="s">
        <v>3464</v>
      </c>
      <c r="G2378" s="1" t="s">
        <v>3465</v>
      </c>
      <c r="H2378" s="1" t="s">
        <v>3464</v>
      </c>
      <c r="I2378" s="1" t="s">
        <v>9914</v>
      </c>
      <c r="J2378" s="1" t="s">
        <v>3122</v>
      </c>
      <c r="K2378" s="1">
        <v>2</v>
      </c>
      <c r="L2378" s="1" t="s">
        <v>4193</v>
      </c>
      <c r="M2378" s="1">
        <v>4</v>
      </c>
      <c r="N2378" s="1" t="s">
        <v>4194</v>
      </c>
    </row>
    <row r="2379" spans="1:14" x14ac:dyDescent="0.15">
      <c r="A2379" s="1">
        <v>286</v>
      </c>
      <c r="B2379" s="1" t="s">
        <v>3460</v>
      </c>
      <c r="C2379" s="1" t="s">
        <v>3463</v>
      </c>
      <c r="D2379" s="1" t="s">
        <v>3464</v>
      </c>
      <c r="E2379" s="1" t="s">
        <v>3463</v>
      </c>
      <c r="F2379" s="1" t="s">
        <v>3464</v>
      </c>
      <c r="G2379" s="1" t="s">
        <v>3465</v>
      </c>
      <c r="H2379" s="1" t="s">
        <v>3464</v>
      </c>
      <c r="I2379" s="1" t="s">
        <v>9917</v>
      </c>
      <c r="J2379" s="1" t="s">
        <v>3123</v>
      </c>
      <c r="K2379" s="1">
        <v>2</v>
      </c>
      <c r="L2379" s="1" t="s">
        <v>4193</v>
      </c>
      <c r="M2379" s="1">
        <v>4</v>
      </c>
      <c r="N2379" s="1" t="s">
        <v>4194</v>
      </c>
    </row>
    <row r="2380" spans="1:14" x14ac:dyDescent="0.15">
      <c r="A2380" s="1">
        <v>286</v>
      </c>
      <c r="B2380" s="1" t="s">
        <v>3460</v>
      </c>
      <c r="C2380" s="1" t="s">
        <v>3463</v>
      </c>
      <c r="D2380" s="1" t="s">
        <v>3464</v>
      </c>
      <c r="E2380" s="1" t="s">
        <v>3463</v>
      </c>
      <c r="F2380" s="1" t="s">
        <v>3464</v>
      </c>
      <c r="G2380" s="1" t="s">
        <v>3465</v>
      </c>
      <c r="H2380" s="1" t="s">
        <v>3464</v>
      </c>
      <c r="I2380" s="1" t="s">
        <v>9920</v>
      </c>
      <c r="J2380" s="1" t="s">
        <v>3124</v>
      </c>
      <c r="K2380" s="1">
        <v>2</v>
      </c>
      <c r="L2380" s="1" t="s">
        <v>4193</v>
      </c>
      <c r="M2380" s="1">
        <v>4</v>
      </c>
      <c r="N2380" s="1" t="s">
        <v>4194</v>
      </c>
    </row>
    <row r="2381" spans="1:14" x14ac:dyDescent="0.15">
      <c r="A2381" s="1">
        <v>286</v>
      </c>
      <c r="B2381" s="1" t="s">
        <v>3460</v>
      </c>
      <c r="C2381" s="1" t="s">
        <v>3463</v>
      </c>
      <c r="D2381" s="1" t="s">
        <v>3464</v>
      </c>
      <c r="E2381" s="1" t="s">
        <v>3463</v>
      </c>
      <c r="F2381" s="1" t="s">
        <v>3464</v>
      </c>
      <c r="G2381" s="1" t="s">
        <v>3465</v>
      </c>
      <c r="H2381" s="1" t="s">
        <v>3464</v>
      </c>
      <c r="I2381" s="1" t="s">
        <v>9923</v>
      </c>
      <c r="J2381" s="1" t="s">
        <v>3125</v>
      </c>
      <c r="K2381" s="1">
        <v>2</v>
      </c>
      <c r="L2381" s="1" t="s">
        <v>4193</v>
      </c>
      <c r="M2381" s="1">
        <v>4</v>
      </c>
      <c r="N2381" s="1" t="s">
        <v>4194</v>
      </c>
    </row>
    <row r="2382" spans="1:14" x14ac:dyDescent="0.15">
      <c r="A2382" s="1">
        <v>286</v>
      </c>
      <c r="B2382" s="1" t="s">
        <v>3460</v>
      </c>
      <c r="C2382" s="1" t="s">
        <v>3463</v>
      </c>
      <c r="D2382" s="1" t="s">
        <v>3464</v>
      </c>
      <c r="E2382" s="1" t="s">
        <v>3463</v>
      </c>
      <c r="F2382" s="1" t="s">
        <v>3464</v>
      </c>
      <c r="G2382" s="1" t="s">
        <v>3465</v>
      </c>
      <c r="H2382" s="1" t="s">
        <v>3464</v>
      </c>
      <c r="I2382" s="1" t="s">
        <v>9926</v>
      </c>
      <c r="J2382" s="1" t="s">
        <v>3126</v>
      </c>
      <c r="K2382" s="1">
        <v>2</v>
      </c>
      <c r="L2382" s="1" t="s">
        <v>4193</v>
      </c>
      <c r="M2382" s="1">
        <v>4</v>
      </c>
      <c r="N2382" s="1" t="s">
        <v>4194</v>
      </c>
    </row>
    <row r="2383" spans="1:14" x14ac:dyDescent="0.15">
      <c r="A2383" s="1">
        <v>286</v>
      </c>
      <c r="B2383" s="1" t="s">
        <v>3460</v>
      </c>
      <c r="C2383" s="1" t="s">
        <v>3463</v>
      </c>
      <c r="D2383" s="1" t="s">
        <v>3464</v>
      </c>
      <c r="E2383" s="1" t="s">
        <v>3463</v>
      </c>
      <c r="F2383" s="1" t="s">
        <v>3464</v>
      </c>
      <c r="G2383" s="1" t="s">
        <v>3465</v>
      </c>
      <c r="H2383" s="1" t="s">
        <v>3464</v>
      </c>
      <c r="I2383" s="1" t="s">
        <v>9929</v>
      </c>
      <c r="J2383" s="1" t="s">
        <v>3127</v>
      </c>
      <c r="K2383" s="1">
        <v>2</v>
      </c>
      <c r="L2383" s="1" t="s">
        <v>4193</v>
      </c>
      <c r="M2383" s="1">
        <v>4</v>
      </c>
      <c r="N2383" s="1" t="s">
        <v>4194</v>
      </c>
    </row>
    <row r="2384" spans="1:14" x14ac:dyDescent="0.15">
      <c r="A2384" s="1">
        <v>286</v>
      </c>
      <c r="B2384" s="1" t="s">
        <v>3460</v>
      </c>
      <c r="C2384" s="1" t="s">
        <v>3463</v>
      </c>
      <c r="D2384" s="1" t="s">
        <v>3464</v>
      </c>
      <c r="E2384" s="1" t="s">
        <v>3463</v>
      </c>
      <c r="F2384" s="1" t="s">
        <v>3464</v>
      </c>
      <c r="G2384" s="1" t="s">
        <v>3465</v>
      </c>
      <c r="H2384" s="1" t="s">
        <v>3464</v>
      </c>
      <c r="I2384" s="1" t="s">
        <v>9932</v>
      </c>
      <c r="J2384" s="1" t="s">
        <v>3128</v>
      </c>
      <c r="K2384" s="1">
        <v>2</v>
      </c>
      <c r="L2384" s="1" t="s">
        <v>4193</v>
      </c>
      <c r="M2384" s="1">
        <v>4</v>
      </c>
      <c r="N2384" s="1" t="s">
        <v>4194</v>
      </c>
    </row>
    <row r="2385" spans="1:14" x14ac:dyDescent="0.15">
      <c r="A2385" s="1">
        <v>286</v>
      </c>
      <c r="B2385" s="1" t="s">
        <v>3460</v>
      </c>
      <c r="C2385" s="1" t="s">
        <v>3463</v>
      </c>
      <c r="D2385" s="1" t="s">
        <v>3464</v>
      </c>
      <c r="E2385" s="1" t="s">
        <v>3463</v>
      </c>
      <c r="F2385" s="1" t="s">
        <v>3464</v>
      </c>
      <c r="G2385" s="1" t="s">
        <v>3465</v>
      </c>
      <c r="H2385" s="1" t="s">
        <v>3464</v>
      </c>
      <c r="I2385" s="1" t="s">
        <v>9935</v>
      </c>
      <c r="J2385" s="1" t="s">
        <v>3129</v>
      </c>
      <c r="K2385" s="1">
        <v>2</v>
      </c>
      <c r="L2385" s="1" t="s">
        <v>4193</v>
      </c>
      <c r="M2385" s="1">
        <v>4</v>
      </c>
      <c r="N2385" s="1" t="s">
        <v>4194</v>
      </c>
    </row>
    <row r="2386" spans="1:14" x14ac:dyDescent="0.15">
      <c r="A2386" s="1">
        <v>286</v>
      </c>
      <c r="B2386" s="1" t="s">
        <v>3460</v>
      </c>
      <c r="C2386" s="1" t="s">
        <v>3463</v>
      </c>
      <c r="D2386" s="1" t="s">
        <v>3464</v>
      </c>
      <c r="E2386" s="1" t="s">
        <v>3463</v>
      </c>
      <c r="F2386" s="1" t="s">
        <v>3464</v>
      </c>
      <c r="G2386" s="1" t="s">
        <v>3465</v>
      </c>
      <c r="H2386" s="1" t="s">
        <v>3464</v>
      </c>
      <c r="I2386" s="1" t="s">
        <v>9938</v>
      </c>
      <c r="J2386" s="1" t="s">
        <v>3130</v>
      </c>
      <c r="K2386" s="1">
        <v>2</v>
      </c>
      <c r="L2386" s="1" t="s">
        <v>4193</v>
      </c>
      <c r="M2386" s="1">
        <v>4</v>
      </c>
      <c r="N2386" s="1" t="s">
        <v>4194</v>
      </c>
    </row>
    <row r="2387" spans="1:14" x14ac:dyDescent="0.15">
      <c r="A2387" s="1">
        <v>286</v>
      </c>
      <c r="B2387" s="1" t="s">
        <v>3460</v>
      </c>
      <c r="C2387" s="1" t="s">
        <v>3463</v>
      </c>
      <c r="D2387" s="1" t="s">
        <v>3464</v>
      </c>
      <c r="E2387" s="1" t="s">
        <v>3463</v>
      </c>
      <c r="F2387" s="1" t="s">
        <v>3464</v>
      </c>
      <c r="G2387" s="1" t="s">
        <v>3465</v>
      </c>
      <c r="H2387" s="1" t="s">
        <v>3464</v>
      </c>
      <c r="I2387" s="1" t="s">
        <v>9943</v>
      </c>
      <c r="J2387" s="1" t="s">
        <v>3131</v>
      </c>
      <c r="K2387" s="1">
        <v>2</v>
      </c>
      <c r="L2387" s="1" t="s">
        <v>4193</v>
      </c>
      <c r="M2387" s="1">
        <v>4</v>
      </c>
      <c r="N2387" s="1" t="s">
        <v>4194</v>
      </c>
    </row>
    <row r="2388" spans="1:14" x14ac:dyDescent="0.15">
      <c r="A2388" s="1">
        <v>286</v>
      </c>
      <c r="B2388" s="1" t="s">
        <v>3460</v>
      </c>
      <c r="C2388" s="1" t="s">
        <v>3463</v>
      </c>
      <c r="D2388" s="1" t="s">
        <v>3464</v>
      </c>
      <c r="E2388" s="1" t="s">
        <v>3463</v>
      </c>
      <c r="F2388" s="1" t="s">
        <v>3464</v>
      </c>
      <c r="G2388" s="1" t="s">
        <v>3465</v>
      </c>
      <c r="H2388" s="1" t="s">
        <v>3464</v>
      </c>
      <c r="I2388" s="1" t="s">
        <v>9946</v>
      </c>
      <c r="J2388" s="1" t="s">
        <v>3132</v>
      </c>
      <c r="K2388" s="1">
        <v>2</v>
      </c>
      <c r="L2388" s="1" t="s">
        <v>4193</v>
      </c>
      <c r="M2388" s="1">
        <v>4</v>
      </c>
      <c r="N2388" s="1" t="s">
        <v>4194</v>
      </c>
    </row>
    <row r="2389" spans="1:14" x14ac:dyDescent="0.15">
      <c r="A2389" s="1">
        <v>286</v>
      </c>
      <c r="B2389" s="1" t="s">
        <v>3460</v>
      </c>
      <c r="C2389" s="1" t="s">
        <v>3463</v>
      </c>
      <c r="D2389" s="1" t="s">
        <v>3464</v>
      </c>
      <c r="E2389" s="1" t="s">
        <v>3463</v>
      </c>
      <c r="F2389" s="1" t="s">
        <v>3464</v>
      </c>
      <c r="G2389" s="1" t="s">
        <v>3465</v>
      </c>
      <c r="H2389" s="1" t="s">
        <v>3464</v>
      </c>
      <c r="I2389" s="1" t="s">
        <v>9949</v>
      </c>
      <c r="J2389" s="1" t="s">
        <v>3133</v>
      </c>
      <c r="K2389" s="1">
        <v>2</v>
      </c>
      <c r="L2389" s="1" t="s">
        <v>4193</v>
      </c>
      <c r="M2389" s="1">
        <v>4</v>
      </c>
      <c r="N2389" s="1" t="s">
        <v>4194</v>
      </c>
    </row>
    <row r="2390" spans="1:14" x14ac:dyDescent="0.15">
      <c r="A2390" s="1">
        <v>286</v>
      </c>
      <c r="B2390" s="1" t="s">
        <v>3460</v>
      </c>
      <c r="C2390" s="1" t="s">
        <v>3463</v>
      </c>
      <c r="D2390" s="1" t="s">
        <v>3464</v>
      </c>
      <c r="E2390" s="1" t="s">
        <v>3463</v>
      </c>
      <c r="F2390" s="1" t="s">
        <v>3464</v>
      </c>
      <c r="G2390" s="1" t="s">
        <v>3465</v>
      </c>
      <c r="H2390" s="1" t="s">
        <v>3464</v>
      </c>
      <c r="I2390" s="1" t="s">
        <v>9952</v>
      </c>
      <c r="J2390" s="1" t="s">
        <v>3134</v>
      </c>
      <c r="K2390" s="1">
        <v>2</v>
      </c>
      <c r="L2390" s="1" t="s">
        <v>4193</v>
      </c>
      <c r="M2390" s="1">
        <v>4</v>
      </c>
      <c r="N2390" s="1" t="s">
        <v>4194</v>
      </c>
    </row>
    <row r="2391" spans="1:14" x14ac:dyDescent="0.15">
      <c r="A2391" s="1">
        <v>286</v>
      </c>
      <c r="B2391" s="1" t="s">
        <v>3460</v>
      </c>
      <c r="C2391" s="1" t="s">
        <v>3463</v>
      </c>
      <c r="D2391" s="1" t="s">
        <v>3464</v>
      </c>
      <c r="E2391" s="1" t="s">
        <v>3463</v>
      </c>
      <c r="F2391" s="1" t="s">
        <v>3464</v>
      </c>
      <c r="G2391" s="1" t="s">
        <v>3465</v>
      </c>
      <c r="H2391" s="1" t="s">
        <v>3464</v>
      </c>
      <c r="I2391" s="1" t="s">
        <v>9955</v>
      </c>
      <c r="J2391" s="1" t="s">
        <v>3135</v>
      </c>
      <c r="K2391" s="1">
        <v>2</v>
      </c>
      <c r="L2391" s="1" t="s">
        <v>4193</v>
      </c>
      <c r="M2391" s="1">
        <v>4</v>
      </c>
      <c r="N2391" s="1" t="s">
        <v>4194</v>
      </c>
    </row>
    <row r="2392" spans="1:14" x14ac:dyDescent="0.15">
      <c r="A2392" s="1">
        <v>286</v>
      </c>
      <c r="B2392" s="1" t="s">
        <v>3460</v>
      </c>
      <c r="C2392" s="1" t="s">
        <v>3463</v>
      </c>
      <c r="D2392" s="1" t="s">
        <v>3464</v>
      </c>
      <c r="E2392" s="1" t="s">
        <v>3463</v>
      </c>
      <c r="F2392" s="1" t="s">
        <v>3464</v>
      </c>
      <c r="G2392" s="1" t="s">
        <v>3465</v>
      </c>
      <c r="H2392" s="1" t="s">
        <v>3464</v>
      </c>
      <c r="I2392" s="1" t="s">
        <v>9961</v>
      </c>
      <c r="J2392" s="1" t="s">
        <v>3466</v>
      </c>
      <c r="K2392" s="1">
        <v>2</v>
      </c>
      <c r="L2392" s="1" t="s">
        <v>4193</v>
      </c>
      <c r="M2392" s="1">
        <v>4</v>
      </c>
      <c r="N2392" s="1" t="s">
        <v>4194</v>
      </c>
    </row>
    <row r="2393" spans="1:14" x14ac:dyDescent="0.15">
      <c r="A2393" s="1">
        <v>286</v>
      </c>
      <c r="B2393" s="1" t="s">
        <v>3460</v>
      </c>
      <c r="C2393" s="1" t="s">
        <v>3463</v>
      </c>
      <c r="D2393" s="1" t="s">
        <v>3464</v>
      </c>
      <c r="E2393" s="1" t="s">
        <v>3463</v>
      </c>
      <c r="F2393" s="1" t="s">
        <v>3464</v>
      </c>
      <c r="G2393" s="1" t="s">
        <v>3465</v>
      </c>
      <c r="H2393" s="1" t="s">
        <v>3464</v>
      </c>
      <c r="I2393" s="1" t="s">
        <v>9961</v>
      </c>
      <c r="J2393" s="1" t="s">
        <v>3467</v>
      </c>
      <c r="K2393" s="1">
        <v>2</v>
      </c>
      <c r="L2393" s="1" t="s">
        <v>4193</v>
      </c>
      <c r="M2393" s="1">
        <v>4</v>
      </c>
      <c r="N2393" s="1" t="s">
        <v>4194</v>
      </c>
    </row>
    <row r="2394" spans="1:14" x14ac:dyDescent="0.15">
      <c r="A2394" s="1">
        <v>286</v>
      </c>
      <c r="B2394" s="1" t="s">
        <v>3460</v>
      </c>
      <c r="C2394" s="1" t="s">
        <v>3463</v>
      </c>
      <c r="D2394" s="1" t="s">
        <v>3464</v>
      </c>
      <c r="E2394" s="1" t="s">
        <v>3463</v>
      </c>
      <c r="F2394" s="1" t="s">
        <v>3464</v>
      </c>
      <c r="G2394" s="1" t="s">
        <v>3465</v>
      </c>
      <c r="H2394" s="1" t="s">
        <v>3464</v>
      </c>
      <c r="I2394" s="1" t="s">
        <v>9961</v>
      </c>
      <c r="J2394" s="1" t="s">
        <v>4984</v>
      </c>
      <c r="K2394" s="1">
        <v>2</v>
      </c>
      <c r="L2394" s="1" t="s">
        <v>4193</v>
      </c>
      <c r="M2394" s="1">
        <v>4</v>
      </c>
      <c r="N2394" s="1" t="s">
        <v>4194</v>
      </c>
    </row>
    <row r="2395" spans="1:14" x14ac:dyDescent="0.15">
      <c r="A2395" s="1">
        <v>286</v>
      </c>
      <c r="B2395" s="1" t="s">
        <v>3460</v>
      </c>
      <c r="C2395" s="1" t="s">
        <v>3463</v>
      </c>
      <c r="D2395" s="1" t="s">
        <v>3464</v>
      </c>
      <c r="E2395" s="1" t="s">
        <v>3463</v>
      </c>
      <c r="F2395" s="1" t="s">
        <v>3464</v>
      </c>
      <c r="G2395" s="1" t="s">
        <v>3465</v>
      </c>
      <c r="H2395" s="1" t="s">
        <v>3464</v>
      </c>
      <c r="I2395" s="1" t="s">
        <v>9961</v>
      </c>
      <c r="J2395" s="1" t="s">
        <v>3468</v>
      </c>
      <c r="K2395" s="1">
        <v>2</v>
      </c>
      <c r="L2395" s="1" t="s">
        <v>4193</v>
      </c>
      <c r="M2395" s="1">
        <v>4</v>
      </c>
      <c r="N2395" s="1" t="s">
        <v>4194</v>
      </c>
    </row>
    <row r="2396" spans="1:14" x14ac:dyDescent="0.15">
      <c r="A2396" s="1">
        <v>286</v>
      </c>
      <c r="B2396" s="1" t="s">
        <v>3460</v>
      </c>
      <c r="C2396" s="1" t="s">
        <v>3463</v>
      </c>
      <c r="D2396" s="1" t="s">
        <v>3464</v>
      </c>
      <c r="E2396" s="1" t="s">
        <v>3463</v>
      </c>
      <c r="F2396" s="1" t="s">
        <v>3464</v>
      </c>
      <c r="G2396" s="1" t="s">
        <v>3465</v>
      </c>
      <c r="H2396" s="1" t="s">
        <v>3464</v>
      </c>
      <c r="I2396" s="1" t="s">
        <v>16111</v>
      </c>
      <c r="J2396" s="1" t="s">
        <v>3136</v>
      </c>
      <c r="K2396" s="1">
        <v>2</v>
      </c>
      <c r="L2396" s="1" t="s">
        <v>4193</v>
      </c>
      <c r="M2396" s="1">
        <v>4</v>
      </c>
      <c r="N2396" s="1" t="s">
        <v>4194</v>
      </c>
    </row>
    <row r="2397" spans="1:14" x14ac:dyDescent="0.15">
      <c r="A2397" s="1">
        <v>286</v>
      </c>
      <c r="B2397" s="1" t="s">
        <v>3460</v>
      </c>
      <c r="C2397" s="1" t="s">
        <v>3463</v>
      </c>
      <c r="D2397" s="1" t="s">
        <v>3464</v>
      </c>
      <c r="E2397" s="1" t="s">
        <v>3463</v>
      </c>
      <c r="F2397" s="1" t="s">
        <v>3464</v>
      </c>
      <c r="G2397" s="1" t="s">
        <v>3465</v>
      </c>
      <c r="H2397" s="1" t="s">
        <v>3464</v>
      </c>
      <c r="I2397" s="1" t="s">
        <v>10610</v>
      </c>
      <c r="J2397" s="1" t="s">
        <v>3469</v>
      </c>
      <c r="K2397" s="1">
        <v>2</v>
      </c>
      <c r="L2397" s="1" t="s">
        <v>4193</v>
      </c>
      <c r="M2397" s="1">
        <v>4</v>
      </c>
      <c r="N2397" s="1" t="s">
        <v>4194</v>
      </c>
    </row>
    <row r="2398" spans="1:14" x14ac:dyDescent="0.15">
      <c r="A2398" s="1">
        <v>286</v>
      </c>
      <c r="B2398" s="1" t="s">
        <v>3460</v>
      </c>
      <c r="C2398" s="1" t="s">
        <v>3470</v>
      </c>
      <c r="D2398" s="1" t="s">
        <v>3471</v>
      </c>
      <c r="E2398" s="1" t="s">
        <v>3470</v>
      </c>
      <c r="F2398" s="1" t="s">
        <v>3471</v>
      </c>
      <c r="G2398" s="1" t="s">
        <v>3472</v>
      </c>
      <c r="H2398" s="1" t="s">
        <v>3471</v>
      </c>
      <c r="I2398" s="1" t="s">
        <v>17773</v>
      </c>
      <c r="J2398" s="1" t="s">
        <v>3064</v>
      </c>
      <c r="K2398" s="1">
        <v>13</v>
      </c>
      <c r="L2398" s="1" t="s">
        <v>4219</v>
      </c>
      <c r="M2398" s="1">
        <v>3</v>
      </c>
      <c r="N2398" s="1" t="s">
        <v>3241</v>
      </c>
    </row>
    <row r="2399" spans="1:14" x14ac:dyDescent="0.15">
      <c r="A2399" s="1">
        <v>286</v>
      </c>
      <c r="B2399" s="1" t="s">
        <v>3460</v>
      </c>
      <c r="C2399" s="1" t="s">
        <v>3470</v>
      </c>
      <c r="D2399" s="1" t="s">
        <v>3471</v>
      </c>
      <c r="E2399" s="1" t="s">
        <v>3470</v>
      </c>
      <c r="F2399" s="1" t="s">
        <v>3471</v>
      </c>
      <c r="G2399" s="1" t="s">
        <v>3472</v>
      </c>
      <c r="H2399" s="1" t="s">
        <v>3471</v>
      </c>
      <c r="I2399" s="1" t="s">
        <v>11028</v>
      </c>
      <c r="J2399" s="1" t="s">
        <v>3473</v>
      </c>
      <c r="K2399" s="1">
        <v>13</v>
      </c>
      <c r="L2399" s="1" t="s">
        <v>4219</v>
      </c>
      <c r="M2399" s="1">
        <v>3</v>
      </c>
      <c r="N2399" s="1" t="s">
        <v>3241</v>
      </c>
    </row>
    <row r="2400" spans="1:14" x14ac:dyDescent="0.15">
      <c r="A2400" s="1">
        <v>286</v>
      </c>
      <c r="B2400" s="1" t="s">
        <v>3460</v>
      </c>
      <c r="C2400" s="1" t="s">
        <v>3470</v>
      </c>
      <c r="D2400" s="1" t="s">
        <v>3471</v>
      </c>
      <c r="E2400" s="1" t="s">
        <v>3470</v>
      </c>
      <c r="F2400" s="1" t="s">
        <v>3471</v>
      </c>
      <c r="G2400" s="1" t="s">
        <v>3472</v>
      </c>
      <c r="H2400" s="1" t="s">
        <v>3471</v>
      </c>
      <c r="I2400" s="1" t="s">
        <v>11043</v>
      </c>
      <c r="J2400" s="1" t="s">
        <v>3474</v>
      </c>
      <c r="K2400" s="1">
        <v>13</v>
      </c>
      <c r="L2400" s="1" t="s">
        <v>4219</v>
      </c>
      <c r="M2400" s="1">
        <v>3</v>
      </c>
      <c r="N2400" s="1" t="s">
        <v>3241</v>
      </c>
    </row>
    <row r="2401" spans="1:14" x14ac:dyDescent="0.15">
      <c r="A2401" s="1">
        <v>290</v>
      </c>
      <c r="B2401" s="1" t="s">
        <v>3475</v>
      </c>
      <c r="C2401" s="1" t="s">
        <v>3476</v>
      </c>
      <c r="D2401" s="1" t="s">
        <v>3475</v>
      </c>
      <c r="E2401" s="1" t="s">
        <v>3476</v>
      </c>
      <c r="F2401" s="1" t="s">
        <v>3475</v>
      </c>
      <c r="G2401" s="1" t="s">
        <v>3477</v>
      </c>
      <c r="H2401" s="1" t="s">
        <v>3475</v>
      </c>
      <c r="I2401" s="1" t="s">
        <v>11879</v>
      </c>
      <c r="J2401" s="1" t="s">
        <v>4278</v>
      </c>
      <c r="K2401" s="1">
        <v>13</v>
      </c>
      <c r="L2401" s="1" t="s">
        <v>4219</v>
      </c>
      <c r="M2401" s="1">
        <v>3</v>
      </c>
      <c r="N2401" s="1" t="s">
        <v>3241</v>
      </c>
    </row>
    <row r="2402" spans="1:14" x14ac:dyDescent="0.15">
      <c r="A2402" s="1">
        <v>290</v>
      </c>
      <c r="B2402" s="1" t="s">
        <v>3475</v>
      </c>
      <c r="C2402" s="1" t="s">
        <v>3478</v>
      </c>
      <c r="D2402" s="1" t="s">
        <v>3479</v>
      </c>
      <c r="E2402" s="1" t="s">
        <v>3478</v>
      </c>
      <c r="F2402" s="1" t="s">
        <v>3479</v>
      </c>
      <c r="G2402" s="1" t="s">
        <v>3480</v>
      </c>
      <c r="H2402" s="1" t="s">
        <v>3479</v>
      </c>
      <c r="I2402" s="1" t="s">
        <v>11698</v>
      </c>
      <c r="J2402" s="1" t="s">
        <v>3337</v>
      </c>
      <c r="K2402" s="1">
        <v>13</v>
      </c>
      <c r="L2402" s="1" t="s">
        <v>4219</v>
      </c>
      <c r="M2402" s="1">
        <v>3</v>
      </c>
      <c r="N2402" s="1" t="s">
        <v>3241</v>
      </c>
    </row>
    <row r="2403" spans="1:14" x14ac:dyDescent="0.15">
      <c r="A2403" s="1">
        <v>290</v>
      </c>
      <c r="B2403" s="1" t="s">
        <v>3475</v>
      </c>
      <c r="C2403" s="1" t="s">
        <v>3478</v>
      </c>
      <c r="D2403" s="1" t="s">
        <v>3479</v>
      </c>
      <c r="E2403" s="1" t="s">
        <v>3478</v>
      </c>
      <c r="F2403" s="1" t="s">
        <v>3479</v>
      </c>
      <c r="G2403" s="1" t="s">
        <v>3480</v>
      </c>
      <c r="H2403" s="1" t="s">
        <v>3479</v>
      </c>
      <c r="I2403" s="1" t="s">
        <v>10975</v>
      </c>
      <c r="J2403" s="1" t="s">
        <v>3481</v>
      </c>
      <c r="K2403" s="1">
        <v>13</v>
      </c>
      <c r="L2403" s="1" t="s">
        <v>4219</v>
      </c>
      <c r="M2403" s="1">
        <v>3</v>
      </c>
      <c r="N2403" s="1" t="s">
        <v>3241</v>
      </c>
    </row>
    <row r="2404" spans="1:14" x14ac:dyDescent="0.15">
      <c r="A2404" s="1">
        <v>290</v>
      </c>
      <c r="B2404" s="1" t="s">
        <v>3475</v>
      </c>
      <c r="C2404" s="1" t="s">
        <v>3478</v>
      </c>
      <c r="D2404" s="1" t="s">
        <v>3479</v>
      </c>
      <c r="E2404" s="1" t="s">
        <v>3478</v>
      </c>
      <c r="F2404" s="1" t="s">
        <v>3479</v>
      </c>
      <c r="G2404" s="1" t="s">
        <v>3480</v>
      </c>
      <c r="H2404" s="1" t="s">
        <v>3479</v>
      </c>
      <c r="I2404" s="1" t="s">
        <v>10978</v>
      </c>
      <c r="J2404" s="1" t="s">
        <v>3482</v>
      </c>
      <c r="K2404" s="1">
        <v>13</v>
      </c>
      <c r="L2404" s="1" t="s">
        <v>4219</v>
      </c>
      <c r="M2404" s="1">
        <v>3</v>
      </c>
      <c r="N2404" s="1" t="s">
        <v>3241</v>
      </c>
    </row>
    <row r="2405" spans="1:14" x14ac:dyDescent="0.15">
      <c r="A2405" s="1">
        <v>290</v>
      </c>
      <c r="B2405" s="1" t="s">
        <v>3475</v>
      </c>
      <c r="C2405" s="1" t="s">
        <v>3483</v>
      </c>
      <c r="D2405" s="1" t="s">
        <v>3484</v>
      </c>
      <c r="E2405" s="1" t="s">
        <v>3483</v>
      </c>
      <c r="F2405" s="1" t="s">
        <v>3484</v>
      </c>
      <c r="G2405" s="1" t="s">
        <v>3485</v>
      </c>
      <c r="H2405" s="1" t="s">
        <v>3484</v>
      </c>
      <c r="I2405" s="1" t="s">
        <v>11028</v>
      </c>
      <c r="J2405" s="1" t="s">
        <v>3473</v>
      </c>
      <c r="K2405" s="1">
        <v>13</v>
      </c>
      <c r="L2405" s="1" t="s">
        <v>4219</v>
      </c>
      <c r="M2405" s="1">
        <v>3</v>
      </c>
      <c r="N2405" s="1" t="s">
        <v>3241</v>
      </c>
    </row>
    <row r="2406" spans="1:14" x14ac:dyDescent="0.15">
      <c r="A2406" s="1">
        <v>290</v>
      </c>
      <c r="B2406" s="1" t="s">
        <v>3475</v>
      </c>
      <c r="C2406" s="1" t="s">
        <v>3483</v>
      </c>
      <c r="D2406" s="1" t="s">
        <v>3484</v>
      </c>
      <c r="E2406" s="1" t="s">
        <v>3483</v>
      </c>
      <c r="F2406" s="1" t="s">
        <v>3484</v>
      </c>
      <c r="G2406" s="1" t="s">
        <v>3485</v>
      </c>
      <c r="H2406" s="1" t="s">
        <v>3484</v>
      </c>
      <c r="I2406" s="1" t="s">
        <v>10976</v>
      </c>
      <c r="J2406" s="1" t="s">
        <v>17792</v>
      </c>
      <c r="K2406" s="1">
        <v>13</v>
      </c>
      <c r="L2406" s="1" t="s">
        <v>4219</v>
      </c>
      <c r="M2406" s="1">
        <v>3</v>
      </c>
      <c r="N2406" s="1" t="s">
        <v>3241</v>
      </c>
    </row>
    <row r="2407" spans="1:14" x14ac:dyDescent="0.15">
      <c r="A2407" s="1">
        <v>290</v>
      </c>
      <c r="B2407" s="1" t="s">
        <v>3475</v>
      </c>
      <c r="C2407" s="1" t="s">
        <v>3483</v>
      </c>
      <c r="D2407" s="1" t="s">
        <v>3484</v>
      </c>
      <c r="E2407" s="1" t="s">
        <v>3483</v>
      </c>
      <c r="F2407" s="1" t="s">
        <v>3484</v>
      </c>
      <c r="G2407" s="1" t="s">
        <v>3485</v>
      </c>
      <c r="H2407" s="1" t="s">
        <v>3484</v>
      </c>
      <c r="I2407" s="1" t="s">
        <v>11043</v>
      </c>
      <c r="J2407" s="1" t="s">
        <v>3474</v>
      </c>
      <c r="K2407" s="1">
        <v>13</v>
      </c>
      <c r="L2407" s="1" t="s">
        <v>4219</v>
      </c>
      <c r="M2407" s="1">
        <v>3</v>
      </c>
      <c r="N2407" s="1" t="s">
        <v>3241</v>
      </c>
    </row>
    <row r="2408" spans="1:14" x14ac:dyDescent="0.15">
      <c r="A2408" s="1">
        <v>290</v>
      </c>
      <c r="B2408" s="1" t="s">
        <v>3475</v>
      </c>
      <c r="C2408" s="1" t="s">
        <v>3486</v>
      </c>
      <c r="D2408" s="1" t="s">
        <v>3487</v>
      </c>
      <c r="E2408" s="1" t="s">
        <v>3486</v>
      </c>
      <c r="F2408" s="1" t="s">
        <v>3487</v>
      </c>
      <c r="G2408" s="1" t="s">
        <v>3488</v>
      </c>
      <c r="H2408" s="1" t="s">
        <v>3487</v>
      </c>
      <c r="I2408" s="1" t="s">
        <v>14292</v>
      </c>
      <c r="J2408" s="1" t="s">
        <v>3489</v>
      </c>
      <c r="K2408" s="1">
        <v>9</v>
      </c>
      <c r="L2408" s="1" t="s">
        <v>4199</v>
      </c>
      <c r="M2408" s="1">
        <v>12</v>
      </c>
      <c r="N2408" s="1" t="s">
        <v>2841</v>
      </c>
    </row>
    <row r="2409" spans="1:14" x14ac:dyDescent="0.15">
      <c r="A2409" s="1">
        <v>290</v>
      </c>
      <c r="B2409" s="1" t="s">
        <v>3475</v>
      </c>
      <c r="C2409" s="1" t="s">
        <v>3490</v>
      </c>
      <c r="D2409" s="1" t="s">
        <v>3491</v>
      </c>
      <c r="E2409" s="1" t="s">
        <v>3490</v>
      </c>
      <c r="F2409" s="1" t="s">
        <v>3491</v>
      </c>
      <c r="G2409" s="1" t="s">
        <v>3492</v>
      </c>
      <c r="H2409" s="1" t="s">
        <v>3491</v>
      </c>
      <c r="I2409" s="1" t="s">
        <v>11028</v>
      </c>
      <c r="J2409" s="1" t="s">
        <v>3473</v>
      </c>
      <c r="K2409" s="1">
        <v>7</v>
      </c>
      <c r="L2409" s="1" t="s">
        <v>4299</v>
      </c>
      <c r="M2409" s="1">
        <v>3</v>
      </c>
      <c r="N2409" s="1" t="s">
        <v>3241</v>
      </c>
    </row>
    <row r="2410" spans="1:14" x14ac:dyDescent="0.15">
      <c r="A2410" s="1">
        <v>290</v>
      </c>
      <c r="B2410" s="1" t="s">
        <v>3475</v>
      </c>
      <c r="C2410" s="1" t="s">
        <v>3490</v>
      </c>
      <c r="D2410" s="1" t="s">
        <v>3491</v>
      </c>
      <c r="E2410" s="1" t="s">
        <v>3490</v>
      </c>
      <c r="F2410" s="1" t="s">
        <v>3491</v>
      </c>
      <c r="G2410" s="1" t="s">
        <v>3492</v>
      </c>
      <c r="H2410" s="1" t="s">
        <v>3491</v>
      </c>
      <c r="I2410" s="1" t="s">
        <v>10978</v>
      </c>
      <c r="J2410" s="1" t="s">
        <v>3482</v>
      </c>
      <c r="K2410" s="1">
        <v>7</v>
      </c>
      <c r="L2410" s="1" t="s">
        <v>4299</v>
      </c>
      <c r="M2410" s="1">
        <v>3</v>
      </c>
      <c r="N2410" s="1" t="s">
        <v>3241</v>
      </c>
    </row>
    <row r="2411" spans="1:14" x14ac:dyDescent="0.15">
      <c r="A2411" s="1">
        <v>291</v>
      </c>
      <c r="B2411" s="1" t="s">
        <v>3493</v>
      </c>
      <c r="C2411" s="1" t="s">
        <v>3494</v>
      </c>
      <c r="D2411" s="1" t="s">
        <v>3493</v>
      </c>
      <c r="E2411" s="1" t="s">
        <v>3494</v>
      </c>
      <c r="F2411" s="1" t="s">
        <v>3493</v>
      </c>
      <c r="G2411" s="1" t="s">
        <v>3495</v>
      </c>
      <c r="H2411" s="1" t="s">
        <v>3493</v>
      </c>
      <c r="I2411" s="1" t="s">
        <v>11500</v>
      </c>
      <c r="J2411" s="1" t="s">
        <v>3437</v>
      </c>
      <c r="K2411" s="1">
        <v>13</v>
      </c>
      <c r="L2411" s="1" t="s">
        <v>4219</v>
      </c>
      <c r="M2411" s="1">
        <v>3</v>
      </c>
      <c r="N2411" s="1" t="s">
        <v>3241</v>
      </c>
    </row>
    <row r="2412" spans="1:14" x14ac:dyDescent="0.15">
      <c r="A2412" s="1">
        <v>291</v>
      </c>
      <c r="B2412" s="1" t="s">
        <v>3493</v>
      </c>
      <c r="C2412" s="1" t="s">
        <v>3494</v>
      </c>
      <c r="D2412" s="1" t="s">
        <v>3493</v>
      </c>
      <c r="E2412" s="1" t="s">
        <v>3494</v>
      </c>
      <c r="F2412" s="1" t="s">
        <v>3493</v>
      </c>
      <c r="G2412" s="1" t="s">
        <v>3495</v>
      </c>
      <c r="H2412" s="1" t="s">
        <v>3493</v>
      </c>
      <c r="I2412" s="1" t="s">
        <v>13989</v>
      </c>
      <c r="J2412" s="1" t="s">
        <v>4960</v>
      </c>
      <c r="K2412" s="1">
        <v>13</v>
      </c>
      <c r="L2412" s="1" t="s">
        <v>4219</v>
      </c>
      <c r="M2412" s="1">
        <v>3</v>
      </c>
      <c r="N2412" s="1" t="s">
        <v>3241</v>
      </c>
    </row>
    <row r="2413" spans="1:14" x14ac:dyDescent="0.15">
      <c r="A2413" s="1">
        <v>291</v>
      </c>
      <c r="B2413" s="1" t="s">
        <v>3493</v>
      </c>
      <c r="C2413" s="1" t="s">
        <v>3494</v>
      </c>
      <c r="D2413" s="1" t="s">
        <v>3493</v>
      </c>
      <c r="E2413" s="1" t="s">
        <v>3494</v>
      </c>
      <c r="F2413" s="1" t="s">
        <v>3493</v>
      </c>
      <c r="G2413" s="1" t="s">
        <v>3495</v>
      </c>
      <c r="H2413" s="1" t="s">
        <v>3493</v>
      </c>
      <c r="I2413" s="1" t="s">
        <v>14022</v>
      </c>
      <c r="J2413" s="1" t="s">
        <v>14023</v>
      </c>
      <c r="K2413" s="1">
        <v>13</v>
      </c>
      <c r="L2413" s="1" t="s">
        <v>4219</v>
      </c>
      <c r="M2413" s="1">
        <v>3</v>
      </c>
      <c r="N2413" s="1" t="s">
        <v>3241</v>
      </c>
    </row>
    <row r="2414" spans="1:14" x14ac:dyDescent="0.15">
      <c r="A2414" s="1">
        <v>291</v>
      </c>
      <c r="B2414" s="1" t="s">
        <v>3493</v>
      </c>
      <c r="C2414" s="1" t="s">
        <v>3494</v>
      </c>
      <c r="D2414" s="1" t="s">
        <v>3493</v>
      </c>
      <c r="E2414" s="1" t="s">
        <v>3494</v>
      </c>
      <c r="F2414" s="1" t="s">
        <v>3493</v>
      </c>
      <c r="G2414" s="1" t="s">
        <v>3495</v>
      </c>
      <c r="H2414" s="1" t="s">
        <v>3493</v>
      </c>
      <c r="I2414" s="1" t="s">
        <v>14078</v>
      </c>
      <c r="J2414" s="1" t="s">
        <v>14079</v>
      </c>
      <c r="K2414" s="1">
        <v>13</v>
      </c>
      <c r="L2414" s="1" t="s">
        <v>4219</v>
      </c>
      <c r="M2414" s="1">
        <v>3</v>
      </c>
      <c r="N2414" s="1" t="s">
        <v>3241</v>
      </c>
    </row>
    <row r="2415" spans="1:14" x14ac:dyDescent="0.15">
      <c r="A2415" s="1">
        <v>291</v>
      </c>
      <c r="B2415" s="1" t="s">
        <v>3493</v>
      </c>
      <c r="C2415" s="1" t="s">
        <v>3494</v>
      </c>
      <c r="D2415" s="1" t="s">
        <v>3493</v>
      </c>
      <c r="E2415" s="1" t="s">
        <v>3494</v>
      </c>
      <c r="F2415" s="1" t="s">
        <v>3493</v>
      </c>
      <c r="G2415" s="1" t="s">
        <v>3495</v>
      </c>
      <c r="H2415" s="1" t="s">
        <v>3493</v>
      </c>
      <c r="I2415" s="1" t="s">
        <v>14082</v>
      </c>
      <c r="J2415" s="1" t="s">
        <v>14083</v>
      </c>
      <c r="K2415" s="1">
        <v>13</v>
      </c>
      <c r="L2415" s="1" t="s">
        <v>4219</v>
      </c>
      <c r="M2415" s="1">
        <v>3</v>
      </c>
      <c r="N2415" s="1" t="s">
        <v>3241</v>
      </c>
    </row>
    <row r="2416" spans="1:14" x14ac:dyDescent="0.15">
      <c r="A2416" s="1">
        <v>291</v>
      </c>
      <c r="B2416" s="1" t="s">
        <v>3493</v>
      </c>
      <c r="C2416" s="1" t="s">
        <v>3494</v>
      </c>
      <c r="D2416" s="1" t="s">
        <v>3493</v>
      </c>
      <c r="E2416" s="1" t="s">
        <v>3494</v>
      </c>
      <c r="F2416" s="1" t="s">
        <v>3493</v>
      </c>
      <c r="G2416" s="1" t="s">
        <v>3496</v>
      </c>
      <c r="H2416" s="1" t="s">
        <v>3497</v>
      </c>
      <c r="I2416" s="1" t="s">
        <v>11500</v>
      </c>
      <c r="J2416" s="1" t="s">
        <v>3437</v>
      </c>
      <c r="K2416" s="1">
        <v>13</v>
      </c>
      <c r="L2416" s="1" t="s">
        <v>4219</v>
      </c>
      <c r="M2416" s="1">
        <v>3</v>
      </c>
      <c r="N2416" s="1" t="s">
        <v>3241</v>
      </c>
    </row>
    <row r="2417" spans="1:14" x14ac:dyDescent="0.15">
      <c r="A2417" s="1">
        <v>291</v>
      </c>
      <c r="B2417" s="1" t="s">
        <v>3493</v>
      </c>
      <c r="C2417" s="1" t="s">
        <v>3494</v>
      </c>
      <c r="D2417" s="1" t="s">
        <v>3493</v>
      </c>
      <c r="E2417" s="1" t="s">
        <v>3494</v>
      </c>
      <c r="F2417" s="1" t="s">
        <v>3493</v>
      </c>
      <c r="G2417" s="1" t="s">
        <v>3496</v>
      </c>
      <c r="H2417" s="1" t="s">
        <v>3497</v>
      </c>
      <c r="I2417" s="1" t="s">
        <v>13989</v>
      </c>
      <c r="J2417" s="1" t="s">
        <v>4960</v>
      </c>
      <c r="K2417" s="1">
        <v>13</v>
      </c>
      <c r="L2417" s="1" t="s">
        <v>4219</v>
      </c>
      <c r="M2417" s="1">
        <v>3</v>
      </c>
      <c r="N2417" s="1" t="s">
        <v>3241</v>
      </c>
    </row>
    <row r="2418" spans="1:14" x14ac:dyDescent="0.15">
      <c r="A2418" s="1">
        <v>291</v>
      </c>
      <c r="B2418" s="1" t="s">
        <v>3493</v>
      </c>
      <c r="C2418" s="1" t="s">
        <v>3494</v>
      </c>
      <c r="D2418" s="1" t="s">
        <v>3493</v>
      </c>
      <c r="E2418" s="1" t="s">
        <v>3494</v>
      </c>
      <c r="F2418" s="1" t="s">
        <v>3493</v>
      </c>
      <c r="G2418" s="1" t="s">
        <v>3496</v>
      </c>
      <c r="H2418" s="1" t="s">
        <v>3497</v>
      </c>
      <c r="I2418" s="1" t="s">
        <v>14022</v>
      </c>
      <c r="J2418" s="1" t="s">
        <v>14023</v>
      </c>
      <c r="K2418" s="1">
        <v>13</v>
      </c>
      <c r="L2418" s="1" t="s">
        <v>4219</v>
      </c>
      <c r="M2418" s="1">
        <v>3</v>
      </c>
      <c r="N2418" s="1" t="s">
        <v>3241</v>
      </c>
    </row>
    <row r="2419" spans="1:14" x14ac:dyDescent="0.15">
      <c r="A2419" s="1">
        <v>291</v>
      </c>
      <c r="B2419" s="1" t="s">
        <v>3493</v>
      </c>
      <c r="C2419" s="1" t="s">
        <v>3494</v>
      </c>
      <c r="D2419" s="1" t="s">
        <v>3493</v>
      </c>
      <c r="E2419" s="1" t="s">
        <v>3494</v>
      </c>
      <c r="F2419" s="1" t="s">
        <v>3493</v>
      </c>
      <c r="G2419" s="1" t="s">
        <v>3496</v>
      </c>
      <c r="H2419" s="1" t="s">
        <v>3497</v>
      </c>
      <c r="I2419" s="1" t="s">
        <v>14078</v>
      </c>
      <c r="J2419" s="1" t="s">
        <v>14079</v>
      </c>
      <c r="K2419" s="1">
        <v>13</v>
      </c>
      <c r="L2419" s="1" t="s">
        <v>4219</v>
      </c>
      <c r="M2419" s="1">
        <v>3</v>
      </c>
      <c r="N2419" s="1" t="s">
        <v>3241</v>
      </c>
    </row>
    <row r="2420" spans="1:14" x14ac:dyDescent="0.15">
      <c r="A2420" s="1">
        <v>291</v>
      </c>
      <c r="B2420" s="1" t="s">
        <v>3493</v>
      </c>
      <c r="C2420" s="1" t="s">
        <v>3494</v>
      </c>
      <c r="D2420" s="1" t="s">
        <v>3493</v>
      </c>
      <c r="E2420" s="1" t="s">
        <v>3494</v>
      </c>
      <c r="F2420" s="1" t="s">
        <v>3493</v>
      </c>
      <c r="G2420" s="1" t="s">
        <v>3496</v>
      </c>
      <c r="H2420" s="1" t="s">
        <v>3497</v>
      </c>
      <c r="I2420" s="1" t="s">
        <v>14082</v>
      </c>
      <c r="J2420" s="1" t="s">
        <v>14083</v>
      </c>
      <c r="K2420" s="1">
        <v>13</v>
      </c>
      <c r="L2420" s="1" t="s">
        <v>4219</v>
      </c>
      <c r="M2420" s="1">
        <v>3</v>
      </c>
      <c r="N2420" s="1" t="s">
        <v>3241</v>
      </c>
    </row>
    <row r="2421" spans="1:14" x14ac:dyDescent="0.15">
      <c r="A2421" s="1">
        <v>291</v>
      </c>
      <c r="B2421" s="1" t="s">
        <v>3493</v>
      </c>
      <c r="C2421" s="1" t="s">
        <v>3494</v>
      </c>
      <c r="D2421" s="1" t="s">
        <v>3493</v>
      </c>
      <c r="E2421" s="1" t="s">
        <v>3494</v>
      </c>
      <c r="F2421" s="1" t="s">
        <v>3493</v>
      </c>
      <c r="G2421" s="1" t="s">
        <v>3498</v>
      </c>
      <c r="H2421" s="1" t="s">
        <v>3499</v>
      </c>
      <c r="I2421" s="1" t="s">
        <v>13989</v>
      </c>
      <c r="J2421" s="1" t="s">
        <v>4960</v>
      </c>
      <c r="K2421" s="1">
        <v>13</v>
      </c>
      <c r="L2421" s="1" t="s">
        <v>4219</v>
      </c>
      <c r="M2421" s="1">
        <v>3</v>
      </c>
      <c r="N2421" s="1" t="s">
        <v>3241</v>
      </c>
    </row>
    <row r="2422" spans="1:14" x14ac:dyDescent="0.15">
      <c r="A2422" s="1">
        <v>291</v>
      </c>
      <c r="B2422" s="1" t="s">
        <v>3493</v>
      </c>
      <c r="C2422" s="1" t="s">
        <v>3494</v>
      </c>
      <c r="D2422" s="1" t="s">
        <v>3493</v>
      </c>
      <c r="E2422" s="1" t="s">
        <v>3494</v>
      </c>
      <c r="F2422" s="1" t="s">
        <v>3493</v>
      </c>
      <c r="G2422" s="1" t="s">
        <v>3498</v>
      </c>
      <c r="H2422" s="1" t="s">
        <v>3499</v>
      </c>
      <c r="I2422" s="1" t="s">
        <v>14022</v>
      </c>
      <c r="J2422" s="1" t="s">
        <v>14023</v>
      </c>
      <c r="K2422" s="1">
        <v>13</v>
      </c>
      <c r="L2422" s="1" t="s">
        <v>4219</v>
      </c>
      <c r="M2422" s="1">
        <v>3</v>
      </c>
      <c r="N2422" s="1" t="s">
        <v>3241</v>
      </c>
    </row>
    <row r="2423" spans="1:14" x14ac:dyDescent="0.15">
      <c r="A2423" s="1">
        <v>291</v>
      </c>
      <c r="B2423" s="1" t="s">
        <v>3493</v>
      </c>
      <c r="C2423" s="1" t="s">
        <v>3494</v>
      </c>
      <c r="D2423" s="1" t="s">
        <v>3493</v>
      </c>
      <c r="E2423" s="1" t="s">
        <v>3494</v>
      </c>
      <c r="F2423" s="1" t="s">
        <v>3493</v>
      </c>
      <c r="G2423" s="1" t="s">
        <v>3498</v>
      </c>
      <c r="H2423" s="1" t="s">
        <v>3499</v>
      </c>
      <c r="I2423" s="1" t="s">
        <v>14078</v>
      </c>
      <c r="J2423" s="1" t="s">
        <v>14079</v>
      </c>
      <c r="K2423" s="1">
        <v>13</v>
      </c>
      <c r="L2423" s="1" t="s">
        <v>4219</v>
      </c>
      <c r="M2423" s="1">
        <v>3</v>
      </c>
      <c r="N2423" s="1" t="s">
        <v>3241</v>
      </c>
    </row>
    <row r="2424" spans="1:14" x14ac:dyDescent="0.15">
      <c r="A2424" s="1">
        <v>292</v>
      </c>
      <c r="B2424" s="1" t="s">
        <v>3500</v>
      </c>
      <c r="C2424" s="1" t="s">
        <v>3501</v>
      </c>
      <c r="D2424" s="1" t="s">
        <v>3500</v>
      </c>
      <c r="E2424" s="1" t="s">
        <v>3501</v>
      </c>
      <c r="F2424" s="1" t="s">
        <v>3500</v>
      </c>
      <c r="G2424" s="1" t="s">
        <v>3502</v>
      </c>
      <c r="H2424" s="1" t="s">
        <v>3500</v>
      </c>
      <c r="I2424" s="1" t="s">
        <v>11879</v>
      </c>
      <c r="J2424" s="1" t="s">
        <v>4278</v>
      </c>
      <c r="K2424" s="1">
        <v>13</v>
      </c>
      <c r="L2424" s="1" t="s">
        <v>4219</v>
      </c>
      <c r="M2424" s="1">
        <v>3</v>
      </c>
      <c r="N2424" s="1" t="s">
        <v>3241</v>
      </c>
    </row>
    <row r="2425" spans="1:14" x14ac:dyDescent="0.15">
      <c r="A2425" s="1">
        <v>292</v>
      </c>
      <c r="B2425" s="1" t="s">
        <v>3500</v>
      </c>
      <c r="C2425" s="1" t="s">
        <v>3503</v>
      </c>
      <c r="D2425" s="1" t="s">
        <v>3504</v>
      </c>
      <c r="E2425" s="1" t="s">
        <v>3503</v>
      </c>
      <c r="F2425" s="1" t="s">
        <v>3504</v>
      </c>
      <c r="G2425" s="1" t="s">
        <v>3505</v>
      </c>
      <c r="H2425" s="1" t="s">
        <v>3504</v>
      </c>
      <c r="I2425" s="1" t="s">
        <v>10976</v>
      </c>
      <c r="J2425" s="1" t="s">
        <v>17792</v>
      </c>
      <c r="K2425" s="1">
        <v>13</v>
      </c>
      <c r="L2425" s="1" t="s">
        <v>4219</v>
      </c>
      <c r="M2425" s="1">
        <v>3</v>
      </c>
      <c r="N2425" s="1" t="s">
        <v>3241</v>
      </c>
    </row>
    <row r="2426" spans="1:14" x14ac:dyDescent="0.15">
      <c r="A2426" s="1">
        <v>292</v>
      </c>
      <c r="B2426" s="1" t="s">
        <v>3500</v>
      </c>
      <c r="C2426" s="1" t="s">
        <v>3503</v>
      </c>
      <c r="D2426" s="1" t="s">
        <v>3504</v>
      </c>
      <c r="E2426" s="1" t="s">
        <v>3503</v>
      </c>
      <c r="F2426" s="1" t="s">
        <v>3504</v>
      </c>
      <c r="G2426" s="1" t="s">
        <v>3505</v>
      </c>
      <c r="H2426" s="1" t="s">
        <v>3504</v>
      </c>
      <c r="I2426" s="1" t="s">
        <v>11043</v>
      </c>
      <c r="J2426" s="1" t="s">
        <v>3474</v>
      </c>
      <c r="K2426" s="1">
        <v>13</v>
      </c>
      <c r="L2426" s="1" t="s">
        <v>4219</v>
      </c>
      <c r="M2426" s="1">
        <v>3</v>
      </c>
      <c r="N2426" s="1" t="s">
        <v>3241</v>
      </c>
    </row>
    <row r="2427" spans="1:14" x14ac:dyDescent="0.15">
      <c r="A2427" s="1">
        <v>292</v>
      </c>
      <c r="B2427" s="1" t="s">
        <v>3500</v>
      </c>
      <c r="C2427" s="1" t="s">
        <v>3503</v>
      </c>
      <c r="D2427" s="1" t="s">
        <v>3504</v>
      </c>
      <c r="E2427" s="1" t="s">
        <v>3503</v>
      </c>
      <c r="F2427" s="1" t="s">
        <v>3504</v>
      </c>
      <c r="G2427" s="1" t="s">
        <v>3505</v>
      </c>
      <c r="H2427" s="1" t="s">
        <v>3504</v>
      </c>
      <c r="I2427" s="1" t="s">
        <v>14074</v>
      </c>
      <c r="J2427" s="1" t="s">
        <v>3048</v>
      </c>
      <c r="K2427" s="1">
        <v>13</v>
      </c>
      <c r="L2427" s="1" t="s">
        <v>4219</v>
      </c>
      <c r="M2427" s="1">
        <v>3</v>
      </c>
      <c r="N2427" s="1" t="s">
        <v>3241</v>
      </c>
    </row>
    <row r="2428" spans="1:14" x14ac:dyDescent="0.15">
      <c r="A2428" s="1">
        <v>292</v>
      </c>
      <c r="B2428" s="1" t="s">
        <v>3500</v>
      </c>
      <c r="C2428" s="1" t="s">
        <v>3506</v>
      </c>
      <c r="D2428" s="1" t="s">
        <v>3507</v>
      </c>
      <c r="E2428" s="1" t="s">
        <v>3506</v>
      </c>
      <c r="F2428" s="1" t="s">
        <v>3507</v>
      </c>
      <c r="G2428" s="1" t="s">
        <v>3508</v>
      </c>
      <c r="H2428" s="1" t="s">
        <v>3507</v>
      </c>
      <c r="I2428" s="1" t="s">
        <v>11500</v>
      </c>
      <c r="J2428" s="1" t="s">
        <v>3437</v>
      </c>
      <c r="K2428" s="1">
        <v>13</v>
      </c>
      <c r="L2428" s="1" t="s">
        <v>4219</v>
      </c>
      <c r="M2428" s="1">
        <v>3</v>
      </c>
      <c r="N2428" s="1" t="s">
        <v>3241</v>
      </c>
    </row>
    <row r="2429" spans="1:14" x14ac:dyDescent="0.15">
      <c r="A2429" s="1">
        <v>292</v>
      </c>
      <c r="B2429" s="1" t="s">
        <v>3500</v>
      </c>
      <c r="C2429" s="1" t="s">
        <v>3506</v>
      </c>
      <c r="D2429" s="1" t="s">
        <v>3507</v>
      </c>
      <c r="E2429" s="1" t="s">
        <v>3506</v>
      </c>
      <c r="F2429" s="1" t="s">
        <v>3507</v>
      </c>
      <c r="G2429" s="1" t="s">
        <v>3508</v>
      </c>
      <c r="H2429" s="1" t="s">
        <v>3507</v>
      </c>
      <c r="I2429" s="1" t="s">
        <v>17766</v>
      </c>
      <c r="J2429" s="1" t="s">
        <v>3061</v>
      </c>
      <c r="K2429" s="1">
        <v>13</v>
      </c>
      <c r="L2429" s="1" t="s">
        <v>4219</v>
      </c>
      <c r="M2429" s="1">
        <v>3</v>
      </c>
      <c r="N2429" s="1" t="s">
        <v>3241</v>
      </c>
    </row>
    <row r="2430" spans="1:14" x14ac:dyDescent="0.15">
      <c r="A2430" s="1">
        <v>292</v>
      </c>
      <c r="B2430" s="1" t="s">
        <v>3500</v>
      </c>
      <c r="C2430" s="1" t="s">
        <v>3506</v>
      </c>
      <c r="D2430" s="1" t="s">
        <v>3507</v>
      </c>
      <c r="E2430" s="1" t="s">
        <v>3506</v>
      </c>
      <c r="F2430" s="1" t="s">
        <v>3507</v>
      </c>
      <c r="G2430" s="1" t="s">
        <v>3508</v>
      </c>
      <c r="H2430" s="1" t="s">
        <v>3507</v>
      </c>
      <c r="I2430" s="1" t="s">
        <v>11028</v>
      </c>
      <c r="J2430" s="1" t="s">
        <v>3473</v>
      </c>
      <c r="K2430" s="1">
        <v>13</v>
      </c>
      <c r="L2430" s="1" t="s">
        <v>4219</v>
      </c>
      <c r="M2430" s="1">
        <v>3</v>
      </c>
      <c r="N2430" s="1" t="s">
        <v>3241</v>
      </c>
    </row>
    <row r="2431" spans="1:14" x14ac:dyDescent="0.15">
      <c r="A2431" s="1">
        <v>292</v>
      </c>
      <c r="B2431" s="1" t="s">
        <v>3500</v>
      </c>
      <c r="C2431" s="1" t="s">
        <v>3506</v>
      </c>
      <c r="D2431" s="1" t="s">
        <v>3507</v>
      </c>
      <c r="E2431" s="1" t="s">
        <v>3506</v>
      </c>
      <c r="F2431" s="1" t="s">
        <v>3507</v>
      </c>
      <c r="G2431" s="1" t="s">
        <v>3508</v>
      </c>
      <c r="H2431" s="1" t="s">
        <v>3507</v>
      </c>
      <c r="I2431" s="1" t="s">
        <v>10976</v>
      </c>
      <c r="J2431" s="1" t="s">
        <v>17792</v>
      </c>
      <c r="K2431" s="1">
        <v>13</v>
      </c>
      <c r="L2431" s="1" t="s">
        <v>4219</v>
      </c>
      <c r="M2431" s="1">
        <v>3</v>
      </c>
      <c r="N2431" s="1" t="s">
        <v>3241</v>
      </c>
    </row>
    <row r="2432" spans="1:14" x14ac:dyDescent="0.15">
      <c r="A2432" s="1">
        <v>292</v>
      </c>
      <c r="B2432" s="1" t="s">
        <v>3500</v>
      </c>
      <c r="C2432" s="1" t="s">
        <v>3506</v>
      </c>
      <c r="D2432" s="1" t="s">
        <v>3507</v>
      </c>
      <c r="E2432" s="1" t="s">
        <v>3506</v>
      </c>
      <c r="F2432" s="1" t="s">
        <v>3507</v>
      </c>
      <c r="G2432" s="1" t="s">
        <v>3508</v>
      </c>
      <c r="H2432" s="1" t="s">
        <v>3507</v>
      </c>
      <c r="I2432" s="1" t="s">
        <v>11043</v>
      </c>
      <c r="J2432" s="1" t="s">
        <v>3474</v>
      </c>
      <c r="K2432" s="1">
        <v>13</v>
      </c>
      <c r="L2432" s="1" t="s">
        <v>4219</v>
      </c>
      <c r="M2432" s="1">
        <v>3</v>
      </c>
      <c r="N2432" s="1" t="s">
        <v>3241</v>
      </c>
    </row>
    <row r="2433" spans="1:14" x14ac:dyDescent="0.15">
      <c r="A2433" s="1">
        <v>292</v>
      </c>
      <c r="B2433" s="1" t="s">
        <v>3500</v>
      </c>
      <c r="C2433" s="1" t="s">
        <v>3506</v>
      </c>
      <c r="D2433" s="1" t="s">
        <v>3507</v>
      </c>
      <c r="E2433" s="1" t="s">
        <v>3506</v>
      </c>
      <c r="F2433" s="1" t="s">
        <v>3507</v>
      </c>
      <c r="G2433" s="1" t="s">
        <v>3508</v>
      </c>
      <c r="H2433" s="1" t="s">
        <v>3507</v>
      </c>
      <c r="I2433" s="1" t="s">
        <v>14074</v>
      </c>
      <c r="J2433" s="1" t="s">
        <v>3048</v>
      </c>
      <c r="K2433" s="1">
        <v>13</v>
      </c>
      <c r="L2433" s="1" t="s">
        <v>4219</v>
      </c>
      <c r="M2433" s="1">
        <v>3</v>
      </c>
      <c r="N2433" s="1" t="s">
        <v>3241</v>
      </c>
    </row>
    <row r="2434" spans="1:14" x14ac:dyDescent="0.15">
      <c r="A2434" s="1">
        <v>296</v>
      </c>
      <c r="B2434" s="1" t="s">
        <v>3509</v>
      </c>
      <c r="C2434" s="1" t="s">
        <v>3510</v>
      </c>
      <c r="D2434" s="1" t="s">
        <v>3509</v>
      </c>
      <c r="E2434" s="1" t="s">
        <v>3510</v>
      </c>
      <c r="F2434" s="1" t="s">
        <v>3509</v>
      </c>
      <c r="G2434" s="1" t="s">
        <v>3511</v>
      </c>
      <c r="H2434" s="1" t="s">
        <v>3509</v>
      </c>
      <c r="I2434" s="1" t="s">
        <v>11043</v>
      </c>
      <c r="J2434" s="1" t="s">
        <v>3474</v>
      </c>
      <c r="K2434" s="1">
        <v>13</v>
      </c>
      <c r="L2434" s="1" t="s">
        <v>4219</v>
      </c>
      <c r="M2434" s="1">
        <v>3</v>
      </c>
      <c r="N2434" s="1" t="s">
        <v>3241</v>
      </c>
    </row>
    <row r="2435" spans="1:14" x14ac:dyDescent="0.15">
      <c r="A2435" s="1">
        <v>300</v>
      </c>
      <c r="B2435" s="1" t="s">
        <v>3512</v>
      </c>
      <c r="C2435" s="1" t="s">
        <v>3513</v>
      </c>
      <c r="D2435" s="1" t="s">
        <v>3512</v>
      </c>
      <c r="E2435" s="1" t="s">
        <v>3513</v>
      </c>
      <c r="F2435" s="1" t="s">
        <v>3512</v>
      </c>
      <c r="G2435" s="1" t="s">
        <v>3514</v>
      </c>
      <c r="H2435" s="1" t="s">
        <v>3512</v>
      </c>
      <c r="I2435" s="1" t="s">
        <v>14200</v>
      </c>
      <c r="J2435" s="1" t="s">
        <v>4980</v>
      </c>
      <c r="K2435" s="1">
        <v>6</v>
      </c>
      <c r="L2435" s="1" t="s">
        <v>4254</v>
      </c>
      <c r="M2435" s="1">
        <v>8</v>
      </c>
      <c r="N2435" s="1" t="s">
        <v>4255</v>
      </c>
    </row>
    <row r="2436" spans="1:14" x14ac:dyDescent="0.15">
      <c r="A2436" s="1">
        <v>301</v>
      </c>
      <c r="B2436" s="1" t="s">
        <v>3515</v>
      </c>
      <c r="C2436" s="1" t="s">
        <v>3516</v>
      </c>
      <c r="D2436" s="1" t="s">
        <v>3515</v>
      </c>
      <c r="E2436" s="1" t="s">
        <v>3517</v>
      </c>
      <c r="F2436" s="1" t="s">
        <v>3518</v>
      </c>
      <c r="G2436" s="1" t="s">
        <v>3519</v>
      </c>
      <c r="H2436" s="1" t="s">
        <v>3518</v>
      </c>
      <c r="I2436" s="1" t="s">
        <v>13628</v>
      </c>
      <c r="J2436" s="1" t="s">
        <v>4990</v>
      </c>
      <c r="K2436" s="1">
        <v>6</v>
      </c>
      <c r="L2436" s="1" t="s">
        <v>4254</v>
      </c>
      <c r="M2436" s="1">
        <v>8</v>
      </c>
      <c r="N2436" s="1" t="s">
        <v>4255</v>
      </c>
    </row>
    <row r="2437" spans="1:14" x14ac:dyDescent="0.15">
      <c r="A2437" s="1">
        <v>301</v>
      </c>
      <c r="B2437" s="1" t="s">
        <v>3515</v>
      </c>
      <c r="C2437" s="1" t="s">
        <v>3516</v>
      </c>
      <c r="D2437" s="1" t="s">
        <v>3515</v>
      </c>
      <c r="E2437" s="1" t="s">
        <v>3517</v>
      </c>
      <c r="F2437" s="1" t="s">
        <v>3518</v>
      </c>
      <c r="G2437" s="1" t="s">
        <v>3519</v>
      </c>
      <c r="H2437" s="1" t="s">
        <v>3518</v>
      </c>
      <c r="I2437" s="1" t="s">
        <v>8490</v>
      </c>
      <c r="J2437" s="1" t="s">
        <v>3520</v>
      </c>
      <c r="K2437" s="1">
        <v>6</v>
      </c>
      <c r="L2437" s="1" t="s">
        <v>4254</v>
      </c>
      <c r="M2437" s="1">
        <v>8</v>
      </c>
      <c r="N2437" s="1" t="s">
        <v>4255</v>
      </c>
    </row>
    <row r="2438" spans="1:14" x14ac:dyDescent="0.15">
      <c r="A2438" s="1">
        <v>301</v>
      </c>
      <c r="B2438" s="1" t="s">
        <v>3515</v>
      </c>
      <c r="C2438" s="1" t="s">
        <v>3516</v>
      </c>
      <c r="D2438" s="1" t="s">
        <v>3515</v>
      </c>
      <c r="E2438" s="1" t="s">
        <v>3517</v>
      </c>
      <c r="F2438" s="1" t="s">
        <v>3518</v>
      </c>
      <c r="G2438" s="1" t="s">
        <v>3519</v>
      </c>
      <c r="H2438" s="1" t="s">
        <v>3518</v>
      </c>
      <c r="I2438" s="1" t="s">
        <v>8185</v>
      </c>
      <c r="J2438" s="1" t="s">
        <v>3521</v>
      </c>
      <c r="K2438" s="1">
        <v>6</v>
      </c>
      <c r="L2438" s="1" t="s">
        <v>4254</v>
      </c>
      <c r="M2438" s="1">
        <v>8</v>
      </c>
      <c r="N2438" s="1" t="s">
        <v>4255</v>
      </c>
    </row>
    <row r="2439" spans="1:14" x14ac:dyDescent="0.15">
      <c r="A2439" s="1">
        <v>301</v>
      </c>
      <c r="B2439" s="1" t="s">
        <v>3515</v>
      </c>
      <c r="C2439" s="1" t="s">
        <v>3516</v>
      </c>
      <c r="D2439" s="1" t="s">
        <v>3515</v>
      </c>
      <c r="E2439" s="1" t="s">
        <v>3517</v>
      </c>
      <c r="F2439" s="1" t="s">
        <v>3518</v>
      </c>
      <c r="G2439" s="1" t="s">
        <v>3519</v>
      </c>
      <c r="H2439" s="1" t="s">
        <v>3518</v>
      </c>
      <c r="I2439" s="1" t="s">
        <v>8200</v>
      </c>
      <c r="J2439" s="1" t="s">
        <v>3522</v>
      </c>
      <c r="K2439" s="1">
        <v>6</v>
      </c>
      <c r="L2439" s="1" t="s">
        <v>4254</v>
      </c>
      <c r="M2439" s="1">
        <v>8</v>
      </c>
      <c r="N2439" s="1" t="s">
        <v>4255</v>
      </c>
    </row>
    <row r="2440" spans="1:14" x14ac:dyDescent="0.15">
      <c r="A2440" s="1">
        <v>301</v>
      </c>
      <c r="B2440" s="1" t="s">
        <v>3515</v>
      </c>
      <c r="C2440" s="1" t="s">
        <v>3516</v>
      </c>
      <c r="D2440" s="1" t="s">
        <v>3515</v>
      </c>
      <c r="E2440" s="1" t="s">
        <v>3517</v>
      </c>
      <c r="F2440" s="1" t="s">
        <v>3518</v>
      </c>
      <c r="G2440" s="1" t="s">
        <v>3519</v>
      </c>
      <c r="H2440" s="1" t="s">
        <v>3518</v>
      </c>
      <c r="I2440" s="1" t="s">
        <v>7341</v>
      </c>
      <c r="J2440" s="1" t="s">
        <v>13589</v>
      </c>
      <c r="K2440" s="1">
        <v>6</v>
      </c>
      <c r="L2440" s="1" t="s">
        <v>4254</v>
      </c>
      <c r="M2440" s="1">
        <v>8</v>
      </c>
      <c r="N2440" s="1" t="s">
        <v>4255</v>
      </c>
    </row>
    <row r="2441" spans="1:14" x14ac:dyDescent="0.15">
      <c r="A2441" s="1">
        <v>301</v>
      </c>
      <c r="B2441" s="1" t="s">
        <v>3515</v>
      </c>
      <c r="C2441" s="1" t="s">
        <v>3516</v>
      </c>
      <c r="D2441" s="1" t="s">
        <v>3515</v>
      </c>
      <c r="E2441" s="1" t="s">
        <v>3517</v>
      </c>
      <c r="F2441" s="1" t="s">
        <v>3518</v>
      </c>
      <c r="G2441" s="1" t="s">
        <v>3519</v>
      </c>
      <c r="H2441" s="1" t="s">
        <v>3518</v>
      </c>
      <c r="I2441" s="1" t="s">
        <v>7353</v>
      </c>
      <c r="J2441" s="1" t="s">
        <v>12966</v>
      </c>
      <c r="K2441" s="1">
        <v>6</v>
      </c>
      <c r="L2441" s="1" t="s">
        <v>4254</v>
      </c>
      <c r="M2441" s="1">
        <v>8</v>
      </c>
      <c r="N2441" s="1" t="s">
        <v>4255</v>
      </c>
    </row>
    <row r="2442" spans="1:14" x14ac:dyDescent="0.15">
      <c r="A2442" s="1">
        <v>301</v>
      </c>
      <c r="B2442" s="1" t="s">
        <v>3515</v>
      </c>
      <c r="C2442" s="1" t="s">
        <v>3516</v>
      </c>
      <c r="D2442" s="1" t="s">
        <v>3515</v>
      </c>
      <c r="E2442" s="1" t="s">
        <v>3523</v>
      </c>
      <c r="F2442" s="1" t="s">
        <v>3524</v>
      </c>
      <c r="G2442" s="1" t="s">
        <v>3525</v>
      </c>
      <c r="H2442" s="1" t="s">
        <v>3524</v>
      </c>
      <c r="I2442" s="1" t="s">
        <v>8194</v>
      </c>
      <c r="J2442" s="1" t="s">
        <v>3526</v>
      </c>
      <c r="K2442" s="1">
        <v>6</v>
      </c>
      <c r="L2442" s="1" t="s">
        <v>4254</v>
      </c>
      <c r="M2442" s="1">
        <v>8</v>
      </c>
      <c r="N2442" s="1" t="s">
        <v>4255</v>
      </c>
    </row>
    <row r="2443" spans="1:14" x14ac:dyDescent="0.15">
      <c r="A2443" s="1">
        <v>301</v>
      </c>
      <c r="B2443" s="1" t="s">
        <v>3515</v>
      </c>
      <c r="C2443" s="1" t="s">
        <v>3516</v>
      </c>
      <c r="D2443" s="1" t="s">
        <v>3515</v>
      </c>
      <c r="E2443" s="1" t="s">
        <v>3523</v>
      </c>
      <c r="F2443" s="1" t="s">
        <v>3524</v>
      </c>
      <c r="G2443" s="1" t="s">
        <v>3525</v>
      </c>
      <c r="H2443" s="1" t="s">
        <v>3524</v>
      </c>
      <c r="I2443" s="1" t="s">
        <v>7338</v>
      </c>
      <c r="J2443" s="1" t="s">
        <v>13585</v>
      </c>
      <c r="K2443" s="1">
        <v>6</v>
      </c>
      <c r="L2443" s="1" t="s">
        <v>4254</v>
      </c>
      <c r="M2443" s="1">
        <v>8</v>
      </c>
      <c r="N2443" s="1" t="s">
        <v>4255</v>
      </c>
    </row>
    <row r="2444" spans="1:14" x14ac:dyDescent="0.15">
      <c r="A2444" s="1">
        <v>301</v>
      </c>
      <c r="B2444" s="1" t="s">
        <v>3515</v>
      </c>
      <c r="C2444" s="1" t="s">
        <v>3516</v>
      </c>
      <c r="D2444" s="1" t="s">
        <v>3515</v>
      </c>
      <c r="E2444" s="1" t="s">
        <v>3527</v>
      </c>
      <c r="F2444" s="1" t="s">
        <v>3528</v>
      </c>
      <c r="G2444" s="1" t="s">
        <v>3529</v>
      </c>
      <c r="H2444" s="1" t="s">
        <v>3528</v>
      </c>
      <c r="I2444" s="1" t="s">
        <v>8197</v>
      </c>
      <c r="J2444" s="1" t="s">
        <v>3530</v>
      </c>
      <c r="K2444" s="1">
        <v>6</v>
      </c>
      <c r="L2444" s="1" t="s">
        <v>4254</v>
      </c>
      <c r="M2444" s="1">
        <v>8</v>
      </c>
      <c r="N2444" s="1" t="s">
        <v>4255</v>
      </c>
    </row>
    <row r="2445" spans="1:14" x14ac:dyDescent="0.15">
      <c r="A2445" s="1">
        <v>301</v>
      </c>
      <c r="B2445" s="1" t="s">
        <v>3515</v>
      </c>
      <c r="C2445" s="1" t="s">
        <v>3516</v>
      </c>
      <c r="D2445" s="1" t="s">
        <v>3515</v>
      </c>
      <c r="E2445" s="1" t="s">
        <v>3527</v>
      </c>
      <c r="F2445" s="1" t="s">
        <v>3528</v>
      </c>
      <c r="G2445" s="1" t="s">
        <v>3529</v>
      </c>
      <c r="H2445" s="1" t="s">
        <v>3528</v>
      </c>
      <c r="I2445" s="1" t="s">
        <v>7350</v>
      </c>
      <c r="J2445" s="1" t="s">
        <v>12962</v>
      </c>
      <c r="K2445" s="1">
        <v>6</v>
      </c>
      <c r="L2445" s="1" t="s">
        <v>4254</v>
      </c>
      <c r="M2445" s="1">
        <v>8</v>
      </c>
      <c r="N2445" s="1" t="s">
        <v>4255</v>
      </c>
    </row>
    <row r="2446" spans="1:14" x14ac:dyDescent="0.15">
      <c r="A2446" s="1">
        <v>301</v>
      </c>
      <c r="B2446" s="1" t="s">
        <v>3515</v>
      </c>
      <c r="C2446" s="1" t="s">
        <v>3516</v>
      </c>
      <c r="D2446" s="1" t="s">
        <v>3515</v>
      </c>
      <c r="E2446" s="1" t="s">
        <v>3531</v>
      </c>
      <c r="F2446" s="1" t="s">
        <v>3532</v>
      </c>
      <c r="G2446" s="1" t="s">
        <v>3533</v>
      </c>
      <c r="H2446" s="1" t="s">
        <v>3532</v>
      </c>
      <c r="I2446" s="1" t="s">
        <v>8206</v>
      </c>
      <c r="J2446" s="1" t="s">
        <v>3534</v>
      </c>
      <c r="K2446" s="1">
        <v>6</v>
      </c>
      <c r="L2446" s="1" t="s">
        <v>4254</v>
      </c>
      <c r="M2446" s="1">
        <v>8</v>
      </c>
      <c r="N2446" s="1" t="s">
        <v>4255</v>
      </c>
    </row>
    <row r="2447" spans="1:14" x14ac:dyDescent="0.15">
      <c r="A2447" s="1">
        <v>301</v>
      </c>
      <c r="B2447" s="1" t="s">
        <v>3515</v>
      </c>
      <c r="C2447" s="1" t="s">
        <v>3516</v>
      </c>
      <c r="D2447" s="1" t="s">
        <v>3515</v>
      </c>
      <c r="E2447" s="1" t="s">
        <v>3531</v>
      </c>
      <c r="F2447" s="1" t="s">
        <v>3532</v>
      </c>
      <c r="G2447" s="1" t="s">
        <v>3533</v>
      </c>
      <c r="H2447" s="1" t="s">
        <v>3532</v>
      </c>
      <c r="I2447" s="1" t="s">
        <v>7359</v>
      </c>
      <c r="J2447" s="1" t="s">
        <v>12974</v>
      </c>
      <c r="K2447" s="1">
        <v>6</v>
      </c>
      <c r="L2447" s="1" t="s">
        <v>4254</v>
      </c>
      <c r="M2447" s="1">
        <v>8</v>
      </c>
      <c r="N2447" s="1" t="s">
        <v>4255</v>
      </c>
    </row>
    <row r="2448" spans="1:14" x14ac:dyDescent="0.15">
      <c r="A2448" s="1">
        <v>301</v>
      </c>
      <c r="B2448" s="1" t="s">
        <v>3515</v>
      </c>
      <c r="C2448" s="1" t="s">
        <v>3516</v>
      </c>
      <c r="D2448" s="1" t="s">
        <v>3515</v>
      </c>
      <c r="E2448" s="1" t="s">
        <v>3535</v>
      </c>
      <c r="F2448" s="1" t="s">
        <v>3536</v>
      </c>
      <c r="G2448" s="1" t="s">
        <v>3535</v>
      </c>
      <c r="H2448" s="1" t="s">
        <v>3536</v>
      </c>
      <c r="I2448" s="1" t="s">
        <v>13635</v>
      </c>
      <c r="J2448" s="1" t="s">
        <v>4992</v>
      </c>
      <c r="K2448" s="1">
        <v>6</v>
      </c>
      <c r="L2448" s="1" t="s">
        <v>4254</v>
      </c>
      <c r="M2448" s="1">
        <v>8</v>
      </c>
      <c r="N2448" s="1" t="s">
        <v>4255</v>
      </c>
    </row>
    <row r="2449" spans="1:14" x14ac:dyDescent="0.15">
      <c r="A2449" s="1">
        <v>306</v>
      </c>
      <c r="B2449" s="1" t="s">
        <v>4250</v>
      </c>
      <c r="C2449" s="1" t="s">
        <v>4251</v>
      </c>
      <c r="D2449" s="1" t="s">
        <v>4252</v>
      </c>
      <c r="E2449" s="1" t="s">
        <v>4251</v>
      </c>
      <c r="F2449" s="1" t="s">
        <v>4252</v>
      </c>
      <c r="G2449" s="1" t="s">
        <v>4253</v>
      </c>
      <c r="H2449" s="1" t="s">
        <v>4252</v>
      </c>
      <c r="I2449" s="1" t="s">
        <v>7494</v>
      </c>
      <c r="J2449" s="1" t="s">
        <v>5446</v>
      </c>
      <c r="K2449" s="1">
        <v>6</v>
      </c>
      <c r="L2449" s="1" t="s">
        <v>4254</v>
      </c>
      <c r="M2449" s="1">
        <v>8</v>
      </c>
      <c r="N2449" s="1" t="s">
        <v>4255</v>
      </c>
    </row>
    <row r="2450" spans="1:14" x14ac:dyDescent="0.15">
      <c r="A2450" s="1">
        <v>306</v>
      </c>
      <c r="B2450" s="1" t="s">
        <v>4250</v>
      </c>
      <c r="C2450" s="1" t="s">
        <v>4251</v>
      </c>
      <c r="D2450" s="1" t="s">
        <v>4252</v>
      </c>
      <c r="E2450" s="1" t="s">
        <v>4251</v>
      </c>
      <c r="F2450" s="1" t="s">
        <v>4252</v>
      </c>
      <c r="G2450" s="1" t="s">
        <v>4253</v>
      </c>
      <c r="H2450" s="1" t="s">
        <v>4252</v>
      </c>
      <c r="I2450" s="1" t="s">
        <v>7027</v>
      </c>
      <c r="J2450" s="1" t="s">
        <v>5453</v>
      </c>
      <c r="K2450" s="1">
        <v>6</v>
      </c>
      <c r="L2450" s="1" t="s">
        <v>4254</v>
      </c>
      <c r="M2450" s="1">
        <v>8</v>
      </c>
      <c r="N2450" s="1" t="s">
        <v>4255</v>
      </c>
    </row>
    <row r="2451" spans="1:14" x14ac:dyDescent="0.15">
      <c r="A2451" s="1">
        <v>306</v>
      </c>
      <c r="B2451" s="1" t="s">
        <v>4250</v>
      </c>
      <c r="C2451" s="1" t="s">
        <v>4251</v>
      </c>
      <c r="D2451" s="1" t="s">
        <v>4252</v>
      </c>
      <c r="E2451" s="1" t="s">
        <v>4251</v>
      </c>
      <c r="F2451" s="1" t="s">
        <v>4252</v>
      </c>
      <c r="G2451" s="1" t="s">
        <v>4253</v>
      </c>
      <c r="H2451" s="1" t="s">
        <v>4252</v>
      </c>
      <c r="I2451" s="1" t="s">
        <v>7030</v>
      </c>
      <c r="J2451" s="1" t="s">
        <v>5454</v>
      </c>
      <c r="K2451" s="1">
        <v>6</v>
      </c>
      <c r="L2451" s="1" t="s">
        <v>4254</v>
      </c>
      <c r="M2451" s="1">
        <v>8</v>
      </c>
      <c r="N2451" s="1" t="s">
        <v>4255</v>
      </c>
    </row>
    <row r="2452" spans="1:14" x14ac:dyDescent="0.15">
      <c r="A2452" s="1">
        <v>301</v>
      </c>
      <c r="B2452" s="1" t="s">
        <v>3515</v>
      </c>
      <c r="C2452" s="1" t="s">
        <v>3516</v>
      </c>
      <c r="D2452" s="1" t="s">
        <v>3515</v>
      </c>
      <c r="E2452" s="1" t="s">
        <v>3535</v>
      </c>
      <c r="F2452" s="1" t="s">
        <v>3536</v>
      </c>
      <c r="G2452" s="1" t="s">
        <v>3535</v>
      </c>
      <c r="H2452" s="1" t="s">
        <v>3536</v>
      </c>
      <c r="I2452" s="1" t="s">
        <v>8493</v>
      </c>
      <c r="J2452" s="1" t="s">
        <v>3537</v>
      </c>
      <c r="K2452" s="1">
        <v>6</v>
      </c>
      <c r="L2452" s="1" t="s">
        <v>4254</v>
      </c>
      <c r="M2452" s="1">
        <v>8</v>
      </c>
      <c r="N2452" s="1" t="s">
        <v>4255</v>
      </c>
    </row>
    <row r="2453" spans="1:14" x14ac:dyDescent="0.15">
      <c r="A2453" s="1">
        <v>301</v>
      </c>
      <c r="B2453" s="1" t="s">
        <v>3515</v>
      </c>
      <c r="C2453" s="1" t="s">
        <v>3516</v>
      </c>
      <c r="D2453" s="1" t="s">
        <v>3515</v>
      </c>
      <c r="E2453" s="1" t="s">
        <v>3535</v>
      </c>
      <c r="F2453" s="1" t="s">
        <v>3536</v>
      </c>
      <c r="G2453" s="1" t="s">
        <v>3535</v>
      </c>
      <c r="H2453" s="1" t="s">
        <v>3536</v>
      </c>
      <c r="I2453" s="1" t="s">
        <v>8188</v>
      </c>
      <c r="J2453" s="1" t="s">
        <v>3538</v>
      </c>
      <c r="K2453" s="1">
        <v>6</v>
      </c>
      <c r="L2453" s="1" t="s">
        <v>4254</v>
      </c>
      <c r="M2453" s="1">
        <v>8</v>
      </c>
      <c r="N2453" s="1" t="s">
        <v>4255</v>
      </c>
    </row>
    <row r="2454" spans="1:14" x14ac:dyDescent="0.15">
      <c r="A2454" s="1">
        <v>301</v>
      </c>
      <c r="B2454" s="1" t="s">
        <v>3515</v>
      </c>
      <c r="C2454" s="1" t="s">
        <v>3516</v>
      </c>
      <c r="D2454" s="1" t="s">
        <v>3515</v>
      </c>
      <c r="E2454" s="1" t="s">
        <v>3535</v>
      </c>
      <c r="F2454" s="1" t="s">
        <v>3536</v>
      </c>
      <c r="G2454" s="1" t="s">
        <v>3535</v>
      </c>
      <c r="H2454" s="1" t="s">
        <v>3536</v>
      </c>
      <c r="I2454" s="1" t="s">
        <v>8191</v>
      </c>
      <c r="J2454" s="1" t="s">
        <v>3539</v>
      </c>
      <c r="K2454" s="1">
        <v>6</v>
      </c>
      <c r="L2454" s="1" t="s">
        <v>4254</v>
      </c>
      <c r="M2454" s="1">
        <v>8</v>
      </c>
      <c r="N2454" s="1" t="s">
        <v>4255</v>
      </c>
    </row>
    <row r="2455" spans="1:14" x14ac:dyDescent="0.15">
      <c r="A2455" s="1">
        <v>301</v>
      </c>
      <c r="B2455" s="1" t="s">
        <v>3515</v>
      </c>
      <c r="C2455" s="1" t="s">
        <v>3516</v>
      </c>
      <c r="D2455" s="1" t="s">
        <v>3515</v>
      </c>
      <c r="E2455" s="1" t="s">
        <v>3535</v>
      </c>
      <c r="F2455" s="1" t="s">
        <v>3536</v>
      </c>
      <c r="G2455" s="1" t="s">
        <v>3535</v>
      </c>
      <c r="H2455" s="1" t="s">
        <v>3536</v>
      </c>
      <c r="I2455" s="1" t="s">
        <v>8203</v>
      </c>
      <c r="J2455" s="1" t="s">
        <v>3540</v>
      </c>
      <c r="K2455" s="1">
        <v>6</v>
      </c>
      <c r="L2455" s="1" t="s">
        <v>4254</v>
      </c>
      <c r="M2455" s="1">
        <v>8</v>
      </c>
      <c r="N2455" s="1" t="s">
        <v>4255</v>
      </c>
    </row>
    <row r="2456" spans="1:14" x14ac:dyDescent="0.15">
      <c r="A2456" s="1">
        <v>301</v>
      </c>
      <c r="B2456" s="1" t="s">
        <v>3515</v>
      </c>
      <c r="C2456" s="1" t="s">
        <v>3516</v>
      </c>
      <c r="D2456" s="1" t="s">
        <v>3515</v>
      </c>
      <c r="E2456" s="1" t="s">
        <v>3535</v>
      </c>
      <c r="F2456" s="1" t="s">
        <v>3536</v>
      </c>
      <c r="G2456" s="1" t="s">
        <v>3535</v>
      </c>
      <c r="H2456" s="1" t="s">
        <v>3536</v>
      </c>
      <c r="I2456" s="1" t="s">
        <v>8209</v>
      </c>
      <c r="J2456" s="1" t="s">
        <v>3541</v>
      </c>
      <c r="K2456" s="1">
        <v>6</v>
      </c>
      <c r="L2456" s="1" t="s">
        <v>4254</v>
      </c>
      <c r="M2456" s="1">
        <v>8</v>
      </c>
      <c r="N2456" s="1" t="s">
        <v>4255</v>
      </c>
    </row>
    <row r="2457" spans="1:14" x14ac:dyDescent="0.15">
      <c r="A2457" s="1">
        <v>301</v>
      </c>
      <c r="B2457" s="1" t="s">
        <v>3515</v>
      </c>
      <c r="C2457" s="1" t="s">
        <v>3516</v>
      </c>
      <c r="D2457" s="1" t="s">
        <v>3515</v>
      </c>
      <c r="E2457" s="1" t="s">
        <v>3535</v>
      </c>
      <c r="F2457" s="1" t="s">
        <v>3536</v>
      </c>
      <c r="G2457" s="1" t="s">
        <v>3535</v>
      </c>
      <c r="H2457" s="1" t="s">
        <v>3536</v>
      </c>
      <c r="I2457" s="1" t="s">
        <v>7341</v>
      </c>
      <c r="J2457" s="1" t="s">
        <v>13589</v>
      </c>
      <c r="K2457" s="1">
        <v>6</v>
      </c>
      <c r="L2457" s="1" t="s">
        <v>4254</v>
      </c>
      <c r="M2457" s="1">
        <v>8</v>
      </c>
      <c r="N2457" s="1" t="s">
        <v>4255</v>
      </c>
    </row>
    <row r="2458" spans="1:14" x14ac:dyDescent="0.15">
      <c r="A2458" s="1">
        <v>301</v>
      </c>
      <c r="B2458" s="1" t="s">
        <v>3515</v>
      </c>
      <c r="C2458" s="1" t="s">
        <v>3516</v>
      </c>
      <c r="D2458" s="1" t="s">
        <v>3515</v>
      </c>
      <c r="E2458" s="1" t="s">
        <v>3535</v>
      </c>
      <c r="F2458" s="1" t="s">
        <v>3536</v>
      </c>
      <c r="G2458" s="1" t="s">
        <v>3535</v>
      </c>
      <c r="H2458" s="1" t="s">
        <v>3536</v>
      </c>
      <c r="I2458" s="1" t="s">
        <v>7344</v>
      </c>
      <c r="J2458" s="1" t="s">
        <v>5396</v>
      </c>
      <c r="K2458" s="1">
        <v>6</v>
      </c>
      <c r="L2458" s="1" t="s">
        <v>4254</v>
      </c>
      <c r="M2458" s="1">
        <v>8</v>
      </c>
      <c r="N2458" s="1" t="s">
        <v>4255</v>
      </c>
    </row>
    <row r="2459" spans="1:14" x14ac:dyDescent="0.15">
      <c r="A2459" s="1">
        <v>301</v>
      </c>
      <c r="B2459" s="1" t="s">
        <v>3515</v>
      </c>
      <c r="C2459" s="1" t="s">
        <v>3516</v>
      </c>
      <c r="D2459" s="1" t="s">
        <v>3515</v>
      </c>
      <c r="E2459" s="1" t="s">
        <v>3535</v>
      </c>
      <c r="F2459" s="1" t="s">
        <v>3536</v>
      </c>
      <c r="G2459" s="1" t="s">
        <v>3535</v>
      </c>
      <c r="H2459" s="1" t="s">
        <v>3536</v>
      </c>
      <c r="I2459" s="1" t="s">
        <v>7347</v>
      </c>
      <c r="J2459" s="1" t="s">
        <v>13597</v>
      </c>
      <c r="K2459" s="1">
        <v>6</v>
      </c>
      <c r="L2459" s="1" t="s">
        <v>4254</v>
      </c>
      <c r="M2459" s="1">
        <v>8</v>
      </c>
      <c r="N2459" s="1" t="s">
        <v>4255</v>
      </c>
    </row>
    <row r="2460" spans="1:14" x14ac:dyDescent="0.15">
      <c r="A2460" s="1">
        <v>301</v>
      </c>
      <c r="B2460" s="1" t="s">
        <v>3515</v>
      </c>
      <c r="C2460" s="1" t="s">
        <v>3516</v>
      </c>
      <c r="D2460" s="1" t="s">
        <v>3515</v>
      </c>
      <c r="E2460" s="1" t="s">
        <v>3535</v>
      </c>
      <c r="F2460" s="1" t="s">
        <v>3536</v>
      </c>
      <c r="G2460" s="1" t="s">
        <v>3535</v>
      </c>
      <c r="H2460" s="1" t="s">
        <v>3536</v>
      </c>
      <c r="I2460" s="1" t="s">
        <v>7356</v>
      </c>
      <c r="J2460" s="1" t="s">
        <v>12970</v>
      </c>
      <c r="K2460" s="1">
        <v>6</v>
      </c>
      <c r="L2460" s="1" t="s">
        <v>4254</v>
      </c>
      <c r="M2460" s="1">
        <v>8</v>
      </c>
      <c r="N2460" s="1" t="s">
        <v>4255</v>
      </c>
    </row>
    <row r="2461" spans="1:14" x14ac:dyDescent="0.15">
      <c r="A2461" s="1">
        <v>301</v>
      </c>
      <c r="B2461" s="1" t="s">
        <v>3515</v>
      </c>
      <c r="C2461" s="1" t="s">
        <v>3516</v>
      </c>
      <c r="D2461" s="1" t="s">
        <v>3515</v>
      </c>
      <c r="E2461" s="1" t="s">
        <v>3535</v>
      </c>
      <c r="F2461" s="1" t="s">
        <v>3536</v>
      </c>
      <c r="G2461" s="1" t="s">
        <v>3535</v>
      </c>
      <c r="H2461" s="1" t="s">
        <v>3536</v>
      </c>
      <c r="I2461" s="1" t="s">
        <v>7362</v>
      </c>
      <c r="J2461" s="1" t="s">
        <v>5397</v>
      </c>
      <c r="K2461" s="1">
        <v>6</v>
      </c>
      <c r="L2461" s="1" t="s">
        <v>4254</v>
      </c>
      <c r="M2461" s="1">
        <v>8</v>
      </c>
      <c r="N2461" s="1" t="s">
        <v>4255</v>
      </c>
    </row>
    <row r="2462" spans="1:14" x14ac:dyDescent="0.15">
      <c r="A2462" s="1">
        <v>303</v>
      </c>
      <c r="B2462" s="1" t="s">
        <v>3542</v>
      </c>
      <c r="C2462" s="1" t="s">
        <v>3543</v>
      </c>
      <c r="D2462" s="1" t="s">
        <v>3542</v>
      </c>
      <c r="E2462" s="1" t="s">
        <v>3543</v>
      </c>
      <c r="F2462" s="1" t="s">
        <v>3542</v>
      </c>
      <c r="G2462" s="1" t="s">
        <v>3544</v>
      </c>
      <c r="H2462" s="1" t="s">
        <v>3542</v>
      </c>
      <c r="I2462" s="1" t="s">
        <v>17180</v>
      </c>
      <c r="J2462" s="1" t="s">
        <v>3545</v>
      </c>
      <c r="K2462" s="1">
        <v>6</v>
      </c>
      <c r="L2462" s="1" t="s">
        <v>4254</v>
      </c>
      <c r="M2462" s="1">
        <v>8</v>
      </c>
      <c r="N2462" s="1" t="s">
        <v>4255</v>
      </c>
    </row>
    <row r="2463" spans="1:14" x14ac:dyDescent="0.15">
      <c r="A2463" s="1">
        <v>303</v>
      </c>
      <c r="B2463" s="1" t="s">
        <v>3542</v>
      </c>
      <c r="C2463" s="1" t="s">
        <v>3543</v>
      </c>
      <c r="D2463" s="1" t="s">
        <v>3542</v>
      </c>
      <c r="E2463" s="1" t="s">
        <v>3543</v>
      </c>
      <c r="F2463" s="1" t="s">
        <v>3542</v>
      </c>
      <c r="G2463" s="1" t="s">
        <v>3544</v>
      </c>
      <c r="H2463" s="1" t="s">
        <v>3542</v>
      </c>
      <c r="I2463" s="1" t="s">
        <v>12370</v>
      </c>
      <c r="J2463" s="1" t="s">
        <v>3546</v>
      </c>
      <c r="K2463" s="1">
        <v>6</v>
      </c>
      <c r="L2463" s="1" t="s">
        <v>4254</v>
      </c>
      <c r="M2463" s="1">
        <v>8</v>
      </c>
      <c r="N2463" s="1" t="s">
        <v>4255</v>
      </c>
    </row>
    <row r="2464" spans="1:14" x14ac:dyDescent="0.15">
      <c r="A2464" s="1">
        <v>303</v>
      </c>
      <c r="B2464" s="1" t="s">
        <v>3542</v>
      </c>
      <c r="C2464" s="1" t="s">
        <v>3543</v>
      </c>
      <c r="D2464" s="1" t="s">
        <v>3542</v>
      </c>
      <c r="E2464" s="1" t="s">
        <v>3543</v>
      </c>
      <c r="F2464" s="1" t="s">
        <v>3542</v>
      </c>
      <c r="G2464" s="1" t="s">
        <v>3544</v>
      </c>
      <c r="H2464" s="1" t="s">
        <v>3542</v>
      </c>
      <c r="I2464" s="1" t="s">
        <v>17192</v>
      </c>
      <c r="J2464" s="1" t="s">
        <v>5911</v>
      </c>
      <c r="K2464" s="1">
        <v>6</v>
      </c>
      <c r="L2464" s="1" t="s">
        <v>4254</v>
      </c>
      <c r="M2464" s="1">
        <v>8</v>
      </c>
      <c r="N2464" s="1" t="s">
        <v>4255</v>
      </c>
    </row>
    <row r="2465" spans="1:14" x14ac:dyDescent="0.15">
      <c r="A2465" s="1">
        <v>303</v>
      </c>
      <c r="B2465" s="1" t="s">
        <v>3542</v>
      </c>
      <c r="C2465" s="1" t="s">
        <v>3543</v>
      </c>
      <c r="D2465" s="1" t="s">
        <v>3542</v>
      </c>
      <c r="E2465" s="1" t="s">
        <v>3543</v>
      </c>
      <c r="F2465" s="1" t="s">
        <v>3542</v>
      </c>
      <c r="G2465" s="1" t="s">
        <v>3544</v>
      </c>
      <c r="H2465" s="1" t="s">
        <v>3542</v>
      </c>
      <c r="I2465" s="1" t="s">
        <v>17196</v>
      </c>
      <c r="J2465" s="1" t="s">
        <v>3547</v>
      </c>
      <c r="K2465" s="1">
        <v>6</v>
      </c>
      <c r="L2465" s="1" t="s">
        <v>4254</v>
      </c>
      <c r="M2465" s="1">
        <v>8</v>
      </c>
      <c r="N2465" s="1" t="s">
        <v>4255</v>
      </c>
    </row>
    <row r="2466" spans="1:14" x14ac:dyDescent="0.15">
      <c r="A2466" s="1">
        <v>303</v>
      </c>
      <c r="B2466" s="1" t="s">
        <v>3542</v>
      </c>
      <c r="C2466" s="1" t="s">
        <v>3543</v>
      </c>
      <c r="D2466" s="1" t="s">
        <v>3542</v>
      </c>
      <c r="E2466" s="1" t="s">
        <v>3543</v>
      </c>
      <c r="F2466" s="1" t="s">
        <v>3542</v>
      </c>
      <c r="G2466" s="1" t="s">
        <v>3544</v>
      </c>
      <c r="H2466" s="1" t="s">
        <v>3542</v>
      </c>
      <c r="I2466" s="1" t="s">
        <v>11743</v>
      </c>
      <c r="J2466" s="1" t="s">
        <v>6039</v>
      </c>
      <c r="K2466" s="1">
        <v>6</v>
      </c>
      <c r="L2466" s="1" t="s">
        <v>4254</v>
      </c>
      <c r="M2466" s="1">
        <v>8</v>
      </c>
      <c r="N2466" s="1" t="s">
        <v>4255</v>
      </c>
    </row>
    <row r="2467" spans="1:14" x14ac:dyDescent="0.15">
      <c r="A2467" s="1">
        <v>306</v>
      </c>
      <c r="B2467" s="1" t="s">
        <v>4250</v>
      </c>
      <c r="C2467" s="1" t="s">
        <v>4251</v>
      </c>
      <c r="D2467" s="1" t="s">
        <v>4252</v>
      </c>
      <c r="E2467" s="1" t="s">
        <v>4251</v>
      </c>
      <c r="F2467" s="1" t="s">
        <v>4252</v>
      </c>
      <c r="G2467" s="1" t="s">
        <v>4253</v>
      </c>
      <c r="H2467" s="1" t="s">
        <v>4252</v>
      </c>
      <c r="I2467" s="1" t="s">
        <v>7063</v>
      </c>
      <c r="J2467" s="1" t="s">
        <v>5466</v>
      </c>
      <c r="K2467" s="1">
        <v>6</v>
      </c>
      <c r="L2467" s="1" t="s">
        <v>4254</v>
      </c>
      <c r="M2467" s="1">
        <v>8</v>
      </c>
      <c r="N2467" s="1" t="s">
        <v>4255</v>
      </c>
    </row>
    <row r="2468" spans="1:14" x14ac:dyDescent="0.15">
      <c r="A2468" s="1">
        <v>306</v>
      </c>
      <c r="B2468" s="1" t="s">
        <v>4250</v>
      </c>
      <c r="C2468" s="1" t="s">
        <v>4251</v>
      </c>
      <c r="D2468" s="1" t="s">
        <v>4252</v>
      </c>
      <c r="E2468" s="1" t="s">
        <v>4251</v>
      </c>
      <c r="F2468" s="1" t="s">
        <v>4252</v>
      </c>
      <c r="G2468" s="1" t="s">
        <v>4253</v>
      </c>
      <c r="H2468" s="1" t="s">
        <v>4252</v>
      </c>
      <c r="I2468" s="1" t="s">
        <v>7066</v>
      </c>
      <c r="J2468" s="1" t="s">
        <v>5467</v>
      </c>
      <c r="K2468" s="1">
        <v>6</v>
      </c>
      <c r="L2468" s="1" t="s">
        <v>4254</v>
      </c>
      <c r="M2468" s="1">
        <v>8</v>
      </c>
      <c r="N2468" s="1" t="s">
        <v>4255</v>
      </c>
    </row>
    <row r="2469" spans="1:14" x14ac:dyDescent="0.15">
      <c r="A2469" s="1">
        <v>306</v>
      </c>
      <c r="B2469" s="1" t="s">
        <v>4250</v>
      </c>
      <c r="C2469" s="1" t="s">
        <v>4251</v>
      </c>
      <c r="D2469" s="1" t="s">
        <v>4252</v>
      </c>
      <c r="E2469" s="1" t="s">
        <v>4251</v>
      </c>
      <c r="F2469" s="1" t="s">
        <v>4252</v>
      </c>
      <c r="G2469" s="1" t="s">
        <v>4253</v>
      </c>
      <c r="H2469" s="1" t="s">
        <v>4252</v>
      </c>
      <c r="I2469" s="1" t="s">
        <v>7069</v>
      </c>
      <c r="J2469" s="1" t="s">
        <v>5468</v>
      </c>
      <c r="K2469" s="1">
        <v>6</v>
      </c>
      <c r="L2469" s="1" t="s">
        <v>4254</v>
      </c>
      <c r="M2469" s="1">
        <v>8</v>
      </c>
      <c r="N2469" s="1" t="s">
        <v>4255</v>
      </c>
    </row>
    <row r="2470" spans="1:14" x14ac:dyDescent="0.15">
      <c r="A2470" s="1">
        <v>306</v>
      </c>
      <c r="B2470" s="1" t="s">
        <v>4250</v>
      </c>
      <c r="C2470" s="1" t="s">
        <v>4251</v>
      </c>
      <c r="D2470" s="1" t="s">
        <v>4252</v>
      </c>
      <c r="E2470" s="1" t="s">
        <v>4251</v>
      </c>
      <c r="F2470" s="1" t="s">
        <v>4252</v>
      </c>
      <c r="G2470" s="1" t="s">
        <v>4253</v>
      </c>
      <c r="H2470" s="1" t="s">
        <v>4252</v>
      </c>
      <c r="I2470" s="1" t="s">
        <v>7072</v>
      </c>
      <c r="J2470" s="1" t="s">
        <v>5469</v>
      </c>
      <c r="K2470" s="1">
        <v>6</v>
      </c>
      <c r="L2470" s="1" t="s">
        <v>4254</v>
      </c>
      <c r="M2470" s="1">
        <v>8</v>
      </c>
      <c r="N2470" s="1" t="s">
        <v>4255</v>
      </c>
    </row>
    <row r="2471" spans="1:14" x14ac:dyDescent="0.15">
      <c r="A2471" s="1">
        <v>303</v>
      </c>
      <c r="B2471" s="1" t="s">
        <v>3542</v>
      </c>
      <c r="C2471" s="1" t="s">
        <v>3543</v>
      </c>
      <c r="D2471" s="1" t="s">
        <v>3542</v>
      </c>
      <c r="E2471" s="1" t="s">
        <v>3543</v>
      </c>
      <c r="F2471" s="1" t="s">
        <v>3542</v>
      </c>
      <c r="G2471" s="1" t="s">
        <v>3544</v>
      </c>
      <c r="H2471" s="1" t="s">
        <v>3542</v>
      </c>
      <c r="I2471" s="1" t="s">
        <v>7739</v>
      </c>
      <c r="J2471" s="1" t="s">
        <v>3548</v>
      </c>
      <c r="K2471" s="1">
        <v>6</v>
      </c>
      <c r="L2471" s="1" t="s">
        <v>4254</v>
      </c>
      <c r="M2471" s="1">
        <v>8</v>
      </c>
      <c r="N2471" s="1" t="s">
        <v>4255</v>
      </c>
    </row>
    <row r="2472" spans="1:14" x14ac:dyDescent="0.15">
      <c r="A2472" s="1">
        <v>303</v>
      </c>
      <c r="B2472" s="1" t="s">
        <v>3542</v>
      </c>
      <c r="C2472" s="1" t="s">
        <v>3543</v>
      </c>
      <c r="D2472" s="1" t="s">
        <v>3542</v>
      </c>
      <c r="E2472" s="1" t="s">
        <v>3543</v>
      </c>
      <c r="F2472" s="1" t="s">
        <v>3542</v>
      </c>
      <c r="G2472" s="1" t="s">
        <v>3544</v>
      </c>
      <c r="H2472" s="1" t="s">
        <v>3542</v>
      </c>
      <c r="I2472" s="1" t="s">
        <v>7742</v>
      </c>
      <c r="J2472" s="1" t="s">
        <v>3549</v>
      </c>
      <c r="K2472" s="1">
        <v>6</v>
      </c>
      <c r="L2472" s="1" t="s">
        <v>4254</v>
      </c>
      <c r="M2472" s="1">
        <v>8</v>
      </c>
      <c r="N2472" s="1" t="s">
        <v>4255</v>
      </c>
    </row>
    <row r="2473" spans="1:14" x14ac:dyDescent="0.15">
      <c r="A2473" s="1">
        <v>303</v>
      </c>
      <c r="B2473" s="1" t="s">
        <v>3542</v>
      </c>
      <c r="C2473" s="1" t="s">
        <v>3543</v>
      </c>
      <c r="D2473" s="1" t="s">
        <v>3542</v>
      </c>
      <c r="E2473" s="1" t="s">
        <v>3543</v>
      </c>
      <c r="F2473" s="1" t="s">
        <v>3542</v>
      </c>
      <c r="G2473" s="1" t="s">
        <v>3544</v>
      </c>
      <c r="H2473" s="1" t="s">
        <v>3542</v>
      </c>
      <c r="I2473" s="1" t="s">
        <v>7751</v>
      </c>
      <c r="J2473" s="1" t="s">
        <v>3550</v>
      </c>
      <c r="K2473" s="1">
        <v>6</v>
      </c>
      <c r="L2473" s="1" t="s">
        <v>4254</v>
      </c>
      <c r="M2473" s="1">
        <v>8</v>
      </c>
      <c r="N2473" s="1" t="s">
        <v>4255</v>
      </c>
    </row>
    <row r="2474" spans="1:14" x14ac:dyDescent="0.15">
      <c r="A2474" s="1">
        <v>304</v>
      </c>
      <c r="B2474" s="1" t="s">
        <v>1188</v>
      </c>
      <c r="C2474" s="1" t="s">
        <v>1189</v>
      </c>
      <c r="D2474" s="1" t="s">
        <v>1188</v>
      </c>
      <c r="E2474" s="1" t="s">
        <v>1189</v>
      </c>
      <c r="F2474" s="1" t="s">
        <v>1188</v>
      </c>
      <c r="G2474" s="1" t="s">
        <v>1190</v>
      </c>
      <c r="H2474" s="1" t="s">
        <v>1188</v>
      </c>
      <c r="I2474" s="1" t="s">
        <v>13388</v>
      </c>
      <c r="J2474" s="1" t="s">
        <v>5122</v>
      </c>
      <c r="K2474" s="1">
        <v>6</v>
      </c>
      <c r="L2474" s="1" t="s">
        <v>4254</v>
      </c>
      <c r="M2474" s="1">
        <v>8</v>
      </c>
      <c r="N2474" s="1" t="s">
        <v>4255</v>
      </c>
    </row>
    <row r="2475" spans="1:14" x14ac:dyDescent="0.15">
      <c r="A2475" s="1">
        <v>305</v>
      </c>
      <c r="B2475" s="1" t="s">
        <v>1191</v>
      </c>
      <c r="C2475" s="1" t="s">
        <v>1192</v>
      </c>
      <c r="D2475" s="1" t="s">
        <v>1191</v>
      </c>
      <c r="E2475" s="1" t="s">
        <v>1192</v>
      </c>
      <c r="F2475" s="1" t="s">
        <v>1191</v>
      </c>
      <c r="G2475" s="1" t="s">
        <v>1193</v>
      </c>
      <c r="H2475" s="1" t="s">
        <v>1191</v>
      </c>
      <c r="I2475" s="1" t="s">
        <v>13427</v>
      </c>
      <c r="J2475" s="1" t="s">
        <v>3005</v>
      </c>
      <c r="K2475" s="1">
        <v>11</v>
      </c>
      <c r="L2475" s="1" t="s">
        <v>4227</v>
      </c>
      <c r="M2475" s="1">
        <v>8</v>
      </c>
      <c r="N2475" s="1" t="s">
        <v>4255</v>
      </c>
    </row>
    <row r="2476" spans="1:14" x14ac:dyDescent="0.15">
      <c r="A2476" s="1">
        <v>305</v>
      </c>
      <c r="B2476" s="1" t="s">
        <v>1191</v>
      </c>
      <c r="C2476" s="1" t="s">
        <v>1192</v>
      </c>
      <c r="D2476" s="1" t="s">
        <v>1191</v>
      </c>
      <c r="E2476" s="1" t="s">
        <v>1192</v>
      </c>
      <c r="F2476" s="1" t="s">
        <v>1191</v>
      </c>
      <c r="G2476" s="1" t="s">
        <v>1193</v>
      </c>
      <c r="H2476" s="1" t="s">
        <v>1191</v>
      </c>
      <c r="I2476" s="1" t="s">
        <v>13431</v>
      </c>
      <c r="J2476" s="1" t="s">
        <v>3006</v>
      </c>
      <c r="K2476" s="1">
        <v>11</v>
      </c>
      <c r="L2476" s="1" t="s">
        <v>4227</v>
      </c>
      <c r="M2476" s="1">
        <v>8</v>
      </c>
      <c r="N2476" s="1" t="s">
        <v>4255</v>
      </c>
    </row>
    <row r="2477" spans="1:14" x14ac:dyDescent="0.15">
      <c r="A2477" s="1">
        <v>305</v>
      </c>
      <c r="B2477" s="1" t="s">
        <v>1191</v>
      </c>
      <c r="C2477" s="1" t="s">
        <v>1192</v>
      </c>
      <c r="D2477" s="1" t="s">
        <v>1191</v>
      </c>
      <c r="E2477" s="1" t="s">
        <v>1192</v>
      </c>
      <c r="F2477" s="1" t="s">
        <v>1191</v>
      </c>
      <c r="G2477" s="1" t="s">
        <v>1193</v>
      </c>
      <c r="H2477" s="1" t="s">
        <v>1191</v>
      </c>
      <c r="I2477" s="1" t="s">
        <v>13435</v>
      </c>
      <c r="J2477" s="1" t="s">
        <v>1194</v>
      </c>
      <c r="K2477" s="1">
        <v>11</v>
      </c>
      <c r="L2477" s="1" t="s">
        <v>4227</v>
      </c>
      <c r="M2477" s="1">
        <v>8</v>
      </c>
      <c r="N2477" s="1" t="s">
        <v>4255</v>
      </c>
    </row>
    <row r="2478" spans="1:14" x14ac:dyDescent="0.15">
      <c r="A2478" s="1">
        <v>305</v>
      </c>
      <c r="B2478" s="1" t="s">
        <v>1191</v>
      </c>
      <c r="C2478" s="1" t="s">
        <v>1192</v>
      </c>
      <c r="D2478" s="1" t="s">
        <v>1191</v>
      </c>
      <c r="E2478" s="1" t="s">
        <v>1192</v>
      </c>
      <c r="F2478" s="1" t="s">
        <v>1191</v>
      </c>
      <c r="G2478" s="1" t="s">
        <v>1193</v>
      </c>
      <c r="H2478" s="1" t="s">
        <v>1191</v>
      </c>
      <c r="I2478" s="1" t="s">
        <v>7891</v>
      </c>
      <c r="J2478" s="1" t="s">
        <v>1195</v>
      </c>
      <c r="K2478" s="1">
        <v>11</v>
      </c>
      <c r="L2478" s="1" t="s">
        <v>4227</v>
      </c>
      <c r="M2478" s="1">
        <v>8</v>
      </c>
      <c r="N2478" s="1" t="s">
        <v>4255</v>
      </c>
    </row>
    <row r="2479" spans="1:14" x14ac:dyDescent="0.15">
      <c r="A2479" s="1">
        <v>305</v>
      </c>
      <c r="B2479" s="1" t="s">
        <v>1191</v>
      </c>
      <c r="C2479" s="1" t="s">
        <v>1192</v>
      </c>
      <c r="D2479" s="1" t="s">
        <v>1191</v>
      </c>
      <c r="E2479" s="1" t="s">
        <v>1192</v>
      </c>
      <c r="F2479" s="1" t="s">
        <v>1191</v>
      </c>
      <c r="G2479" s="1" t="s">
        <v>1193</v>
      </c>
      <c r="H2479" s="1" t="s">
        <v>1191</v>
      </c>
      <c r="I2479" s="1" t="s">
        <v>7894</v>
      </c>
      <c r="J2479" s="1" t="s">
        <v>1196</v>
      </c>
      <c r="K2479" s="1">
        <v>11</v>
      </c>
      <c r="L2479" s="1" t="s">
        <v>4227</v>
      </c>
      <c r="M2479" s="1">
        <v>8</v>
      </c>
      <c r="N2479" s="1" t="s">
        <v>4255</v>
      </c>
    </row>
    <row r="2480" spans="1:14" x14ac:dyDescent="0.15">
      <c r="A2480" s="1">
        <v>305</v>
      </c>
      <c r="B2480" s="1" t="s">
        <v>1191</v>
      </c>
      <c r="C2480" s="1" t="s">
        <v>1192</v>
      </c>
      <c r="D2480" s="1" t="s">
        <v>1191</v>
      </c>
      <c r="E2480" s="1" t="s">
        <v>1192</v>
      </c>
      <c r="F2480" s="1" t="s">
        <v>1191</v>
      </c>
      <c r="G2480" s="1" t="s">
        <v>1193</v>
      </c>
      <c r="H2480" s="1" t="s">
        <v>1191</v>
      </c>
      <c r="I2480" s="1" t="s">
        <v>7894</v>
      </c>
      <c r="J2480" s="1" t="s">
        <v>1197</v>
      </c>
      <c r="K2480" s="1">
        <v>11</v>
      </c>
      <c r="L2480" s="1" t="s">
        <v>4227</v>
      </c>
      <c r="M2480" s="1">
        <v>8</v>
      </c>
      <c r="N2480" s="1" t="s">
        <v>4255</v>
      </c>
    </row>
    <row r="2481" spans="1:14" x14ac:dyDescent="0.15">
      <c r="A2481" s="1">
        <v>305</v>
      </c>
      <c r="B2481" s="1" t="s">
        <v>1191</v>
      </c>
      <c r="C2481" s="1" t="s">
        <v>1192</v>
      </c>
      <c r="D2481" s="1" t="s">
        <v>1191</v>
      </c>
      <c r="E2481" s="1" t="s">
        <v>1192</v>
      </c>
      <c r="F2481" s="1" t="s">
        <v>1191</v>
      </c>
      <c r="G2481" s="1" t="s">
        <v>1193</v>
      </c>
      <c r="H2481" s="1" t="s">
        <v>1191</v>
      </c>
      <c r="I2481" s="1" t="s">
        <v>7900</v>
      </c>
      <c r="J2481" s="1" t="s">
        <v>1198</v>
      </c>
      <c r="K2481" s="1">
        <v>11</v>
      </c>
      <c r="L2481" s="1" t="s">
        <v>4227</v>
      </c>
      <c r="M2481" s="1">
        <v>8</v>
      </c>
      <c r="N2481" s="1" t="s">
        <v>4255</v>
      </c>
    </row>
    <row r="2482" spans="1:14" x14ac:dyDescent="0.15">
      <c r="A2482" s="1">
        <v>305</v>
      </c>
      <c r="B2482" s="1" t="s">
        <v>1191</v>
      </c>
      <c r="C2482" s="1" t="s">
        <v>1192</v>
      </c>
      <c r="D2482" s="1" t="s">
        <v>1191</v>
      </c>
      <c r="E2482" s="1" t="s">
        <v>1192</v>
      </c>
      <c r="F2482" s="1" t="s">
        <v>1191</v>
      </c>
      <c r="G2482" s="1" t="s">
        <v>1193</v>
      </c>
      <c r="H2482" s="1" t="s">
        <v>1191</v>
      </c>
      <c r="I2482" s="1" t="s">
        <v>7903</v>
      </c>
      <c r="J2482" s="1" t="s">
        <v>1199</v>
      </c>
      <c r="K2482" s="1">
        <v>11</v>
      </c>
      <c r="L2482" s="1" t="s">
        <v>4227</v>
      </c>
      <c r="M2482" s="1">
        <v>8</v>
      </c>
      <c r="N2482" s="1" t="s">
        <v>4255</v>
      </c>
    </row>
    <row r="2483" spans="1:14" x14ac:dyDescent="0.15">
      <c r="A2483" s="1">
        <v>305</v>
      </c>
      <c r="B2483" s="1" t="s">
        <v>1191</v>
      </c>
      <c r="C2483" s="1" t="s">
        <v>1192</v>
      </c>
      <c r="D2483" s="1" t="s">
        <v>1191</v>
      </c>
      <c r="E2483" s="1" t="s">
        <v>1192</v>
      </c>
      <c r="F2483" s="1" t="s">
        <v>1191</v>
      </c>
      <c r="G2483" s="1" t="s">
        <v>1193</v>
      </c>
      <c r="H2483" s="1" t="s">
        <v>1191</v>
      </c>
      <c r="I2483" s="1" t="s">
        <v>7906</v>
      </c>
      <c r="J2483" s="1" t="s">
        <v>1200</v>
      </c>
      <c r="K2483" s="1">
        <v>11</v>
      </c>
      <c r="L2483" s="1" t="s">
        <v>4227</v>
      </c>
      <c r="M2483" s="1">
        <v>8</v>
      </c>
      <c r="N2483" s="1" t="s">
        <v>4255</v>
      </c>
    </row>
    <row r="2484" spans="1:14" x14ac:dyDescent="0.15">
      <c r="A2484" s="1">
        <v>305</v>
      </c>
      <c r="B2484" s="1" t="s">
        <v>1191</v>
      </c>
      <c r="C2484" s="1" t="s">
        <v>1192</v>
      </c>
      <c r="D2484" s="1" t="s">
        <v>1191</v>
      </c>
      <c r="E2484" s="1" t="s">
        <v>1192</v>
      </c>
      <c r="F2484" s="1" t="s">
        <v>1191</v>
      </c>
      <c r="G2484" s="1" t="s">
        <v>1193</v>
      </c>
      <c r="H2484" s="1" t="s">
        <v>1191</v>
      </c>
      <c r="I2484" s="1" t="s">
        <v>13439</v>
      </c>
      <c r="J2484" s="1" t="s">
        <v>3007</v>
      </c>
      <c r="K2484" s="1">
        <v>11</v>
      </c>
      <c r="L2484" s="1" t="s">
        <v>4227</v>
      </c>
      <c r="M2484" s="1">
        <v>8</v>
      </c>
      <c r="N2484" s="1" t="s">
        <v>4255</v>
      </c>
    </row>
    <row r="2485" spans="1:14" x14ac:dyDescent="0.15">
      <c r="A2485" s="1">
        <v>306</v>
      </c>
      <c r="B2485" s="1" t="s">
        <v>4250</v>
      </c>
      <c r="C2485" s="1" t="s">
        <v>1201</v>
      </c>
      <c r="D2485" s="1" t="s">
        <v>4250</v>
      </c>
      <c r="E2485" s="1" t="s">
        <v>1201</v>
      </c>
      <c r="F2485" s="1" t="s">
        <v>4250</v>
      </c>
      <c r="G2485" s="1" t="s">
        <v>1202</v>
      </c>
      <c r="H2485" s="1" t="s">
        <v>4250</v>
      </c>
      <c r="I2485" s="1" t="s">
        <v>11879</v>
      </c>
      <c r="J2485" s="1" t="s">
        <v>4278</v>
      </c>
      <c r="K2485" s="1">
        <v>6</v>
      </c>
      <c r="L2485" s="1" t="s">
        <v>4254</v>
      </c>
      <c r="M2485" s="1">
        <v>8</v>
      </c>
      <c r="N2485" s="1" t="s">
        <v>4255</v>
      </c>
    </row>
    <row r="2486" spans="1:14" x14ac:dyDescent="0.15">
      <c r="A2486" s="1">
        <v>306</v>
      </c>
      <c r="B2486" s="1" t="s">
        <v>4250</v>
      </c>
      <c r="C2486" s="1" t="s">
        <v>1203</v>
      </c>
      <c r="D2486" s="1" t="s">
        <v>1204</v>
      </c>
      <c r="E2486" s="1" t="s">
        <v>1203</v>
      </c>
      <c r="F2486" s="1" t="s">
        <v>1204</v>
      </c>
      <c r="G2486" s="1" t="s">
        <v>1205</v>
      </c>
      <c r="H2486" s="1" t="s">
        <v>1204</v>
      </c>
      <c r="I2486" s="1" t="s">
        <v>7374</v>
      </c>
      <c r="J2486" s="1" t="s">
        <v>5402</v>
      </c>
      <c r="K2486" s="1">
        <v>6</v>
      </c>
      <c r="L2486" s="1" t="s">
        <v>4254</v>
      </c>
      <c r="M2486" s="1">
        <v>8</v>
      </c>
      <c r="N2486" s="1" t="s">
        <v>4255</v>
      </c>
    </row>
    <row r="2487" spans="1:14" x14ac:dyDescent="0.15">
      <c r="A2487" s="1">
        <v>306</v>
      </c>
      <c r="B2487" s="1" t="s">
        <v>4250</v>
      </c>
      <c r="C2487" s="1" t="s">
        <v>1203</v>
      </c>
      <c r="D2487" s="1" t="s">
        <v>1204</v>
      </c>
      <c r="E2487" s="1" t="s">
        <v>1203</v>
      </c>
      <c r="F2487" s="1" t="s">
        <v>1204</v>
      </c>
      <c r="G2487" s="1" t="s">
        <v>1205</v>
      </c>
      <c r="H2487" s="1" t="s">
        <v>1204</v>
      </c>
      <c r="I2487" s="1" t="s">
        <v>7395</v>
      </c>
      <c r="J2487" s="1" t="s">
        <v>5390</v>
      </c>
      <c r="K2487" s="1">
        <v>6</v>
      </c>
      <c r="L2487" s="1" t="s">
        <v>4254</v>
      </c>
      <c r="M2487" s="1">
        <v>8</v>
      </c>
      <c r="N2487" s="1" t="s">
        <v>4255</v>
      </c>
    </row>
    <row r="2488" spans="1:14" x14ac:dyDescent="0.15">
      <c r="A2488" s="1">
        <v>306</v>
      </c>
      <c r="B2488" s="1" t="s">
        <v>4250</v>
      </c>
      <c r="C2488" s="1" t="s">
        <v>1206</v>
      </c>
      <c r="D2488" s="1" t="s">
        <v>1207</v>
      </c>
      <c r="E2488" s="1" t="s">
        <v>1206</v>
      </c>
      <c r="F2488" s="1" t="s">
        <v>1207</v>
      </c>
      <c r="G2488" s="1" t="s">
        <v>1208</v>
      </c>
      <c r="H2488" s="1" t="s">
        <v>1207</v>
      </c>
      <c r="I2488" s="1" t="s">
        <v>13846</v>
      </c>
      <c r="J2488" s="1" t="s">
        <v>5082</v>
      </c>
      <c r="K2488" s="1">
        <v>6</v>
      </c>
      <c r="L2488" s="1" t="s">
        <v>4254</v>
      </c>
      <c r="M2488" s="1">
        <v>8</v>
      </c>
      <c r="N2488" s="1" t="s">
        <v>4255</v>
      </c>
    </row>
    <row r="2489" spans="1:14" x14ac:dyDescent="0.15">
      <c r="A2489" s="1">
        <v>306</v>
      </c>
      <c r="B2489" s="1" t="s">
        <v>4250</v>
      </c>
      <c r="C2489" s="1" t="s">
        <v>1206</v>
      </c>
      <c r="D2489" s="1" t="s">
        <v>1207</v>
      </c>
      <c r="E2489" s="1" t="s">
        <v>1206</v>
      </c>
      <c r="F2489" s="1" t="s">
        <v>1207</v>
      </c>
      <c r="G2489" s="1" t="s">
        <v>1208</v>
      </c>
      <c r="H2489" s="1" t="s">
        <v>1207</v>
      </c>
      <c r="I2489" s="1" t="s">
        <v>13420</v>
      </c>
      <c r="J2489" s="1" t="s">
        <v>5129</v>
      </c>
      <c r="K2489" s="1">
        <v>6</v>
      </c>
      <c r="L2489" s="1" t="s">
        <v>4254</v>
      </c>
      <c r="M2489" s="1">
        <v>8</v>
      </c>
      <c r="N2489" s="1" t="s">
        <v>4255</v>
      </c>
    </row>
    <row r="2490" spans="1:14" x14ac:dyDescent="0.15">
      <c r="A2490" s="1">
        <v>306</v>
      </c>
      <c r="B2490" s="1" t="s">
        <v>4250</v>
      </c>
      <c r="C2490" s="1" t="s">
        <v>1206</v>
      </c>
      <c r="D2490" s="1" t="s">
        <v>1207</v>
      </c>
      <c r="E2490" s="1" t="s">
        <v>1206</v>
      </c>
      <c r="F2490" s="1" t="s">
        <v>1207</v>
      </c>
      <c r="G2490" s="1" t="s">
        <v>1208</v>
      </c>
      <c r="H2490" s="1" t="s">
        <v>1207</v>
      </c>
      <c r="I2490" s="1" t="s">
        <v>7419</v>
      </c>
      <c r="J2490" s="1" t="s">
        <v>5416</v>
      </c>
      <c r="K2490" s="1">
        <v>6</v>
      </c>
      <c r="L2490" s="1" t="s">
        <v>4254</v>
      </c>
      <c r="M2490" s="1">
        <v>8</v>
      </c>
      <c r="N2490" s="1" t="s">
        <v>4255</v>
      </c>
    </row>
    <row r="2491" spans="1:14" x14ac:dyDescent="0.15">
      <c r="A2491" s="1">
        <v>306</v>
      </c>
      <c r="B2491" s="1" t="s">
        <v>4250</v>
      </c>
      <c r="C2491" s="1" t="s">
        <v>1209</v>
      </c>
      <c r="D2491" s="1" t="s">
        <v>1210</v>
      </c>
      <c r="E2491" s="1" t="s">
        <v>1209</v>
      </c>
      <c r="F2491" s="1" t="s">
        <v>1210</v>
      </c>
      <c r="G2491" s="1" t="s">
        <v>1211</v>
      </c>
      <c r="H2491" s="1" t="s">
        <v>1210</v>
      </c>
      <c r="I2491" s="1" t="s">
        <v>7380</v>
      </c>
      <c r="J2491" s="1" t="s">
        <v>5404</v>
      </c>
      <c r="K2491" s="1">
        <v>6</v>
      </c>
      <c r="L2491" s="1" t="s">
        <v>4254</v>
      </c>
      <c r="M2491" s="1">
        <v>8</v>
      </c>
      <c r="N2491" s="1" t="s">
        <v>4255</v>
      </c>
    </row>
    <row r="2492" spans="1:14" x14ac:dyDescent="0.15">
      <c r="A2492" s="1">
        <v>306</v>
      </c>
      <c r="B2492" s="1" t="s">
        <v>4250</v>
      </c>
      <c r="C2492" s="1" t="s">
        <v>1209</v>
      </c>
      <c r="D2492" s="1" t="s">
        <v>1210</v>
      </c>
      <c r="E2492" s="1" t="s">
        <v>1209</v>
      </c>
      <c r="F2492" s="1" t="s">
        <v>1210</v>
      </c>
      <c r="G2492" s="1" t="s">
        <v>1211</v>
      </c>
      <c r="H2492" s="1" t="s">
        <v>1210</v>
      </c>
      <c r="I2492" s="1" t="s">
        <v>7398</v>
      </c>
      <c r="J2492" s="1" t="s">
        <v>5408</v>
      </c>
      <c r="K2492" s="1">
        <v>6</v>
      </c>
      <c r="L2492" s="1" t="s">
        <v>4254</v>
      </c>
      <c r="M2492" s="1">
        <v>8</v>
      </c>
      <c r="N2492" s="1" t="s">
        <v>4255</v>
      </c>
    </row>
    <row r="2493" spans="1:14" x14ac:dyDescent="0.15">
      <c r="A2493" s="1">
        <v>306</v>
      </c>
      <c r="B2493" s="1" t="s">
        <v>4250</v>
      </c>
      <c r="C2493" s="1" t="s">
        <v>1209</v>
      </c>
      <c r="D2493" s="1" t="s">
        <v>1210</v>
      </c>
      <c r="E2493" s="1" t="s">
        <v>1209</v>
      </c>
      <c r="F2493" s="1" t="s">
        <v>1210</v>
      </c>
      <c r="G2493" s="1" t="s">
        <v>1211</v>
      </c>
      <c r="H2493" s="1" t="s">
        <v>1210</v>
      </c>
      <c r="I2493" s="1" t="s">
        <v>7416</v>
      </c>
      <c r="J2493" s="1" t="s">
        <v>1212</v>
      </c>
      <c r="K2493" s="1">
        <v>6</v>
      </c>
      <c r="L2493" s="1" t="s">
        <v>4254</v>
      </c>
      <c r="M2493" s="1">
        <v>8</v>
      </c>
      <c r="N2493" s="1" t="s">
        <v>4255</v>
      </c>
    </row>
    <row r="2494" spans="1:14" x14ac:dyDescent="0.15">
      <c r="A2494" s="1">
        <v>306</v>
      </c>
      <c r="B2494" s="1" t="s">
        <v>4250</v>
      </c>
      <c r="C2494" s="1" t="s">
        <v>1209</v>
      </c>
      <c r="D2494" s="1" t="s">
        <v>1210</v>
      </c>
      <c r="E2494" s="1" t="s">
        <v>1209</v>
      </c>
      <c r="F2494" s="1" t="s">
        <v>1210</v>
      </c>
      <c r="G2494" s="1" t="s">
        <v>1211</v>
      </c>
      <c r="H2494" s="1" t="s">
        <v>1210</v>
      </c>
      <c r="I2494" s="1" t="s">
        <v>7425</v>
      </c>
      <c r="J2494" s="1" t="s">
        <v>5418</v>
      </c>
      <c r="K2494" s="1">
        <v>6</v>
      </c>
      <c r="L2494" s="1" t="s">
        <v>4254</v>
      </c>
      <c r="M2494" s="1">
        <v>8</v>
      </c>
      <c r="N2494" s="1" t="s">
        <v>4255</v>
      </c>
    </row>
    <row r="2495" spans="1:14" x14ac:dyDescent="0.15">
      <c r="A2495" s="1">
        <v>306</v>
      </c>
      <c r="B2495" s="1" t="s">
        <v>4250</v>
      </c>
      <c r="C2495" s="1" t="s">
        <v>1209</v>
      </c>
      <c r="D2495" s="1" t="s">
        <v>1210</v>
      </c>
      <c r="E2495" s="1" t="s">
        <v>1209</v>
      </c>
      <c r="F2495" s="1" t="s">
        <v>1210</v>
      </c>
      <c r="G2495" s="1" t="s">
        <v>1211</v>
      </c>
      <c r="H2495" s="1" t="s">
        <v>1210</v>
      </c>
      <c r="I2495" s="1" t="s">
        <v>7431</v>
      </c>
      <c r="J2495" s="1" t="s">
        <v>5421</v>
      </c>
      <c r="K2495" s="1">
        <v>6</v>
      </c>
      <c r="L2495" s="1" t="s">
        <v>4254</v>
      </c>
      <c r="M2495" s="1">
        <v>8</v>
      </c>
      <c r="N2495" s="1" t="s">
        <v>4255</v>
      </c>
    </row>
    <row r="2496" spans="1:14" x14ac:dyDescent="0.15">
      <c r="A2496" s="1">
        <v>306</v>
      </c>
      <c r="B2496" s="1" t="s">
        <v>4250</v>
      </c>
      <c r="C2496" s="1" t="s">
        <v>1209</v>
      </c>
      <c r="D2496" s="1" t="s">
        <v>1210</v>
      </c>
      <c r="E2496" s="1" t="s">
        <v>1209</v>
      </c>
      <c r="F2496" s="1" t="s">
        <v>1210</v>
      </c>
      <c r="G2496" s="1" t="s">
        <v>1211</v>
      </c>
      <c r="H2496" s="1" t="s">
        <v>1210</v>
      </c>
      <c r="I2496" s="1" t="s">
        <v>7437</v>
      </c>
      <c r="J2496" s="1" t="s">
        <v>5423</v>
      </c>
      <c r="K2496" s="1">
        <v>6</v>
      </c>
      <c r="L2496" s="1" t="s">
        <v>4254</v>
      </c>
      <c r="M2496" s="1">
        <v>8</v>
      </c>
      <c r="N2496" s="1" t="s">
        <v>4255</v>
      </c>
    </row>
    <row r="2497" spans="1:14" x14ac:dyDescent="0.15">
      <c r="A2497" s="1">
        <v>306</v>
      </c>
      <c r="B2497" s="1" t="s">
        <v>4250</v>
      </c>
      <c r="C2497" s="1" t="s">
        <v>1209</v>
      </c>
      <c r="D2497" s="1" t="s">
        <v>1210</v>
      </c>
      <c r="E2497" s="1" t="s">
        <v>1209</v>
      </c>
      <c r="F2497" s="1" t="s">
        <v>1210</v>
      </c>
      <c r="G2497" s="1" t="s">
        <v>1211</v>
      </c>
      <c r="H2497" s="1" t="s">
        <v>1210</v>
      </c>
      <c r="I2497" s="1" t="s">
        <v>7446</v>
      </c>
      <c r="J2497" s="1" t="s">
        <v>5426</v>
      </c>
      <c r="K2497" s="1">
        <v>6</v>
      </c>
      <c r="L2497" s="1" t="s">
        <v>4254</v>
      </c>
      <c r="M2497" s="1">
        <v>8</v>
      </c>
      <c r="N2497" s="1" t="s">
        <v>4255</v>
      </c>
    </row>
    <row r="2498" spans="1:14" x14ac:dyDescent="0.15">
      <c r="A2498" s="1">
        <v>306</v>
      </c>
      <c r="B2498" s="1" t="s">
        <v>4250</v>
      </c>
      <c r="C2498" s="1" t="s">
        <v>1209</v>
      </c>
      <c r="D2498" s="1" t="s">
        <v>1210</v>
      </c>
      <c r="E2498" s="1" t="s">
        <v>1209</v>
      </c>
      <c r="F2498" s="1" t="s">
        <v>1210</v>
      </c>
      <c r="G2498" s="1" t="s">
        <v>1211</v>
      </c>
      <c r="H2498" s="1" t="s">
        <v>1210</v>
      </c>
      <c r="I2498" s="1" t="s">
        <v>7449</v>
      </c>
      <c r="J2498" s="1" t="s">
        <v>5427</v>
      </c>
      <c r="K2498" s="1">
        <v>6</v>
      </c>
      <c r="L2498" s="1" t="s">
        <v>4254</v>
      </c>
      <c r="M2498" s="1">
        <v>8</v>
      </c>
      <c r="N2498" s="1" t="s">
        <v>4255</v>
      </c>
    </row>
    <row r="2499" spans="1:14" x14ac:dyDescent="0.15">
      <c r="A2499" s="1">
        <v>306</v>
      </c>
      <c r="B2499" s="1" t="s">
        <v>4250</v>
      </c>
      <c r="C2499" s="1" t="s">
        <v>1209</v>
      </c>
      <c r="D2499" s="1" t="s">
        <v>1210</v>
      </c>
      <c r="E2499" s="1" t="s">
        <v>1209</v>
      </c>
      <c r="F2499" s="1" t="s">
        <v>1210</v>
      </c>
      <c r="G2499" s="1" t="s">
        <v>1211</v>
      </c>
      <c r="H2499" s="1" t="s">
        <v>1210</v>
      </c>
      <c r="I2499" s="1" t="s">
        <v>7461</v>
      </c>
      <c r="J2499" s="1" t="s">
        <v>5432</v>
      </c>
      <c r="K2499" s="1">
        <v>6</v>
      </c>
      <c r="L2499" s="1" t="s">
        <v>4254</v>
      </c>
      <c r="M2499" s="1">
        <v>8</v>
      </c>
      <c r="N2499" s="1" t="s">
        <v>4255</v>
      </c>
    </row>
    <row r="2500" spans="1:14" x14ac:dyDescent="0.15">
      <c r="A2500" s="1">
        <v>306</v>
      </c>
      <c r="B2500" s="1" t="s">
        <v>4250</v>
      </c>
      <c r="C2500" s="1" t="s">
        <v>1209</v>
      </c>
      <c r="D2500" s="1" t="s">
        <v>1210</v>
      </c>
      <c r="E2500" s="1" t="s">
        <v>1209</v>
      </c>
      <c r="F2500" s="1" t="s">
        <v>1210</v>
      </c>
      <c r="G2500" s="1" t="s">
        <v>1211</v>
      </c>
      <c r="H2500" s="1" t="s">
        <v>1210</v>
      </c>
      <c r="I2500" s="1" t="s">
        <v>7467</v>
      </c>
      <c r="J2500" s="1" t="s">
        <v>5435</v>
      </c>
      <c r="K2500" s="1">
        <v>6</v>
      </c>
      <c r="L2500" s="1" t="s">
        <v>4254</v>
      </c>
      <c r="M2500" s="1">
        <v>8</v>
      </c>
      <c r="N2500" s="1" t="s">
        <v>4255</v>
      </c>
    </row>
    <row r="2501" spans="1:14" x14ac:dyDescent="0.15">
      <c r="A2501" s="1">
        <v>306</v>
      </c>
      <c r="B2501" s="1" t="s">
        <v>4250</v>
      </c>
      <c r="C2501" s="1" t="s">
        <v>1209</v>
      </c>
      <c r="D2501" s="1" t="s">
        <v>1210</v>
      </c>
      <c r="E2501" s="1" t="s">
        <v>1209</v>
      </c>
      <c r="F2501" s="1" t="s">
        <v>1210</v>
      </c>
      <c r="G2501" s="1" t="s">
        <v>1211</v>
      </c>
      <c r="H2501" s="1" t="s">
        <v>1210</v>
      </c>
      <c r="I2501" s="1" t="s">
        <v>7473</v>
      </c>
      <c r="J2501" s="1" t="s">
        <v>5437</v>
      </c>
      <c r="K2501" s="1">
        <v>6</v>
      </c>
      <c r="L2501" s="1" t="s">
        <v>4254</v>
      </c>
      <c r="M2501" s="1">
        <v>8</v>
      </c>
      <c r="N2501" s="1" t="s">
        <v>4255</v>
      </c>
    </row>
    <row r="2502" spans="1:14" x14ac:dyDescent="0.15">
      <c r="A2502" s="1">
        <v>306</v>
      </c>
      <c r="B2502" s="1" t="s">
        <v>4250</v>
      </c>
      <c r="C2502" s="1" t="s">
        <v>1209</v>
      </c>
      <c r="D2502" s="1" t="s">
        <v>1210</v>
      </c>
      <c r="E2502" s="1" t="s">
        <v>1209</v>
      </c>
      <c r="F2502" s="1" t="s">
        <v>1210</v>
      </c>
      <c r="G2502" s="1" t="s">
        <v>1211</v>
      </c>
      <c r="H2502" s="1" t="s">
        <v>1210</v>
      </c>
      <c r="I2502" s="1" t="s">
        <v>7485</v>
      </c>
      <c r="J2502" s="1" t="s">
        <v>5442</v>
      </c>
      <c r="K2502" s="1">
        <v>6</v>
      </c>
      <c r="L2502" s="1" t="s">
        <v>4254</v>
      </c>
      <c r="M2502" s="1">
        <v>8</v>
      </c>
      <c r="N2502" s="1" t="s">
        <v>4255</v>
      </c>
    </row>
    <row r="2503" spans="1:14" x14ac:dyDescent="0.15">
      <c r="A2503" s="1">
        <v>306</v>
      </c>
      <c r="B2503" s="1" t="s">
        <v>4250</v>
      </c>
      <c r="C2503" s="1" t="s">
        <v>1209</v>
      </c>
      <c r="D2503" s="1" t="s">
        <v>1210</v>
      </c>
      <c r="E2503" s="1" t="s">
        <v>1209</v>
      </c>
      <c r="F2503" s="1" t="s">
        <v>1210</v>
      </c>
      <c r="G2503" s="1" t="s">
        <v>1211</v>
      </c>
      <c r="H2503" s="1" t="s">
        <v>1210</v>
      </c>
      <c r="I2503" s="1" t="s">
        <v>7051</v>
      </c>
      <c r="J2503" s="1" t="s">
        <v>5462</v>
      </c>
      <c r="K2503" s="1">
        <v>6</v>
      </c>
      <c r="L2503" s="1" t="s">
        <v>4254</v>
      </c>
      <c r="M2503" s="1">
        <v>8</v>
      </c>
      <c r="N2503" s="1" t="s">
        <v>4255</v>
      </c>
    </row>
    <row r="2504" spans="1:14" x14ac:dyDescent="0.15">
      <c r="A2504" s="1">
        <v>306</v>
      </c>
      <c r="B2504" s="1" t="s">
        <v>4250</v>
      </c>
      <c r="C2504" s="1" t="s">
        <v>1209</v>
      </c>
      <c r="D2504" s="1" t="s">
        <v>1210</v>
      </c>
      <c r="E2504" s="1" t="s">
        <v>1209</v>
      </c>
      <c r="F2504" s="1" t="s">
        <v>1210</v>
      </c>
      <c r="G2504" s="1" t="s">
        <v>1211</v>
      </c>
      <c r="H2504" s="1" t="s">
        <v>1210</v>
      </c>
      <c r="I2504" s="1" t="s">
        <v>7060</v>
      </c>
      <c r="J2504" s="1" t="s">
        <v>5465</v>
      </c>
      <c r="K2504" s="1">
        <v>6</v>
      </c>
      <c r="L2504" s="1" t="s">
        <v>4254</v>
      </c>
      <c r="M2504" s="1">
        <v>8</v>
      </c>
      <c r="N2504" s="1" t="s">
        <v>4255</v>
      </c>
    </row>
    <row r="2505" spans="1:14" x14ac:dyDescent="0.15">
      <c r="A2505" s="1">
        <v>325</v>
      </c>
      <c r="B2505" s="1" t="s">
        <v>4256</v>
      </c>
      <c r="C2505" s="1" t="s">
        <v>4257</v>
      </c>
      <c r="D2505" s="1" t="s">
        <v>4256</v>
      </c>
      <c r="E2505" s="1" t="s">
        <v>4257</v>
      </c>
      <c r="F2505" s="1" t="s">
        <v>4256</v>
      </c>
      <c r="G2505" s="1" t="s">
        <v>4258</v>
      </c>
      <c r="H2505" s="1" t="s">
        <v>4256</v>
      </c>
      <c r="I2505" s="1" t="s">
        <v>7135</v>
      </c>
      <c r="J2505" s="1" t="s">
        <v>12678</v>
      </c>
      <c r="K2505" s="1">
        <v>1</v>
      </c>
      <c r="L2505" s="1" t="s">
        <v>4259</v>
      </c>
      <c r="M2505" s="1">
        <v>8</v>
      </c>
      <c r="N2505" s="1" t="s">
        <v>4255</v>
      </c>
    </row>
    <row r="2506" spans="1:14" x14ac:dyDescent="0.15">
      <c r="A2506" s="1">
        <v>325</v>
      </c>
      <c r="B2506" s="1" t="s">
        <v>4256</v>
      </c>
      <c r="C2506" s="1" t="s">
        <v>4257</v>
      </c>
      <c r="D2506" s="1" t="s">
        <v>4256</v>
      </c>
      <c r="E2506" s="1" t="s">
        <v>4257</v>
      </c>
      <c r="F2506" s="1" t="s">
        <v>4256</v>
      </c>
      <c r="G2506" s="1" t="s">
        <v>4258</v>
      </c>
      <c r="H2506" s="1" t="s">
        <v>4256</v>
      </c>
      <c r="I2506" s="1" t="s">
        <v>7138</v>
      </c>
      <c r="J2506" s="1" t="s">
        <v>12682</v>
      </c>
      <c r="K2506" s="1">
        <v>1</v>
      </c>
      <c r="L2506" s="1" t="s">
        <v>4259</v>
      </c>
      <c r="M2506" s="1">
        <v>8</v>
      </c>
      <c r="N2506" s="1" t="s">
        <v>4255</v>
      </c>
    </row>
    <row r="2507" spans="1:14" x14ac:dyDescent="0.15">
      <c r="A2507" s="1">
        <v>325</v>
      </c>
      <c r="B2507" s="1" t="s">
        <v>4256</v>
      </c>
      <c r="C2507" s="1" t="s">
        <v>4257</v>
      </c>
      <c r="D2507" s="1" t="s">
        <v>4256</v>
      </c>
      <c r="E2507" s="1" t="s">
        <v>4257</v>
      </c>
      <c r="F2507" s="1" t="s">
        <v>4256</v>
      </c>
      <c r="G2507" s="1" t="s">
        <v>4258</v>
      </c>
      <c r="H2507" s="1" t="s">
        <v>4256</v>
      </c>
      <c r="I2507" s="1" t="s">
        <v>7141</v>
      </c>
      <c r="J2507" s="1" t="s">
        <v>12686</v>
      </c>
      <c r="K2507" s="1">
        <v>1</v>
      </c>
      <c r="L2507" s="1" t="s">
        <v>4259</v>
      </c>
      <c r="M2507" s="1">
        <v>8</v>
      </c>
      <c r="N2507" s="1" t="s">
        <v>4255</v>
      </c>
    </row>
    <row r="2508" spans="1:14" x14ac:dyDescent="0.15">
      <c r="A2508" s="1">
        <v>306</v>
      </c>
      <c r="B2508" s="1" t="s">
        <v>4250</v>
      </c>
      <c r="C2508" s="1" t="s">
        <v>1213</v>
      </c>
      <c r="D2508" s="1" t="s">
        <v>1214</v>
      </c>
      <c r="E2508" s="1" t="s">
        <v>1213</v>
      </c>
      <c r="F2508" s="1" t="s">
        <v>1214</v>
      </c>
      <c r="G2508" s="1" t="s">
        <v>1215</v>
      </c>
      <c r="H2508" s="1" t="s">
        <v>1214</v>
      </c>
      <c r="I2508" s="1" t="s">
        <v>7458</v>
      </c>
      <c r="J2508" s="1" t="s">
        <v>5431</v>
      </c>
      <c r="K2508" s="1">
        <v>6</v>
      </c>
      <c r="L2508" s="1" t="s">
        <v>4254</v>
      </c>
      <c r="M2508" s="1">
        <v>8</v>
      </c>
      <c r="N2508" s="1" t="s">
        <v>4255</v>
      </c>
    </row>
    <row r="2509" spans="1:14" x14ac:dyDescent="0.15">
      <c r="A2509" s="1">
        <v>306</v>
      </c>
      <c r="B2509" s="1" t="s">
        <v>4250</v>
      </c>
      <c r="C2509" s="1" t="s">
        <v>1213</v>
      </c>
      <c r="D2509" s="1" t="s">
        <v>1214</v>
      </c>
      <c r="E2509" s="1" t="s">
        <v>1213</v>
      </c>
      <c r="F2509" s="1" t="s">
        <v>1214</v>
      </c>
      <c r="G2509" s="1" t="s">
        <v>1215</v>
      </c>
      <c r="H2509" s="1" t="s">
        <v>1214</v>
      </c>
      <c r="I2509" s="1" t="s">
        <v>7479</v>
      </c>
      <c r="J2509" s="1" t="s">
        <v>1216</v>
      </c>
      <c r="K2509" s="1">
        <v>6</v>
      </c>
      <c r="L2509" s="1" t="s">
        <v>4254</v>
      </c>
      <c r="M2509" s="1">
        <v>8</v>
      </c>
      <c r="N2509" s="1" t="s">
        <v>4255</v>
      </c>
    </row>
    <row r="2510" spans="1:14" x14ac:dyDescent="0.15">
      <c r="A2510" s="1">
        <v>306</v>
      </c>
      <c r="B2510" s="1" t="s">
        <v>4250</v>
      </c>
      <c r="C2510" s="1" t="s">
        <v>1217</v>
      </c>
      <c r="D2510" s="1" t="s">
        <v>1218</v>
      </c>
      <c r="E2510" s="1" t="s">
        <v>1217</v>
      </c>
      <c r="F2510" s="1" t="s">
        <v>1218</v>
      </c>
      <c r="G2510" s="1" t="s">
        <v>1219</v>
      </c>
      <c r="H2510" s="1" t="s">
        <v>1218</v>
      </c>
      <c r="I2510" s="1" t="s">
        <v>7386</v>
      </c>
      <c r="J2510" s="1" t="s">
        <v>5406</v>
      </c>
      <c r="K2510" s="1">
        <v>6</v>
      </c>
      <c r="L2510" s="1" t="s">
        <v>4254</v>
      </c>
      <c r="M2510" s="1">
        <v>8</v>
      </c>
      <c r="N2510" s="1" t="s">
        <v>4255</v>
      </c>
    </row>
    <row r="2511" spans="1:14" x14ac:dyDescent="0.15">
      <c r="A2511" s="1">
        <v>306</v>
      </c>
      <c r="B2511" s="1" t="s">
        <v>4250</v>
      </c>
      <c r="C2511" s="1" t="s">
        <v>1217</v>
      </c>
      <c r="D2511" s="1" t="s">
        <v>1218</v>
      </c>
      <c r="E2511" s="1" t="s">
        <v>1217</v>
      </c>
      <c r="F2511" s="1" t="s">
        <v>1218</v>
      </c>
      <c r="G2511" s="1" t="s">
        <v>1219</v>
      </c>
      <c r="H2511" s="1" t="s">
        <v>1218</v>
      </c>
      <c r="I2511" s="1" t="s">
        <v>7419</v>
      </c>
      <c r="J2511" s="1" t="s">
        <v>5416</v>
      </c>
      <c r="K2511" s="1">
        <v>6</v>
      </c>
      <c r="L2511" s="1" t="s">
        <v>4254</v>
      </c>
      <c r="M2511" s="1">
        <v>8</v>
      </c>
      <c r="N2511" s="1" t="s">
        <v>4255</v>
      </c>
    </row>
    <row r="2512" spans="1:14" x14ac:dyDescent="0.15">
      <c r="A2512" s="1">
        <v>306</v>
      </c>
      <c r="B2512" s="1" t="s">
        <v>4250</v>
      </c>
      <c r="C2512" s="1" t="s">
        <v>1217</v>
      </c>
      <c r="D2512" s="1" t="s">
        <v>1218</v>
      </c>
      <c r="E2512" s="1" t="s">
        <v>1217</v>
      </c>
      <c r="F2512" s="1" t="s">
        <v>1218</v>
      </c>
      <c r="G2512" s="1" t="s">
        <v>1219</v>
      </c>
      <c r="H2512" s="1" t="s">
        <v>1218</v>
      </c>
      <c r="I2512" s="1" t="s">
        <v>7458</v>
      </c>
      <c r="J2512" s="1" t="s">
        <v>5431</v>
      </c>
      <c r="K2512" s="1">
        <v>6</v>
      </c>
      <c r="L2512" s="1" t="s">
        <v>4254</v>
      </c>
      <c r="M2512" s="1">
        <v>8</v>
      </c>
      <c r="N2512" s="1" t="s">
        <v>4255</v>
      </c>
    </row>
    <row r="2513" spans="1:14" x14ac:dyDescent="0.15">
      <c r="A2513" s="1">
        <v>306</v>
      </c>
      <c r="B2513" s="1" t="s">
        <v>4250</v>
      </c>
      <c r="C2513" s="1" t="s">
        <v>1217</v>
      </c>
      <c r="D2513" s="1" t="s">
        <v>1218</v>
      </c>
      <c r="E2513" s="1" t="s">
        <v>1217</v>
      </c>
      <c r="F2513" s="1" t="s">
        <v>1218</v>
      </c>
      <c r="G2513" s="1" t="s">
        <v>1219</v>
      </c>
      <c r="H2513" s="1" t="s">
        <v>1218</v>
      </c>
      <c r="I2513" s="1" t="s">
        <v>7500</v>
      </c>
      <c r="J2513" s="1" t="s">
        <v>5448</v>
      </c>
      <c r="K2513" s="1">
        <v>6</v>
      </c>
      <c r="L2513" s="1" t="s">
        <v>4254</v>
      </c>
      <c r="M2513" s="1">
        <v>8</v>
      </c>
      <c r="N2513" s="1" t="s">
        <v>4255</v>
      </c>
    </row>
    <row r="2514" spans="1:14" x14ac:dyDescent="0.15">
      <c r="A2514" s="1">
        <v>306</v>
      </c>
      <c r="B2514" s="1" t="s">
        <v>4250</v>
      </c>
      <c r="C2514" s="1" t="s">
        <v>1217</v>
      </c>
      <c r="D2514" s="1" t="s">
        <v>1218</v>
      </c>
      <c r="E2514" s="1" t="s">
        <v>1217</v>
      </c>
      <c r="F2514" s="1" t="s">
        <v>1218</v>
      </c>
      <c r="G2514" s="1" t="s">
        <v>1219</v>
      </c>
      <c r="H2514" s="1" t="s">
        <v>1218</v>
      </c>
      <c r="I2514" s="1" t="s">
        <v>7503</v>
      </c>
      <c r="J2514" s="1" t="s">
        <v>5449</v>
      </c>
      <c r="K2514" s="1">
        <v>6</v>
      </c>
      <c r="L2514" s="1" t="s">
        <v>4254</v>
      </c>
      <c r="M2514" s="1">
        <v>8</v>
      </c>
      <c r="N2514" s="1" t="s">
        <v>4255</v>
      </c>
    </row>
    <row r="2515" spans="1:14" x14ac:dyDescent="0.15">
      <c r="A2515" s="1">
        <v>306</v>
      </c>
      <c r="B2515" s="1" t="s">
        <v>4250</v>
      </c>
      <c r="C2515" s="1" t="s">
        <v>1217</v>
      </c>
      <c r="D2515" s="1" t="s">
        <v>1218</v>
      </c>
      <c r="E2515" s="1" t="s">
        <v>1217</v>
      </c>
      <c r="F2515" s="1" t="s">
        <v>1218</v>
      </c>
      <c r="G2515" s="1" t="s">
        <v>1219</v>
      </c>
      <c r="H2515" s="1" t="s">
        <v>1218</v>
      </c>
      <c r="I2515" s="1" t="s">
        <v>7021</v>
      </c>
      <c r="J2515" s="1" t="s">
        <v>5451</v>
      </c>
      <c r="K2515" s="1">
        <v>6</v>
      </c>
      <c r="L2515" s="1" t="s">
        <v>4254</v>
      </c>
      <c r="M2515" s="1">
        <v>8</v>
      </c>
      <c r="N2515" s="1" t="s">
        <v>4255</v>
      </c>
    </row>
    <row r="2516" spans="1:14" x14ac:dyDescent="0.15">
      <c r="A2516" s="1">
        <v>306</v>
      </c>
      <c r="B2516" s="1" t="s">
        <v>4250</v>
      </c>
      <c r="C2516" s="1" t="s">
        <v>1217</v>
      </c>
      <c r="D2516" s="1" t="s">
        <v>1218</v>
      </c>
      <c r="E2516" s="1" t="s">
        <v>1217</v>
      </c>
      <c r="F2516" s="1" t="s">
        <v>1218</v>
      </c>
      <c r="G2516" s="1" t="s">
        <v>1219</v>
      </c>
      <c r="H2516" s="1" t="s">
        <v>1218</v>
      </c>
      <c r="I2516" s="1" t="s">
        <v>7024</v>
      </c>
      <c r="J2516" s="1" t="s">
        <v>5452</v>
      </c>
      <c r="K2516" s="1">
        <v>6</v>
      </c>
      <c r="L2516" s="1" t="s">
        <v>4254</v>
      </c>
      <c r="M2516" s="1">
        <v>8</v>
      </c>
      <c r="N2516" s="1" t="s">
        <v>4255</v>
      </c>
    </row>
    <row r="2517" spans="1:14" x14ac:dyDescent="0.15">
      <c r="A2517" s="1">
        <v>306</v>
      </c>
      <c r="B2517" s="1" t="s">
        <v>4250</v>
      </c>
      <c r="C2517" s="1" t="s">
        <v>1217</v>
      </c>
      <c r="D2517" s="1" t="s">
        <v>1218</v>
      </c>
      <c r="E2517" s="1" t="s">
        <v>1217</v>
      </c>
      <c r="F2517" s="1" t="s">
        <v>1218</v>
      </c>
      <c r="G2517" s="1" t="s">
        <v>1219</v>
      </c>
      <c r="H2517" s="1" t="s">
        <v>1218</v>
      </c>
      <c r="I2517" s="1" t="s">
        <v>7027</v>
      </c>
      <c r="J2517" s="1" t="s">
        <v>5453</v>
      </c>
      <c r="K2517" s="1">
        <v>6</v>
      </c>
      <c r="L2517" s="1" t="s">
        <v>4254</v>
      </c>
      <c r="M2517" s="1">
        <v>8</v>
      </c>
      <c r="N2517" s="1" t="s">
        <v>4255</v>
      </c>
    </row>
    <row r="2518" spans="1:14" x14ac:dyDescent="0.15">
      <c r="A2518" s="1">
        <v>306</v>
      </c>
      <c r="B2518" s="1" t="s">
        <v>4250</v>
      </c>
      <c r="C2518" s="1" t="s">
        <v>1217</v>
      </c>
      <c r="D2518" s="1" t="s">
        <v>1218</v>
      </c>
      <c r="E2518" s="1" t="s">
        <v>1217</v>
      </c>
      <c r="F2518" s="1" t="s">
        <v>1218</v>
      </c>
      <c r="G2518" s="1" t="s">
        <v>1219</v>
      </c>
      <c r="H2518" s="1" t="s">
        <v>1218</v>
      </c>
      <c r="I2518" s="1" t="s">
        <v>7030</v>
      </c>
      <c r="J2518" s="1" t="s">
        <v>5454</v>
      </c>
      <c r="K2518" s="1">
        <v>6</v>
      </c>
      <c r="L2518" s="1" t="s">
        <v>4254</v>
      </c>
      <c r="M2518" s="1">
        <v>8</v>
      </c>
      <c r="N2518" s="1" t="s">
        <v>4255</v>
      </c>
    </row>
    <row r="2519" spans="1:14" x14ac:dyDescent="0.15">
      <c r="A2519" s="1">
        <v>306</v>
      </c>
      <c r="B2519" s="1" t="s">
        <v>4250</v>
      </c>
      <c r="C2519" s="1" t="s">
        <v>1217</v>
      </c>
      <c r="D2519" s="1" t="s">
        <v>1218</v>
      </c>
      <c r="E2519" s="1" t="s">
        <v>1217</v>
      </c>
      <c r="F2519" s="1" t="s">
        <v>1218</v>
      </c>
      <c r="G2519" s="1" t="s">
        <v>1219</v>
      </c>
      <c r="H2519" s="1" t="s">
        <v>1218</v>
      </c>
      <c r="I2519" s="1" t="s">
        <v>7033</v>
      </c>
      <c r="J2519" s="1" t="s">
        <v>5455</v>
      </c>
      <c r="K2519" s="1">
        <v>6</v>
      </c>
      <c r="L2519" s="1" t="s">
        <v>4254</v>
      </c>
      <c r="M2519" s="1">
        <v>8</v>
      </c>
      <c r="N2519" s="1" t="s">
        <v>4255</v>
      </c>
    </row>
    <row r="2520" spans="1:14" x14ac:dyDescent="0.15">
      <c r="A2520" s="1">
        <v>306</v>
      </c>
      <c r="B2520" s="1" t="s">
        <v>4250</v>
      </c>
      <c r="C2520" s="1" t="s">
        <v>1220</v>
      </c>
      <c r="D2520" s="1" t="s">
        <v>1221</v>
      </c>
      <c r="E2520" s="1" t="s">
        <v>1220</v>
      </c>
      <c r="F2520" s="1" t="s">
        <v>1221</v>
      </c>
      <c r="G2520" s="1" t="s">
        <v>1222</v>
      </c>
      <c r="H2520" s="1" t="s">
        <v>1221</v>
      </c>
      <c r="I2520" s="1" t="s">
        <v>7389</v>
      </c>
      <c r="J2520" s="1" t="s">
        <v>5407</v>
      </c>
      <c r="K2520" s="1">
        <v>6</v>
      </c>
      <c r="L2520" s="1" t="s">
        <v>4254</v>
      </c>
      <c r="M2520" s="1">
        <v>8</v>
      </c>
      <c r="N2520" s="1" t="s">
        <v>4255</v>
      </c>
    </row>
    <row r="2521" spans="1:14" x14ac:dyDescent="0.15">
      <c r="A2521" s="1">
        <v>306</v>
      </c>
      <c r="B2521" s="1" t="s">
        <v>4250</v>
      </c>
      <c r="C2521" s="1" t="s">
        <v>1220</v>
      </c>
      <c r="D2521" s="1" t="s">
        <v>1221</v>
      </c>
      <c r="E2521" s="1" t="s">
        <v>1220</v>
      </c>
      <c r="F2521" s="1" t="s">
        <v>1221</v>
      </c>
      <c r="G2521" s="1" t="s">
        <v>1222</v>
      </c>
      <c r="H2521" s="1" t="s">
        <v>1221</v>
      </c>
      <c r="I2521" s="1" t="s">
        <v>7045</v>
      </c>
      <c r="J2521" s="1" t="s">
        <v>5460</v>
      </c>
      <c r="K2521" s="1">
        <v>6</v>
      </c>
      <c r="L2521" s="1" t="s">
        <v>4254</v>
      </c>
      <c r="M2521" s="1">
        <v>8</v>
      </c>
      <c r="N2521" s="1" t="s">
        <v>4255</v>
      </c>
    </row>
    <row r="2522" spans="1:14" x14ac:dyDescent="0.15">
      <c r="A2522" s="1">
        <v>306</v>
      </c>
      <c r="B2522" s="1" t="s">
        <v>4250</v>
      </c>
      <c r="C2522" s="1" t="s">
        <v>1220</v>
      </c>
      <c r="D2522" s="1" t="s">
        <v>1221</v>
      </c>
      <c r="E2522" s="1" t="s">
        <v>1220</v>
      </c>
      <c r="F2522" s="1" t="s">
        <v>1221</v>
      </c>
      <c r="G2522" s="1" t="s">
        <v>1222</v>
      </c>
      <c r="H2522" s="1" t="s">
        <v>1221</v>
      </c>
      <c r="I2522" s="1" t="s">
        <v>7090</v>
      </c>
      <c r="J2522" s="1" t="s">
        <v>1223</v>
      </c>
      <c r="K2522" s="1">
        <v>6</v>
      </c>
      <c r="L2522" s="1" t="s">
        <v>4254</v>
      </c>
      <c r="M2522" s="1">
        <v>8</v>
      </c>
      <c r="N2522" s="1" t="s">
        <v>4255</v>
      </c>
    </row>
    <row r="2523" spans="1:14" x14ac:dyDescent="0.15">
      <c r="A2523" s="1">
        <v>306</v>
      </c>
      <c r="B2523" s="1" t="s">
        <v>4250</v>
      </c>
      <c r="C2523" s="1" t="s">
        <v>4251</v>
      </c>
      <c r="D2523" s="1" t="s">
        <v>4252</v>
      </c>
      <c r="E2523" s="1" t="s">
        <v>4251</v>
      </c>
      <c r="F2523" s="1" t="s">
        <v>4252</v>
      </c>
      <c r="G2523" s="1" t="s">
        <v>4253</v>
      </c>
      <c r="H2523" s="1" t="s">
        <v>4252</v>
      </c>
      <c r="I2523" s="1" t="s">
        <v>7392</v>
      </c>
      <c r="J2523" s="1" t="s">
        <v>1224</v>
      </c>
      <c r="K2523" s="1">
        <v>6</v>
      </c>
      <c r="L2523" s="1" t="s">
        <v>4254</v>
      </c>
      <c r="M2523" s="1">
        <v>8</v>
      </c>
      <c r="N2523" s="1" t="s">
        <v>4255</v>
      </c>
    </row>
    <row r="2524" spans="1:14" x14ac:dyDescent="0.15">
      <c r="A2524" s="1">
        <v>306</v>
      </c>
      <c r="B2524" s="1" t="s">
        <v>4250</v>
      </c>
      <c r="C2524" s="1" t="s">
        <v>4251</v>
      </c>
      <c r="D2524" s="1" t="s">
        <v>4252</v>
      </c>
      <c r="E2524" s="1" t="s">
        <v>4251</v>
      </c>
      <c r="F2524" s="1" t="s">
        <v>4252</v>
      </c>
      <c r="G2524" s="1" t="s">
        <v>4253</v>
      </c>
      <c r="H2524" s="1" t="s">
        <v>4252</v>
      </c>
      <c r="I2524" s="1" t="s">
        <v>7401</v>
      </c>
      <c r="J2524" s="1" t="s">
        <v>5409</v>
      </c>
      <c r="K2524" s="1">
        <v>6</v>
      </c>
      <c r="L2524" s="1" t="s">
        <v>4254</v>
      </c>
      <c r="M2524" s="1">
        <v>8</v>
      </c>
      <c r="N2524" s="1" t="s">
        <v>4255</v>
      </c>
    </row>
    <row r="2525" spans="1:14" x14ac:dyDescent="0.15">
      <c r="A2525" s="1">
        <v>306</v>
      </c>
      <c r="B2525" s="1" t="s">
        <v>4250</v>
      </c>
      <c r="C2525" s="1" t="s">
        <v>4251</v>
      </c>
      <c r="D2525" s="1" t="s">
        <v>4252</v>
      </c>
      <c r="E2525" s="1" t="s">
        <v>4251</v>
      </c>
      <c r="F2525" s="1" t="s">
        <v>4252</v>
      </c>
      <c r="G2525" s="1" t="s">
        <v>4253</v>
      </c>
      <c r="H2525" s="1" t="s">
        <v>4252</v>
      </c>
      <c r="I2525" s="1" t="s">
        <v>7428</v>
      </c>
      <c r="J2525" s="1" t="s">
        <v>5419</v>
      </c>
      <c r="K2525" s="1">
        <v>6</v>
      </c>
      <c r="L2525" s="1" t="s">
        <v>4254</v>
      </c>
      <c r="M2525" s="1">
        <v>8</v>
      </c>
      <c r="N2525" s="1" t="s">
        <v>4255</v>
      </c>
    </row>
    <row r="2526" spans="1:14" x14ac:dyDescent="0.15">
      <c r="A2526" s="1">
        <v>306</v>
      </c>
      <c r="B2526" s="1" t="s">
        <v>4250</v>
      </c>
      <c r="C2526" s="1" t="s">
        <v>4251</v>
      </c>
      <c r="D2526" s="1" t="s">
        <v>4252</v>
      </c>
      <c r="E2526" s="1" t="s">
        <v>4251</v>
      </c>
      <c r="F2526" s="1" t="s">
        <v>4252</v>
      </c>
      <c r="G2526" s="1" t="s">
        <v>4253</v>
      </c>
      <c r="H2526" s="1" t="s">
        <v>4252</v>
      </c>
      <c r="I2526" s="1" t="s">
        <v>7434</v>
      </c>
      <c r="J2526" s="1" t="s">
        <v>5422</v>
      </c>
      <c r="K2526" s="1">
        <v>6</v>
      </c>
      <c r="L2526" s="1" t="s">
        <v>4254</v>
      </c>
      <c r="M2526" s="1">
        <v>8</v>
      </c>
      <c r="N2526" s="1" t="s">
        <v>4255</v>
      </c>
    </row>
    <row r="2527" spans="1:14" x14ac:dyDescent="0.15">
      <c r="A2527" s="1">
        <v>306</v>
      </c>
      <c r="B2527" s="1" t="s">
        <v>4250</v>
      </c>
      <c r="C2527" s="1" t="s">
        <v>4251</v>
      </c>
      <c r="D2527" s="1" t="s">
        <v>4252</v>
      </c>
      <c r="E2527" s="1" t="s">
        <v>4251</v>
      </c>
      <c r="F2527" s="1" t="s">
        <v>4252</v>
      </c>
      <c r="G2527" s="1" t="s">
        <v>4253</v>
      </c>
      <c r="H2527" s="1" t="s">
        <v>4252</v>
      </c>
      <c r="I2527" s="1" t="s">
        <v>7464</v>
      </c>
      <c r="J2527" s="1" t="s">
        <v>5434</v>
      </c>
      <c r="K2527" s="1">
        <v>6</v>
      </c>
      <c r="L2527" s="1" t="s">
        <v>4254</v>
      </c>
      <c r="M2527" s="1">
        <v>8</v>
      </c>
      <c r="N2527" s="1" t="s">
        <v>4255</v>
      </c>
    </row>
    <row r="2528" spans="1:14" x14ac:dyDescent="0.15">
      <c r="A2528" s="1">
        <v>306</v>
      </c>
      <c r="B2528" s="1" t="s">
        <v>4250</v>
      </c>
      <c r="C2528" s="1" t="s">
        <v>4251</v>
      </c>
      <c r="D2528" s="1" t="s">
        <v>4252</v>
      </c>
      <c r="E2528" s="1" t="s">
        <v>4251</v>
      </c>
      <c r="F2528" s="1" t="s">
        <v>4252</v>
      </c>
      <c r="G2528" s="1" t="s">
        <v>4253</v>
      </c>
      <c r="H2528" s="1" t="s">
        <v>4252</v>
      </c>
      <c r="I2528" s="1" t="s">
        <v>7075</v>
      </c>
      <c r="J2528" s="1" t="s">
        <v>1225</v>
      </c>
      <c r="K2528" s="1">
        <v>6</v>
      </c>
      <c r="L2528" s="1" t="s">
        <v>4254</v>
      </c>
      <c r="M2528" s="1">
        <v>8</v>
      </c>
      <c r="N2528" s="1" t="s">
        <v>4255</v>
      </c>
    </row>
    <row r="2529" spans="1:14" x14ac:dyDescent="0.15">
      <c r="A2529" s="1">
        <v>306</v>
      </c>
      <c r="B2529" s="1" t="s">
        <v>4250</v>
      </c>
      <c r="C2529" s="1" t="s">
        <v>4251</v>
      </c>
      <c r="D2529" s="1" t="s">
        <v>4252</v>
      </c>
      <c r="E2529" s="1" t="s">
        <v>4251</v>
      </c>
      <c r="F2529" s="1" t="s">
        <v>4252</v>
      </c>
      <c r="G2529" s="1" t="s">
        <v>4253</v>
      </c>
      <c r="H2529" s="1" t="s">
        <v>4252</v>
      </c>
      <c r="I2529" s="1" t="s">
        <v>7093</v>
      </c>
      <c r="J2529" s="1" t="s">
        <v>1226</v>
      </c>
      <c r="K2529" s="1">
        <v>6</v>
      </c>
      <c r="L2529" s="1" t="s">
        <v>4254</v>
      </c>
      <c r="M2529" s="1">
        <v>8</v>
      </c>
      <c r="N2529" s="1" t="s">
        <v>4255</v>
      </c>
    </row>
    <row r="2530" spans="1:14" x14ac:dyDescent="0.15">
      <c r="A2530" s="1">
        <v>306</v>
      </c>
      <c r="B2530" s="1" t="s">
        <v>4250</v>
      </c>
      <c r="C2530" s="1" t="s">
        <v>1227</v>
      </c>
      <c r="D2530" s="1" t="s">
        <v>1228</v>
      </c>
      <c r="E2530" s="1" t="s">
        <v>1227</v>
      </c>
      <c r="F2530" s="1" t="s">
        <v>1228</v>
      </c>
      <c r="G2530" s="1" t="s">
        <v>1229</v>
      </c>
      <c r="H2530" s="1" t="s">
        <v>1228</v>
      </c>
      <c r="I2530" s="1" t="s">
        <v>13846</v>
      </c>
      <c r="J2530" s="1" t="s">
        <v>5082</v>
      </c>
      <c r="K2530" s="1">
        <v>6</v>
      </c>
      <c r="L2530" s="1" t="s">
        <v>4254</v>
      </c>
      <c r="M2530" s="1">
        <v>8</v>
      </c>
      <c r="N2530" s="1" t="s">
        <v>4255</v>
      </c>
    </row>
    <row r="2531" spans="1:14" x14ac:dyDescent="0.15">
      <c r="A2531" s="1">
        <v>306</v>
      </c>
      <c r="B2531" s="1" t="s">
        <v>4250</v>
      </c>
      <c r="C2531" s="1" t="s">
        <v>1227</v>
      </c>
      <c r="D2531" s="1" t="s">
        <v>1228</v>
      </c>
      <c r="E2531" s="1" t="s">
        <v>1227</v>
      </c>
      <c r="F2531" s="1" t="s">
        <v>1228</v>
      </c>
      <c r="G2531" s="1" t="s">
        <v>1229</v>
      </c>
      <c r="H2531" s="1" t="s">
        <v>1228</v>
      </c>
      <c r="I2531" s="1" t="s">
        <v>13420</v>
      </c>
      <c r="J2531" s="1" t="s">
        <v>5129</v>
      </c>
      <c r="K2531" s="1">
        <v>6</v>
      </c>
      <c r="L2531" s="1" t="s">
        <v>4254</v>
      </c>
      <c r="M2531" s="1">
        <v>8</v>
      </c>
      <c r="N2531" s="1" t="s">
        <v>4255</v>
      </c>
    </row>
    <row r="2532" spans="1:14" x14ac:dyDescent="0.15">
      <c r="A2532" s="1">
        <v>306</v>
      </c>
      <c r="B2532" s="1" t="s">
        <v>4250</v>
      </c>
      <c r="C2532" s="1" t="s">
        <v>1227</v>
      </c>
      <c r="D2532" s="1" t="s">
        <v>1228</v>
      </c>
      <c r="E2532" s="1" t="s">
        <v>1227</v>
      </c>
      <c r="F2532" s="1" t="s">
        <v>1228</v>
      </c>
      <c r="G2532" s="1" t="s">
        <v>1229</v>
      </c>
      <c r="H2532" s="1" t="s">
        <v>1228</v>
      </c>
      <c r="I2532" s="1" t="s">
        <v>7368</v>
      </c>
      <c r="J2532" s="1" t="s">
        <v>5399</v>
      </c>
      <c r="K2532" s="1">
        <v>6</v>
      </c>
      <c r="L2532" s="1" t="s">
        <v>4254</v>
      </c>
      <c r="M2532" s="1">
        <v>8</v>
      </c>
      <c r="N2532" s="1" t="s">
        <v>4255</v>
      </c>
    </row>
    <row r="2533" spans="1:14" x14ac:dyDescent="0.15">
      <c r="A2533" s="1">
        <v>306</v>
      </c>
      <c r="B2533" s="1" t="s">
        <v>4250</v>
      </c>
      <c r="C2533" s="1" t="s">
        <v>1227</v>
      </c>
      <c r="D2533" s="1" t="s">
        <v>1228</v>
      </c>
      <c r="E2533" s="1" t="s">
        <v>1227</v>
      </c>
      <c r="F2533" s="1" t="s">
        <v>1228</v>
      </c>
      <c r="G2533" s="1" t="s">
        <v>1229</v>
      </c>
      <c r="H2533" s="1" t="s">
        <v>1228</v>
      </c>
      <c r="I2533" s="1" t="s">
        <v>7371</v>
      </c>
      <c r="J2533" s="1" t="s">
        <v>1230</v>
      </c>
      <c r="K2533" s="1">
        <v>6</v>
      </c>
      <c r="L2533" s="1" t="s">
        <v>4254</v>
      </c>
      <c r="M2533" s="1">
        <v>8</v>
      </c>
      <c r="N2533" s="1" t="s">
        <v>4255</v>
      </c>
    </row>
    <row r="2534" spans="1:14" x14ac:dyDescent="0.15">
      <c r="A2534" s="1">
        <v>306</v>
      </c>
      <c r="B2534" s="1" t="s">
        <v>4250</v>
      </c>
      <c r="C2534" s="1" t="s">
        <v>1227</v>
      </c>
      <c r="D2534" s="1" t="s">
        <v>1228</v>
      </c>
      <c r="E2534" s="1" t="s">
        <v>1227</v>
      </c>
      <c r="F2534" s="1" t="s">
        <v>1228</v>
      </c>
      <c r="G2534" s="1" t="s">
        <v>1229</v>
      </c>
      <c r="H2534" s="1" t="s">
        <v>1228</v>
      </c>
      <c r="I2534" s="1" t="s">
        <v>7377</v>
      </c>
      <c r="J2534" s="1" t="s">
        <v>5403</v>
      </c>
      <c r="K2534" s="1">
        <v>6</v>
      </c>
      <c r="L2534" s="1" t="s">
        <v>4254</v>
      </c>
      <c r="M2534" s="1">
        <v>8</v>
      </c>
      <c r="N2534" s="1" t="s">
        <v>4255</v>
      </c>
    </row>
    <row r="2535" spans="1:14" x14ac:dyDescent="0.15">
      <c r="A2535" s="1">
        <v>306</v>
      </c>
      <c r="B2535" s="1" t="s">
        <v>4250</v>
      </c>
      <c r="C2535" s="1" t="s">
        <v>1227</v>
      </c>
      <c r="D2535" s="1" t="s">
        <v>1228</v>
      </c>
      <c r="E2535" s="1" t="s">
        <v>1227</v>
      </c>
      <c r="F2535" s="1" t="s">
        <v>1228</v>
      </c>
      <c r="G2535" s="1" t="s">
        <v>1229</v>
      </c>
      <c r="H2535" s="1" t="s">
        <v>1228</v>
      </c>
      <c r="I2535" s="1" t="s">
        <v>7383</v>
      </c>
      <c r="J2535" s="1" t="s">
        <v>5405</v>
      </c>
      <c r="K2535" s="1">
        <v>6</v>
      </c>
      <c r="L2535" s="1" t="s">
        <v>4254</v>
      </c>
      <c r="M2535" s="1">
        <v>8</v>
      </c>
      <c r="N2535" s="1" t="s">
        <v>4255</v>
      </c>
    </row>
    <row r="2536" spans="1:14" x14ac:dyDescent="0.15">
      <c r="A2536" s="1">
        <v>306</v>
      </c>
      <c r="B2536" s="1" t="s">
        <v>4250</v>
      </c>
      <c r="C2536" s="1" t="s">
        <v>1227</v>
      </c>
      <c r="D2536" s="1" t="s">
        <v>1228</v>
      </c>
      <c r="E2536" s="1" t="s">
        <v>1227</v>
      </c>
      <c r="F2536" s="1" t="s">
        <v>1228</v>
      </c>
      <c r="G2536" s="1" t="s">
        <v>1229</v>
      </c>
      <c r="H2536" s="1" t="s">
        <v>1228</v>
      </c>
      <c r="I2536" s="1" t="s">
        <v>7386</v>
      </c>
      <c r="J2536" s="1" t="s">
        <v>5406</v>
      </c>
      <c r="K2536" s="1">
        <v>6</v>
      </c>
      <c r="L2536" s="1" t="s">
        <v>4254</v>
      </c>
      <c r="M2536" s="1">
        <v>8</v>
      </c>
      <c r="N2536" s="1" t="s">
        <v>4255</v>
      </c>
    </row>
    <row r="2537" spans="1:14" x14ac:dyDescent="0.15">
      <c r="A2537" s="1">
        <v>306</v>
      </c>
      <c r="B2537" s="1" t="s">
        <v>4250</v>
      </c>
      <c r="C2537" s="1" t="s">
        <v>1227</v>
      </c>
      <c r="D2537" s="1" t="s">
        <v>1228</v>
      </c>
      <c r="E2537" s="1" t="s">
        <v>1227</v>
      </c>
      <c r="F2537" s="1" t="s">
        <v>1228</v>
      </c>
      <c r="G2537" s="1" t="s">
        <v>1229</v>
      </c>
      <c r="H2537" s="1" t="s">
        <v>1228</v>
      </c>
      <c r="I2537" s="1" t="s">
        <v>7404</v>
      </c>
      <c r="J2537" s="1" t="s">
        <v>5410</v>
      </c>
      <c r="K2537" s="1">
        <v>6</v>
      </c>
      <c r="L2537" s="1" t="s">
        <v>4254</v>
      </c>
      <c r="M2537" s="1">
        <v>8</v>
      </c>
      <c r="N2537" s="1" t="s">
        <v>4255</v>
      </c>
    </row>
    <row r="2538" spans="1:14" x14ac:dyDescent="0.15">
      <c r="A2538" s="1">
        <v>306</v>
      </c>
      <c r="B2538" s="1" t="s">
        <v>4250</v>
      </c>
      <c r="C2538" s="1" t="s">
        <v>1227</v>
      </c>
      <c r="D2538" s="1" t="s">
        <v>1228</v>
      </c>
      <c r="E2538" s="1" t="s">
        <v>1227</v>
      </c>
      <c r="F2538" s="1" t="s">
        <v>1228</v>
      </c>
      <c r="G2538" s="1" t="s">
        <v>1229</v>
      </c>
      <c r="H2538" s="1" t="s">
        <v>1228</v>
      </c>
      <c r="I2538" s="1" t="s">
        <v>7407</v>
      </c>
      <c r="J2538" s="1" t="s">
        <v>5411</v>
      </c>
      <c r="K2538" s="1">
        <v>6</v>
      </c>
      <c r="L2538" s="1" t="s">
        <v>4254</v>
      </c>
      <c r="M2538" s="1">
        <v>8</v>
      </c>
      <c r="N2538" s="1" t="s">
        <v>4255</v>
      </c>
    </row>
    <row r="2539" spans="1:14" x14ac:dyDescent="0.15">
      <c r="A2539" s="1">
        <v>306</v>
      </c>
      <c r="B2539" s="1" t="s">
        <v>4250</v>
      </c>
      <c r="C2539" s="1" t="s">
        <v>1227</v>
      </c>
      <c r="D2539" s="1" t="s">
        <v>1228</v>
      </c>
      <c r="E2539" s="1" t="s">
        <v>1227</v>
      </c>
      <c r="F2539" s="1" t="s">
        <v>1228</v>
      </c>
      <c r="G2539" s="1" t="s">
        <v>1229</v>
      </c>
      <c r="H2539" s="1" t="s">
        <v>1228</v>
      </c>
      <c r="I2539" s="1" t="s">
        <v>7410</v>
      </c>
      <c r="J2539" s="1" t="s">
        <v>5412</v>
      </c>
      <c r="K2539" s="1">
        <v>6</v>
      </c>
      <c r="L2539" s="1" t="s">
        <v>4254</v>
      </c>
      <c r="M2539" s="1">
        <v>8</v>
      </c>
      <c r="N2539" s="1" t="s">
        <v>4255</v>
      </c>
    </row>
    <row r="2540" spans="1:14" x14ac:dyDescent="0.15">
      <c r="A2540" s="1">
        <v>306</v>
      </c>
      <c r="B2540" s="1" t="s">
        <v>4250</v>
      </c>
      <c r="C2540" s="1" t="s">
        <v>1227</v>
      </c>
      <c r="D2540" s="1" t="s">
        <v>1228</v>
      </c>
      <c r="E2540" s="1" t="s">
        <v>1227</v>
      </c>
      <c r="F2540" s="1" t="s">
        <v>1228</v>
      </c>
      <c r="G2540" s="1" t="s">
        <v>1229</v>
      </c>
      <c r="H2540" s="1" t="s">
        <v>1228</v>
      </c>
      <c r="I2540" s="1" t="s">
        <v>7413</v>
      </c>
      <c r="J2540" s="1" t="s">
        <v>5413</v>
      </c>
      <c r="K2540" s="1">
        <v>6</v>
      </c>
      <c r="L2540" s="1" t="s">
        <v>4254</v>
      </c>
      <c r="M2540" s="1">
        <v>8</v>
      </c>
      <c r="N2540" s="1" t="s">
        <v>4255</v>
      </c>
    </row>
    <row r="2541" spans="1:14" x14ac:dyDescent="0.15">
      <c r="A2541" s="1">
        <v>306</v>
      </c>
      <c r="B2541" s="1" t="s">
        <v>4250</v>
      </c>
      <c r="C2541" s="1" t="s">
        <v>1227</v>
      </c>
      <c r="D2541" s="1" t="s">
        <v>1228</v>
      </c>
      <c r="E2541" s="1" t="s">
        <v>1227</v>
      </c>
      <c r="F2541" s="1" t="s">
        <v>1228</v>
      </c>
      <c r="G2541" s="1" t="s">
        <v>1229</v>
      </c>
      <c r="H2541" s="1" t="s">
        <v>1228</v>
      </c>
      <c r="I2541" s="1" t="s">
        <v>7416</v>
      </c>
      <c r="J2541" s="1" t="s">
        <v>1212</v>
      </c>
      <c r="K2541" s="1">
        <v>6</v>
      </c>
      <c r="L2541" s="1" t="s">
        <v>4254</v>
      </c>
      <c r="M2541" s="1">
        <v>8</v>
      </c>
      <c r="N2541" s="1" t="s">
        <v>4255</v>
      </c>
    </row>
    <row r="2542" spans="1:14" x14ac:dyDescent="0.15">
      <c r="A2542" s="1">
        <v>306</v>
      </c>
      <c r="B2542" s="1" t="s">
        <v>4250</v>
      </c>
      <c r="C2542" s="1" t="s">
        <v>1227</v>
      </c>
      <c r="D2542" s="1" t="s">
        <v>1228</v>
      </c>
      <c r="E2542" s="1" t="s">
        <v>1227</v>
      </c>
      <c r="F2542" s="1" t="s">
        <v>1228</v>
      </c>
      <c r="G2542" s="1" t="s">
        <v>1229</v>
      </c>
      <c r="H2542" s="1" t="s">
        <v>1228</v>
      </c>
      <c r="I2542" s="1" t="s">
        <v>7422</v>
      </c>
      <c r="J2542" s="1" t="s">
        <v>5417</v>
      </c>
      <c r="K2542" s="1">
        <v>6</v>
      </c>
      <c r="L2542" s="1" t="s">
        <v>4254</v>
      </c>
      <c r="M2542" s="1">
        <v>8</v>
      </c>
      <c r="N2542" s="1" t="s">
        <v>4255</v>
      </c>
    </row>
    <row r="2543" spans="1:14" x14ac:dyDescent="0.15">
      <c r="A2543" s="1">
        <v>306</v>
      </c>
      <c r="B2543" s="1" t="s">
        <v>4250</v>
      </c>
      <c r="C2543" s="1" t="s">
        <v>1227</v>
      </c>
      <c r="D2543" s="1" t="s">
        <v>1228</v>
      </c>
      <c r="E2543" s="1" t="s">
        <v>1227</v>
      </c>
      <c r="F2543" s="1" t="s">
        <v>1228</v>
      </c>
      <c r="G2543" s="1" t="s">
        <v>1229</v>
      </c>
      <c r="H2543" s="1" t="s">
        <v>1228</v>
      </c>
      <c r="I2543" s="1" t="s">
        <v>7425</v>
      </c>
      <c r="J2543" s="1" t="s">
        <v>5418</v>
      </c>
      <c r="K2543" s="1">
        <v>6</v>
      </c>
      <c r="L2543" s="1" t="s">
        <v>4254</v>
      </c>
      <c r="M2543" s="1">
        <v>8</v>
      </c>
      <c r="N2543" s="1" t="s">
        <v>4255</v>
      </c>
    </row>
    <row r="2544" spans="1:14" x14ac:dyDescent="0.15">
      <c r="A2544" s="1">
        <v>306</v>
      </c>
      <c r="B2544" s="1" t="s">
        <v>4250</v>
      </c>
      <c r="C2544" s="1" t="s">
        <v>1227</v>
      </c>
      <c r="D2544" s="1" t="s">
        <v>1228</v>
      </c>
      <c r="E2544" s="1" t="s">
        <v>1227</v>
      </c>
      <c r="F2544" s="1" t="s">
        <v>1228</v>
      </c>
      <c r="G2544" s="1" t="s">
        <v>1229</v>
      </c>
      <c r="H2544" s="1" t="s">
        <v>1228</v>
      </c>
      <c r="I2544" s="1" t="s">
        <v>7437</v>
      </c>
      <c r="J2544" s="1" t="s">
        <v>5423</v>
      </c>
      <c r="K2544" s="1">
        <v>6</v>
      </c>
      <c r="L2544" s="1" t="s">
        <v>4254</v>
      </c>
      <c r="M2544" s="1">
        <v>8</v>
      </c>
      <c r="N2544" s="1" t="s">
        <v>4255</v>
      </c>
    </row>
    <row r="2545" spans="1:14" x14ac:dyDescent="0.15">
      <c r="A2545" s="1">
        <v>306</v>
      </c>
      <c r="B2545" s="1" t="s">
        <v>4250</v>
      </c>
      <c r="C2545" s="1" t="s">
        <v>1227</v>
      </c>
      <c r="D2545" s="1" t="s">
        <v>1228</v>
      </c>
      <c r="E2545" s="1" t="s">
        <v>1227</v>
      </c>
      <c r="F2545" s="1" t="s">
        <v>1228</v>
      </c>
      <c r="G2545" s="1" t="s">
        <v>1229</v>
      </c>
      <c r="H2545" s="1" t="s">
        <v>1228</v>
      </c>
      <c r="I2545" s="1" t="s">
        <v>7440</v>
      </c>
      <c r="J2545" s="1" t="s">
        <v>5424</v>
      </c>
      <c r="K2545" s="1">
        <v>6</v>
      </c>
      <c r="L2545" s="1" t="s">
        <v>4254</v>
      </c>
      <c r="M2545" s="1">
        <v>8</v>
      </c>
      <c r="N2545" s="1" t="s">
        <v>4255</v>
      </c>
    </row>
    <row r="2546" spans="1:14" x14ac:dyDescent="0.15">
      <c r="A2546" s="1">
        <v>306</v>
      </c>
      <c r="B2546" s="1" t="s">
        <v>4250</v>
      </c>
      <c r="C2546" s="1" t="s">
        <v>1227</v>
      </c>
      <c r="D2546" s="1" t="s">
        <v>1228</v>
      </c>
      <c r="E2546" s="1" t="s">
        <v>1227</v>
      </c>
      <c r="F2546" s="1" t="s">
        <v>1228</v>
      </c>
      <c r="G2546" s="1" t="s">
        <v>1229</v>
      </c>
      <c r="H2546" s="1" t="s">
        <v>1228</v>
      </c>
      <c r="I2546" s="1" t="s">
        <v>7443</v>
      </c>
      <c r="J2546" s="1" t="s">
        <v>5425</v>
      </c>
      <c r="K2546" s="1">
        <v>6</v>
      </c>
      <c r="L2546" s="1" t="s">
        <v>4254</v>
      </c>
      <c r="M2546" s="1">
        <v>8</v>
      </c>
      <c r="N2546" s="1" t="s">
        <v>4255</v>
      </c>
    </row>
    <row r="2547" spans="1:14" x14ac:dyDescent="0.15">
      <c r="A2547" s="1">
        <v>306</v>
      </c>
      <c r="B2547" s="1" t="s">
        <v>4250</v>
      </c>
      <c r="C2547" s="1" t="s">
        <v>1227</v>
      </c>
      <c r="D2547" s="1" t="s">
        <v>1228</v>
      </c>
      <c r="E2547" s="1" t="s">
        <v>1227</v>
      </c>
      <c r="F2547" s="1" t="s">
        <v>1228</v>
      </c>
      <c r="G2547" s="1" t="s">
        <v>1229</v>
      </c>
      <c r="H2547" s="1" t="s">
        <v>1228</v>
      </c>
      <c r="I2547" s="1" t="s">
        <v>7452</v>
      </c>
      <c r="J2547" s="1" t="s">
        <v>5428</v>
      </c>
      <c r="K2547" s="1">
        <v>6</v>
      </c>
      <c r="L2547" s="1" t="s">
        <v>4254</v>
      </c>
      <c r="M2547" s="1">
        <v>8</v>
      </c>
      <c r="N2547" s="1" t="s">
        <v>4255</v>
      </c>
    </row>
    <row r="2548" spans="1:14" x14ac:dyDescent="0.15">
      <c r="A2548" s="1">
        <v>306</v>
      </c>
      <c r="B2548" s="1" t="s">
        <v>4250</v>
      </c>
      <c r="C2548" s="1" t="s">
        <v>1227</v>
      </c>
      <c r="D2548" s="1" t="s">
        <v>1228</v>
      </c>
      <c r="E2548" s="1" t="s">
        <v>1227</v>
      </c>
      <c r="F2548" s="1" t="s">
        <v>1228</v>
      </c>
      <c r="G2548" s="1" t="s">
        <v>1229</v>
      </c>
      <c r="H2548" s="1" t="s">
        <v>1228</v>
      </c>
      <c r="I2548" s="1" t="s">
        <v>7455</v>
      </c>
      <c r="J2548" s="1" t="s">
        <v>5429</v>
      </c>
      <c r="K2548" s="1">
        <v>6</v>
      </c>
      <c r="L2548" s="1" t="s">
        <v>4254</v>
      </c>
      <c r="M2548" s="1">
        <v>8</v>
      </c>
      <c r="N2548" s="1" t="s">
        <v>4255</v>
      </c>
    </row>
    <row r="2549" spans="1:14" x14ac:dyDescent="0.15">
      <c r="A2549" s="1">
        <v>306</v>
      </c>
      <c r="B2549" s="1" t="s">
        <v>4250</v>
      </c>
      <c r="C2549" s="1" t="s">
        <v>1227</v>
      </c>
      <c r="D2549" s="1" t="s">
        <v>1228</v>
      </c>
      <c r="E2549" s="1" t="s">
        <v>1227</v>
      </c>
      <c r="F2549" s="1" t="s">
        <v>1228</v>
      </c>
      <c r="G2549" s="1" t="s">
        <v>1229</v>
      </c>
      <c r="H2549" s="1" t="s">
        <v>1228</v>
      </c>
      <c r="I2549" s="1" t="s">
        <v>7461</v>
      </c>
      <c r="J2549" s="1" t="s">
        <v>5432</v>
      </c>
      <c r="K2549" s="1">
        <v>6</v>
      </c>
      <c r="L2549" s="1" t="s">
        <v>4254</v>
      </c>
      <c r="M2549" s="1">
        <v>8</v>
      </c>
      <c r="N2549" s="1" t="s">
        <v>4255</v>
      </c>
    </row>
    <row r="2550" spans="1:14" x14ac:dyDescent="0.15">
      <c r="A2550" s="1">
        <v>306</v>
      </c>
      <c r="B2550" s="1" t="s">
        <v>4250</v>
      </c>
      <c r="C2550" s="1" t="s">
        <v>1227</v>
      </c>
      <c r="D2550" s="1" t="s">
        <v>1228</v>
      </c>
      <c r="E2550" s="1" t="s">
        <v>1227</v>
      </c>
      <c r="F2550" s="1" t="s">
        <v>1228</v>
      </c>
      <c r="G2550" s="1" t="s">
        <v>1229</v>
      </c>
      <c r="H2550" s="1" t="s">
        <v>1228</v>
      </c>
      <c r="I2550" s="1" t="s">
        <v>7467</v>
      </c>
      <c r="J2550" s="1" t="s">
        <v>5435</v>
      </c>
      <c r="K2550" s="1">
        <v>6</v>
      </c>
      <c r="L2550" s="1" t="s">
        <v>4254</v>
      </c>
      <c r="M2550" s="1">
        <v>8</v>
      </c>
      <c r="N2550" s="1" t="s">
        <v>4255</v>
      </c>
    </row>
    <row r="2551" spans="1:14" x14ac:dyDescent="0.15">
      <c r="A2551" s="1">
        <v>306</v>
      </c>
      <c r="B2551" s="1" t="s">
        <v>4250</v>
      </c>
      <c r="C2551" s="1" t="s">
        <v>1227</v>
      </c>
      <c r="D2551" s="1" t="s">
        <v>1228</v>
      </c>
      <c r="E2551" s="1" t="s">
        <v>1227</v>
      </c>
      <c r="F2551" s="1" t="s">
        <v>1228</v>
      </c>
      <c r="G2551" s="1" t="s">
        <v>1229</v>
      </c>
      <c r="H2551" s="1" t="s">
        <v>1228</v>
      </c>
      <c r="I2551" s="1" t="s">
        <v>7470</v>
      </c>
      <c r="J2551" s="1" t="s">
        <v>5436</v>
      </c>
      <c r="K2551" s="1">
        <v>6</v>
      </c>
      <c r="L2551" s="1" t="s">
        <v>4254</v>
      </c>
      <c r="M2551" s="1">
        <v>8</v>
      </c>
      <c r="N2551" s="1" t="s">
        <v>4255</v>
      </c>
    </row>
    <row r="2552" spans="1:14" x14ac:dyDescent="0.15">
      <c r="A2552" s="1">
        <v>306</v>
      </c>
      <c r="B2552" s="1" t="s">
        <v>4250</v>
      </c>
      <c r="C2552" s="1" t="s">
        <v>1227</v>
      </c>
      <c r="D2552" s="1" t="s">
        <v>1228</v>
      </c>
      <c r="E2552" s="1" t="s">
        <v>1227</v>
      </c>
      <c r="F2552" s="1" t="s">
        <v>1228</v>
      </c>
      <c r="G2552" s="1" t="s">
        <v>1229</v>
      </c>
      <c r="H2552" s="1" t="s">
        <v>1228</v>
      </c>
      <c r="I2552" s="1" t="s">
        <v>7473</v>
      </c>
      <c r="J2552" s="1" t="s">
        <v>5437</v>
      </c>
      <c r="K2552" s="1">
        <v>6</v>
      </c>
      <c r="L2552" s="1" t="s">
        <v>4254</v>
      </c>
      <c r="M2552" s="1">
        <v>8</v>
      </c>
      <c r="N2552" s="1" t="s">
        <v>4255</v>
      </c>
    </row>
    <row r="2553" spans="1:14" x14ac:dyDescent="0.15">
      <c r="A2553" s="1">
        <v>306</v>
      </c>
      <c r="B2553" s="1" t="s">
        <v>4250</v>
      </c>
      <c r="C2553" s="1" t="s">
        <v>1227</v>
      </c>
      <c r="D2553" s="1" t="s">
        <v>1228</v>
      </c>
      <c r="E2553" s="1" t="s">
        <v>1227</v>
      </c>
      <c r="F2553" s="1" t="s">
        <v>1228</v>
      </c>
      <c r="G2553" s="1" t="s">
        <v>1229</v>
      </c>
      <c r="H2553" s="1" t="s">
        <v>1228</v>
      </c>
      <c r="I2553" s="1" t="s">
        <v>7476</v>
      </c>
      <c r="J2553" s="1" t="s">
        <v>5438</v>
      </c>
      <c r="K2553" s="1">
        <v>6</v>
      </c>
      <c r="L2553" s="1" t="s">
        <v>4254</v>
      </c>
      <c r="M2553" s="1">
        <v>8</v>
      </c>
      <c r="N2553" s="1" t="s">
        <v>4255</v>
      </c>
    </row>
    <row r="2554" spans="1:14" x14ac:dyDescent="0.15">
      <c r="A2554" s="1">
        <v>306</v>
      </c>
      <c r="B2554" s="1" t="s">
        <v>4250</v>
      </c>
      <c r="C2554" s="1" t="s">
        <v>1227</v>
      </c>
      <c r="D2554" s="1" t="s">
        <v>1228</v>
      </c>
      <c r="E2554" s="1" t="s">
        <v>1227</v>
      </c>
      <c r="F2554" s="1" t="s">
        <v>1228</v>
      </c>
      <c r="G2554" s="1" t="s">
        <v>1229</v>
      </c>
      <c r="H2554" s="1" t="s">
        <v>1228</v>
      </c>
      <c r="I2554" s="1" t="s">
        <v>7482</v>
      </c>
      <c r="J2554" s="1" t="s">
        <v>5441</v>
      </c>
      <c r="K2554" s="1">
        <v>6</v>
      </c>
      <c r="L2554" s="1" t="s">
        <v>4254</v>
      </c>
      <c r="M2554" s="1">
        <v>8</v>
      </c>
      <c r="N2554" s="1" t="s">
        <v>4255</v>
      </c>
    </row>
    <row r="2555" spans="1:14" x14ac:dyDescent="0.15">
      <c r="A2555" s="1">
        <v>306</v>
      </c>
      <c r="B2555" s="1" t="s">
        <v>4250</v>
      </c>
      <c r="C2555" s="1" t="s">
        <v>1227</v>
      </c>
      <c r="D2555" s="1" t="s">
        <v>1228</v>
      </c>
      <c r="E2555" s="1" t="s">
        <v>1227</v>
      </c>
      <c r="F2555" s="1" t="s">
        <v>1228</v>
      </c>
      <c r="G2555" s="1" t="s">
        <v>1229</v>
      </c>
      <c r="H2555" s="1" t="s">
        <v>1228</v>
      </c>
      <c r="I2555" s="1" t="s">
        <v>7485</v>
      </c>
      <c r="J2555" s="1" t="s">
        <v>5442</v>
      </c>
      <c r="K2555" s="1">
        <v>6</v>
      </c>
      <c r="L2555" s="1" t="s">
        <v>4254</v>
      </c>
      <c r="M2555" s="1">
        <v>8</v>
      </c>
      <c r="N2555" s="1" t="s">
        <v>4255</v>
      </c>
    </row>
    <row r="2556" spans="1:14" x14ac:dyDescent="0.15">
      <c r="A2556" s="1">
        <v>306</v>
      </c>
      <c r="B2556" s="1" t="s">
        <v>4250</v>
      </c>
      <c r="C2556" s="1" t="s">
        <v>1227</v>
      </c>
      <c r="D2556" s="1" t="s">
        <v>1228</v>
      </c>
      <c r="E2556" s="1" t="s">
        <v>1227</v>
      </c>
      <c r="F2556" s="1" t="s">
        <v>1228</v>
      </c>
      <c r="G2556" s="1" t="s">
        <v>1229</v>
      </c>
      <c r="H2556" s="1" t="s">
        <v>1228</v>
      </c>
      <c r="I2556" s="1" t="s">
        <v>7488</v>
      </c>
      <c r="J2556" s="1" t="s">
        <v>5443</v>
      </c>
      <c r="K2556" s="1">
        <v>6</v>
      </c>
      <c r="L2556" s="1" t="s">
        <v>4254</v>
      </c>
      <c r="M2556" s="1">
        <v>8</v>
      </c>
      <c r="N2556" s="1" t="s">
        <v>4255</v>
      </c>
    </row>
    <row r="2557" spans="1:14" x14ac:dyDescent="0.15">
      <c r="A2557" s="1">
        <v>325</v>
      </c>
      <c r="B2557" s="1" t="s">
        <v>4256</v>
      </c>
      <c r="C2557" s="1" t="s">
        <v>4257</v>
      </c>
      <c r="D2557" s="1" t="s">
        <v>4256</v>
      </c>
      <c r="E2557" s="1" t="s">
        <v>4257</v>
      </c>
      <c r="F2557" s="1" t="s">
        <v>4256</v>
      </c>
      <c r="G2557" s="1" t="s">
        <v>4258</v>
      </c>
      <c r="H2557" s="1" t="s">
        <v>4256</v>
      </c>
      <c r="I2557" s="1" t="s">
        <v>7147</v>
      </c>
      <c r="J2557" s="1" t="s">
        <v>12694</v>
      </c>
      <c r="K2557" s="1">
        <v>1</v>
      </c>
      <c r="L2557" s="1" t="s">
        <v>4259</v>
      </c>
      <c r="M2557" s="1">
        <v>8</v>
      </c>
      <c r="N2557" s="1" t="s">
        <v>4255</v>
      </c>
    </row>
    <row r="2558" spans="1:14" x14ac:dyDescent="0.15">
      <c r="A2558" s="1">
        <v>325</v>
      </c>
      <c r="B2558" s="1" t="s">
        <v>4256</v>
      </c>
      <c r="C2558" s="1" t="s">
        <v>4257</v>
      </c>
      <c r="D2558" s="1" t="s">
        <v>4256</v>
      </c>
      <c r="E2558" s="1" t="s">
        <v>4257</v>
      </c>
      <c r="F2558" s="1" t="s">
        <v>4256</v>
      </c>
      <c r="G2558" s="1" t="s">
        <v>4258</v>
      </c>
      <c r="H2558" s="1" t="s">
        <v>4256</v>
      </c>
      <c r="I2558" s="1" t="s">
        <v>7150</v>
      </c>
      <c r="J2558" s="1" t="s">
        <v>12698</v>
      </c>
      <c r="K2558" s="1">
        <v>1</v>
      </c>
      <c r="L2558" s="1" t="s">
        <v>4259</v>
      </c>
      <c r="M2558" s="1">
        <v>8</v>
      </c>
      <c r="N2558" s="1" t="s">
        <v>4255</v>
      </c>
    </row>
    <row r="2559" spans="1:14" x14ac:dyDescent="0.15">
      <c r="A2559" s="1">
        <v>325</v>
      </c>
      <c r="B2559" s="1" t="s">
        <v>4256</v>
      </c>
      <c r="C2559" s="1" t="s">
        <v>4257</v>
      </c>
      <c r="D2559" s="1" t="s">
        <v>4256</v>
      </c>
      <c r="E2559" s="1" t="s">
        <v>4257</v>
      </c>
      <c r="F2559" s="1" t="s">
        <v>4256</v>
      </c>
      <c r="G2559" s="1" t="s">
        <v>4258</v>
      </c>
      <c r="H2559" s="1" t="s">
        <v>4256</v>
      </c>
      <c r="I2559" s="1" t="s">
        <v>7153</v>
      </c>
      <c r="J2559" s="1" t="s">
        <v>12702</v>
      </c>
      <c r="K2559" s="1">
        <v>1</v>
      </c>
      <c r="L2559" s="1" t="s">
        <v>4259</v>
      </c>
      <c r="M2559" s="1">
        <v>8</v>
      </c>
      <c r="N2559" s="1" t="s">
        <v>4255</v>
      </c>
    </row>
    <row r="2560" spans="1:14" x14ac:dyDescent="0.15">
      <c r="A2560" s="1">
        <v>306</v>
      </c>
      <c r="B2560" s="1" t="s">
        <v>4250</v>
      </c>
      <c r="C2560" s="1" t="s">
        <v>1227</v>
      </c>
      <c r="D2560" s="1" t="s">
        <v>1228</v>
      </c>
      <c r="E2560" s="1" t="s">
        <v>1227</v>
      </c>
      <c r="F2560" s="1" t="s">
        <v>1228</v>
      </c>
      <c r="G2560" s="1" t="s">
        <v>1229</v>
      </c>
      <c r="H2560" s="1" t="s">
        <v>1228</v>
      </c>
      <c r="I2560" s="1" t="s">
        <v>7494</v>
      </c>
      <c r="J2560" s="1" t="s">
        <v>5446</v>
      </c>
      <c r="K2560" s="1">
        <v>6</v>
      </c>
      <c r="L2560" s="1" t="s">
        <v>4254</v>
      </c>
      <c r="M2560" s="1">
        <v>8</v>
      </c>
      <c r="N2560" s="1" t="s">
        <v>4255</v>
      </c>
    </row>
    <row r="2561" spans="1:14" x14ac:dyDescent="0.15">
      <c r="A2561" s="1">
        <v>306</v>
      </c>
      <c r="B2561" s="1" t="s">
        <v>4250</v>
      </c>
      <c r="C2561" s="1" t="s">
        <v>1227</v>
      </c>
      <c r="D2561" s="1" t="s">
        <v>1228</v>
      </c>
      <c r="E2561" s="1" t="s">
        <v>1227</v>
      </c>
      <c r="F2561" s="1" t="s">
        <v>1228</v>
      </c>
      <c r="G2561" s="1" t="s">
        <v>1229</v>
      </c>
      <c r="H2561" s="1" t="s">
        <v>1228</v>
      </c>
      <c r="I2561" s="1" t="s">
        <v>7497</v>
      </c>
      <c r="J2561" s="1" t="s">
        <v>5447</v>
      </c>
      <c r="K2561" s="1">
        <v>6</v>
      </c>
      <c r="L2561" s="1" t="s">
        <v>4254</v>
      </c>
      <c r="M2561" s="1">
        <v>8</v>
      </c>
      <c r="N2561" s="1" t="s">
        <v>4255</v>
      </c>
    </row>
    <row r="2562" spans="1:14" x14ac:dyDescent="0.15">
      <c r="A2562" s="1">
        <v>306</v>
      </c>
      <c r="B2562" s="1" t="s">
        <v>4250</v>
      </c>
      <c r="C2562" s="1" t="s">
        <v>1227</v>
      </c>
      <c r="D2562" s="1" t="s">
        <v>1228</v>
      </c>
      <c r="E2562" s="1" t="s">
        <v>1227</v>
      </c>
      <c r="F2562" s="1" t="s">
        <v>1228</v>
      </c>
      <c r="G2562" s="1" t="s">
        <v>1229</v>
      </c>
      <c r="H2562" s="1" t="s">
        <v>1228</v>
      </c>
      <c r="I2562" s="1" t="s">
        <v>7036</v>
      </c>
      <c r="J2562" s="1" t="s">
        <v>1231</v>
      </c>
      <c r="K2562" s="1">
        <v>6</v>
      </c>
      <c r="L2562" s="1" t="s">
        <v>4254</v>
      </c>
      <c r="M2562" s="1">
        <v>8</v>
      </c>
      <c r="N2562" s="1" t="s">
        <v>4255</v>
      </c>
    </row>
    <row r="2563" spans="1:14" x14ac:dyDescent="0.15">
      <c r="A2563" s="1">
        <v>306</v>
      </c>
      <c r="B2563" s="1" t="s">
        <v>4250</v>
      </c>
      <c r="C2563" s="1" t="s">
        <v>1227</v>
      </c>
      <c r="D2563" s="1" t="s">
        <v>1228</v>
      </c>
      <c r="E2563" s="1" t="s">
        <v>1227</v>
      </c>
      <c r="F2563" s="1" t="s">
        <v>1228</v>
      </c>
      <c r="G2563" s="1" t="s">
        <v>1229</v>
      </c>
      <c r="H2563" s="1" t="s">
        <v>1228</v>
      </c>
      <c r="I2563" s="1" t="s">
        <v>7042</v>
      </c>
      <c r="J2563" s="1" t="s">
        <v>5459</v>
      </c>
      <c r="K2563" s="1">
        <v>6</v>
      </c>
      <c r="L2563" s="1" t="s">
        <v>4254</v>
      </c>
      <c r="M2563" s="1">
        <v>8</v>
      </c>
      <c r="N2563" s="1" t="s">
        <v>4255</v>
      </c>
    </row>
    <row r="2564" spans="1:14" x14ac:dyDescent="0.15">
      <c r="A2564" s="1">
        <v>306</v>
      </c>
      <c r="B2564" s="1" t="s">
        <v>4250</v>
      </c>
      <c r="C2564" s="1" t="s">
        <v>1227</v>
      </c>
      <c r="D2564" s="1" t="s">
        <v>1228</v>
      </c>
      <c r="E2564" s="1" t="s">
        <v>1227</v>
      </c>
      <c r="F2564" s="1" t="s">
        <v>1228</v>
      </c>
      <c r="G2564" s="1" t="s">
        <v>1229</v>
      </c>
      <c r="H2564" s="1" t="s">
        <v>1228</v>
      </c>
      <c r="I2564" s="1" t="s">
        <v>7048</v>
      </c>
      <c r="J2564" s="1" t="s">
        <v>5461</v>
      </c>
      <c r="K2564" s="1">
        <v>6</v>
      </c>
      <c r="L2564" s="1" t="s">
        <v>4254</v>
      </c>
      <c r="M2564" s="1">
        <v>8</v>
      </c>
      <c r="N2564" s="1" t="s">
        <v>4255</v>
      </c>
    </row>
    <row r="2565" spans="1:14" x14ac:dyDescent="0.15">
      <c r="A2565" s="1">
        <v>306</v>
      </c>
      <c r="B2565" s="1" t="s">
        <v>4250</v>
      </c>
      <c r="C2565" s="1" t="s">
        <v>1227</v>
      </c>
      <c r="D2565" s="1" t="s">
        <v>1228</v>
      </c>
      <c r="E2565" s="1" t="s">
        <v>1227</v>
      </c>
      <c r="F2565" s="1" t="s">
        <v>1228</v>
      </c>
      <c r="G2565" s="1" t="s">
        <v>1229</v>
      </c>
      <c r="H2565" s="1" t="s">
        <v>1228</v>
      </c>
      <c r="I2565" s="1" t="s">
        <v>7051</v>
      </c>
      <c r="J2565" s="1" t="s">
        <v>5462</v>
      </c>
      <c r="K2565" s="1">
        <v>6</v>
      </c>
      <c r="L2565" s="1" t="s">
        <v>4254</v>
      </c>
      <c r="M2565" s="1">
        <v>8</v>
      </c>
      <c r="N2565" s="1" t="s">
        <v>4255</v>
      </c>
    </row>
    <row r="2566" spans="1:14" x14ac:dyDescent="0.15">
      <c r="A2566" s="1">
        <v>306</v>
      </c>
      <c r="B2566" s="1" t="s">
        <v>4250</v>
      </c>
      <c r="C2566" s="1" t="s">
        <v>1227</v>
      </c>
      <c r="D2566" s="1" t="s">
        <v>1228</v>
      </c>
      <c r="E2566" s="1" t="s">
        <v>1227</v>
      </c>
      <c r="F2566" s="1" t="s">
        <v>1228</v>
      </c>
      <c r="G2566" s="1" t="s">
        <v>1229</v>
      </c>
      <c r="H2566" s="1" t="s">
        <v>1228</v>
      </c>
      <c r="I2566" s="1" t="s">
        <v>7054</v>
      </c>
      <c r="J2566" s="1" t="s">
        <v>5463</v>
      </c>
      <c r="K2566" s="1">
        <v>6</v>
      </c>
      <c r="L2566" s="1" t="s">
        <v>4254</v>
      </c>
      <c r="M2566" s="1">
        <v>8</v>
      </c>
      <c r="N2566" s="1" t="s">
        <v>4255</v>
      </c>
    </row>
    <row r="2567" spans="1:14" x14ac:dyDescent="0.15">
      <c r="A2567" s="1">
        <v>306</v>
      </c>
      <c r="B2567" s="1" t="s">
        <v>4250</v>
      </c>
      <c r="C2567" s="1" t="s">
        <v>1227</v>
      </c>
      <c r="D2567" s="1" t="s">
        <v>1228</v>
      </c>
      <c r="E2567" s="1" t="s">
        <v>1227</v>
      </c>
      <c r="F2567" s="1" t="s">
        <v>1228</v>
      </c>
      <c r="G2567" s="1" t="s">
        <v>1229</v>
      </c>
      <c r="H2567" s="1" t="s">
        <v>1228</v>
      </c>
      <c r="I2567" s="1" t="s">
        <v>7057</v>
      </c>
      <c r="J2567" s="1" t="s">
        <v>5464</v>
      </c>
      <c r="K2567" s="1">
        <v>6</v>
      </c>
      <c r="L2567" s="1" t="s">
        <v>4254</v>
      </c>
      <c r="M2567" s="1">
        <v>8</v>
      </c>
      <c r="N2567" s="1" t="s">
        <v>4255</v>
      </c>
    </row>
    <row r="2568" spans="1:14" x14ac:dyDescent="0.15">
      <c r="A2568" s="1">
        <v>306</v>
      </c>
      <c r="B2568" s="1" t="s">
        <v>4250</v>
      </c>
      <c r="C2568" s="1" t="s">
        <v>1227</v>
      </c>
      <c r="D2568" s="1" t="s">
        <v>1228</v>
      </c>
      <c r="E2568" s="1" t="s">
        <v>1227</v>
      </c>
      <c r="F2568" s="1" t="s">
        <v>1228</v>
      </c>
      <c r="G2568" s="1" t="s">
        <v>1229</v>
      </c>
      <c r="H2568" s="1" t="s">
        <v>1228</v>
      </c>
      <c r="I2568" s="1" t="s">
        <v>7060</v>
      </c>
      <c r="J2568" s="1" t="s">
        <v>5465</v>
      </c>
      <c r="K2568" s="1">
        <v>6</v>
      </c>
      <c r="L2568" s="1" t="s">
        <v>4254</v>
      </c>
      <c r="M2568" s="1">
        <v>8</v>
      </c>
      <c r="N2568" s="1" t="s">
        <v>4255</v>
      </c>
    </row>
    <row r="2569" spans="1:14" x14ac:dyDescent="0.15">
      <c r="A2569" s="1">
        <v>306</v>
      </c>
      <c r="B2569" s="1" t="s">
        <v>4250</v>
      </c>
      <c r="C2569" s="1" t="s">
        <v>1227</v>
      </c>
      <c r="D2569" s="1" t="s">
        <v>1228</v>
      </c>
      <c r="E2569" s="1" t="s">
        <v>1227</v>
      </c>
      <c r="F2569" s="1" t="s">
        <v>1228</v>
      </c>
      <c r="G2569" s="1" t="s">
        <v>1229</v>
      </c>
      <c r="H2569" s="1" t="s">
        <v>1228</v>
      </c>
      <c r="I2569" s="1" t="s">
        <v>7063</v>
      </c>
      <c r="J2569" s="1" t="s">
        <v>5466</v>
      </c>
      <c r="K2569" s="1">
        <v>6</v>
      </c>
      <c r="L2569" s="1" t="s">
        <v>4254</v>
      </c>
      <c r="M2569" s="1">
        <v>8</v>
      </c>
      <c r="N2569" s="1" t="s">
        <v>4255</v>
      </c>
    </row>
    <row r="2570" spans="1:14" x14ac:dyDescent="0.15">
      <c r="A2570" s="1">
        <v>306</v>
      </c>
      <c r="B2570" s="1" t="s">
        <v>4250</v>
      </c>
      <c r="C2570" s="1" t="s">
        <v>1227</v>
      </c>
      <c r="D2570" s="1" t="s">
        <v>1228</v>
      </c>
      <c r="E2570" s="1" t="s">
        <v>1227</v>
      </c>
      <c r="F2570" s="1" t="s">
        <v>1228</v>
      </c>
      <c r="G2570" s="1" t="s">
        <v>1229</v>
      </c>
      <c r="H2570" s="1" t="s">
        <v>1228</v>
      </c>
      <c r="I2570" s="1" t="s">
        <v>7069</v>
      </c>
      <c r="J2570" s="1" t="s">
        <v>5468</v>
      </c>
      <c r="K2570" s="1">
        <v>6</v>
      </c>
      <c r="L2570" s="1" t="s">
        <v>4254</v>
      </c>
      <c r="M2570" s="1">
        <v>8</v>
      </c>
      <c r="N2570" s="1" t="s">
        <v>4255</v>
      </c>
    </row>
    <row r="2571" spans="1:14" x14ac:dyDescent="0.15">
      <c r="A2571" s="1">
        <v>306</v>
      </c>
      <c r="B2571" s="1" t="s">
        <v>4250</v>
      </c>
      <c r="C2571" s="1" t="s">
        <v>1227</v>
      </c>
      <c r="D2571" s="1" t="s">
        <v>1228</v>
      </c>
      <c r="E2571" s="1" t="s">
        <v>1227</v>
      </c>
      <c r="F2571" s="1" t="s">
        <v>1228</v>
      </c>
      <c r="G2571" s="1" t="s">
        <v>1229</v>
      </c>
      <c r="H2571" s="1" t="s">
        <v>1228</v>
      </c>
      <c r="I2571" s="1" t="s">
        <v>7078</v>
      </c>
      <c r="J2571" s="1" t="s">
        <v>1232</v>
      </c>
      <c r="K2571" s="1">
        <v>6</v>
      </c>
      <c r="L2571" s="1" t="s">
        <v>4254</v>
      </c>
      <c r="M2571" s="1">
        <v>8</v>
      </c>
      <c r="N2571" s="1" t="s">
        <v>4255</v>
      </c>
    </row>
    <row r="2572" spans="1:14" x14ac:dyDescent="0.15">
      <c r="A2572" s="1">
        <v>306</v>
      </c>
      <c r="B2572" s="1" t="s">
        <v>4250</v>
      </c>
      <c r="C2572" s="1" t="s">
        <v>1227</v>
      </c>
      <c r="D2572" s="1" t="s">
        <v>1228</v>
      </c>
      <c r="E2572" s="1" t="s">
        <v>1227</v>
      </c>
      <c r="F2572" s="1" t="s">
        <v>1228</v>
      </c>
      <c r="G2572" s="1" t="s">
        <v>1229</v>
      </c>
      <c r="H2572" s="1" t="s">
        <v>1228</v>
      </c>
      <c r="I2572" s="1" t="s">
        <v>7081</v>
      </c>
      <c r="J2572" s="1" t="s">
        <v>1233</v>
      </c>
      <c r="K2572" s="1">
        <v>6</v>
      </c>
      <c r="L2572" s="1" t="s">
        <v>4254</v>
      </c>
      <c r="M2572" s="1">
        <v>8</v>
      </c>
      <c r="N2572" s="1" t="s">
        <v>4255</v>
      </c>
    </row>
    <row r="2573" spans="1:14" x14ac:dyDescent="0.15">
      <c r="A2573" s="1">
        <v>306</v>
      </c>
      <c r="B2573" s="1" t="s">
        <v>4250</v>
      </c>
      <c r="C2573" s="1" t="s">
        <v>1227</v>
      </c>
      <c r="D2573" s="1" t="s">
        <v>1228</v>
      </c>
      <c r="E2573" s="1" t="s">
        <v>1227</v>
      </c>
      <c r="F2573" s="1" t="s">
        <v>1228</v>
      </c>
      <c r="G2573" s="1" t="s">
        <v>1229</v>
      </c>
      <c r="H2573" s="1" t="s">
        <v>1228</v>
      </c>
      <c r="I2573" s="1" t="s">
        <v>7084</v>
      </c>
      <c r="J2573" s="1" t="s">
        <v>1234</v>
      </c>
      <c r="K2573" s="1">
        <v>6</v>
      </c>
      <c r="L2573" s="1" t="s">
        <v>4254</v>
      </c>
      <c r="M2573" s="1">
        <v>8</v>
      </c>
      <c r="N2573" s="1" t="s">
        <v>4255</v>
      </c>
    </row>
    <row r="2574" spans="1:14" x14ac:dyDescent="0.15">
      <c r="A2574" s="1">
        <v>306</v>
      </c>
      <c r="B2574" s="1" t="s">
        <v>4250</v>
      </c>
      <c r="C2574" s="1" t="s">
        <v>1227</v>
      </c>
      <c r="D2574" s="1" t="s">
        <v>1228</v>
      </c>
      <c r="E2574" s="1" t="s">
        <v>1227</v>
      </c>
      <c r="F2574" s="1" t="s">
        <v>1228</v>
      </c>
      <c r="G2574" s="1" t="s">
        <v>1229</v>
      </c>
      <c r="H2574" s="1" t="s">
        <v>1228</v>
      </c>
      <c r="I2574" s="1" t="s">
        <v>7087</v>
      </c>
      <c r="J2574" s="1" t="s">
        <v>1235</v>
      </c>
      <c r="K2574" s="1">
        <v>6</v>
      </c>
      <c r="L2574" s="1" t="s">
        <v>4254</v>
      </c>
      <c r="M2574" s="1">
        <v>8</v>
      </c>
      <c r="N2574" s="1" t="s">
        <v>4255</v>
      </c>
    </row>
    <row r="2575" spans="1:14" x14ac:dyDescent="0.15">
      <c r="A2575" s="1">
        <v>306</v>
      </c>
      <c r="B2575" s="1" t="s">
        <v>4250</v>
      </c>
      <c r="C2575" s="1" t="s">
        <v>1227</v>
      </c>
      <c r="D2575" s="1" t="s">
        <v>1228</v>
      </c>
      <c r="E2575" s="1" t="s">
        <v>1227</v>
      </c>
      <c r="F2575" s="1" t="s">
        <v>1228</v>
      </c>
      <c r="G2575" s="1" t="s">
        <v>1229</v>
      </c>
      <c r="H2575" s="1" t="s">
        <v>1228</v>
      </c>
      <c r="I2575" s="1" t="s">
        <v>7090</v>
      </c>
      <c r="J2575" s="1" t="s">
        <v>1236</v>
      </c>
      <c r="K2575" s="1">
        <v>6</v>
      </c>
      <c r="L2575" s="1" t="s">
        <v>4254</v>
      </c>
      <c r="M2575" s="1">
        <v>8</v>
      </c>
      <c r="N2575" s="1" t="s">
        <v>4255</v>
      </c>
    </row>
    <row r="2576" spans="1:14" x14ac:dyDescent="0.15">
      <c r="A2576" s="1">
        <v>306</v>
      </c>
      <c r="B2576" s="1" t="s">
        <v>4250</v>
      </c>
      <c r="C2576" s="1" t="s">
        <v>1227</v>
      </c>
      <c r="D2576" s="1" t="s">
        <v>1228</v>
      </c>
      <c r="E2576" s="1" t="s">
        <v>1227</v>
      </c>
      <c r="F2576" s="1" t="s">
        <v>1228</v>
      </c>
      <c r="G2576" s="1" t="s">
        <v>1229</v>
      </c>
      <c r="H2576" s="1" t="s">
        <v>1228</v>
      </c>
      <c r="I2576" s="1" t="s">
        <v>7093</v>
      </c>
      <c r="J2576" s="1" t="s">
        <v>1237</v>
      </c>
      <c r="K2576" s="1">
        <v>6</v>
      </c>
      <c r="L2576" s="1" t="s">
        <v>4254</v>
      </c>
      <c r="M2576" s="1">
        <v>8</v>
      </c>
      <c r="N2576" s="1" t="s">
        <v>4255</v>
      </c>
    </row>
    <row r="2577" spans="1:14" x14ac:dyDescent="0.15">
      <c r="A2577" s="1">
        <v>306</v>
      </c>
      <c r="B2577" s="1" t="s">
        <v>4250</v>
      </c>
      <c r="C2577" s="1" t="s">
        <v>1227</v>
      </c>
      <c r="D2577" s="1" t="s">
        <v>1228</v>
      </c>
      <c r="E2577" s="1" t="s">
        <v>1227</v>
      </c>
      <c r="F2577" s="1" t="s">
        <v>1228</v>
      </c>
      <c r="G2577" s="1" t="s">
        <v>1229</v>
      </c>
      <c r="H2577" s="1" t="s">
        <v>1228</v>
      </c>
      <c r="I2577" s="1" t="s">
        <v>7096</v>
      </c>
      <c r="J2577" s="1" t="s">
        <v>13242</v>
      </c>
      <c r="K2577" s="1">
        <v>6</v>
      </c>
      <c r="L2577" s="1" t="s">
        <v>4254</v>
      </c>
      <c r="M2577" s="1">
        <v>8</v>
      </c>
      <c r="N2577" s="1" t="s">
        <v>4255</v>
      </c>
    </row>
    <row r="2578" spans="1:14" x14ac:dyDescent="0.15">
      <c r="A2578" s="1">
        <v>311</v>
      </c>
      <c r="B2578" s="1" t="s">
        <v>1238</v>
      </c>
      <c r="C2578" s="1" t="s">
        <v>1239</v>
      </c>
      <c r="D2578" s="1" t="s">
        <v>1238</v>
      </c>
      <c r="E2578" s="1" t="s">
        <v>1239</v>
      </c>
      <c r="F2578" s="1" t="s">
        <v>1238</v>
      </c>
      <c r="G2578" s="1" t="s">
        <v>1240</v>
      </c>
      <c r="H2578" s="1" t="s">
        <v>1238</v>
      </c>
      <c r="I2578" s="1" t="s">
        <v>8015</v>
      </c>
      <c r="J2578" s="1" t="s">
        <v>13727</v>
      </c>
      <c r="K2578" s="1">
        <v>6</v>
      </c>
      <c r="L2578" s="1" t="s">
        <v>4254</v>
      </c>
      <c r="M2578" s="1">
        <v>8</v>
      </c>
      <c r="N2578" s="1" t="s">
        <v>4255</v>
      </c>
    </row>
    <row r="2579" spans="1:14" x14ac:dyDescent="0.15">
      <c r="A2579" s="1">
        <v>312</v>
      </c>
      <c r="B2579" s="1" t="s">
        <v>1241</v>
      </c>
      <c r="C2579" s="1" t="s">
        <v>1242</v>
      </c>
      <c r="D2579" s="1" t="s">
        <v>1241</v>
      </c>
      <c r="E2579" s="1" t="s">
        <v>1242</v>
      </c>
      <c r="F2579" s="1" t="s">
        <v>1241</v>
      </c>
      <c r="G2579" s="1" t="s">
        <v>1243</v>
      </c>
      <c r="H2579" s="1" t="s">
        <v>1241</v>
      </c>
      <c r="I2579" s="1" t="s">
        <v>13447</v>
      </c>
      <c r="J2579" s="1" t="s">
        <v>5147</v>
      </c>
      <c r="K2579" s="1">
        <v>6</v>
      </c>
      <c r="L2579" s="1" t="s">
        <v>4254</v>
      </c>
      <c r="M2579" s="1">
        <v>8</v>
      </c>
      <c r="N2579" s="1" t="s">
        <v>4255</v>
      </c>
    </row>
    <row r="2580" spans="1:14" x14ac:dyDescent="0.15">
      <c r="A2580" s="1">
        <v>313</v>
      </c>
      <c r="B2580" s="1" t="s">
        <v>1244</v>
      </c>
      <c r="C2580" s="1" t="s">
        <v>1245</v>
      </c>
      <c r="D2580" s="1" t="s">
        <v>1244</v>
      </c>
      <c r="E2580" s="1" t="s">
        <v>1245</v>
      </c>
      <c r="F2580" s="1" t="s">
        <v>1244</v>
      </c>
      <c r="G2580" s="1" t="s">
        <v>1246</v>
      </c>
      <c r="H2580" s="1" t="s">
        <v>1244</v>
      </c>
      <c r="I2580" s="1" t="s">
        <v>13320</v>
      </c>
      <c r="J2580" s="1" t="s">
        <v>5100</v>
      </c>
      <c r="K2580" s="1">
        <v>6</v>
      </c>
      <c r="L2580" s="1" t="s">
        <v>4254</v>
      </c>
      <c r="M2580" s="1">
        <v>8</v>
      </c>
      <c r="N2580" s="1" t="s">
        <v>4255</v>
      </c>
    </row>
    <row r="2581" spans="1:14" x14ac:dyDescent="0.15">
      <c r="A2581" s="1">
        <v>313</v>
      </c>
      <c r="B2581" s="1" t="s">
        <v>1244</v>
      </c>
      <c r="C2581" s="1" t="s">
        <v>1245</v>
      </c>
      <c r="D2581" s="1" t="s">
        <v>1244</v>
      </c>
      <c r="E2581" s="1" t="s">
        <v>1245</v>
      </c>
      <c r="F2581" s="1" t="s">
        <v>1244</v>
      </c>
      <c r="G2581" s="1" t="s">
        <v>1246</v>
      </c>
      <c r="H2581" s="1" t="s">
        <v>1244</v>
      </c>
      <c r="I2581" s="1" t="s">
        <v>13328</v>
      </c>
      <c r="J2581" s="1" t="s">
        <v>5101</v>
      </c>
      <c r="K2581" s="1">
        <v>6</v>
      </c>
      <c r="L2581" s="1" t="s">
        <v>4254</v>
      </c>
      <c r="M2581" s="1">
        <v>8</v>
      </c>
      <c r="N2581" s="1" t="s">
        <v>4255</v>
      </c>
    </row>
    <row r="2582" spans="1:14" x14ac:dyDescent="0.15">
      <c r="A2582" s="1">
        <v>313</v>
      </c>
      <c r="B2582" s="1" t="s">
        <v>1244</v>
      </c>
      <c r="C2582" s="1" t="s">
        <v>1245</v>
      </c>
      <c r="D2582" s="1" t="s">
        <v>1244</v>
      </c>
      <c r="E2582" s="1" t="s">
        <v>1245</v>
      </c>
      <c r="F2582" s="1" t="s">
        <v>1244</v>
      </c>
      <c r="G2582" s="1" t="s">
        <v>1246</v>
      </c>
      <c r="H2582" s="1" t="s">
        <v>1244</v>
      </c>
      <c r="I2582" s="1" t="s">
        <v>13332</v>
      </c>
      <c r="J2582" s="1" t="s">
        <v>5102</v>
      </c>
      <c r="K2582" s="1">
        <v>6</v>
      </c>
      <c r="L2582" s="1" t="s">
        <v>4254</v>
      </c>
      <c r="M2582" s="1">
        <v>8</v>
      </c>
      <c r="N2582" s="1" t="s">
        <v>4255</v>
      </c>
    </row>
    <row r="2583" spans="1:14" x14ac:dyDescent="0.15">
      <c r="A2583" s="1">
        <v>313</v>
      </c>
      <c r="B2583" s="1" t="s">
        <v>1244</v>
      </c>
      <c r="C2583" s="1" t="s">
        <v>1245</v>
      </c>
      <c r="D2583" s="1" t="s">
        <v>1244</v>
      </c>
      <c r="E2583" s="1" t="s">
        <v>1245</v>
      </c>
      <c r="F2583" s="1" t="s">
        <v>1244</v>
      </c>
      <c r="G2583" s="1" t="s">
        <v>1246</v>
      </c>
      <c r="H2583" s="1" t="s">
        <v>1244</v>
      </c>
      <c r="I2583" s="1" t="s">
        <v>13336</v>
      </c>
      <c r="J2583" s="1" t="s">
        <v>5104</v>
      </c>
      <c r="K2583" s="1">
        <v>6</v>
      </c>
      <c r="L2583" s="1" t="s">
        <v>4254</v>
      </c>
      <c r="M2583" s="1">
        <v>8</v>
      </c>
      <c r="N2583" s="1" t="s">
        <v>4255</v>
      </c>
    </row>
    <row r="2584" spans="1:14" x14ac:dyDescent="0.15">
      <c r="A2584" s="1">
        <v>313</v>
      </c>
      <c r="B2584" s="1" t="s">
        <v>1244</v>
      </c>
      <c r="C2584" s="1" t="s">
        <v>1245</v>
      </c>
      <c r="D2584" s="1" t="s">
        <v>1244</v>
      </c>
      <c r="E2584" s="1" t="s">
        <v>1245</v>
      </c>
      <c r="F2584" s="1" t="s">
        <v>1244</v>
      </c>
      <c r="G2584" s="1" t="s">
        <v>1246</v>
      </c>
      <c r="H2584" s="1" t="s">
        <v>1244</v>
      </c>
      <c r="I2584" s="1" t="s">
        <v>13340</v>
      </c>
      <c r="J2584" s="1" t="s">
        <v>3014</v>
      </c>
      <c r="K2584" s="1">
        <v>6</v>
      </c>
      <c r="L2584" s="1" t="s">
        <v>4254</v>
      </c>
      <c r="M2584" s="1">
        <v>8</v>
      </c>
      <c r="N2584" s="1" t="s">
        <v>4255</v>
      </c>
    </row>
    <row r="2585" spans="1:14" x14ac:dyDescent="0.15">
      <c r="A2585" s="1">
        <v>313</v>
      </c>
      <c r="B2585" s="1" t="s">
        <v>1244</v>
      </c>
      <c r="C2585" s="1" t="s">
        <v>1245</v>
      </c>
      <c r="D2585" s="1" t="s">
        <v>1244</v>
      </c>
      <c r="E2585" s="1" t="s">
        <v>1245</v>
      </c>
      <c r="F2585" s="1" t="s">
        <v>1244</v>
      </c>
      <c r="G2585" s="1" t="s">
        <v>1246</v>
      </c>
      <c r="H2585" s="1" t="s">
        <v>1244</v>
      </c>
      <c r="I2585" s="1" t="s">
        <v>13344</v>
      </c>
      <c r="J2585" s="1" t="s">
        <v>5106</v>
      </c>
      <c r="K2585" s="1">
        <v>6</v>
      </c>
      <c r="L2585" s="1" t="s">
        <v>4254</v>
      </c>
      <c r="M2585" s="1">
        <v>8</v>
      </c>
      <c r="N2585" s="1" t="s">
        <v>4255</v>
      </c>
    </row>
    <row r="2586" spans="1:14" x14ac:dyDescent="0.15">
      <c r="A2586" s="1">
        <v>313</v>
      </c>
      <c r="B2586" s="1" t="s">
        <v>1244</v>
      </c>
      <c r="C2586" s="1" t="s">
        <v>1245</v>
      </c>
      <c r="D2586" s="1" t="s">
        <v>1244</v>
      </c>
      <c r="E2586" s="1" t="s">
        <v>1245</v>
      </c>
      <c r="F2586" s="1" t="s">
        <v>1244</v>
      </c>
      <c r="G2586" s="1" t="s">
        <v>1246</v>
      </c>
      <c r="H2586" s="1" t="s">
        <v>1244</v>
      </c>
      <c r="I2586" s="1" t="s">
        <v>13348</v>
      </c>
      <c r="J2586" s="1" t="s">
        <v>5108</v>
      </c>
      <c r="K2586" s="1">
        <v>6</v>
      </c>
      <c r="L2586" s="1" t="s">
        <v>4254</v>
      </c>
      <c r="M2586" s="1">
        <v>8</v>
      </c>
      <c r="N2586" s="1" t="s">
        <v>4255</v>
      </c>
    </row>
    <row r="2587" spans="1:14" x14ac:dyDescent="0.15">
      <c r="A2587" s="1">
        <v>313</v>
      </c>
      <c r="B2587" s="1" t="s">
        <v>1244</v>
      </c>
      <c r="C2587" s="1" t="s">
        <v>1245</v>
      </c>
      <c r="D2587" s="1" t="s">
        <v>1244</v>
      </c>
      <c r="E2587" s="1" t="s">
        <v>1245</v>
      </c>
      <c r="F2587" s="1" t="s">
        <v>1244</v>
      </c>
      <c r="G2587" s="1" t="s">
        <v>1246</v>
      </c>
      <c r="H2587" s="1" t="s">
        <v>1244</v>
      </c>
      <c r="I2587" s="1" t="s">
        <v>13352</v>
      </c>
      <c r="J2587" s="1" t="s">
        <v>5109</v>
      </c>
      <c r="K2587" s="1">
        <v>6</v>
      </c>
      <c r="L2587" s="1" t="s">
        <v>4254</v>
      </c>
      <c r="M2587" s="1">
        <v>8</v>
      </c>
      <c r="N2587" s="1" t="s">
        <v>4255</v>
      </c>
    </row>
    <row r="2588" spans="1:14" x14ac:dyDescent="0.15">
      <c r="A2588" s="1">
        <v>313</v>
      </c>
      <c r="B2588" s="1" t="s">
        <v>1244</v>
      </c>
      <c r="C2588" s="1" t="s">
        <v>1245</v>
      </c>
      <c r="D2588" s="1" t="s">
        <v>1244</v>
      </c>
      <c r="E2588" s="1" t="s">
        <v>1245</v>
      </c>
      <c r="F2588" s="1" t="s">
        <v>1244</v>
      </c>
      <c r="G2588" s="1" t="s">
        <v>1246</v>
      </c>
      <c r="H2588" s="1" t="s">
        <v>1244</v>
      </c>
      <c r="I2588" s="1" t="s">
        <v>13356</v>
      </c>
      <c r="J2588" s="1" t="s">
        <v>5112</v>
      </c>
      <c r="K2588" s="1">
        <v>6</v>
      </c>
      <c r="L2588" s="1" t="s">
        <v>4254</v>
      </c>
      <c r="M2588" s="1">
        <v>8</v>
      </c>
      <c r="N2588" s="1" t="s">
        <v>4255</v>
      </c>
    </row>
    <row r="2589" spans="1:14" x14ac:dyDescent="0.15">
      <c r="A2589" s="1">
        <v>313</v>
      </c>
      <c r="B2589" s="1" t="s">
        <v>1244</v>
      </c>
      <c r="C2589" s="1" t="s">
        <v>1245</v>
      </c>
      <c r="D2589" s="1" t="s">
        <v>1244</v>
      </c>
      <c r="E2589" s="1" t="s">
        <v>1245</v>
      </c>
      <c r="F2589" s="1" t="s">
        <v>1244</v>
      </c>
      <c r="G2589" s="1" t="s">
        <v>1246</v>
      </c>
      <c r="H2589" s="1" t="s">
        <v>1244</v>
      </c>
      <c r="I2589" s="1" t="s">
        <v>13360</v>
      </c>
      <c r="J2589" s="1" t="s">
        <v>5111</v>
      </c>
      <c r="K2589" s="1">
        <v>6</v>
      </c>
      <c r="L2589" s="1" t="s">
        <v>4254</v>
      </c>
      <c r="M2589" s="1">
        <v>8</v>
      </c>
      <c r="N2589" s="1" t="s">
        <v>4255</v>
      </c>
    </row>
    <row r="2590" spans="1:14" x14ac:dyDescent="0.15">
      <c r="A2590" s="1">
        <v>313</v>
      </c>
      <c r="B2590" s="1" t="s">
        <v>1244</v>
      </c>
      <c r="C2590" s="1" t="s">
        <v>1245</v>
      </c>
      <c r="D2590" s="1" t="s">
        <v>1244</v>
      </c>
      <c r="E2590" s="1" t="s">
        <v>1245</v>
      </c>
      <c r="F2590" s="1" t="s">
        <v>1244</v>
      </c>
      <c r="G2590" s="1" t="s">
        <v>1246</v>
      </c>
      <c r="H2590" s="1" t="s">
        <v>1244</v>
      </c>
      <c r="I2590" s="1" t="s">
        <v>13364</v>
      </c>
      <c r="J2590" s="1" t="s">
        <v>5113</v>
      </c>
      <c r="K2590" s="1">
        <v>6</v>
      </c>
      <c r="L2590" s="1" t="s">
        <v>4254</v>
      </c>
      <c r="M2590" s="1">
        <v>8</v>
      </c>
      <c r="N2590" s="1" t="s">
        <v>4255</v>
      </c>
    </row>
    <row r="2591" spans="1:14" x14ac:dyDescent="0.15">
      <c r="A2591" s="1">
        <v>313</v>
      </c>
      <c r="B2591" s="1" t="s">
        <v>1244</v>
      </c>
      <c r="C2591" s="1" t="s">
        <v>1245</v>
      </c>
      <c r="D2591" s="1" t="s">
        <v>1244</v>
      </c>
      <c r="E2591" s="1" t="s">
        <v>1245</v>
      </c>
      <c r="F2591" s="1" t="s">
        <v>1244</v>
      </c>
      <c r="G2591" s="1" t="s">
        <v>1246</v>
      </c>
      <c r="H2591" s="1" t="s">
        <v>1244</v>
      </c>
      <c r="I2591" s="1" t="s">
        <v>8163</v>
      </c>
      <c r="J2591" s="1" t="s">
        <v>3016</v>
      </c>
      <c r="K2591" s="1">
        <v>6</v>
      </c>
      <c r="L2591" s="1" t="s">
        <v>4254</v>
      </c>
      <c r="M2591" s="1">
        <v>8</v>
      </c>
      <c r="N2591" s="1" t="s">
        <v>4255</v>
      </c>
    </row>
    <row r="2592" spans="1:14" x14ac:dyDescent="0.15">
      <c r="A2592" s="1">
        <v>313</v>
      </c>
      <c r="B2592" s="1" t="s">
        <v>1244</v>
      </c>
      <c r="C2592" s="1" t="s">
        <v>1245</v>
      </c>
      <c r="D2592" s="1" t="s">
        <v>1244</v>
      </c>
      <c r="E2592" s="1" t="s">
        <v>1245</v>
      </c>
      <c r="F2592" s="1" t="s">
        <v>1244</v>
      </c>
      <c r="G2592" s="1" t="s">
        <v>1246</v>
      </c>
      <c r="H2592" s="1" t="s">
        <v>1244</v>
      </c>
      <c r="I2592" s="1" t="s">
        <v>8166</v>
      </c>
      <c r="J2592" s="1" t="s">
        <v>1247</v>
      </c>
      <c r="K2592" s="1">
        <v>6</v>
      </c>
      <c r="L2592" s="1" t="s">
        <v>4254</v>
      </c>
      <c r="M2592" s="1">
        <v>8</v>
      </c>
      <c r="N2592" s="1" t="s">
        <v>4255</v>
      </c>
    </row>
    <row r="2593" spans="1:14" x14ac:dyDescent="0.15">
      <c r="A2593" s="1">
        <v>313</v>
      </c>
      <c r="B2593" s="1" t="s">
        <v>1244</v>
      </c>
      <c r="C2593" s="1" t="s">
        <v>1245</v>
      </c>
      <c r="D2593" s="1" t="s">
        <v>1244</v>
      </c>
      <c r="E2593" s="1" t="s">
        <v>1245</v>
      </c>
      <c r="F2593" s="1" t="s">
        <v>1244</v>
      </c>
      <c r="G2593" s="1" t="s">
        <v>1246</v>
      </c>
      <c r="H2593" s="1" t="s">
        <v>1244</v>
      </c>
      <c r="I2593" s="1" t="s">
        <v>8169</v>
      </c>
      <c r="J2593" s="1" t="s">
        <v>1248</v>
      </c>
      <c r="K2593" s="1">
        <v>6</v>
      </c>
      <c r="L2593" s="1" t="s">
        <v>4254</v>
      </c>
      <c r="M2593" s="1">
        <v>8</v>
      </c>
      <c r="N2593" s="1" t="s">
        <v>4255</v>
      </c>
    </row>
    <row r="2594" spans="1:14" x14ac:dyDescent="0.15">
      <c r="A2594" s="1">
        <v>313</v>
      </c>
      <c r="B2594" s="1" t="s">
        <v>1244</v>
      </c>
      <c r="C2594" s="1" t="s">
        <v>1245</v>
      </c>
      <c r="D2594" s="1" t="s">
        <v>1244</v>
      </c>
      <c r="E2594" s="1" t="s">
        <v>1245</v>
      </c>
      <c r="F2594" s="1" t="s">
        <v>1244</v>
      </c>
      <c r="G2594" s="1" t="s">
        <v>1246</v>
      </c>
      <c r="H2594" s="1" t="s">
        <v>1244</v>
      </c>
      <c r="I2594" s="1" t="s">
        <v>13380</v>
      </c>
      <c r="J2594" s="1" t="s">
        <v>13381</v>
      </c>
      <c r="K2594" s="1">
        <v>6</v>
      </c>
      <c r="L2594" s="1" t="s">
        <v>4254</v>
      </c>
      <c r="M2594" s="1">
        <v>8</v>
      </c>
      <c r="N2594" s="1" t="s">
        <v>4255</v>
      </c>
    </row>
    <row r="2595" spans="1:14" x14ac:dyDescent="0.15">
      <c r="A2595" s="1">
        <v>314</v>
      </c>
      <c r="B2595" s="1" t="s">
        <v>1249</v>
      </c>
      <c r="C2595" s="1" t="s">
        <v>1250</v>
      </c>
      <c r="D2595" s="1" t="s">
        <v>1249</v>
      </c>
      <c r="E2595" s="1" t="s">
        <v>1250</v>
      </c>
      <c r="F2595" s="1" t="s">
        <v>1249</v>
      </c>
      <c r="G2595" s="1" t="s">
        <v>1251</v>
      </c>
      <c r="H2595" s="1" t="s">
        <v>1249</v>
      </c>
      <c r="I2595" s="1" t="s">
        <v>14207</v>
      </c>
      <c r="J2595" s="1" t="s">
        <v>14208</v>
      </c>
      <c r="K2595" s="1">
        <v>4</v>
      </c>
      <c r="L2595" s="1" t="s">
        <v>4342</v>
      </c>
      <c r="M2595" s="1">
        <v>8</v>
      </c>
      <c r="N2595" s="1" t="s">
        <v>4255</v>
      </c>
    </row>
    <row r="2596" spans="1:14" x14ac:dyDescent="0.15">
      <c r="A2596" s="1">
        <v>314</v>
      </c>
      <c r="B2596" s="1" t="s">
        <v>1249</v>
      </c>
      <c r="C2596" s="1" t="s">
        <v>1250</v>
      </c>
      <c r="D2596" s="1" t="s">
        <v>1249</v>
      </c>
      <c r="E2596" s="1" t="s">
        <v>1250</v>
      </c>
      <c r="F2596" s="1" t="s">
        <v>1249</v>
      </c>
      <c r="G2596" s="1" t="s">
        <v>1251</v>
      </c>
      <c r="H2596" s="1" t="s">
        <v>1249</v>
      </c>
      <c r="I2596" s="1" t="s">
        <v>14211</v>
      </c>
      <c r="J2596" s="1" t="s">
        <v>2987</v>
      </c>
      <c r="K2596" s="1">
        <v>6</v>
      </c>
      <c r="L2596" s="1" t="s">
        <v>4254</v>
      </c>
      <c r="M2596" s="1">
        <v>8</v>
      </c>
      <c r="N2596" s="1" t="s">
        <v>4255</v>
      </c>
    </row>
    <row r="2597" spans="1:14" x14ac:dyDescent="0.15">
      <c r="A2597" s="1">
        <v>314</v>
      </c>
      <c r="B2597" s="1" t="s">
        <v>1249</v>
      </c>
      <c r="C2597" s="1" t="s">
        <v>1250</v>
      </c>
      <c r="D2597" s="1" t="s">
        <v>1249</v>
      </c>
      <c r="E2597" s="1" t="s">
        <v>1250</v>
      </c>
      <c r="F2597" s="1" t="s">
        <v>1249</v>
      </c>
      <c r="G2597" s="1" t="s">
        <v>1251</v>
      </c>
      <c r="H2597" s="1" t="s">
        <v>1249</v>
      </c>
      <c r="I2597" s="1" t="s">
        <v>13604</v>
      </c>
      <c r="J2597" s="1" t="s">
        <v>2988</v>
      </c>
      <c r="K2597" s="1">
        <v>6</v>
      </c>
      <c r="L2597" s="1" t="s">
        <v>4254</v>
      </c>
      <c r="M2597" s="1">
        <v>8</v>
      </c>
      <c r="N2597" s="1" t="s">
        <v>4255</v>
      </c>
    </row>
    <row r="2598" spans="1:14" x14ac:dyDescent="0.15">
      <c r="A2598" s="1">
        <v>314</v>
      </c>
      <c r="B2598" s="1" t="s">
        <v>1249</v>
      </c>
      <c r="C2598" s="1" t="s">
        <v>1250</v>
      </c>
      <c r="D2598" s="1" t="s">
        <v>1249</v>
      </c>
      <c r="E2598" s="1" t="s">
        <v>1250</v>
      </c>
      <c r="F2598" s="1" t="s">
        <v>1249</v>
      </c>
      <c r="G2598" s="1" t="s">
        <v>1251</v>
      </c>
      <c r="H2598" s="1" t="s">
        <v>1249</v>
      </c>
      <c r="I2598" s="1" t="s">
        <v>13612</v>
      </c>
      <c r="J2598" s="1" t="s">
        <v>13613</v>
      </c>
      <c r="K2598" s="1">
        <v>6</v>
      </c>
      <c r="L2598" s="1" t="s">
        <v>4254</v>
      </c>
      <c r="M2598" s="1">
        <v>8</v>
      </c>
      <c r="N2598" s="1" t="s">
        <v>4255</v>
      </c>
    </row>
    <row r="2599" spans="1:14" x14ac:dyDescent="0.15">
      <c r="A2599" s="1">
        <v>315</v>
      </c>
      <c r="B2599" s="1" t="s">
        <v>1252</v>
      </c>
      <c r="C2599" s="1" t="s">
        <v>1253</v>
      </c>
      <c r="D2599" s="1" t="s">
        <v>1252</v>
      </c>
      <c r="E2599" s="1" t="s">
        <v>1253</v>
      </c>
      <c r="F2599" s="1" t="s">
        <v>1252</v>
      </c>
      <c r="G2599" s="1" t="s">
        <v>1254</v>
      </c>
      <c r="H2599" s="1" t="s">
        <v>1252</v>
      </c>
      <c r="I2599" s="1" t="s">
        <v>13510</v>
      </c>
      <c r="J2599" s="1" t="s">
        <v>5134</v>
      </c>
      <c r="K2599" s="1">
        <v>6</v>
      </c>
      <c r="L2599" s="1" t="s">
        <v>4254</v>
      </c>
      <c r="M2599" s="1">
        <v>8</v>
      </c>
      <c r="N2599" s="1" t="s">
        <v>4255</v>
      </c>
    </row>
    <row r="2600" spans="1:14" x14ac:dyDescent="0.15">
      <c r="A2600" s="1">
        <v>316</v>
      </c>
      <c r="B2600" s="1" t="s">
        <v>1255</v>
      </c>
      <c r="C2600" s="1" t="s">
        <v>1256</v>
      </c>
      <c r="D2600" s="1" t="s">
        <v>1255</v>
      </c>
      <c r="E2600" s="1" t="s">
        <v>1256</v>
      </c>
      <c r="F2600" s="1" t="s">
        <v>1255</v>
      </c>
      <c r="G2600" s="1" t="s">
        <v>1257</v>
      </c>
      <c r="H2600" s="1" t="s">
        <v>1255</v>
      </c>
      <c r="I2600" s="1" t="s">
        <v>13518</v>
      </c>
      <c r="J2600" s="1" t="s">
        <v>5161</v>
      </c>
      <c r="K2600" s="1">
        <v>6</v>
      </c>
      <c r="L2600" s="1" t="s">
        <v>4254</v>
      </c>
      <c r="M2600" s="1">
        <v>8</v>
      </c>
      <c r="N2600" s="1" t="s">
        <v>4255</v>
      </c>
    </row>
    <row r="2601" spans="1:14" x14ac:dyDescent="0.15">
      <c r="A2601" s="1">
        <v>316</v>
      </c>
      <c r="B2601" s="1" t="s">
        <v>1255</v>
      </c>
      <c r="C2601" s="1" t="s">
        <v>1256</v>
      </c>
      <c r="D2601" s="1" t="s">
        <v>1255</v>
      </c>
      <c r="E2601" s="1" t="s">
        <v>1256</v>
      </c>
      <c r="F2601" s="1" t="s">
        <v>1255</v>
      </c>
      <c r="G2601" s="1" t="s">
        <v>1257</v>
      </c>
      <c r="H2601" s="1" t="s">
        <v>1255</v>
      </c>
      <c r="I2601" s="1" t="s">
        <v>7970</v>
      </c>
      <c r="J2601" s="1" t="s">
        <v>1258</v>
      </c>
      <c r="K2601" s="1">
        <v>6</v>
      </c>
      <c r="L2601" s="1" t="s">
        <v>4254</v>
      </c>
      <c r="M2601" s="1">
        <v>8</v>
      </c>
      <c r="N2601" s="1" t="s">
        <v>4255</v>
      </c>
    </row>
    <row r="2602" spans="1:14" x14ac:dyDescent="0.15">
      <c r="A2602" s="1">
        <v>320</v>
      </c>
      <c r="B2602" s="1" t="s">
        <v>1259</v>
      </c>
      <c r="C2602" s="1" t="s">
        <v>1260</v>
      </c>
      <c r="D2602" s="1" t="s">
        <v>1259</v>
      </c>
      <c r="E2602" s="1" t="s">
        <v>1260</v>
      </c>
      <c r="F2602" s="1" t="s">
        <v>1259</v>
      </c>
      <c r="G2602" s="1" t="s">
        <v>1261</v>
      </c>
      <c r="H2602" s="1" t="s">
        <v>1259</v>
      </c>
      <c r="I2602" s="1" t="s">
        <v>13766</v>
      </c>
      <c r="J2602" s="1" t="s">
        <v>2995</v>
      </c>
      <c r="K2602" s="1">
        <v>6</v>
      </c>
      <c r="L2602" s="1" t="s">
        <v>4254</v>
      </c>
      <c r="M2602" s="1">
        <v>8</v>
      </c>
      <c r="N2602" s="1" t="s">
        <v>4255</v>
      </c>
    </row>
    <row r="2603" spans="1:14" x14ac:dyDescent="0.15">
      <c r="A2603" s="1">
        <v>321</v>
      </c>
      <c r="B2603" s="1" t="s">
        <v>1262</v>
      </c>
      <c r="C2603" s="1" t="s">
        <v>1263</v>
      </c>
      <c r="D2603" s="1" t="s">
        <v>1262</v>
      </c>
      <c r="E2603" s="1" t="s">
        <v>1263</v>
      </c>
      <c r="F2603" s="1" t="s">
        <v>1262</v>
      </c>
      <c r="G2603" s="1" t="s">
        <v>1264</v>
      </c>
      <c r="H2603" s="1" t="s">
        <v>1262</v>
      </c>
      <c r="I2603" s="1" t="s">
        <v>13522</v>
      </c>
      <c r="J2603" s="1" t="s">
        <v>5162</v>
      </c>
      <c r="K2603" s="1">
        <v>6</v>
      </c>
      <c r="L2603" s="1" t="s">
        <v>4254</v>
      </c>
      <c r="M2603" s="1">
        <v>8</v>
      </c>
      <c r="N2603" s="1" t="s">
        <v>4255</v>
      </c>
    </row>
    <row r="2604" spans="1:14" x14ac:dyDescent="0.15">
      <c r="A2604" s="1">
        <v>322</v>
      </c>
      <c r="B2604" s="1" t="s">
        <v>1265</v>
      </c>
      <c r="C2604" s="1" t="s">
        <v>1266</v>
      </c>
      <c r="D2604" s="1" t="s">
        <v>1265</v>
      </c>
      <c r="E2604" s="1" t="s">
        <v>1266</v>
      </c>
      <c r="F2604" s="1" t="s">
        <v>1265</v>
      </c>
      <c r="G2604" s="1" t="s">
        <v>1267</v>
      </c>
      <c r="H2604" s="1" t="s">
        <v>1265</v>
      </c>
      <c r="I2604" s="1" t="s">
        <v>13770</v>
      </c>
      <c r="J2604" s="1" t="s">
        <v>2996</v>
      </c>
      <c r="K2604" s="1">
        <v>6</v>
      </c>
      <c r="L2604" s="1" t="s">
        <v>4254</v>
      </c>
      <c r="M2604" s="1">
        <v>8</v>
      </c>
      <c r="N2604" s="1" t="s">
        <v>4255</v>
      </c>
    </row>
    <row r="2605" spans="1:14" x14ac:dyDescent="0.15">
      <c r="A2605" s="1">
        <v>323</v>
      </c>
      <c r="B2605" s="1" t="s">
        <v>1268</v>
      </c>
      <c r="C2605" s="1" t="s">
        <v>1269</v>
      </c>
      <c r="D2605" s="1" t="s">
        <v>1268</v>
      </c>
      <c r="E2605" s="1" t="s">
        <v>1269</v>
      </c>
      <c r="F2605" s="1" t="s">
        <v>1268</v>
      </c>
      <c r="G2605" s="1" t="s">
        <v>1270</v>
      </c>
      <c r="H2605" s="1" t="s">
        <v>1268</v>
      </c>
      <c r="I2605" s="1" t="s">
        <v>14207</v>
      </c>
      <c r="J2605" s="1" t="s">
        <v>14208</v>
      </c>
      <c r="K2605" s="1">
        <v>6</v>
      </c>
      <c r="L2605" s="1" t="s">
        <v>4254</v>
      </c>
      <c r="M2605" s="1">
        <v>8</v>
      </c>
      <c r="N2605" s="1" t="s">
        <v>4255</v>
      </c>
    </row>
    <row r="2606" spans="1:14" x14ac:dyDescent="0.15">
      <c r="A2606" s="1">
        <v>323</v>
      </c>
      <c r="B2606" s="1" t="s">
        <v>1268</v>
      </c>
      <c r="C2606" s="1" t="s">
        <v>1269</v>
      </c>
      <c r="D2606" s="1" t="s">
        <v>1268</v>
      </c>
      <c r="E2606" s="1" t="s">
        <v>1269</v>
      </c>
      <c r="F2606" s="1" t="s">
        <v>1268</v>
      </c>
      <c r="G2606" s="1" t="s">
        <v>1270</v>
      </c>
      <c r="H2606" s="1" t="s">
        <v>1268</v>
      </c>
      <c r="I2606" s="1" t="s">
        <v>13600</v>
      </c>
      <c r="J2606" s="1" t="s">
        <v>4983</v>
      </c>
      <c r="K2606" s="1">
        <v>6</v>
      </c>
      <c r="L2606" s="1" t="s">
        <v>4254</v>
      </c>
      <c r="M2606" s="1">
        <v>8</v>
      </c>
      <c r="N2606" s="1" t="s">
        <v>4255</v>
      </c>
    </row>
    <row r="2607" spans="1:14" x14ac:dyDescent="0.15">
      <c r="A2607" s="1">
        <v>323</v>
      </c>
      <c r="B2607" s="1" t="s">
        <v>1268</v>
      </c>
      <c r="C2607" s="1" t="s">
        <v>1269</v>
      </c>
      <c r="D2607" s="1" t="s">
        <v>1268</v>
      </c>
      <c r="E2607" s="1" t="s">
        <v>1269</v>
      </c>
      <c r="F2607" s="1" t="s">
        <v>1268</v>
      </c>
      <c r="G2607" s="1" t="s">
        <v>1270</v>
      </c>
      <c r="H2607" s="1" t="s">
        <v>1268</v>
      </c>
      <c r="I2607" s="1" t="s">
        <v>13604</v>
      </c>
      <c r="J2607" s="1" t="s">
        <v>2988</v>
      </c>
      <c r="K2607" s="1">
        <v>6</v>
      </c>
      <c r="L2607" s="1" t="s">
        <v>4254</v>
      </c>
      <c r="M2607" s="1">
        <v>8</v>
      </c>
      <c r="N2607" s="1" t="s">
        <v>4255</v>
      </c>
    </row>
    <row r="2608" spans="1:14" x14ac:dyDescent="0.15">
      <c r="A2608" s="1">
        <v>323</v>
      </c>
      <c r="B2608" s="1" t="s">
        <v>1268</v>
      </c>
      <c r="C2608" s="1" t="s">
        <v>1269</v>
      </c>
      <c r="D2608" s="1" t="s">
        <v>1268</v>
      </c>
      <c r="E2608" s="1" t="s">
        <v>1269</v>
      </c>
      <c r="F2608" s="1" t="s">
        <v>1268</v>
      </c>
      <c r="G2608" s="1" t="s">
        <v>1270</v>
      </c>
      <c r="H2608" s="1" t="s">
        <v>1268</v>
      </c>
      <c r="I2608" s="1" t="s">
        <v>13612</v>
      </c>
      <c r="J2608" s="1" t="s">
        <v>13613</v>
      </c>
      <c r="K2608" s="1">
        <v>6</v>
      </c>
      <c r="L2608" s="1" t="s">
        <v>4254</v>
      </c>
      <c r="M2608" s="1">
        <v>8</v>
      </c>
      <c r="N2608" s="1" t="s">
        <v>4255</v>
      </c>
    </row>
    <row r="2609" spans="1:14" x14ac:dyDescent="0.15">
      <c r="A2609" s="1">
        <v>324</v>
      </c>
      <c r="B2609" s="1" t="s">
        <v>1271</v>
      </c>
      <c r="C2609" s="1" t="s">
        <v>1272</v>
      </c>
      <c r="D2609" s="1" t="s">
        <v>1271</v>
      </c>
      <c r="E2609" s="1" t="s">
        <v>1272</v>
      </c>
      <c r="F2609" s="1" t="s">
        <v>1271</v>
      </c>
      <c r="G2609" s="1" t="s">
        <v>1273</v>
      </c>
      <c r="H2609" s="1" t="s">
        <v>1271</v>
      </c>
      <c r="I2609" s="1" t="s">
        <v>15321</v>
      </c>
      <c r="J2609" s="1" t="s">
        <v>1274</v>
      </c>
      <c r="K2609" s="1">
        <v>6</v>
      </c>
      <c r="L2609" s="1" t="s">
        <v>4254</v>
      </c>
      <c r="M2609" s="1">
        <v>8</v>
      </c>
      <c r="N2609" s="1" t="s">
        <v>4255</v>
      </c>
    </row>
    <row r="2610" spans="1:14" x14ac:dyDescent="0.15">
      <c r="A2610" s="1">
        <v>324</v>
      </c>
      <c r="B2610" s="1" t="s">
        <v>1271</v>
      </c>
      <c r="C2610" s="1" t="s">
        <v>1272</v>
      </c>
      <c r="D2610" s="1" t="s">
        <v>1271</v>
      </c>
      <c r="E2610" s="1" t="s">
        <v>1272</v>
      </c>
      <c r="F2610" s="1" t="s">
        <v>1271</v>
      </c>
      <c r="G2610" s="1" t="s">
        <v>1273</v>
      </c>
      <c r="H2610" s="1" t="s">
        <v>1271</v>
      </c>
      <c r="I2610" s="1" t="s">
        <v>13490</v>
      </c>
      <c r="J2610" s="1" t="s">
        <v>5157</v>
      </c>
      <c r="K2610" s="1">
        <v>6</v>
      </c>
      <c r="L2610" s="1" t="s">
        <v>4254</v>
      </c>
      <c r="M2610" s="1">
        <v>8</v>
      </c>
      <c r="N2610" s="1" t="s">
        <v>4255</v>
      </c>
    </row>
    <row r="2611" spans="1:14" x14ac:dyDescent="0.15">
      <c r="A2611" s="1">
        <v>324</v>
      </c>
      <c r="B2611" s="1" t="s">
        <v>1271</v>
      </c>
      <c r="C2611" s="1" t="s">
        <v>1272</v>
      </c>
      <c r="D2611" s="1" t="s">
        <v>1271</v>
      </c>
      <c r="E2611" s="1" t="s">
        <v>1272</v>
      </c>
      <c r="F2611" s="1" t="s">
        <v>1271</v>
      </c>
      <c r="G2611" s="1" t="s">
        <v>1273</v>
      </c>
      <c r="H2611" s="1" t="s">
        <v>1271</v>
      </c>
      <c r="I2611" s="1" t="s">
        <v>13494</v>
      </c>
      <c r="J2611" s="1" t="s">
        <v>5158</v>
      </c>
      <c r="K2611" s="1">
        <v>6</v>
      </c>
      <c r="L2611" s="1" t="s">
        <v>4254</v>
      </c>
      <c r="M2611" s="1">
        <v>8</v>
      </c>
      <c r="N2611" s="1" t="s">
        <v>4255</v>
      </c>
    </row>
    <row r="2612" spans="1:14" x14ac:dyDescent="0.15">
      <c r="A2612" s="1">
        <v>324</v>
      </c>
      <c r="B2612" s="1" t="s">
        <v>1271</v>
      </c>
      <c r="C2612" s="1" t="s">
        <v>1272</v>
      </c>
      <c r="D2612" s="1" t="s">
        <v>1271</v>
      </c>
      <c r="E2612" s="1" t="s">
        <v>1272</v>
      </c>
      <c r="F2612" s="1" t="s">
        <v>1271</v>
      </c>
      <c r="G2612" s="1" t="s">
        <v>1273</v>
      </c>
      <c r="H2612" s="1" t="s">
        <v>1271</v>
      </c>
      <c r="I2612" s="1" t="s">
        <v>13506</v>
      </c>
      <c r="J2612" s="1" t="s">
        <v>5133</v>
      </c>
      <c r="K2612" s="1">
        <v>6</v>
      </c>
      <c r="L2612" s="1" t="s">
        <v>4254</v>
      </c>
      <c r="M2612" s="1">
        <v>8</v>
      </c>
      <c r="N2612" s="1" t="s">
        <v>4255</v>
      </c>
    </row>
    <row r="2613" spans="1:14" x14ac:dyDescent="0.15">
      <c r="A2613" s="1">
        <v>324</v>
      </c>
      <c r="B2613" s="1" t="s">
        <v>1271</v>
      </c>
      <c r="C2613" s="1" t="s">
        <v>1272</v>
      </c>
      <c r="D2613" s="1" t="s">
        <v>1271</v>
      </c>
      <c r="E2613" s="1" t="s">
        <v>1272</v>
      </c>
      <c r="F2613" s="1" t="s">
        <v>1271</v>
      </c>
      <c r="G2613" s="1" t="s">
        <v>1273</v>
      </c>
      <c r="H2613" s="1" t="s">
        <v>1271</v>
      </c>
      <c r="I2613" s="1" t="s">
        <v>13530</v>
      </c>
      <c r="J2613" s="1" t="s">
        <v>3008</v>
      </c>
      <c r="K2613" s="1">
        <v>6</v>
      </c>
      <c r="L2613" s="1" t="s">
        <v>4254</v>
      </c>
      <c r="M2613" s="1">
        <v>8</v>
      </c>
      <c r="N2613" s="1" t="s">
        <v>4255</v>
      </c>
    </row>
    <row r="2614" spans="1:14" x14ac:dyDescent="0.15">
      <c r="A2614" s="1">
        <v>324</v>
      </c>
      <c r="B2614" s="1" t="s">
        <v>1271</v>
      </c>
      <c r="C2614" s="1" t="s">
        <v>1272</v>
      </c>
      <c r="D2614" s="1" t="s">
        <v>1271</v>
      </c>
      <c r="E2614" s="1" t="s">
        <v>1272</v>
      </c>
      <c r="F2614" s="1" t="s">
        <v>1271</v>
      </c>
      <c r="G2614" s="1" t="s">
        <v>1273</v>
      </c>
      <c r="H2614" s="1" t="s">
        <v>1271</v>
      </c>
      <c r="I2614" s="1" t="s">
        <v>7812</v>
      </c>
      <c r="J2614" s="1" t="s">
        <v>5131</v>
      </c>
      <c r="K2614" s="1">
        <v>6</v>
      </c>
      <c r="L2614" s="1" t="s">
        <v>4254</v>
      </c>
      <c r="M2614" s="1">
        <v>8</v>
      </c>
      <c r="N2614" s="1" t="s">
        <v>4255</v>
      </c>
    </row>
    <row r="2615" spans="1:14" x14ac:dyDescent="0.15">
      <c r="A2615" s="1">
        <v>324</v>
      </c>
      <c r="B2615" s="1" t="s">
        <v>1271</v>
      </c>
      <c r="C2615" s="1" t="s">
        <v>1272</v>
      </c>
      <c r="D2615" s="1" t="s">
        <v>1271</v>
      </c>
      <c r="E2615" s="1" t="s">
        <v>1272</v>
      </c>
      <c r="F2615" s="1" t="s">
        <v>1271</v>
      </c>
      <c r="G2615" s="1" t="s">
        <v>1273</v>
      </c>
      <c r="H2615" s="1" t="s">
        <v>1271</v>
      </c>
      <c r="I2615" s="1" t="s">
        <v>7806</v>
      </c>
      <c r="J2615" s="1" t="s">
        <v>5132</v>
      </c>
      <c r="K2615" s="1">
        <v>6</v>
      </c>
      <c r="L2615" s="1" t="s">
        <v>4254</v>
      </c>
      <c r="M2615" s="1">
        <v>8</v>
      </c>
      <c r="N2615" s="1" t="s">
        <v>4255</v>
      </c>
    </row>
    <row r="2616" spans="1:14" x14ac:dyDescent="0.15">
      <c r="A2616" s="1">
        <v>324</v>
      </c>
      <c r="B2616" s="1" t="s">
        <v>1271</v>
      </c>
      <c r="C2616" s="1" t="s">
        <v>1272</v>
      </c>
      <c r="D2616" s="1" t="s">
        <v>1271</v>
      </c>
      <c r="E2616" s="1" t="s">
        <v>1272</v>
      </c>
      <c r="F2616" s="1" t="s">
        <v>1271</v>
      </c>
      <c r="G2616" s="1" t="s">
        <v>1273</v>
      </c>
      <c r="H2616" s="1" t="s">
        <v>1271</v>
      </c>
      <c r="J2616" s="1" t="s">
        <v>1275</v>
      </c>
      <c r="K2616" s="1">
        <v>6</v>
      </c>
      <c r="L2616" s="1" t="s">
        <v>4254</v>
      </c>
      <c r="M2616" s="1">
        <v>8</v>
      </c>
      <c r="N2616" s="1" t="s">
        <v>4255</v>
      </c>
    </row>
    <row r="2617" spans="1:14" x14ac:dyDescent="0.15">
      <c r="A2617" s="1">
        <v>325</v>
      </c>
      <c r="B2617" s="1" t="s">
        <v>4256</v>
      </c>
      <c r="C2617" s="1" t="s">
        <v>4257</v>
      </c>
      <c r="D2617" s="1" t="s">
        <v>4256</v>
      </c>
      <c r="E2617" s="1" t="s">
        <v>4257</v>
      </c>
      <c r="F2617" s="1" t="s">
        <v>4256</v>
      </c>
      <c r="G2617" s="1" t="s">
        <v>4258</v>
      </c>
      <c r="H2617" s="1" t="s">
        <v>4256</v>
      </c>
      <c r="I2617" s="1" t="s">
        <v>13538</v>
      </c>
      <c r="J2617" s="1" t="s">
        <v>5166</v>
      </c>
      <c r="K2617" s="1">
        <v>1</v>
      </c>
      <c r="L2617" s="1" t="s">
        <v>4259</v>
      </c>
      <c r="M2617" s="1">
        <v>8</v>
      </c>
      <c r="N2617" s="1" t="s">
        <v>4255</v>
      </c>
    </row>
    <row r="2618" spans="1:14" x14ac:dyDescent="0.15">
      <c r="A2618" s="1">
        <v>325</v>
      </c>
      <c r="B2618" s="1" t="s">
        <v>4256</v>
      </c>
      <c r="C2618" s="1" t="s">
        <v>4257</v>
      </c>
      <c r="D2618" s="1" t="s">
        <v>4256</v>
      </c>
      <c r="E2618" s="1" t="s">
        <v>4257</v>
      </c>
      <c r="F2618" s="1" t="s">
        <v>4256</v>
      </c>
      <c r="G2618" s="1" t="s">
        <v>4258</v>
      </c>
      <c r="H2618" s="1" t="s">
        <v>4256</v>
      </c>
      <c r="I2618" s="1" t="s">
        <v>13545</v>
      </c>
      <c r="J2618" s="1" t="s">
        <v>5171</v>
      </c>
      <c r="K2618" s="1">
        <v>1</v>
      </c>
      <c r="L2618" s="1" t="s">
        <v>4259</v>
      </c>
      <c r="M2618" s="1">
        <v>8</v>
      </c>
      <c r="N2618" s="1" t="s">
        <v>4255</v>
      </c>
    </row>
    <row r="2619" spans="1:14" x14ac:dyDescent="0.15">
      <c r="A2619" s="1">
        <v>325</v>
      </c>
      <c r="B2619" s="1" t="s">
        <v>4256</v>
      </c>
      <c r="C2619" s="1" t="s">
        <v>4257</v>
      </c>
      <c r="D2619" s="1" t="s">
        <v>4256</v>
      </c>
      <c r="E2619" s="1" t="s">
        <v>4257</v>
      </c>
      <c r="F2619" s="1" t="s">
        <v>4256</v>
      </c>
      <c r="G2619" s="1" t="s">
        <v>4258</v>
      </c>
      <c r="H2619" s="1" t="s">
        <v>4256</v>
      </c>
      <c r="I2619" s="1" t="s">
        <v>7984</v>
      </c>
      <c r="J2619" s="1" t="s">
        <v>1276</v>
      </c>
      <c r="K2619" s="1">
        <v>1</v>
      </c>
      <c r="L2619" s="1" t="s">
        <v>4259</v>
      </c>
      <c r="M2619" s="1">
        <v>8</v>
      </c>
      <c r="N2619" s="1" t="s">
        <v>4255</v>
      </c>
    </row>
    <row r="2620" spans="1:14" x14ac:dyDescent="0.15">
      <c r="A2620" s="1">
        <v>325</v>
      </c>
      <c r="B2620" s="1" t="s">
        <v>4256</v>
      </c>
      <c r="C2620" s="1" t="s">
        <v>4257</v>
      </c>
      <c r="D2620" s="1" t="s">
        <v>4256</v>
      </c>
      <c r="E2620" s="1" t="s">
        <v>4257</v>
      </c>
      <c r="F2620" s="1" t="s">
        <v>4256</v>
      </c>
      <c r="G2620" s="1" t="s">
        <v>4258</v>
      </c>
      <c r="H2620" s="1" t="s">
        <v>4256</v>
      </c>
      <c r="I2620" s="1" t="s">
        <v>7987</v>
      </c>
      <c r="J2620" s="1" t="s">
        <v>1277</v>
      </c>
      <c r="K2620" s="1">
        <v>1</v>
      </c>
      <c r="L2620" s="1" t="s">
        <v>4259</v>
      </c>
      <c r="M2620" s="1">
        <v>8</v>
      </c>
      <c r="N2620" s="1" t="s">
        <v>4255</v>
      </c>
    </row>
    <row r="2621" spans="1:14" x14ac:dyDescent="0.15">
      <c r="A2621" s="1">
        <v>325</v>
      </c>
      <c r="B2621" s="1" t="s">
        <v>4256</v>
      </c>
      <c r="C2621" s="1" t="s">
        <v>4257</v>
      </c>
      <c r="D2621" s="1" t="s">
        <v>4256</v>
      </c>
      <c r="E2621" s="1" t="s">
        <v>4257</v>
      </c>
      <c r="F2621" s="1" t="s">
        <v>4256</v>
      </c>
      <c r="G2621" s="1" t="s">
        <v>4258</v>
      </c>
      <c r="H2621" s="1" t="s">
        <v>4256</v>
      </c>
      <c r="I2621" s="1" t="s">
        <v>7990</v>
      </c>
      <c r="J2621" s="1" t="s">
        <v>1278</v>
      </c>
      <c r="K2621" s="1">
        <v>1</v>
      </c>
      <c r="L2621" s="1" t="s">
        <v>4259</v>
      </c>
      <c r="M2621" s="1">
        <v>8</v>
      </c>
      <c r="N2621" s="1" t="s">
        <v>4255</v>
      </c>
    </row>
    <row r="2622" spans="1:14" x14ac:dyDescent="0.15">
      <c r="A2622" s="1">
        <v>325</v>
      </c>
      <c r="B2622" s="1" t="s">
        <v>4256</v>
      </c>
      <c r="C2622" s="1" t="s">
        <v>4257</v>
      </c>
      <c r="D2622" s="1" t="s">
        <v>4256</v>
      </c>
      <c r="E2622" s="1" t="s">
        <v>4257</v>
      </c>
      <c r="F2622" s="1" t="s">
        <v>4256</v>
      </c>
      <c r="G2622" s="1" t="s">
        <v>4258</v>
      </c>
      <c r="H2622" s="1" t="s">
        <v>4256</v>
      </c>
      <c r="I2622" s="1" t="s">
        <v>7993</v>
      </c>
      <c r="J2622" s="1" t="s">
        <v>1279</v>
      </c>
      <c r="K2622" s="1">
        <v>1</v>
      </c>
      <c r="L2622" s="1" t="s">
        <v>4259</v>
      </c>
      <c r="M2622" s="1">
        <v>8</v>
      </c>
      <c r="N2622" s="1" t="s">
        <v>4255</v>
      </c>
    </row>
    <row r="2623" spans="1:14" x14ac:dyDescent="0.15">
      <c r="A2623" s="1">
        <v>325</v>
      </c>
      <c r="B2623" s="1" t="s">
        <v>4256</v>
      </c>
      <c r="C2623" s="1" t="s">
        <v>4257</v>
      </c>
      <c r="D2623" s="1" t="s">
        <v>4256</v>
      </c>
      <c r="E2623" s="1" t="s">
        <v>4257</v>
      </c>
      <c r="F2623" s="1" t="s">
        <v>4256</v>
      </c>
      <c r="G2623" s="1" t="s">
        <v>4258</v>
      </c>
      <c r="H2623" s="1" t="s">
        <v>4256</v>
      </c>
      <c r="I2623" s="1" t="s">
        <v>9525</v>
      </c>
      <c r="J2623" s="1" t="s">
        <v>1280</v>
      </c>
      <c r="K2623" s="1">
        <v>1</v>
      </c>
      <c r="L2623" s="1" t="s">
        <v>4259</v>
      </c>
      <c r="M2623" s="1">
        <v>8</v>
      </c>
      <c r="N2623" s="1" t="s">
        <v>4255</v>
      </c>
    </row>
    <row r="2624" spans="1:14" x14ac:dyDescent="0.15">
      <c r="A2624" s="1">
        <v>325</v>
      </c>
      <c r="B2624" s="1" t="s">
        <v>4256</v>
      </c>
      <c r="C2624" s="1" t="s">
        <v>4257</v>
      </c>
      <c r="D2624" s="1" t="s">
        <v>4256</v>
      </c>
      <c r="E2624" s="1" t="s">
        <v>4257</v>
      </c>
      <c r="F2624" s="1" t="s">
        <v>4256</v>
      </c>
      <c r="G2624" s="1" t="s">
        <v>4258</v>
      </c>
      <c r="H2624" s="1" t="s">
        <v>4256</v>
      </c>
      <c r="I2624" s="1" t="s">
        <v>7998</v>
      </c>
      <c r="J2624" s="1" t="s">
        <v>1281</v>
      </c>
      <c r="K2624" s="1">
        <v>1</v>
      </c>
      <c r="L2624" s="1" t="s">
        <v>4259</v>
      </c>
      <c r="M2624" s="1">
        <v>8</v>
      </c>
      <c r="N2624" s="1" t="s">
        <v>4255</v>
      </c>
    </row>
    <row r="2625" spans="1:14" x14ac:dyDescent="0.15">
      <c r="A2625" s="1">
        <v>325</v>
      </c>
      <c r="B2625" s="1" t="s">
        <v>4256</v>
      </c>
      <c r="C2625" s="1" t="s">
        <v>4257</v>
      </c>
      <c r="D2625" s="1" t="s">
        <v>4256</v>
      </c>
      <c r="E2625" s="1" t="s">
        <v>4257</v>
      </c>
      <c r="F2625" s="1" t="s">
        <v>4256</v>
      </c>
      <c r="G2625" s="1" t="s">
        <v>4258</v>
      </c>
      <c r="H2625" s="1" t="s">
        <v>4256</v>
      </c>
      <c r="I2625" s="1" t="s">
        <v>8001</v>
      </c>
      <c r="J2625" s="1" t="s">
        <v>1282</v>
      </c>
      <c r="K2625" s="1">
        <v>1</v>
      </c>
      <c r="L2625" s="1" t="s">
        <v>4259</v>
      </c>
      <c r="M2625" s="1">
        <v>8</v>
      </c>
      <c r="N2625" s="1" t="s">
        <v>4255</v>
      </c>
    </row>
    <row r="2626" spans="1:14" x14ac:dyDescent="0.15">
      <c r="A2626" s="1">
        <v>325</v>
      </c>
      <c r="B2626" s="1" t="s">
        <v>4256</v>
      </c>
      <c r="C2626" s="1" t="s">
        <v>4257</v>
      </c>
      <c r="D2626" s="1" t="s">
        <v>4256</v>
      </c>
      <c r="E2626" s="1" t="s">
        <v>4257</v>
      </c>
      <c r="F2626" s="1" t="s">
        <v>4256</v>
      </c>
      <c r="G2626" s="1" t="s">
        <v>4258</v>
      </c>
      <c r="H2626" s="1" t="s">
        <v>4256</v>
      </c>
      <c r="I2626" s="1" t="s">
        <v>8004</v>
      </c>
      <c r="J2626" s="1" t="s">
        <v>1283</v>
      </c>
      <c r="K2626" s="1">
        <v>1</v>
      </c>
      <c r="L2626" s="1" t="s">
        <v>4259</v>
      </c>
      <c r="M2626" s="1">
        <v>8</v>
      </c>
      <c r="N2626" s="1" t="s">
        <v>4255</v>
      </c>
    </row>
    <row r="2627" spans="1:14" x14ac:dyDescent="0.15">
      <c r="A2627" s="1">
        <v>325</v>
      </c>
      <c r="B2627" s="1" t="s">
        <v>4256</v>
      </c>
      <c r="C2627" s="1" t="s">
        <v>4257</v>
      </c>
      <c r="D2627" s="1" t="s">
        <v>4256</v>
      </c>
      <c r="E2627" s="1" t="s">
        <v>4257</v>
      </c>
      <c r="F2627" s="1" t="s">
        <v>4256</v>
      </c>
      <c r="G2627" s="1" t="s">
        <v>4258</v>
      </c>
      <c r="H2627" s="1" t="s">
        <v>4256</v>
      </c>
      <c r="I2627" s="1" t="s">
        <v>8007</v>
      </c>
      <c r="J2627" s="1" t="s">
        <v>1284</v>
      </c>
      <c r="K2627" s="1">
        <v>1</v>
      </c>
      <c r="L2627" s="1" t="s">
        <v>4259</v>
      </c>
      <c r="M2627" s="1">
        <v>8</v>
      </c>
      <c r="N2627" s="1" t="s">
        <v>4255</v>
      </c>
    </row>
    <row r="2628" spans="1:14" x14ac:dyDescent="0.15">
      <c r="A2628" s="1">
        <v>325</v>
      </c>
      <c r="B2628" s="1" t="s">
        <v>4256</v>
      </c>
      <c r="C2628" s="1" t="s">
        <v>4257</v>
      </c>
      <c r="D2628" s="1" t="s">
        <v>4256</v>
      </c>
      <c r="E2628" s="1" t="s">
        <v>4257</v>
      </c>
      <c r="F2628" s="1" t="s">
        <v>4256</v>
      </c>
      <c r="G2628" s="1" t="s">
        <v>4258</v>
      </c>
      <c r="H2628" s="1" t="s">
        <v>4256</v>
      </c>
      <c r="I2628" s="1" t="s">
        <v>7701</v>
      </c>
      <c r="J2628" s="1" t="s">
        <v>1285</v>
      </c>
      <c r="K2628" s="1">
        <v>1</v>
      </c>
      <c r="L2628" s="1" t="s">
        <v>4259</v>
      </c>
      <c r="M2628" s="1">
        <v>8</v>
      </c>
      <c r="N2628" s="1" t="s">
        <v>4255</v>
      </c>
    </row>
    <row r="2629" spans="1:14" x14ac:dyDescent="0.15">
      <c r="A2629" s="1">
        <v>325</v>
      </c>
      <c r="B2629" s="1" t="s">
        <v>4256</v>
      </c>
      <c r="C2629" s="1" t="s">
        <v>4257</v>
      </c>
      <c r="D2629" s="1" t="s">
        <v>4256</v>
      </c>
      <c r="E2629" s="1" t="s">
        <v>4257</v>
      </c>
      <c r="F2629" s="1" t="s">
        <v>4256</v>
      </c>
      <c r="G2629" s="1" t="s">
        <v>4258</v>
      </c>
      <c r="H2629" s="1" t="s">
        <v>4256</v>
      </c>
      <c r="I2629" s="1" t="s">
        <v>7704</v>
      </c>
      <c r="J2629" s="1" t="s">
        <v>1286</v>
      </c>
      <c r="K2629" s="1">
        <v>1</v>
      </c>
      <c r="L2629" s="1" t="s">
        <v>4259</v>
      </c>
      <c r="M2629" s="1">
        <v>8</v>
      </c>
      <c r="N2629" s="1" t="s">
        <v>4255</v>
      </c>
    </row>
    <row r="2630" spans="1:14" x14ac:dyDescent="0.15">
      <c r="A2630" s="1">
        <v>325</v>
      </c>
      <c r="B2630" s="1" t="s">
        <v>4256</v>
      </c>
      <c r="C2630" s="1" t="s">
        <v>4257</v>
      </c>
      <c r="D2630" s="1" t="s">
        <v>4256</v>
      </c>
      <c r="E2630" s="1" t="s">
        <v>4257</v>
      </c>
      <c r="F2630" s="1" t="s">
        <v>4256</v>
      </c>
      <c r="G2630" s="1" t="s">
        <v>4258</v>
      </c>
      <c r="H2630" s="1" t="s">
        <v>4256</v>
      </c>
      <c r="I2630" s="1" t="s">
        <v>7102</v>
      </c>
      <c r="J2630" s="1" t="s">
        <v>13250</v>
      </c>
      <c r="K2630" s="1">
        <v>1</v>
      </c>
      <c r="L2630" s="1" t="s">
        <v>4259</v>
      </c>
      <c r="M2630" s="1">
        <v>8</v>
      </c>
      <c r="N2630" s="1" t="s">
        <v>4255</v>
      </c>
    </row>
    <row r="2631" spans="1:14" x14ac:dyDescent="0.15">
      <c r="A2631" s="1">
        <v>325</v>
      </c>
      <c r="B2631" s="1" t="s">
        <v>4256</v>
      </c>
      <c r="C2631" s="1" t="s">
        <v>4257</v>
      </c>
      <c r="D2631" s="1" t="s">
        <v>4256</v>
      </c>
      <c r="E2631" s="1" t="s">
        <v>4257</v>
      </c>
      <c r="F2631" s="1" t="s">
        <v>4256</v>
      </c>
      <c r="G2631" s="1" t="s">
        <v>4258</v>
      </c>
      <c r="H2631" s="1" t="s">
        <v>4256</v>
      </c>
      <c r="I2631" s="1" t="s">
        <v>7105</v>
      </c>
      <c r="J2631" s="1" t="s">
        <v>13254</v>
      </c>
      <c r="K2631" s="1">
        <v>1</v>
      </c>
      <c r="L2631" s="1" t="s">
        <v>4259</v>
      </c>
      <c r="M2631" s="1">
        <v>8</v>
      </c>
      <c r="N2631" s="1" t="s">
        <v>4255</v>
      </c>
    </row>
    <row r="2632" spans="1:14" x14ac:dyDescent="0.15">
      <c r="A2632" s="1">
        <v>325</v>
      </c>
      <c r="B2632" s="1" t="s">
        <v>4256</v>
      </c>
      <c r="C2632" s="1" t="s">
        <v>4257</v>
      </c>
      <c r="D2632" s="1" t="s">
        <v>4256</v>
      </c>
      <c r="E2632" s="1" t="s">
        <v>4257</v>
      </c>
      <c r="F2632" s="1" t="s">
        <v>4256</v>
      </c>
      <c r="G2632" s="1" t="s">
        <v>4258</v>
      </c>
      <c r="H2632" s="1" t="s">
        <v>4256</v>
      </c>
      <c r="I2632" s="1" t="s">
        <v>7108</v>
      </c>
      <c r="J2632" s="1" t="s">
        <v>13258</v>
      </c>
      <c r="K2632" s="1">
        <v>1</v>
      </c>
      <c r="L2632" s="1" t="s">
        <v>4259</v>
      </c>
      <c r="M2632" s="1">
        <v>8</v>
      </c>
      <c r="N2632" s="1" t="s">
        <v>4255</v>
      </c>
    </row>
    <row r="2633" spans="1:14" x14ac:dyDescent="0.15">
      <c r="A2633" s="1">
        <v>325</v>
      </c>
      <c r="B2633" s="1" t="s">
        <v>4256</v>
      </c>
      <c r="C2633" s="1" t="s">
        <v>4257</v>
      </c>
      <c r="D2633" s="1" t="s">
        <v>4256</v>
      </c>
      <c r="E2633" s="1" t="s">
        <v>4257</v>
      </c>
      <c r="F2633" s="1" t="s">
        <v>4256</v>
      </c>
      <c r="G2633" s="1" t="s">
        <v>4258</v>
      </c>
      <c r="H2633" s="1" t="s">
        <v>4256</v>
      </c>
      <c r="I2633" s="1" t="s">
        <v>7111</v>
      </c>
      <c r="J2633" s="1" t="s">
        <v>13262</v>
      </c>
      <c r="K2633" s="1">
        <v>1</v>
      </c>
      <c r="L2633" s="1" t="s">
        <v>4259</v>
      </c>
      <c r="M2633" s="1">
        <v>8</v>
      </c>
      <c r="N2633" s="1" t="s">
        <v>4255</v>
      </c>
    </row>
    <row r="2634" spans="1:14" x14ac:dyDescent="0.15">
      <c r="A2634" s="1">
        <v>325</v>
      </c>
      <c r="B2634" s="1" t="s">
        <v>4256</v>
      </c>
      <c r="C2634" s="1" t="s">
        <v>4257</v>
      </c>
      <c r="D2634" s="1" t="s">
        <v>4256</v>
      </c>
      <c r="E2634" s="1" t="s">
        <v>4257</v>
      </c>
      <c r="F2634" s="1" t="s">
        <v>4256</v>
      </c>
      <c r="G2634" s="1" t="s">
        <v>4258</v>
      </c>
      <c r="H2634" s="1" t="s">
        <v>4256</v>
      </c>
      <c r="I2634" s="1" t="s">
        <v>7114</v>
      </c>
      <c r="J2634" s="1" t="s">
        <v>13266</v>
      </c>
      <c r="K2634" s="1">
        <v>1</v>
      </c>
      <c r="L2634" s="1" t="s">
        <v>4259</v>
      </c>
      <c r="M2634" s="1">
        <v>8</v>
      </c>
      <c r="N2634" s="1" t="s">
        <v>4255</v>
      </c>
    </row>
    <row r="2635" spans="1:14" x14ac:dyDescent="0.15">
      <c r="A2635" s="1">
        <v>325</v>
      </c>
      <c r="B2635" s="1" t="s">
        <v>4256</v>
      </c>
      <c r="C2635" s="1" t="s">
        <v>4257</v>
      </c>
      <c r="D2635" s="1" t="s">
        <v>4256</v>
      </c>
      <c r="E2635" s="1" t="s">
        <v>4257</v>
      </c>
      <c r="F2635" s="1" t="s">
        <v>4256</v>
      </c>
      <c r="G2635" s="1" t="s">
        <v>4258</v>
      </c>
      <c r="H2635" s="1" t="s">
        <v>4256</v>
      </c>
      <c r="I2635" s="1" t="s">
        <v>7117</v>
      </c>
      <c r="J2635" s="1" t="s">
        <v>13270</v>
      </c>
      <c r="K2635" s="1">
        <v>1</v>
      </c>
      <c r="L2635" s="1" t="s">
        <v>4259</v>
      </c>
      <c r="M2635" s="1">
        <v>8</v>
      </c>
      <c r="N2635" s="1" t="s">
        <v>4255</v>
      </c>
    </row>
    <row r="2636" spans="1:14" x14ac:dyDescent="0.15">
      <c r="A2636" s="1">
        <v>325</v>
      </c>
      <c r="B2636" s="1" t="s">
        <v>4256</v>
      </c>
      <c r="C2636" s="1" t="s">
        <v>4257</v>
      </c>
      <c r="D2636" s="1" t="s">
        <v>4256</v>
      </c>
      <c r="E2636" s="1" t="s">
        <v>4257</v>
      </c>
      <c r="F2636" s="1" t="s">
        <v>4256</v>
      </c>
      <c r="G2636" s="1" t="s">
        <v>4258</v>
      </c>
      <c r="H2636" s="1" t="s">
        <v>4256</v>
      </c>
      <c r="I2636" s="1" t="s">
        <v>7120</v>
      </c>
      <c r="J2636" s="1" t="s">
        <v>13274</v>
      </c>
      <c r="K2636" s="1">
        <v>1</v>
      </c>
      <c r="L2636" s="1" t="s">
        <v>4259</v>
      </c>
      <c r="M2636" s="1">
        <v>8</v>
      </c>
      <c r="N2636" s="1" t="s">
        <v>4255</v>
      </c>
    </row>
    <row r="2637" spans="1:14" x14ac:dyDescent="0.15">
      <c r="A2637" s="1">
        <v>325</v>
      </c>
      <c r="B2637" s="1" t="s">
        <v>4256</v>
      </c>
      <c r="C2637" s="1" t="s">
        <v>4257</v>
      </c>
      <c r="D2637" s="1" t="s">
        <v>4256</v>
      </c>
      <c r="E2637" s="1" t="s">
        <v>4257</v>
      </c>
      <c r="F2637" s="1" t="s">
        <v>4256</v>
      </c>
      <c r="G2637" s="1" t="s">
        <v>4258</v>
      </c>
      <c r="H2637" s="1" t="s">
        <v>4256</v>
      </c>
      <c r="I2637" s="1" t="s">
        <v>7123</v>
      </c>
      <c r="J2637" s="1" t="s">
        <v>13278</v>
      </c>
      <c r="K2637" s="1">
        <v>1</v>
      </c>
      <c r="L2637" s="1" t="s">
        <v>4259</v>
      </c>
      <c r="M2637" s="1">
        <v>8</v>
      </c>
      <c r="N2637" s="1" t="s">
        <v>4255</v>
      </c>
    </row>
    <row r="2638" spans="1:14" x14ac:dyDescent="0.15">
      <c r="A2638" s="1">
        <v>325</v>
      </c>
      <c r="B2638" s="1" t="s">
        <v>4256</v>
      </c>
      <c r="C2638" s="1" t="s">
        <v>4257</v>
      </c>
      <c r="D2638" s="1" t="s">
        <v>4256</v>
      </c>
      <c r="E2638" s="1" t="s">
        <v>4257</v>
      </c>
      <c r="F2638" s="1" t="s">
        <v>4256</v>
      </c>
      <c r="G2638" s="1" t="s">
        <v>4258</v>
      </c>
      <c r="H2638" s="1" t="s">
        <v>4256</v>
      </c>
      <c r="I2638" s="1" t="s">
        <v>7126</v>
      </c>
      <c r="J2638" s="1" t="s">
        <v>13282</v>
      </c>
      <c r="K2638" s="1">
        <v>1</v>
      </c>
      <c r="L2638" s="1" t="s">
        <v>4259</v>
      </c>
      <c r="M2638" s="1">
        <v>8</v>
      </c>
      <c r="N2638" s="1" t="s">
        <v>4255</v>
      </c>
    </row>
    <row r="2639" spans="1:14" x14ac:dyDescent="0.15">
      <c r="A2639" s="1">
        <v>325</v>
      </c>
      <c r="B2639" s="1" t="s">
        <v>4256</v>
      </c>
      <c r="C2639" s="1" t="s">
        <v>4257</v>
      </c>
      <c r="D2639" s="1" t="s">
        <v>4256</v>
      </c>
      <c r="E2639" s="1" t="s">
        <v>4257</v>
      </c>
      <c r="F2639" s="1" t="s">
        <v>4256</v>
      </c>
      <c r="G2639" s="1" t="s">
        <v>4258</v>
      </c>
      <c r="H2639" s="1" t="s">
        <v>4256</v>
      </c>
      <c r="I2639" s="1" t="s">
        <v>7129</v>
      </c>
      <c r="J2639" s="1" t="s">
        <v>13286</v>
      </c>
      <c r="K2639" s="1">
        <v>1</v>
      </c>
      <c r="L2639" s="1" t="s">
        <v>4259</v>
      </c>
      <c r="M2639" s="1">
        <v>8</v>
      </c>
      <c r="N2639" s="1" t="s">
        <v>4255</v>
      </c>
    </row>
    <row r="2640" spans="1:14" x14ac:dyDescent="0.15">
      <c r="A2640" s="1">
        <v>326</v>
      </c>
      <c r="B2640" s="1" t="s">
        <v>1287</v>
      </c>
      <c r="C2640" s="1" t="s">
        <v>1288</v>
      </c>
      <c r="D2640" s="1" t="s">
        <v>1289</v>
      </c>
      <c r="E2640" s="1" t="s">
        <v>1288</v>
      </c>
      <c r="F2640" s="1" t="s">
        <v>1287</v>
      </c>
      <c r="G2640" s="1" t="s">
        <v>1290</v>
      </c>
      <c r="H2640" s="1" t="s">
        <v>1287</v>
      </c>
      <c r="I2640" s="1" t="s">
        <v>8049</v>
      </c>
      <c r="J2640" s="1" t="s">
        <v>1291</v>
      </c>
      <c r="K2640" s="1">
        <v>6</v>
      </c>
      <c r="L2640" s="1" t="s">
        <v>4254</v>
      </c>
      <c r="M2640" s="1">
        <v>8</v>
      </c>
      <c r="N2640" s="1" t="s">
        <v>4255</v>
      </c>
    </row>
    <row r="2641" spans="1:14" x14ac:dyDescent="0.15">
      <c r="A2641" s="1">
        <v>326</v>
      </c>
      <c r="B2641" s="1" t="s">
        <v>1287</v>
      </c>
      <c r="C2641" s="1" t="s">
        <v>1288</v>
      </c>
      <c r="D2641" s="1" t="s">
        <v>1289</v>
      </c>
      <c r="E2641" s="1" t="s">
        <v>1288</v>
      </c>
      <c r="F2641" s="1" t="s">
        <v>1287</v>
      </c>
      <c r="G2641" s="1" t="s">
        <v>1290</v>
      </c>
      <c r="H2641" s="1" t="s">
        <v>1287</v>
      </c>
      <c r="I2641" s="1" t="s">
        <v>8049</v>
      </c>
      <c r="J2641" s="1" t="s">
        <v>1292</v>
      </c>
      <c r="K2641" s="1">
        <v>6</v>
      </c>
      <c r="L2641" s="1" t="s">
        <v>4254</v>
      </c>
      <c r="M2641" s="1">
        <v>8</v>
      </c>
      <c r="N2641" s="1" t="s">
        <v>4255</v>
      </c>
    </row>
    <row r="2642" spans="1:14" x14ac:dyDescent="0.15">
      <c r="A2642" s="1">
        <v>330</v>
      </c>
      <c r="B2642" s="1" t="s">
        <v>2999</v>
      </c>
      <c r="C2642" s="1" t="s">
        <v>3000</v>
      </c>
      <c r="D2642" s="1" t="s">
        <v>3001</v>
      </c>
      <c r="E2642" s="1" t="s">
        <v>3000</v>
      </c>
      <c r="F2642" s="1" t="s">
        <v>3001</v>
      </c>
      <c r="G2642" s="1" t="s">
        <v>3002</v>
      </c>
      <c r="H2642" s="1" t="s">
        <v>3001</v>
      </c>
      <c r="I2642" s="1" t="s">
        <v>8052</v>
      </c>
      <c r="J2642" s="1" t="s">
        <v>1293</v>
      </c>
      <c r="K2642" s="1">
        <v>6</v>
      </c>
      <c r="L2642" s="1" t="s">
        <v>4254</v>
      </c>
      <c r="M2642" s="1">
        <v>8</v>
      </c>
      <c r="N2642" s="1" t="s">
        <v>4255</v>
      </c>
    </row>
    <row r="2643" spans="1:14" x14ac:dyDescent="0.15">
      <c r="A2643" s="1">
        <v>330</v>
      </c>
      <c r="B2643" s="1" t="s">
        <v>2999</v>
      </c>
      <c r="C2643" s="1" t="s">
        <v>3000</v>
      </c>
      <c r="D2643" s="1" t="s">
        <v>3001</v>
      </c>
      <c r="E2643" s="1" t="s">
        <v>3000</v>
      </c>
      <c r="F2643" s="1" t="s">
        <v>3001</v>
      </c>
      <c r="G2643" s="1" t="s">
        <v>3002</v>
      </c>
      <c r="H2643" s="1" t="s">
        <v>3001</v>
      </c>
      <c r="I2643" s="1" t="s">
        <v>8055</v>
      </c>
      <c r="J2643" s="1" t="s">
        <v>1294</v>
      </c>
      <c r="K2643" s="1">
        <v>6</v>
      </c>
      <c r="L2643" s="1" t="s">
        <v>4254</v>
      </c>
      <c r="M2643" s="1">
        <v>8</v>
      </c>
      <c r="N2643" s="1" t="s">
        <v>4255</v>
      </c>
    </row>
    <row r="2644" spans="1:14" x14ac:dyDescent="0.15">
      <c r="A2644" s="1">
        <v>326</v>
      </c>
      <c r="B2644" s="1" t="s">
        <v>1287</v>
      </c>
      <c r="C2644" s="1" t="s">
        <v>1288</v>
      </c>
      <c r="D2644" s="1" t="s">
        <v>1289</v>
      </c>
      <c r="E2644" s="1" t="s">
        <v>1288</v>
      </c>
      <c r="F2644" s="1" t="s">
        <v>1287</v>
      </c>
      <c r="G2644" s="1" t="s">
        <v>1290</v>
      </c>
      <c r="H2644" s="1" t="s">
        <v>1287</v>
      </c>
      <c r="I2644" s="1" t="s">
        <v>7765</v>
      </c>
      <c r="J2644" s="1" t="s">
        <v>1295</v>
      </c>
      <c r="K2644" s="1">
        <v>6</v>
      </c>
      <c r="L2644" s="1" t="s">
        <v>4254</v>
      </c>
      <c r="M2644" s="1">
        <v>8</v>
      </c>
      <c r="N2644" s="1" t="s">
        <v>4255</v>
      </c>
    </row>
    <row r="2645" spans="1:14" x14ac:dyDescent="0.15">
      <c r="A2645" s="1">
        <v>326</v>
      </c>
      <c r="B2645" s="1" t="s">
        <v>1287</v>
      </c>
      <c r="C2645" s="1" t="s">
        <v>1288</v>
      </c>
      <c r="D2645" s="1" t="s">
        <v>1289</v>
      </c>
      <c r="E2645" s="1" t="s">
        <v>1288</v>
      </c>
      <c r="F2645" s="1" t="s">
        <v>1287</v>
      </c>
      <c r="G2645" s="1" t="s">
        <v>1290</v>
      </c>
      <c r="H2645" s="1" t="s">
        <v>1287</v>
      </c>
      <c r="I2645" s="1" t="s">
        <v>7768</v>
      </c>
      <c r="J2645" s="1" t="s">
        <v>1296</v>
      </c>
      <c r="K2645" s="1">
        <v>6</v>
      </c>
      <c r="L2645" s="1" t="s">
        <v>4254</v>
      </c>
      <c r="M2645" s="1">
        <v>8</v>
      </c>
      <c r="N2645" s="1" t="s">
        <v>4255</v>
      </c>
    </row>
    <row r="2646" spans="1:14" x14ac:dyDescent="0.15">
      <c r="A2646" s="1">
        <v>326</v>
      </c>
      <c r="B2646" s="1" t="s">
        <v>1287</v>
      </c>
      <c r="C2646" s="1" t="s">
        <v>1288</v>
      </c>
      <c r="D2646" s="1" t="s">
        <v>1289</v>
      </c>
      <c r="E2646" s="1" t="s">
        <v>1288</v>
      </c>
      <c r="F2646" s="1" t="s">
        <v>1287</v>
      </c>
      <c r="G2646" s="1" t="s">
        <v>1290</v>
      </c>
      <c r="H2646" s="1" t="s">
        <v>1287</v>
      </c>
      <c r="I2646" s="1" t="s">
        <v>7771</v>
      </c>
      <c r="J2646" s="1" t="s">
        <v>5192</v>
      </c>
      <c r="K2646" s="1">
        <v>6</v>
      </c>
      <c r="L2646" s="1" t="s">
        <v>4254</v>
      </c>
      <c r="M2646" s="1">
        <v>8</v>
      </c>
      <c r="N2646" s="1" t="s">
        <v>4255</v>
      </c>
    </row>
    <row r="2647" spans="1:14" x14ac:dyDescent="0.15">
      <c r="A2647" s="1">
        <v>326</v>
      </c>
      <c r="B2647" s="1" t="s">
        <v>1287</v>
      </c>
      <c r="C2647" s="1" t="s">
        <v>1288</v>
      </c>
      <c r="D2647" s="1" t="s">
        <v>1289</v>
      </c>
      <c r="E2647" s="1" t="s">
        <v>1288</v>
      </c>
      <c r="F2647" s="1" t="s">
        <v>1287</v>
      </c>
      <c r="G2647" s="1" t="s">
        <v>1290</v>
      </c>
      <c r="H2647" s="1" t="s">
        <v>1287</v>
      </c>
      <c r="I2647" s="1" t="s">
        <v>7774</v>
      </c>
      <c r="J2647" s="1" t="s">
        <v>1297</v>
      </c>
      <c r="K2647" s="1">
        <v>6</v>
      </c>
      <c r="L2647" s="1" t="s">
        <v>4254</v>
      </c>
      <c r="M2647" s="1">
        <v>8</v>
      </c>
      <c r="N2647" s="1" t="s">
        <v>4255</v>
      </c>
    </row>
    <row r="2648" spans="1:14" x14ac:dyDescent="0.15">
      <c r="A2648" s="1">
        <v>326</v>
      </c>
      <c r="B2648" s="1" t="s">
        <v>1287</v>
      </c>
      <c r="C2648" s="1" t="s">
        <v>1288</v>
      </c>
      <c r="D2648" s="1" t="s">
        <v>1289</v>
      </c>
      <c r="E2648" s="1" t="s">
        <v>1288</v>
      </c>
      <c r="F2648" s="1" t="s">
        <v>1287</v>
      </c>
      <c r="G2648" s="1" t="s">
        <v>1290</v>
      </c>
      <c r="H2648" s="1" t="s">
        <v>1287</v>
      </c>
      <c r="I2648" s="1" t="s">
        <v>7777</v>
      </c>
      <c r="J2648" s="1" t="s">
        <v>1298</v>
      </c>
      <c r="K2648" s="1">
        <v>6</v>
      </c>
      <c r="L2648" s="1" t="s">
        <v>4254</v>
      </c>
      <c r="M2648" s="1">
        <v>8</v>
      </c>
      <c r="N2648" s="1" t="s">
        <v>4255</v>
      </c>
    </row>
    <row r="2649" spans="1:14" x14ac:dyDescent="0.15">
      <c r="A2649" s="1">
        <v>326</v>
      </c>
      <c r="B2649" s="1" t="s">
        <v>1287</v>
      </c>
      <c r="C2649" s="1" t="s">
        <v>1288</v>
      </c>
      <c r="D2649" s="1" t="s">
        <v>1289</v>
      </c>
      <c r="E2649" s="1" t="s">
        <v>1288</v>
      </c>
      <c r="F2649" s="1" t="s">
        <v>1287</v>
      </c>
      <c r="G2649" s="1" t="s">
        <v>1290</v>
      </c>
      <c r="H2649" s="1" t="s">
        <v>1287</v>
      </c>
      <c r="I2649" s="1" t="s">
        <v>7780</v>
      </c>
      <c r="J2649" s="1" t="s">
        <v>1299</v>
      </c>
      <c r="K2649" s="1">
        <v>6</v>
      </c>
      <c r="L2649" s="1" t="s">
        <v>4254</v>
      </c>
      <c r="M2649" s="1">
        <v>8</v>
      </c>
      <c r="N2649" s="1" t="s">
        <v>4255</v>
      </c>
    </row>
    <row r="2650" spans="1:14" x14ac:dyDescent="0.15">
      <c r="A2650" s="1">
        <v>326</v>
      </c>
      <c r="B2650" s="1" t="s">
        <v>1287</v>
      </c>
      <c r="C2650" s="1" t="s">
        <v>1288</v>
      </c>
      <c r="D2650" s="1" t="s">
        <v>1289</v>
      </c>
      <c r="E2650" s="1" t="s">
        <v>1288</v>
      </c>
      <c r="F2650" s="1" t="s">
        <v>1287</v>
      </c>
      <c r="G2650" s="1" t="s">
        <v>1290</v>
      </c>
      <c r="H2650" s="1" t="s">
        <v>1287</v>
      </c>
      <c r="I2650" s="1" t="s">
        <v>7819</v>
      </c>
      <c r="J2650" s="1" t="s">
        <v>1300</v>
      </c>
      <c r="K2650" s="1">
        <v>6</v>
      </c>
      <c r="L2650" s="1" t="s">
        <v>4254</v>
      </c>
      <c r="M2650" s="1">
        <v>8</v>
      </c>
      <c r="N2650" s="1" t="s">
        <v>4255</v>
      </c>
    </row>
    <row r="2651" spans="1:14" x14ac:dyDescent="0.15">
      <c r="A2651" s="1">
        <v>326</v>
      </c>
      <c r="B2651" s="1" t="s">
        <v>1287</v>
      </c>
      <c r="C2651" s="1" t="s">
        <v>1288</v>
      </c>
      <c r="D2651" s="1" t="s">
        <v>1289</v>
      </c>
      <c r="E2651" s="1" t="s">
        <v>1288</v>
      </c>
      <c r="F2651" s="1" t="s">
        <v>1287</v>
      </c>
      <c r="G2651" s="1" t="s">
        <v>1290</v>
      </c>
      <c r="H2651" s="1" t="s">
        <v>1287</v>
      </c>
      <c r="I2651" s="1" t="s">
        <v>7822</v>
      </c>
      <c r="J2651" s="1" t="s">
        <v>1301</v>
      </c>
      <c r="K2651" s="1">
        <v>6</v>
      </c>
      <c r="L2651" s="1" t="s">
        <v>4254</v>
      </c>
      <c r="M2651" s="1">
        <v>8</v>
      </c>
      <c r="N2651" s="1" t="s">
        <v>4255</v>
      </c>
    </row>
    <row r="2652" spans="1:14" x14ac:dyDescent="0.15">
      <c r="A2652" s="1">
        <v>326</v>
      </c>
      <c r="B2652" s="1" t="s">
        <v>1287</v>
      </c>
      <c r="C2652" s="1" t="s">
        <v>1288</v>
      </c>
      <c r="D2652" s="1" t="s">
        <v>1289</v>
      </c>
      <c r="E2652" s="1" t="s">
        <v>1288</v>
      </c>
      <c r="F2652" s="1" t="s">
        <v>1287</v>
      </c>
      <c r="G2652" s="1" t="s">
        <v>1290</v>
      </c>
      <c r="H2652" s="1" t="s">
        <v>1287</v>
      </c>
      <c r="I2652" s="1" t="s">
        <v>7786</v>
      </c>
      <c r="J2652" s="1" t="s">
        <v>1302</v>
      </c>
      <c r="K2652" s="1">
        <v>6</v>
      </c>
      <c r="L2652" s="1" t="s">
        <v>4254</v>
      </c>
      <c r="M2652" s="1">
        <v>8</v>
      </c>
      <c r="N2652" s="1" t="s">
        <v>4255</v>
      </c>
    </row>
    <row r="2653" spans="1:14" x14ac:dyDescent="0.15">
      <c r="A2653" s="1">
        <v>330</v>
      </c>
      <c r="B2653" s="1" t="s">
        <v>2999</v>
      </c>
      <c r="C2653" s="1" t="s">
        <v>1303</v>
      </c>
      <c r="D2653" s="1" t="s">
        <v>2999</v>
      </c>
      <c r="E2653" s="1" t="s">
        <v>1303</v>
      </c>
      <c r="F2653" s="1" t="s">
        <v>2999</v>
      </c>
      <c r="G2653" s="1" t="s">
        <v>1304</v>
      </c>
      <c r="H2653" s="1" t="s">
        <v>2999</v>
      </c>
      <c r="I2653" s="1" t="s">
        <v>11879</v>
      </c>
      <c r="J2653" s="1" t="s">
        <v>4278</v>
      </c>
      <c r="K2653" s="1">
        <v>6</v>
      </c>
      <c r="L2653" s="1" t="s">
        <v>4254</v>
      </c>
      <c r="M2653" s="1">
        <v>8</v>
      </c>
      <c r="N2653" s="1" t="s">
        <v>4255</v>
      </c>
    </row>
    <row r="2654" spans="1:14" x14ac:dyDescent="0.15">
      <c r="A2654" s="1">
        <v>330</v>
      </c>
      <c r="B2654" s="1" t="s">
        <v>2999</v>
      </c>
      <c r="C2654" s="1" t="s">
        <v>3000</v>
      </c>
      <c r="D2654" s="1" t="s">
        <v>3001</v>
      </c>
      <c r="E2654" s="1" t="s">
        <v>3000</v>
      </c>
      <c r="F2654" s="1" t="s">
        <v>3001</v>
      </c>
      <c r="G2654" s="1" t="s">
        <v>3002</v>
      </c>
      <c r="H2654" s="1" t="s">
        <v>3001</v>
      </c>
      <c r="I2654" s="1" t="s">
        <v>13794</v>
      </c>
      <c r="J2654" s="1" t="s">
        <v>5062</v>
      </c>
      <c r="K2654" s="1">
        <v>6</v>
      </c>
      <c r="L2654" s="1" t="s">
        <v>4254</v>
      </c>
      <c r="M2654" s="1">
        <v>8</v>
      </c>
      <c r="N2654" s="1" t="s">
        <v>4255</v>
      </c>
    </row>
    <row r="2655" spans="1:14" x14ac:dyDescent="0.15">
      <c r="A2655" s="1">
        <v>330</v>
      </c>
      <c r="B2655" s="1" t="s">
        <v>2999</v>
      </c>
      <c r="C2655" s="1" t="s">
        <v>3000</v>
      </c>
      <c r="D2655" s="1" t="s">
        <v>3001</v>
      </c>
      <c r="E2655" s="1" t="s">
        <v>3000</v>
      </c>
      <c r="F2655" s="1" t="s">
        <v>3001</v>
      </c>
      <c r="G2655" s="1" t="s">
        <v>3002</v>
      </c>
      <c r="H2655" s="1" t="s">
        <v>3001</v>
      </c>
      <c r="I2655" s="1" t="s">
        <v>13806</v>
      </c>
      <c r="J2655" s="1" t="s">
        <v>5064</v>
      </c>
      <c r="K2655" s="1">
        <v>6</v>
      </c>
      <c r="L2655" s="1" t="s">
        <v>4254</v>
      </c>
      <c r="M2655" s="1">
        <v>8</v>
      </c>
      <c r="N2655" s="1" t="s">
        <v>4255</v>
      </c>
    </row>
    <row r="2656" spans="1:14" x14ac:dyDescent="0.15">
      <c r="A2656" s="1">
        <v>330</v>
      </c>
      <c r="B2656" s="1" t="s">
        <v>2999</v>
      </c>
      <c r="C2656" s="1" t="s">
        <v>3000</v>
      </c>
      <c r="D2656" s="1" t="s">
        <v>3001</v>
      </c>
      <c r="E2656" s="1" t="s">
        <v>3000</v>
      </c>
      <c r="F2656" s="1" t="s">
        <v>3001</v>
      </c>
      <c r="G2656" s="1" t="s">
        <v>3002</v>
      </c>
      <c r="H2656" s="1" t="s">
        <v>3001</v>
      </c>
      <c r="I2656" s="1" t="s">
        <v>8043</v>
      </c>
      <c r="J2656" s="1" t="s">
        <v>1305</v>
      </c>
      <c r="K2656" s="1">
        <v>6</v>
      </c>
      <c r="L2656" s="1" t="s">
        <v>4254</v>
      </c>
      <c r="M2656" s="1">
        <v>8</v>
      </c>
      <c r="N2656" s="1" t="s">
        <v>4255</v>
      </c>
    </row>
    <row r="2657" spans="1:14" x14ac:dyDescent="0.15">
      <c r="A2657" s="1">
        <v>330</v>
      </c>
      <c r="B2657" s="1" t="s">
        <v>2999</v>
      </c>
      <c r="C2657" s="1" t="s">
        <v>3000</v>
      </c>
      <c r="D2657" s="1" t="s">
        <v>3001</v>
      </c>
      <c r="E2657" s="1" t="s">
        <v>3000</v>
      </c>
      <c r="F2657" s="1" t="s">
        <v>3001</v>
      </c>
      <c r="G2657" s="1" t="s">
        <v>3002</v>
      </c>
      <c r="H2657" s="1" t="s">
        <v>3001</v>
      </c>
      <c r="I2657" s="1" t="s">
        <v>13814</v>
      </c>
      <c r="J2657" s="1" t="s">
        <v>3003</v>
      </c>
      <c r="K2657" s="1">
        <v>6</v>
      </c>
      <c r="L2657" s="1" t="s">
        <v>4254</v>
      </c>
      <c r="M2657" s="1">
        <v>8</v>
      </c>
      <c r="N2657" s="1" t="s">
        <v>4255</v>
      </c>
    </row>
    <row r="2658" spans="1:14" x14ac:dyDescent="0.15">
      <c r="A2658" s="1">
        <v>330</v>
      </c>
      <c r="B2658" s="1" t="s">
        <v>2999</v>
      </c>
      <c r="C2658" s="1" t="s">
        <v>1306</v>
      </c>
      <c r="D2658" s="1" t="s">
        <v>1307</v>
      </c>
      <c r="E2658" s="1" t="s">
        <v>1306</v>
      </c>
      <c r="F2658" s="1" t="s">
        <v>1307</v>
      </c>
      <c r="G2658" s="1" t="s">
        <v>1308</v>
      </c>
      <c r="H2658" s="1" t="s">
        <v>1307</v>
      </c>
      <c r="I2658" s="1" t="s">
        <v>13706</v>
      </c>
      <c r="J2658" s="1" t="s">
        <v>2990</v>
      </c>
      <c r="K2658" s="1">
        <v>6</v>
      </c>
      <c r="L2658" s="1" t="s">
        <v>4254</v>
      </c>
      <c r="M2658" s="1">
        <v>8</v>
      </c>
      <c r="N2658" s="1" t="s">
        <v>4255</v>
      </c>
    </row>
    <row r="2659" spans="1:14" x14ac:dyDescent="0.15">
      <c r="A2659" s="1">
        <v>330</v>
      </c>
      <c r="B2659" s="1" t="s">
        <v>2999</v>
      </c>
      <c r="C2659" s="1" t="s">
        <v>1306</v>
      </c>
      <c r="D2659" s="1" t="s">
        <v>1307</v>
      </c>
      <c r="E2659" s="1" t="s">
        <v>1306</v>
      </c>
      <c r="F2659" s="1" t="s">
        <v>1307</v>
      </c>
      <c r="G2659" s="1" t="s">
        <v>1308</v>
      </c>
      <c r="H2659" s="1" t="s">
        <v>1307</v>
      </c>
      <c r="I2659" s="1" t="s">
        <v>13790</v>
      </c>
      <c r="J2659" s="1" t="s">
        <v>5061</v>
      </c>
      <c r="K2659" s="1">
        <v>6</v>
      </c>
      <c r="L2659" s="1" t="s">
        <v>4254</v>
      </c>
      <c r="M2659" s="1">
        <v>8</v>
      </c>
      <c r="N2659" s="1" t="s">
        <v>4255</v>
      </c>
    </row>
    <row r="2660" spans="1:14" x14ac:dyDescent="0.15">
      <c r="A2660" s="1">
        <v>330</v>
      </c>
      <c r="B2660" s="1" t="s">
        <v>2999</v>
      </c>
      <c r="C2660" s="1" t="s">
        <v>1306</v>
      </c>
      <c r="D2660" s="1" t="s">
        <v>1307</v>
      </c>
      <c r="E2660" s="1" t="s">
        <v>1306</v>
      </c>
      <c r="F2660" s="1" t="s">
        <v>1307</v>
      </c>
      <c r="G2660" s="1" t="s">
        <v>1308</v>
      </c>
      <c r="H2660" s="1" t="s">
        <v>1307</v>
      </c>
      <c r="I2660" s="1" t="s">
        <v>13798</v>
      </c>
      <c r="J2660" s="1" t="s">
        <v>13799</v>
      </c>
      <c r="K2660" s="1">
        <v>6</v>
      </c>
      <c r="L2660" s="1" t="s">
        <v>4254</v>
      </c>
      <c r="M2660" s="1">
        <v>8</v>
      </c>
      <c r="N2660" s="1" t="s">
        <v>4255</v>
      </c>
    </row>
    <row r="2661" spans="1:14" x14ac:dyDescent="0.15">
      <c r="A2661" s="1">
        <v>330</v>
      </c>
      <c r="B2661" s="1" t="s">
        <v>2999</v>
      </c>
      <c r="C2661" s="1" t="s">
        <v>1306</v>
      </c>
      <c r="D2661" s="1" t="s">
        <v>1307</v>
      </c>
      <c r="E2661" s="1" t="s">
        <v>1306</v>
      </c>
      <c r="F2661" s="1" t="s">
        <v>1307</v>
      </c>
      <c r="G2661" s="1" t="s">
        <v>1308</v>
      </c>
      <c r="H2661" s="1" t="s">
        <v>1307</v>
      </c>
      <c r="I2661" s="1" t="s">
        <v>13802</v>
      </c>
      <c r="J2661" s="1" t="s">
        <v>5063</v>
      </c>
      <c r="K2661" s="1">
        <v>6</v>
      </c>
      <c r="L2661" s="1" t="s">
        <v>4254</v>
      </c>
      <c r="M2661" s="1">
        <v>8</v>
      </c>
      <c r="N2661" s="1" t="s">
        <v>4255</v>
      </c>
    </row>
    <row r="2662" spans="1:14" x14ac:dyDescent="0.15">
      <c r="A2662" s="1">
        <v>330</v>
      </c>
      <c r="B2662" s="1" t="s">
        <v>2999</v>
      </c>
      <c r="C2662" s="1" t="s">
        <v>1306</v>
      </c>
      <c r="D2662" s="1" t="s">
        <v>1307</v>
      </c>
      <c r="E2662" s="1" t="s">
        <v>1306</v>
      </c>
      <c r="F2662" s="1" t="s">
        <v>1307</v>
      </c>
      <c r="G2662" s="1" t="s">
        <v>1308</v>
      </c>
      <c r="H2662" s="1" t="s">
        <v>1307</v>
      </c>
      <c r="I2662" s="1" t="s">
        <v>8046</v>
      </c>
      <c r="J2662" s="1" t="s">
        <v>1309</v>
      </c>
      <c r="K2662" s="1">
        <v>6</v>
      </c>
      <c r="L2662" s="1" t="s">
        <v>4254</v>
      </c>
      <c r="M2662" s="1">
        <v>8</v>
      </c>
      <c r="N2662" s="1" t="s">
        <v>4255</v>
      </c>
    </row>
    <row r="2663" spans="1:14" x14ac:dyDescent="0.15">
      <c r="A2663" s="1">
        <v>331</v>
      </c>
      <c r="B2663" s="1" t="s">
        <v>1310</v>
      </c>
      <c r="C2663" s="1" t="s">
        <v>1311</v>
      </c>
      <c r="D2663" s="1" t="s">
        <v>1310</v>
      </c>
      <c r="E2663" s="1" t="s">
        <v>1311</v>
      </c>
      <c r="F2663" s="1" t="s">
        <v>1310</v>
      </c>
      <c r="G2663" s="1" t="s">
        <v>1312</v>
      </c>
      <c r="H2663" s="1" t="s">
        <v>1310</v>
      </c>
      <c r="I2663" s="1" t="s">
        <v>13646</v>
      </c>
      <c r="J2663" s="1" t="s">
        <v>5006</v>
      </c>
      <c r="K2663" s="1">
        <v>6</v>
      </c>
      <c r="L2663" s="1" t="s">
        <v>4254</v>
      </c>
      <c r="M2663" s="1">
        <v>8</v>
      </c>
      <c r="N2663" s="1" t="s">
        <v>4255</v>
      </c>
    </row>
    <row r="2664" spans="1:14" x14ac:dyDescent="0.15">
      <c r="A2664" s="1">
        <v>332</v>
      </c>
      <c r="B2664" s="1" t="s">
        <v>1313</v>
      </c>
      <c r="C2664" s="1" t="s">
        <v>1314</v>
      </c>
      <c r="D2664" s="1" t="s">
        <v>1313</v>
      </c>
      <c r="E2664" s="1" t="s">
        <v>1314</v>
      </c>
      <c r="F2664" s="1" t="s">
        <v>1313</v>
      </c>
      <c r="G2664" s="1" t="s">
        <v>1315</v>
      </c>
      <c r="H2664" s="1" t="s">
        <v>1313</v>
      </c>
      <c r="I2664" s="1" t="s">
        <v>11879</v>
      </c>
      <c r="J2664" s="1" t="s">
        <v>4278</v>
      </c>
      <c r="K2664" s="1">
        <v>6</v>
      </c>
      <c r="L2664" s="1" t="s">
        <v>4254</v>
      </c>
      <c r="M2664" s="1">
        <v>8</v>
      </c>
      <c r="N2664" s="1" t="s">
        <v>4255</v>
      </c>
    </row>
    <row r="2665" spans="1:14" x14ac:dyDescent="0.15">
      <c r="A2665" s="1">
        <v>332</v>
      </c>
      <c r="B2665" s="1" t="s">
        <v>1313</v>
      </c>
      <c r="C2665" s="1" t="s">
        <v>1316</v>
      </c>
      <c r="D2665" s="1" t="s">
        <v>1317</v>
      </c>
      <c r="E2665" s="1" t="s">
        <v>1316</v>
      </c>
      <c r="F2665" s="1" t="s">
        <v>1317</v>
      </c>
      <c r="G2665" s="1" t="s">
        <v>1318</v>
      </c>
      <c r="H2665" s="1" t="s">
        <v>1317</v>
      </c>
      <c r="I2665" s="1" t="s">
        <v>13742</v>
      </c>
      <c r="J2665" s="1" t="s">
        <v>5043</v>
      </c>
      <c r="K2665" s="1">
        <v>6</v>
      </c>
      <c r="L2665" s="1" t="s">
        <v>4254</v>
      </c>
      <c r="M2665" s="1">
        <v>8</v>
      </c>
      <c r="N2665" s="1" t="s">
        <v>4255</v>
      </c>
    </row>
    <row r="2666" spans="1:14" x14ac:dyDescent="0.15">
      <c r="A2666" s="1">
        <v>332</v>
      </c>
      <c r="B2666" s="1" t="s">
        <v>1313</v>
      </c>
      <c r="C2666" s="1" t="s">
        <v>1316</v>
      </c>
      <c r="D2666" s="1" t="s">
        <v>1317</v>
      </c>
      <c r="E2666" s="1" t="s">
        <v>1316</v>
      </c>
      <c r="F2666" s="1" t="s">
        <v>1317</v>
      </c>
      <c r="G2666" s="1" t="s">
        <v>1318</v>
      </c>
      <c r="H2666" s="1" t="s">
        <v>1317</v>
      </c>
      <c r="I2666" s="1" t="s">
        <v>13746</v>
      </c>
      <c r="J2666" s="1" t="s">
        <v>13747</v>
      </c>
      <c r="K2666" s="1">
        <v>6</v>
      </c>
      <c r="L2666" s="1" t="s">
        <v>4254</v>
      </c>
      <c r="M2666" s="1">
        <v>8</v>
      </c>
      <c r="N2666" s="1" t="s">
        <v>4255</v>
      </c>
    </row>
    <row r="2667" spans="1:14" x14ac:dyDescent="0.15">
      <c r="A2667" s="1">
        <v>332</v>
      </c>
      <c r="B2667" s="1" t="s">
        <v>1313</v>
      </c>
      <c r="C2667" s="1" t="s">
        <v>1316</v>
      </c>
      <c r="D2667" s="1" t="s">
        <v>1317</v>
      </c>
      <c r="E2667" s="1" t="s">
        <v>1316</v>
      </c>
      <c r="F2667" s="1" t="s">
        <v>1317</v>
      </c>
      <c r="G2667" s="1" t="s">
        <v>1318</v>
      </c>
      <c r="H2667" s="1" t="s">
        <v>1317</v>
      </c>
      <c r="I2667" s="1" t="s">
        <v>13762</v>
      </c>
      <c r="J2667" s="1" t="s">
        <v>5047</v>
      </c>
      <c r="K2667" s="1">
        <v>6</v>
      </c>
      <c r="L2667" s="1" t="s">
        <v>4254</v>
      </c>
      <c r="M2667" s="1">
        <v>8</v>
      </c>
      <c r="N2667" s="1" t="s">
        <v>4255</v>
      </c>
    </row>
    <row r="2668" spans="1:14" x14ac:dyDescent="0.15">
      <c r="A2668" s="1">
        <v>332</v>
      </c>
      <c r="B2668" s="1" t="s">
        <v>1313</v>
      </c>
      <c r="C2668" s="1" t="s">
        <v>1316</v>
      </c>
      <c r="D2668" s="1" t="s">
        <v>1317</v>
      </c>
      <c r="E2668" s="1" t="s">
        <v>1316</v>
      </c>
      <c r="F2668" s="1" t="s">
        <v>1317</v>
      </c>
      <c r="G2668" s="1" t="s">
        <v>1318</v>
      </c>
      <c r="H2668" s="1" t="s">
        <v>1317</v>
      </c>
      <c r="I2668" s="1" t="s">
        <v>8021</v>
      </c>
      <c r="J2668" s="1" t="s">
        <v>1319</v>
      </c>
      <c r="K2668" s="1">
        <v>6</v>
      </c>
      <c r="L2668" s="1" t="s">
        <v>4254</v>
      </c>
      <c r="M2668" s="1">
        <v>8</v>
      </c>
      <c r="N2668" s="1" t="s">
        <v>4255</v>
      </c>
    </row>
    <row r="2669" spans="1:14" x14ac:dyDescent="0.15">
      <c r="A2669" s="1">
        <v>332</v>
      </c>
      <c r="B2669" s="1" t="s">
        <v>1313</v>
      </c>
      <c r="C2669" s="1" t="s">
        <v>1320</v>
      </c>
      <c r="D2669" s="1" t="s">
        <v>1321</v>
      </c>
      <c r="E2669" s="1" t="s">
        <v>1320</v>
      </c>
      <c r="F2669" s="1" t="s">
        <v>1321</v>
      </c>
      <c r="G2669" s="1" t="s">
        <v>1322</v>
      </c>
      <c r="H2669" s="1" t="s">
        <v>1321</v>
      </c>
      <c r="I2669" s="1" t="s">
        <v>13778</v>
      </c>
      <c r="J2669" s="1" t="s">
        <v>2997</v>
      </c>
      <c r="K2669" s="1">
        <v>6</v>
      </c>
      <c r="L2669" s="1" t="s">
        <v>4254</v>
      </c>
      <c r="M2669" s="1">
        <v>8</v>
      </c>
      <c r="N2669" s="1" t="s">
        <v>4255</v>
      </c>
    </row>
    <row r="2670" spans="1:14" x14ac:dyDescent="0.15">
      <c r="A2670" s="1">
        <v>332</v>
      </c>
      <c r="B2670" s="1" t="s">
        <v>1313</v>
      </c>
      <c r="C2670" s="1" t="s">
        <v>1320</v>
      </c>
      <c r="D2670" s="1" t="s">
        <v>1321</v>
      </c>
      <c r="E2670" s="1" t="s">
        <v>1320</v>
      </c>
      <c r="F2670" s="1" t="s">
        <v>1321</v>
      </c>
      <c r="G2670" s="1" t="s">
        <v>1322</v>
      </c>
      <c r="H2670" s="1" t="s">
        <v>1321</v>
      </c>
      <c r="I2670" s="1" t="s">
        <v>13782</v>
      </c>
      <c r="J2670" s="1" t="s">
        <v>2998</v>
      </c>
      <c r="K2670" s="1">
        <v>6</v>
      </c>
      <c r="L2670" s="1" t="s">
        <v>4254</v>
      </c>
      <c r="M2670" s="1">
        <v>8</v>
      </c>
      <c r="N2670" s="1" t="s">
        <v>4255</v>
      </c>
    </row>
    <row r="2671" spans="1:14" x14ac:dyDescent="0.15">
      <c r="A2671" s="1">
        <v>332</v>
      </c>
      <c r="B2671" s="1" t="s">
        <v>1313</v>
      </c>
      <c r="C2671" s="1" t="s">
        <v>1323</v>
      </c>
      <c r="D2671" s="1" t="s">
        <v>1324</v>
      </c>
      <c r="E2671" s="1" t="s">
        <v>1323</v>
      </c>
      <c r="F2671" s="1" t="s">
        <v>1324</v>
      </c>
      <c r="G2671" s="1" t="s">
        <v>1325</v>
      </c>
      <c r="H2671" s="1" t="s">
        <v>1324</v>
      </c>
      <c r="I2671" s="1" t="s">
        <v>8024</v>
      </c>
      <c r="J2671" s="1" t="s">
        <v>2738</v>
      </c>
      <c r="K2671" s="1">
        <v>6</v>
      </c>
      <c r="L2671" s="1" t="s">
        <v>4254</v>
      </c>
      <c r="M2671" s="1">
        <v>8</v>
      </c>
      <c r="N2671" s="1" t="s">
        <v>4255</v>
      </c>
    </row>
    <row r="2672" spans="1:14" x14ac:dyDescent="0.15">
      <c r="A2672" s="1">
        <v>332</v>
      </c>
      <c r="B2672" s="1" t="s">
        <v>1313</v>
      </c>
      <c r="C2672" s="1" t="s">
        <v>1323</v>
      </c>
      <c r="D2672" s="1" t="s">
        <v>1324</v>
      </c>
      <c r="E2672" s="1" t="s">
        <v>1323</v>
      </c>
      <c r="F2672" s="1" t="s">
        <v>1324</v>
      </c>
      <c r="G2672" s="1" t="s">
        <v>1325</v>
      </c>
      <c r="H2672" s="1" t="s">
        <v>1324</v>
      </c>
      <c r="I2672" s="1" t="s">
        <v>13758</v>
      </c>
      <c r="J2672" s="1" t="s">
        <v>5044</v>
      </c>
      <c r="K2672" s="1">
        <v>6</v>
      </c>
      <c r="L2672" s="1" t="s">
        <v>4254</v>
      </c>
      <c r="M2672" s="1">
        <v>8</v>
      </c>
      <c r="N2672" s="1" t="s">
        <v>4255</v>
      </c>
    </row>
    <row r="2673" spans="1:14" x14ac:dyDescent="0.15">
      <c r="A2673" s="1">
        <v>332</v>
      </c>
      <c r="B2673" s="1" t="s">
        <v>1313</v>
      </c>
      <c r="C2673" s="1" t="s">
        <v>1326</v>
      </c>
      <c r="D2673" s="1" t="s">
        <v>1327</v>
      </c>
      <c r="E2673" s="1" t="s">
        <v>1326</v>
      </c>
      <c r="F2673" s="1" t="s">
        <v>1327</v>
      </c>
      <c r="G2673" s="1" t="s">
        <v>1328</v>
      </c>
      <c r="H2673" s="1" t="s">
        <v>1327</v>
      </c>
      <c r="I2673" s="1" t="s">
        <v>13766</v>
      </c>
      <c r="J2673" s="1" t="s">
        <v>2995</v>
      </c>
      <c r="K2673" s="1">
        <v>6</v>
      </c>
      <c r="L2673" s="1" t="s">
        <v>4254</v>
      </c>
      <c r="M2673" s="1">
        <v>8</v>
      </c>
      <c r="N2673" s="1" t="s">
        <v>4255</v>
      </c>
    </row>
    <row r="2674" spans="1:14" x14ac:dyDescent="0.15">
      <c r="A2674" s="1">
        <v>332</v>
      </c>
      <c r="B2674" s="1" t="s">
        <v>1313</v>
      </c>
      <c r="C2674" s="1" t="s">
        <v>1326</v>
      </c>
      <c r="D2674" s="1" t="s">
        <v>1327</v>
      </c>
      <c r="E2674" s="1" t="s">
        <v>1326</v>
      </c>
      <c r="F2674" s="1" t="s">
        <v>1327</v>
      </c>
      <c r="G2674" s="1" t="s">
        <v>1328</v>
      </c>
      <c r="H2674" s="1" t="s">
        <v>1327</v>
      </c>
      <c r="I2674" s="1" t="s">
        <v>8012</v>
      </c>
      <c r="J2674" s="1" t="s">
        <v>1329</v>
      </c>
      <c r="K2674" s="1">
        <v>6</v>
      </c>
      <c r="L2674" s="1" t="s">
        <v>4254</v>
      </c>
      <c r="M2674" s="1">
        <v>8</v>
      </c>
      <c r="N2674" s="1" t="s">
        <v>4255</v>
      </c>
    </row>
    <row r="2675" spans="1:14" x14ac:dyDescent="0.15">
      <c r="A2675" s="1">
        <v>332</v>
      </c>
      <c r="B2675" s="1" t="s">
        <v>1313</v>
      </c>
      <c r="C2675" s="1" t="s">
        <v>1326</v>
      </c>
      <c r="D2675" s="1" t="s">
        <v>1327</v>
      </c>
      <c r="E2675" s="1" t="s">
        <v>1326</v>
      </c>
      <c r="F2675" s="1" t="s">
        <v>1327</v>
      </c>
      <c r="G2675" s="1" t="s">
        <v>1328</v>
      </c>
      <c r="H2675" s="1" t="s">
        <v>1327</v>
      </c>
      <c r="I2675" s="1" t="s">
        <v>13782</v>
      </c>
      <c r="J2675" s="1" t="s">
        <v>2998</v>
      </c>
      <c r="K2675" s="1">
        <v>6</v>
      </c>
      <c r="L2675" s="1" t="s">
        <v>4254</v>
      </c>
      <c r="M2675" s="1">
        <v>8</v>
      </c>
      <c r="N2675" s="1" t="s">
        <v>4255</v>
      </c>
    </row>
    <row r="2676" spans="1:14" x14ac:dyDescent="0.15">
      <c r="A2676" s="1">
        <v>332</v>
      </c>
      <c r="B2676" s="1" t="s">
        <v>1313</v>
      </c>
      <c r="C2676" s="1" t="s">
        <v>1326</v>
      </c>
      <c r="D2676" s="1" t="s">
        <v>1327</v>
      </c>
      <c r="E2676" s="1" t="s">
        <v>1326</v>
      </c>
      <c r="F2676" s="1" t="s">
        <v>1327</v>
      </c>
      <c r="G2676" s="1" t="s">
        <v>1330</v>
      </c>
      <c r="H2676" s="1" t="s">
        <v>1331</v>
      </c>
      <c r="I2676" s="1" t="s">
        <v>13766</v>
      </c>
      <c r="J2676" s="1" t="s">
        <v>2995</v>
      </c>
      <c r="K2676" s="1">
        <v>6</v>
      </c>
      <c r="L2676" s="1" t="s">
        <v>4254</v>
      </c>
      <c r="M2676" s="1">
        <v>8</v>
      </c>
      <c r="N2676" s="1" t="s">
        <v>4255</v>
      </c>
    </row>
    <row r="2677" spans="1:14" x14ac:dyDescent="0.15">
      <c r="A2677" s="1">
        <v>332</v>
      </c>
      <c r="B2677" s="1" t="s">
        <v>1313</v>
      </c>
      <c r="C2677" s="1" t="s">
        <v>1326</v>
      </c>
      <c r="D2677" s="1" t="s">
        <v>1327</v>
      </c>
      <c r="E2677" s="1" t="s">
        <v>1326</v>
      </c>
      <c r="F2677" s="1" t="s">
        <v>1327</v>
      </c>
      <c r="G2677" s="1" t="s">
        <v>1330</v>
      </c>
      <c r="H2677" s="1" t="s">
        <v>1331</v>
      </c>
      <c r="I2677" s="1" t="s">
        <v>8012</v>
      </c>
      <c r="J2677" s="1" t="s">
        <v>1329</v>
      </c>
      <c r="K2677" s="1">
        <v>6</v>
      </c>
      <c r="L2677" s="1" t="s">
        <v>4254</v>
      </c>
      <c r="M2677" s="1">
        <v>8</v>
      </c>
      <c r="N2677" s="1" t="s">
        <v>4255</v>
      </c>
    </row>
    <row r="2678" spans="1:14" x14ac:dyDescent="0.15">
      <c r="A2678" s="1">
        <v>332</v>
      </c>
      <c r="B2678" s="1" t="s">
        <v>1313</v>
      </c>
      <c r="C2678" s="1" t="s">
        <v>1326</v>
      </c>
      <c r="D2678" s="1" t="s">
        <v>1327</v>
      </c>
      <c r="E2678" s="1" t="s">
        <v>1326</v>
      </c>
      <c r="F2678" s="1" t="s">
        <v>1327</v>
      </c>
      <c r="G2678" s="1" t="s">
        <v>1330</v>
      </c>
      <c r="H2678" s="1" t="s">
        <v>1331</v>
      </c>
      <c r="I2678" s="1" t="s">
        <v>13782</v>
      </c>
      <c r="J2678" s="1" t="s">
        <v>2998</v>
      </c>
      <c r="K2678" s="1">
        <v>6</v>
      </c>
      <c r="L2678" s="1" t="s">
        <v>4254</v>
      </c>
      <c r="M2678" s="1">
        <v>8</v>
      </c>
      <c r="N2678" s="1" t="s">
        <v>4255</v>
      </c>
    </row>
    <row r="2679" spans="1:14" x14ac:dyDescent="0.15">
      <c r="A2679" s="1">
        <v>332</v>
      </c>
      <c r="B2679" s="1" t="s">
        <v>1313</v>
      </c>
      <c r="C2679" s="1" t="s">
        <v>1326</v>
      </c>
      <c r="D2679" s="1" t="s">
        <v>1327</v>
      </c>
      <c r="E2679" s="1" t="s">
        <v>1326</v>
      </c>
      <c r="F2679" s="1" t="s">
        <v>1327</v>
      </c>
      <c r="G2679" s="1" t="s">
        <v>1332</v>
      </c>
      <c r="H2679" s="1" t="s">
        <v>1333</v>
      </c>
      <c r="I2679" s="1" t="s">
        <v>13766</v>
      </c>
      <c r="J2679" s="1" t="s">
        <v>2995</v>
      </c>
      <c r="K2679" s="1">
        <v>6</v>
      </c>
      <c r="L2679" s="1" t="s">
        <v>4254</v>
      </c>
      <c r="M2679" s="1">
        <v>8</v>
      </c>
      <c r="N2679" s="1" t="s">
        <v>4255</v>
      </c>
    </row>
    <row r="2680" spans="1:14" x14ac:dyDescent="0.15">
      <c r="A2680" s="1">
        <v>332</v>
      </c>
      <c r="B2680" s="1" t="s">
        <v>1313</v>
      </c>
      <c r="C2680" s="1" t="s">
        <v>1326</v>
      </c>
      <c r="D2680" s="1" t="s">
        <v>1327</v>
      </c>
      <c r="E2680" s="1" t="s">
        <v>1326</v>
      </c>
      <c r="F2680" s="1" t="s">
        <v>1327</v>
      </c>
      <c r="G2680" s="1" t="s">
        <v>1332</v>
      </c>
      <c r="H2680" s="1" t="s">
        <v>1333</v>
      </c>
      <c r="I2680" s="1" t="s">
        <v>8012</v>
      </c>
      <c r="J2680" s="1" t="s">
        <v>1329</v>
      </c>
      <c r="K2680" s="1">
        <v>6</v>
      </c>
      <c r="L2680" s="1" t="s">
        <v>4254</v>
      </c>
      <c r="M2680" s="1">
        <v>8</v>
      </c>
      <c r="N2680" s="1" t="s">
        <v>4255</v>
      </c>
    </row>
    <row r="2681" spans="1:14" x14ac:dyDescent="0.15">
      <c r="A2681" s="1">
        <v>332</v>
      </c>
      <c r="B2681" s="1" t="s">
        <v>1313</v>
      </c>
      <c r="C2681" s="1" t="s">
        <v>1326</v>
      </c>
      <c r="D2681" s="1" t="s">
        <v>1327</v>
      </c>
      <c r="E2681" s="1" t="s">
        <v>1326</v>
      </c>
      <c r="F2681" s="1" t="s">
        <v>1327</v>
      </c>
      <c r="G2681" s="1" t="s">
        <v>1332</v>
      </c>
      <c r="H2681" s="1" t="s">
        <v>1333</v>
      </c>
      <c r="I2681" s="1" t="s">
        <v>13782</v>
      </c>
      <c r="J2681" s="1" t="s">
        <v>2998</v>
      </c>
      <c r="K2681" s="1">
        <v>6</v>
      </c>
      <c r="L2681" s="1" t="s">
        <v>4254</v>
      </c>
      <c r="M2681" s="1">
        <v>8</v>
      </c>
      <c r="N2681" s="1" t="s">
        <v>4255</v>
      </c>
    </row>
    <row r="2682" spans="1:14" x14ac:dyDescent="0.15">
      <c r="A2682" s="1">
        <v>340</v>
      </c>
      <c r="B2682" s="1" t="s">
        <v>1334</v>
      </c>
      <c r="C2682" s="1" t="s">
        <v>1335</v>
      </c>
      <c r="D2682" s="1" t="s">
        <v>1334</v>
      </c>
      <c r="E2682" s="1" t="s">
        <v>1335</v>
      </c>
      <c r="F2682" s="1" t="s">
        <v>1334</v>
      </c>
      <c r="G2682" s="1" t="s">
        <v>1336</v>
      </c>
      <c r="H2682" s="1" t="s">
        <v>1334</v>
      </c>
      <c r="I2682" s="1" t="s">
        <v>8284</v>
      </c>
      <c r="J2682" s="1" t="s">
        <v>1337</v>
      </c>
      <c r="K2682" s="1">
        <v>6</v>
      </c>
      <c r="L2682" s="1" t="s">
        <v>4254</v>
      </c>
      <c r="M2682" s="1">
        <v>8</v>
      </c>
      <c r="N2682" s="1" t="s">
        <v>4255</v>
      </c>
    </row>
    <row r="2683" spans="1:14" x14ac:dyDescent="0.15">
      <c r="A2683" s="1">
        <v>340</v>
      </c>
      <c r="B2683" s="1" t="s">
        <v>1334</v>
      </c>
      <c r="C2683" s="1" t="s">
        <v>1335</v>
      </c>
      <c r="D2683" s="1" t="s">
        <v>1334</v>
      </c>
      <c r="E2683" s="1" t="s">
        <v>1335</v>
      </c>
      <c r="F2683" s="1" t="s">
        <v>1334</v>
      </c>
      <c r="G2683" s="1" t="s">
        <v>1336</v>
      </c>
      <c r="H2683" s="1" t="s">
        <v>1334</v>
      </c>
      <c r="I2683" s="1" t="s">
        <v>13754</v>
      </c>
      <c r="J2683" s="1" t="s">
        <v>2994</v>
      </c>
      <c r="K2683" s="1">
        <v>6</v>
      </c>
      <c r="L2683" s="1" t="s">
        <v>4254</v>
      </c>
      <c r="M2683" s="1">
        <v>8</v>
      </c>
      <c r="N2683" s="1" t="s">
        <v>4255</v>
      </c>
    </row>
    <row r="2684" spans="1:14" x14ac:dyDescent="0.15">
      <c r="A2684" s="1">
        <v>341</v>
      </c>
      <c r="B2684" s="1" t="s">
        <v>1338</v>
      </c>
      <c r="C2684" s="1" t="s">
        <v>1339</v>
      </c>
      <c r="D2684" s="1" t="s">
        <v>1338</v>
      </c>
      <c r="E2684" s="1" t="s">
        <v>1339</v>
      </c>
      <c r="F2684" s="1" t="s">
        <v>1338</v>
      </c>
      <c r="G2684" s="1" t="s">
        <v>1340</v>
      </c>
      <c r="H2684" s="1" t="s">
        <v>1338</v>
      </c>
      <c r="I2684" s="1" t="s">
        <v>11879</v>
      </c>
      <c r="J2684" s="1" t="s">
        <v>4278</v>
      </c>
      <c r="K2684" s="1">
        <v>6</v>
      </c>
      <c r="L2684" s="1" t="s">
        <v>4254</v>
      </c>
      <c r="M2684" s="1">
        <v>8</v>
      </c>
      <c r="N2684" s="1" t="s">
        <v>4255</v>
      </c>
    </row>
    <row r="2685" spans="1:14" x14ac:dyDescent="0.15">
      <c r="A2685" s="1">
        <v>341</v>
      </c>
      <c r="B2685" s="1" t="s">
        <v>1338</v>
      </c>
      <c r="C2685" s="1" t="s">
        <v>1341</v>
      </c>
      <c r="D2685" s="1" t="s">
        <v>1342</v>
      </c>
      <c r="E2685" s="1" t="s">
        <v>1341</v>
      </c>
      <c r="F2685" s="1" t="s">
        <v>1342</v>
      </c>
      <c r="G2685" s="1" t="s">
        <v>1343</v>
      </c>
      <c r="H2685" s="1" t="s">
        <v>1342</v>
      </c>
      <c r="I2685" s="1" t="s">
        <v>17180</v>
      </c>
      <c r="J2685" s="1" t="s">
        <v>3545</v>
      </c>
      <c r="K2685" s="1">
        <v>6</v>
      </c>
      <c r="L2685" s="1" t="s">
        <v>4254</v>
      </c>
      <c r="M2685" s="1">
        <v>8</v>
      </c>
      <c r="N2685" s="1" t="s">
        <v>4255</v>
      </c>
    </row>
    <row r="2686" spans="1:14" x14ac:dyDescent="0.15">
      <c r="A2686" s="1">
        <v>341</v>
      </c>
      <c r="B2686" s="1" t="s">
        <v>1338</v>
      </c>
      <c r="C2686" s="1" t="s">
        <v>1341</v>
      </c>
      <c r="D2686" s="1" t="s">
        <v>1342</v>
      </c>
      <c r="E2686" s="1" t="s">
        <v>1341</v>
      </c>
      <c r="F2686" s="1" t="s">
        <v>1342</v>
      </c>
      <c r="G2686" s="1" t="s">
        <v>1343</v>
      </c>
      <c r="H2686" s="1" t="s">
        <v>1342</v>
      </c>
      <c r="I2686" s="1" t="s">
        <v>11743</v>
      </c>
      <c r="J2686" s="1" t="s">
        <v>6039</v>
      </c>
      <c r="K2686" s="1">
        <v>6</v>
      </c>
      <c r="L2686" s="1" t="s">
        <v>4254</v>
      </c>
      <c r="M2686" s="1">
        <v>8</v>
      </c>
      <c r="N2686" s="1" t="s">
        <v>4255</v>
      </c>
    </row>
    <row r="2687" spans="1:14" x14ac:dyDescent="0.15">
      <c r="A2687" s="1">
        <v>341</v>
      </c>
      <c r="B2687" s="1" t="s">
        <v>1338</v>
      </c>
      <c r="C2687" s="1" t="s">
        <v>1341</v>
      </c>
      <c r="D2687" s="1" t="s">
        <v>1342</v>
      </c>
      <c r="E2687" s="1" t="s">
        <v>1341</v>
      </c>
      <c r="F2687" s="1" t="s">
        <v>1342</v>
      </c>
      <c r="G2687" s="1" t="s">
        <v>1343</v>
      </c>
      <c r="H2687" s="1" t="s">
        <v>1342</v>
      </c>
      <c r="I2687" s="1" t="s">
        <v>7739</v>
      </c>
      <c r="J2687" s="1" t="s">
        <v>3548</v>
      </c>
      <c r="K2687" s="1">
        <v>6</v>
      </c>
      <c r="L2687" s="1" t="s">
        <v>4254</v>
      </c>
      <c r="M2687" s="1">
        <v>8</v>
      </c>
      <c r="N2687" s="1" t="s">
        <v>4255</v>
      </c>
    </row>
    <row r="2688" spans="1:14" x14ac:dyDescent="0.15">
      <c r="A2688" s="1">
        <v>341</v>
      </c>
      <c r="B2688" s="1" t="s">
        <v>1338</v>
      </c>
      <c r="C2688" s="1" t="s">
        <v>1341</v>
      </c>
      <c r="D2688" s="1" t="s">
        <v>1342</v>
      </c>
      <c r="E2688" s="1" t="s">
        <v>1341</v>
      </c>
      <c r="F2688" s="1" t="s">
        <v>1342</v>
      </c>
      <c r="G2688" s="1" t="s">
        <v>1343</v>
      </c>
      <c r="H2688" s="1" t="s">
        <v>1342</v>
      </c>
      <c r="I2688" s="1" t="s">
        <v>7745</v>
      </c>
      <c r="J2688" s="1" t="s">
        <v>1344</v>
      </c>
      <c r="K2688" s="1">
        <v>6</v>
      </c>
      <c r="L2688" s="1" t="s">
        <v>4254</v>
      </c>
      <c r="M2688" s="1">
        <v>8</v>
      </c>
      <c r="N2688" s="1" t="s">
        <v>4255</v>
      </c>
    </row>
    <row r="2689" spans="1:14" x14ac:dyDescent="0.15">
      <c r="A2689" s="1">
        <v>341</v>
      </c>
      <c r="B2689" s="1" t="s">
        <v>1338</v>
      </c>
      <c r="C2689" s="1" t="s">
        <v>1341</v>
      </c>
      <c r="D2689" s="1" t="s">
        <v>1342</v>
      </c>
      <c r="E2689" s="1" t="s">
        <v>1341</v>
      </c>
      <c r="F2689" s="1" t="s">
        <v>1342</v>
      </c>
      <c r="G2689" s="1" t="s">
        <v>1343</v>
      </c>
      <c r="H2689" s="1" t="s">
        <v>1342</v>
      </c>
      <c r="I2689" s="1" t="s">
        <v>7748</v>
      </c>
      <c r="J2689" s="1" t="s">
        <v>1345</v>
      </c>
      <c r="K2689" s="1">
        <v>6</v>
      </c>
      <c r="L2689" s="1" t="s">
        <v>4254</v>
      </c>
      <c r="M2689" s="1">
        <v>8</v>
      </c>
      <c r="N2689" s="1" t="s">
        <v>4255</v>
      </c>
    </row>
    <row r="2690" spans="1:14" x14ac:dyDescent="0.15">
      <c r="A2690" s="1">
        <v>341</v>
      </c>
      <c r="B2690" s="1" t="s">
        <v>1338</v>
      </c>
      <c r="C2690" s="1" t="s">
        <v>1346</v>
      </c>
      <c r="D2690" s="1" t="s">
        <v>1347</v>
      </c>
      <c r="E2690" s="1" t="s">
        <v>1346</v>
      </c>
      <c r="F2690" s="1" t="s">
        <v>1347</v>
      </c>
      <c r="G2690" s="1" t="s">
        <v>1348</v>
      </c>
      <c r="H2690" s="1" t="s">
        <v>1347</v>
      </c>
      <c r="I2690" s="1" t="s">
        <v>13718</v>
      </c>
      <c r="J2690" s="1" t="s">
        <v>2991</v>
      </c>
      <c r="K2690" s="1">
        <v>11</v>
      </c>
      <c r="L2690" s="1" t="s">
        <v>4227</v>
      </c>
      <c r="M2690" s="1">
        <v>8</v>
      </c>
      <c r="N2690" s="1" t="s">
        <v>4255</v>
      </c>
    </row>
    <row r="2691" spans="1:14" x14ac:dyDescent="0.15">
      <c r="A2691" s="1">
        <v>341</v>
      </c>
      <c r="B2691" s="1" t="s">
        <v>1338</v>
      </c>
      <c r="C2691" s="1" t="s">
        <v>1349</v>
      </c>
      <c r="D2691" s="1" t="s">
        <v>1350</v>
      </c>
      <c r="E2691" s="1" t="s">
        <v>1349</v>
      </c>
      <c r="F2691" s="1" t="s">
        <v>1350</v>
      </c>
      <c r="G2691" s="1" t="s">
        <v>1351</v>
      </c>
      <c r="H2691" s="1" t="s">
        <v>1350</v>
      </c>
      <c r="I2691" s="1" t="s">
        <v>13304</v>
      </c>
      <c r="J2691" s="1" t="s">
        <v>13305</v>
      </c>
      <c r="K2691" s="1">
        <v>6</v>
      </c>
      <c r="L2691" s="1" t="s">
        <v>4254</v>
      </c>
      <c r="M2691" s="1">
        <v>8</v>
      </c>
      <c r="N2691" s="1" t="s">
        <v>4255</v>
      </c>
    </row>
    <row r="2692" spans="1:14" x14ac:dyDescent="0.15">
      <c r="A2692" s="1">
        <v>341</v>
      </c>
      <c r="B2692" s="1" t="s">
        <v>1338</v>
      </c>
      <c r="C2692" s="1" t="s">
        <v>1352</v>
      </c>
      <c r="D2692" s="1" t="s">
        <v>1353</v>
      </c>
      <c r="E2692" s="1" t="s">
        <v>1352</v>
      </c>
      <c r="F2692" s="1" t="s">
        <v>1353</v>
      </c>
      <c r="G2692" s="1" t="s">
        <v>1354</v>
      </c>
      <c r="H2692" s="1" t="s">
        <v>1353</v>
      </c>
      <c r="I2692" s="1" t="s">
        <v>8290</v>
      </c>
      <c r="J2692" s="1" t="s">
        <v>1355</v>
      </c>
      <c r="K2692" s="1">
        <v>6</v>
      </c>
      <c r="L2692" s="1" t="s">
        <v>4254</v>
      </c>
      <c r="M2692" s="1">
        <v>8</v>
      </c>
      <c r="N2692" s="1" t="s">
        <v>4255</v>
      </c>
    </row>
    <row r="2693" spans="1:14" x14ac:dyDescent="0.15">
      <c r="A2693" s="1">
        <v>341</v>
      </c>
      <c r="B2693" s="1" t="s">
        <v>1338</v>
      </c>
      <c r="C2693" s="1" t="s">
        <v>1352</v>
      </c>
      <c r="D2693" s="1" t="s">
        <v>1353</v>
      </c>
      <c r="E2693" s="1" t="s">
        <v>1352</v>
      </c>
      <c r="F2693" s="1" t="s">
        <v>1353</v>
      </c>
      <c r="G2693" s="1" t="s">
        <v>1354</v>
      </c>
      <c r="H2693" s="1" t="s">
        <v>1353</v>
      </c>
      <c r="I2693" s="1" t="s">
        <v>13770</v>
      </c>
      <c r="J2693" s="1" t="s">
        <v>2996</v>
      </c>
      <c r="K2693" s="1">
        <v>6</v>
      </c>
      <c r="L2693" s="1" t="s">
        <v>4254</v>
      </c>
      <c r="M2693" s="1">
        <v>8</v>
      </c>
      <c r="N2693" s="1" t="s">
        <v>4255</v>
      </c>
    </row>
    <row r="2694" spans="1:14" x14ac:dyDescent="0.15">
      <c r="A2694" s="1">
        <v>341</v>
      </c>
      <c r="B2694" s="1" t="s">
        <v>1338</v>
      </c>
      <c r="C2694" s="1" t="s">
        <v>1356</v>
      </c>
      <c r="D2694" s="1" t="s">
        <v>1357</v>
      </c>
      <c r="E2694" s="1" t="s">
        <v>1356</v>
      </c>
      <c r="F2694" s="1" t="s">
        <v>1357</v>
      </c>
      <c r="G2694" s="1" t="s">
        <v>1358</v>
      </c>
      <c r="H2694" s="1" t="s">
        <v>1357</v>
      </c>
      <c r="I2694" s="1" t="s">
        <v>8287</v>
      </c>
      <c r="J2694" s="1" t="s">
        <v>1359</v>
      </c>
      <c r="K2694" s="1">
        <v>6</v>
      </c>
      <c r="L2694" s="1" t="s">
        <v>4254</v>
      </c>
      <c r="M2694" s="1">
        <v>8</v>
      </c>
      <c r="N2694" s="1" t="s">
        <v>4255</v>
      </c>
    </row>
    <row r="2695" spans="1:14" x14ac:dyDescent="0.15">
      <c r="A2695" s="1">
        <v>341</v>
      </c>
      <c r="B2695" s="1" t="s">
        <v>1338</v>
      </c>
      <c r="C2695" s="1" t="s">
        <v>1356</v>
      </c>
      <c r="D2695" s="1" t="s">
        <v>1357</v>
      </c>
      <c r="E2695" s="1" t="s">
        <v>1356</v>
      </c>
      <c r="F2695" s="1" t="s">
        <v>1357</v>
      </c>
      <c r="G2695" s="1" t="s">
        <v>1358</v>
      </c>
      <c r="H2695" s="1" t="s">
        <v>1357</v>
      </c>
      <c r="I2695" s="1" t="s">
        <v>13774</v>
      </c>
      <c r="J2695" s="1" t="s">
        <v>5050</v>
      </c>
      <c r="K2695" s="1">
        <v>6</v>
      </c>
      <c r="L2695" s="1" t="s">
        <v>4254</v>
      </c>
      <c r="M2695" s="1">
        <v>8</v>
      </c>
      <c r="N2695" s="1" t="s">
        <v>4255</v>
      </c>
    </row>
    <row r="2696" spans="1:14" x14ac:dyDescent="0.15">
      <c r="A2696" s="1">
        <v>341</v>
      </c>
      <c r="B2696" s="1" t="s">
        <v>1338</v>
      </c>
      <c r="C2696" s="1" t="s">
        <v>1360</v>
      </c>
      <c r="D2696" s="1" t="s">
        <v>1361</v>
      </c>
      <c r="E2696" s="1" t="s">
        <v>1360</v>
      </c>
      <c r="F2696" s="1" t="s">
        <v>1361</v>
      </c>
      <c r="G2696" s="1" t="s">
        <v>1362</v>
      </c>
      <c r="H2696" s="1" t="s">
        <v>1361</v>
      </c>
      <c r="I2696" s="1" t="s">
        <v>13730</v>
      </c>
      <c r="J2696" s="1" t="s">
        <v>2992</v>
      </c>
      <c r="K2696" s="1">
        <v>1</v>
      </c>
      <c r="L2696" s="1" t="s">
        <v>4259</v>
      </c>
      <c r="M2696" s="1">
        <v>8</v>
      </c>
      <c r="N2696" s="1" t="s">
        <v>4255</v>
      </c>
    </row>
    <row r="2697" spans="1:14" x14ac:dyDescent="0.15">
      <c r="A2697" s="1">
        <v>350</v>
      </c>
      <c r="B2697" s="1" t="s">
        <v>1363</v>
      </c>
      <c r="C2697" s="1" t="s">
        <v>1364</v>
      </c>
      <c r="D2697" s="1" t="s">
        <v>1363</v>
      </c>
      <c r="E2697" s="1" t="s">
        <v>1364</v>
      </c>
      <c r="F2697" s="1" t="s">
        <v>1363</v>
      </c>
      <c r="G2697" s="1" t="s">
        <v>1365</v>
      </c>
      <c r="H2697" s="1" t="s">
        <v>1363</v>
      </c>
      <c r="I2697" s="1" t="s">
        <v>13368</v>
      </c>
      <c r="J2697" s="1" t="s">
        <v>1366</v>
      </c>
      <c r="K2697" s="1">
        <v>6</v>
      </c>
      <c r="L2697" s="1" t="s">
        <v>4254</v>
      </c>
      <c r="M2697" s="1">
        <v>8</v>
      </c>
      <c r="N2697" s="1" t="s">
        <v>4255</v>
      </c>
    </row>
    <row r="2698" spans="1:14" x14ac:dyDescent="0.15">
      <c r="A2698" s="1">
        <v>351</v>
      </c>
      <c r="B2698" s="1" t="s">
        <v>1367</v>
      </c>
      <c r="C2698" s="1" t="s">
        <v>1368</v>
      </c>
      <c r="D2698" s="1" t="s">
        <v>1367</v>
      </c>
      <c r="E2698" s="1" t="s">
        <v>1368</v>
      </c>
      <c r="F2698" s="1" t="s">
        <v>1367</v>
      </c>
      <c r="G2698" s="1" t="s">
        <v>1369</v>
      </c>
      <c r="H2698" s="1" t="s">
        <v>1367</v>
      </c>
      <c r="I2698" s="1" t="s">
        <v>13686</v>
      </c>
      <c r="J2698" s="1" t="s">
        <v>5015</v>
      </c>
      <c r="K2698" s="1">
        <v>6</v>
      </c>
      <c r="L2698" s="1" t="s">
        <v>4254</v>
      </c>
      <c r="M2698" s="1">
        <v>8</v>
      </c>
      <c r="N2698" s="1" t="s">
        <v>4255</v>
      </c>
    </row>
    <row r="2699" spans="1:14" x14ac:dyDescent="0.15">
      <c r="A2699" s="1">
        <v>351</v>
      </c>
      <c r="B2699" s="1" t="s">
        <v>1367</v>
      </c>
      <c r="C2699" s="1" t="s">
        <v>1368</v>
      </c>
      <c r="D2699" s="1" t="s">
        <v>1367</v>
      </c>
      <c r="E2699" s="1" t="s">
        <v>1368</v>
      </c>
      <c r="F2699" s="1" t="s">
        <v>1367</v>
      </c>
      <c r="G2699" s="1" t="s">
        <v>1369</v>
      </c>
      <c r="H2699" s="1" t="s">
        <v>1367</v>
      </c>
      <c r="I2699" s="1" t="s">
        <v>11207</v>
      </c>
      <c r="J2699" s="1" t="s">
        <v>1370</v>
      </c>
      <c r="K2699" s="1">
        <v>6</v>
      </c>
      <c r="L2699" s="1" t="s">
        <v>4254</v>
      </c>
      <c r="M2699" s="1">
        <v>8</v>
      </c>
      <c r="N2699" s="1" t="s">
        <v>4255</v>
      </c>
    </row>
    <row r="2700" spans="1:14" x14ac:dyDescent="0.15">
      <c r="A2700" s="1">
        <v>352</v>
      </c>
      <c r="B2700" s="1" t="s">
        <v>1371</v>
      </c>
      <c r="C2700" s="1" t="s">
        <v>1372</v>
      </c>
      <c r="D2700" s="1" t="s">
        <v>1371</v>
      </c>
      <c r="E2700" s="1" t="s">
        <v>1372</v>
      </c>
      <c r="F2700" s="1" t="s">
        <v>1371</v>
      </c>
      <c r="G2700" s="1" t="s">
        <v>1373</v>
      </c>
      <c r="H2700" s="1" t="s">
        <v>1371</v>
      </c>
      <c r="I2700" s="1" t="s">
        <v>13396</v>
      </c>
      <c r="J2700" s="1" t="s">
        <v>5124</v>
      </c>
      <c r="K2700" s="1">
        <v>6</v>
      </c>
      <c r="L2700" s="1" t="s">
        <v>4254</v>
      </c>
      <c r="M2700" s="1">
        <v>8</v>
      </c>
      <c r="N2700" s="1" t="s">
        <v>4255</v>
      </c>
    </row>
    <row r="2701" spans="1:14" x14ac:dyDescent="0.15">
      <c r="A2701" s="1">
        <v>353</v>
      </c>
      <c r="B2701" s="1" t="s">
        <v>1374</v>
      </c>
      <c r="C2701" s="1" t="s">
        <v>1375</v>
      </c>
      <c r="D2701" s="1" t="s">
        <v>1374</v>
      </c>
      <c r="E2701" s="1" t="s">
        <v>1375</v>
      </c>
      <c r="F2701" s="1" t="s">
        <v>1374</v>
      </c>
      <c r="G2701" s="1" t="s">
        <v>1376</v>
      </c>
      <c r="H2701" s="1" t="s">
        <v>1374</v>
      </c>
      <c r="I2701" s="1" t="s">
        <v>11879</v>
      </c>
      <c r="J2701" s="1" t="s">
        <v>4278</v>
      </c>
      <c r="K2701" s="1">
        <v>6</v>
      </c>
      <c r="L2701" s="1" t="s">
        <v>4254</v>
      </c>
      <c r="M2701" s="1">
        <v>8</v>
      </c>
      <c r="N2701" s="1" t="s">
        <v>4255</v>
      </c>
    </row>
    <row r="2702" spans="1:14" x14ac:dyDescent="0.15">
      <c r="A2702" s="1">
        <v>353</v>
      </c>
      <c r="B2702" s="1" t="s">
        <v>1374</v>
      </c>
      <c r="C2702" s="1" t="s">
        <v>1377</v>
      </c>
      <c r="D2702" s="1" t="s">
        <v>1378</v>
      </c>
      <c r="E2702" s="1" t="s">
        <v>1377</v>
      </c>
      <c r="F2702" s="1" t="s">
        <v>1378</v>
      </c>
      <c r="G2702" s="1" t="s">
        <v>1379</v>
      </c>
      <c r="H2702" s="1" t="s">
        <v>1378</v>
      </c>
      <c r="I2702" s="1" t="s">
        <v>13514</v>
      </c>
      <c r="J2702" s="1" t="s">
        <v>5160</v>
      </c>
      <c r="K2702" s="1">
        <v>6</v>
      </c>
      <c r="L2702" s="1" t="s">
        <v>4254</v>
      </c>
      <c r="M2702" s="1">
        <v>8</v>
      </c>
      <c r="N2702" s="1" t="s">
        <v>4255</v>
      </c>
    </row>
    <row r="2703" spans="1:14" x14ac:dyDescent="0.15">
      <c r="A2703" s="1">
        <v>353</v>
      </c>
      <c r="B2703" s="1" t="s">
        <v>1374</v>
      </c>
      <c r="C2703" s="1" t="s">
        <v>1377</v>
      </c>
      <c r="D2703" s="1" t="s">
        <v>1378</v>
      </c>
      <c r="E2703" s="1" t="s">
        <v>1377</v>
      </c>
      <c r="F2703" s="1" t="s">
        <v>1378</v>
      </c>
      <c r="G2703" s="1" t="s">
        <v>1379</v>
      </c>
      <c r="H2703" s="1" t="s">
        <v>1378</v>
      </c>
      <c r="I2703" s="1" t="s">
        <v>7973</v>
      </c>
      <c r="J2703" s="1" t="s">
        <v>4777</v>
      </c>
      <c r="K2703" s="1">
        <v>6</v>
      </c>
      <c r="L2703" s="1" t="s">
        <v>4254</v>
      </c>
      <c r="M2703" s="1">
        <v>8</v>
      </c>
      <c r="N2703" s="1" t="s">
        <v>4255</v>
      </c>
    </row>
    <row r="2704" spans="1:14" x14ac:dyDescent="0.15">
      <c r="A2704" s="1">
        <v>353</v>
      </c>
      <c r="B2704" s="1" t="s">
        <v>1374</v>
      </c>
      <c r="C2704" s="1" t="s">
        <v>1380</v>
      </c>
      <c r="D2704" s="1" t="s">
        <v>1381</v>
      </c>
      <c r="E2704" s="1" t="s">
        <v>1380</v>
      </c>
      <c r="F2704" s="1" t="s">
        <v>1381</v>
      </c>
      <c r="G2704" s="1" t="s">
        <v>1382</v>
      </c>
      <c r="H2704" s="1" t="s">
        <v>1381</v>
      </c>
      <c r="I2704" s="1" t="s">
        <v>13734</v>
      </c>
      <c r="J2704" s="1" t="s">
        <v>2993</v>
      </c>
      <c r="K2704" s="1">
        <v>6</v>
      </c>
      <c r="L2704" s="1" t="s">
        <v>4254</v>
      </c>
      <c r="M2704" s="1">
        <v>8</v>
      </c>
      <c r="N2704" s="1" t="s">
        <v>4255</v>
      </c>
    </row>
    <row r="2705" spans="1:14" x14ac:dyDescent="0.15">
      <c r="A2705" s="1">
        <v>353</v>
      </c>
      <c r="B2705" s="1" t="s">
        <v>1374</v>
      </c>
      <c r="C2705" s="1" t="s">
        <v>1380</v>
      </c>
      <c r="D2705" s="1" t="s">
        <v>1381</v>
      </c>
      <c r="E2705" s="1" t="s">
        <v>1380</v>
      </c>
      <c r="F2705" s="1" t="s">
        <v>1381</v>
      </c>
      <c r="G2705" s="1" t="s">
        <v>1382</v>
      </c>
      <c r="H2705" s="1" t="s">
        <v>1381</v>
      </c>
      <c r="I2705" s="1" t="s">
        <v>13750</v>
      </c>
      <c r="J2705" s="1" t="s">
        <v>5045</v>
      </c>
      <c r="K2705" s="1">
        <v>6</v>
      </c>
      <c r="L2705" s="1" t="s">
        <v>4254</v>
      </c>
      <c r="M2705" s="1">
        <v>8</v>
      </c>
      <c r="N2705" s="1" t="s">
        <v>4255</v>
      </c>
    </row>
    <row r="2706" spans="1:14" x14ac:dyDescent="0.15">
      <c r="A2706" s="1">
        <v>353</v>
      </c>
      <c r="B2706" s="1" t="s">
        <v>1374</v>
      </c>
      <c r="C2706" s="1" t="s">
        <v>1380</v>
      </c>
      <c r="D2706" s="1" t="s">
        <v>1381</v>
      </c>
      <c r="E2706" s="1" t="s">
        <v>1380</v>
      </c>
      <c r="F2706" s="1" t="s">
        <v>1381</v>
      </c>
      <c r="G2706" s="1" t="s">
        <v>1382</v>
      </c>
      <c r="H2706" s="1" t="s">
        <v>1381</v>
      </c>
      <c r="I2706" s="1" t="s">
        <v>13782</v>
      </c>
      <c r="J2706" s="1" t="s">
        <v>2998</v>
      </c>
      <c r="K2706" s="1">
        <v>6</v>
      </c>
      <c r="L2706" s="1" t="s">
        <v>4254</v>
      </c>
      <c r="M2706" s="1">
        <v>8</v>
      </c>
      <c r="N2706" s="1" t="s">
        <v>4255</v>
      </c>
    </row>
    <row r="2707" spans="1:14" x14ac:dyDescent="0.15">
      <c r="A2707" s="1">
        <v>353</v>
      </c>
      <c r="B2707" s="1" t="s">
        <v>1374</v>
      </c>
      <c r="C2707" s="1" t="s">
        <v>1380</v>
      </c>
      <c r="D2707" s="1" t="s">
        <v>1381</v>
      </c>
      <c r="E2707" s="1" t="s">
        <v>1380</v>
      </c>
      <c r="F2707" s="1" t="s">
        <v>1381</v>
      </c>
      <c r="G2707" s="1" t="s">
        <v>1382</v>
      </c>
      <c r="H2707" s="1" t="s">
        <v>1381</v>
      </c>
      <c r="I2707" s="1" t="s">
        <v>13782</v>
      </c>
      <c r="J2707" s="1" t="s">
        <v>1294</v>
      </c>
      <c r="K2707" s="1">
        <v>6</v>
      </c>
      <c r="L2707" s="1" t="s">
        <v>4254</v>
      </c>
      <c r="M2707" s="1">
        <v>8</v>
      </c>
      <c r="N2707" s="1" t="s">
        <v>4255</v>
      </c>
    </row>
    <row r="2708" spans="1:14" x14ac:dyDescent="0.15">
      <c r="A2708" s="1">
        <v>353</v>
      </c>
      <c r="B2708" s="1" t="s">
        <v>1374</v>
      </c>
      <c r="C2708" s="1" t="s">
        <v>1380</v>
      </c>
      <c r="D2708" s="1" t="s">
        <v>1381</v>
      </c>
      <c r="E2708" s="1" t="s">
        <v>1380</v>
      </c>
      <c r="F2708" s="1" t="s">
        <v>1381</v>
      </c>
      <c r="G2708" s="1" t="s">
        <v>1382</v>
      </c>
      <c r="H2708" s="1" t="s">
        <v>1381</v>
      </c>
      <c r="I2708" s="1" t="s">
        <v>12709</v>
      </c>
      <c r="J2708" s="1" t="s">
        <v>1383</v>
      </c>
      <c r="K2708" s="1">
        <v>6</v>
      </c>
      <c r="L2708" s="1" t="s">
        <v>4254</v>
      </c>
      <c r="M2708" s="1">
        <v>8</v>
      </c>
      <c r="N2708" s="1" t="s">
        <v>4255</v>
      </c>
    </row>
    <row r="2709" spans="1:14" x14ac:dyDescent="0.15">
      <c r="A2709" s="1">
        <v>354</v>
      </c>
      <c r="B2709" s="1" t="s">
        <v>1384</v>
      </c>
      <c r="C2709" s="1" t="s">
        <v>1385</v>
      </c>
      <c r="D2709" s="1" t="s">
        <v>1384</v>
      </c>
      <c r="E2709" s="1" t="s">
        <v>1385</v>
      </c>
      <c r="F2709" s="1" t="s">
        <v>1384</v>
      </c>
      <c r="G2709" s="1" t="s">
        <v>1386</v>
      </c>
      <c r="H2709" s="1" t="s">
        <v>1384</v>
      </c>
      <c r="I2709" s="1" t="s">
        <v>11879</v>
      </c>
      <c r="J2709" s="1" t="s">
        <v>4278</v>
      </c>
      <c r="K2709" s="1">
        <v>6</v>
      </c>
      <c r="L2709" s="1" t="s">
        <v>4254</v>
      </c>
      <c r="M2709" s="1">
        <v>8</v>
      </c>
      <c r="N2709" s="1" t="s">
        <v>4255</v>
      </c>
    </row>
    <row r="2710" spans="1:14" x14ac:dyDescent="0.15">
      <c r="A2710" s="1">
        <v>354</v>
      </c>
      <c r="B2710" s="1" t="s">
        <v>1384</v>
      </c>
      <c r="C2710" s="1" t="s">
        <v>1387</v>
      </c>
      <c r="D2710" s="1" t="s">
        <v>1388</v>
      </c>
      <c r="E2710" s="1" t="s">
        <v>1389</v>
      </c>
      <c r="F2710" s="1" t="s">
        <v>1390</v>
      </c>
      <c r="G2710" s="1" t="s">
        <v>1391</v>
      </c>
      <c r="H2710" s="1" t="s">
        <v>1390</v>
      </c>
      <c r="I2710" s="1" t="s">
        <v>16459</v>
      </c>
      <c r="J2710" s="1" t="s">
        <v>16460</v>
      </c>
      <c r="K2710" s="1">
        <v>6</v>
      </c>
      <c r="L2710" s="1" t="s">
        <v>4254</v>
      </c>
      <c r="M2710" s="1">
        <v>8</v>
      </c>
      <c r="N2710" s="1" t="s">
        <v>4255</v>
      </c>
    </row>
    <row r="2711" spans="1:14" x14ac:dyDescent="0.15">
      <c r="A2711" s="1">
        <v>354</v>
      </c>
      <c r="B2711" s="1" t="s">
        <v>1384</v>
      </c>
      <c r="C2711" s="1" t="s">
        <v>1387</v>
      </c>
      <c r="D2711" s="1" t="s">
        <v>1388</v>
      </c>
      <c r="E2711" s="1" t="s">
        <v>1389</v>
      </c>
      <c r="F2711" s="1" t="s">
        <v>1390</v>
      </c>
      <c r="G2711" s="1" t="s">
        <v>1391</v>
      </c>
      <c r="H2711" s="1" t="s">
        <v>1390</v>
      </c>
      <c r="I2711" s="1" t="s">
        <v>10093</v>
      </c>
      <c r="J2711" s="1" t="s">
        <v>1392</v>
      </c>
      <c r="K2711" s="1">
        <v>6</v>
      </c>
      <c r="L2711" s="1" t="s">
        <v>4254</v>
      </c>
      <c r="M2711" s="1">
        <v>8</v>
      </c>
      <c r="N2711" s="1" t="s">
        <v>4255</v>
      </c>
    </row>
    <row r="2712" spans="1:14" x14ac:dyDescent="0.15">
      <c r="A2712" s="1">
        <v>354</v>
      </c>
      <c r="B2712" s="1" t="s">
        <v>1384</v>
      </c>
      <c r="C2712" s="1" t="s">
        <v>1387</v>
      </c>
      <c r="D2712" s="1" t="s">
        <v>1388</v>
      </c>
      <c r="E2712" s="1" t="s">
        <v>1389</v>
      </c>
      <c r="F2712" s="1" t="s">
        <v>1390</v>
      </c>
      <c r="G2712" s="1" t="s">
        <v>1391</v>
      </c>
      <c r="H2712" s="1" t="s">
        <v>1390</v>
      </c>
      <c r="I2712" s="1" t="s">
        <v>16467</v>
      </c>
      <c r="J2712" s="1" t="s">
        <v>16468</v>
      </c>
      <c r="K2712" s="1">
        <v>6</v>
      </c>
      <c r="L2712" s="1" t="s">
        <v>4254</v>
      </c>
      <c r="M2712" s="1">
        <v>8</v>
      </c>
      <c r="N2712" s="1" t="s">
        <v>4255</v>
      </c>
    </row>
    <row r="2713" spans="1:14" x14ac:dyDescent="0.15">
      <c r="A2713" s="1">
        <v>354</v>
      </c>
      <c r="B2713" s="1" t="s">
        <v>1384</v>
      </c>
      <c r="C2713" s="1" t="s">
        <v>1387</v>
      </c>
      <c r="D2713" s="1" t="s">
        <v>1388</v>
      </c>
      <c r="E2713" s="1" t="s">
        <v>1389</v>
      </c>
      <c r="F2713" s="1" t="s">
        <v>1390</v>
      </c>
      <c r="G2713" s="1" t="s">
        <v>1391</v>
      </c>
      <c r="H2713" s="1" t="s">
        <v>1390</v>
      </c>
      <c r="I2713" s="1" t="s">
        <v>13458</v>
      </c>
      <c r="J2713" s="1" t="s">
        <v>13459</v>
      </c>
      <c r="K2713" s="1">
        <v>6</v>
      </c>
      <c r="L2713" s="1" t="s">
        <v>4254</v>
      </c>
      <c r="M2713" s="1">
        <v>8</v>
      </c>
      <c r="N2713" s="1" t="s">
        <v>4255</v>
      </c>
    </row>
    <row r="2714" spans="1:14" x14ac:dyDescent="0.15">
      <c r="A2714" s="1">
        <v>354</v>
      </c>
      <c r="B2714" s="1" t="s">
        <v>1384</v>
      </c>
      <c r="C2714" s="1" t="s">
        <v>1387</v>
      </c>
      <c r="D2714" s="1" t="s">
        <v>1388</v>
      </c>
      <c r="E2714" s="1" t="s">
        <v>1389</v>
      </c>
      <c r="F2714" s="1" t="s">
        <v>1390</v>
      </c>
      <c r="G2714" s="1" t="s">
        <v>1391</v>
      </c>
      <c r="H2714" s="1" t="s">
        <v>1390</v>
      </c>
      <c r="I2714" s="1" t="s">
        <v>13474</v>
      </c>
      <c r="J2714" s="1" t="s">
        <v>13475</v>
      </c>
      <c r="K2714" s="1">
        <v>6</v>
      </c>
      <c r="L2714" s="1" t="s">
        <v>4254</v>
      </c>
      <c r="M2714" s="1">
        <v>8</v>
      </c>
      <c r="N2714" s="1" t="s">
        <v>4255</v>
      </c>
    </row>
    <row r="2715" spans="1:14" x14ac:dyDescent="0.15">
      <c r="A2715" s="1">
        <v>354</v>
      </c>
      <c r="B2715" s="1" t="s">
        <v>1384</v>
      </c>
      <c r="C2715" s="1" t="s">
        <v>1387</v>
      </c>
      <c r="D2715" s="1" t="s">
        <v>1388</v>
      </c>
      <c r="E2715" s="1" t="s">
        <v>1393</v>
      </c>
      <c r="F2715" s="1" t="s">
        <v>1394</v>
      </c>
      <c r="G2715" s="1" t="s">
        <v>1395</v>
      </c>
      <c r="H2715" s="1" t="s">
        <v>1394</v>
      </c>
      <c r="I2715" s="1" t="s">
        <v>8024</v>
      </c>
      <c r="J2715" s="1" t="s">
        <v>2738</v>
      </c>
      <c r="K2715" s="1">
        <v>6</v>
      </c>
      <c r="L2715" s="1" t="s">
        <v>4254</v>
      </c>
      <c r="M2715" s="1">
        <v>8</v>
      </c>
      <c r="N2715" s="1" t="s">
        <v>4255</v>
      </c>
    </row>
    <row r="2716" spans="1:14" x14ac:dyDescent="0.15">
      <c r="A2716" s="1">
        <v>354</v>
      </c>
      <c r="B2716" s="1" t="s">
        <v>1384</v>
      </c>
      <c r="C2716" s="1" t="s">
        <v>1387</v>
      </c>
      <c r="D2716" s="1" t="s">
        <v>1388</v>
      </c>
      <c r="E2716" s="1" t="s">
        <v>1393</v>
      </c>
      <c r="F2716" s="1" t="s">
        <v>1394</v>
      </c>
      <c r="G2716" s="1" t="s">
        <v>1395</v>
      </c>
      <c r="H2716" s="1" t="s">
        <v>1394</v>
      </c>
      <c r="I2716" s="1" t="s">
        <v>13458</v>
      </c>
      <c r="J2716" s="1" t="s">
        <v>13459</v>
      </c>
      <c r="K2716" s="1">
        <v>6</v>
      </c>
      <c r="L2716" s="1" t="s">
        <v>4254</v>
      </c>
      <c r="M2716" s="1">
        <v>8</v>
      </c>
      <c r="N2716" s="1" t="s">
        <v>4255</v>
      </c>
    </row>
    <row r="2717" spans="1:14" x14ac:dyDescent="0.15">
      <c r="A2717" s="1">
        <v>354</v>
      </c>
      <c r="B2717" s="1" t="s">
        <v>1384</v>
      </c>
      <c r="C2717" s="1" t="s">
        <v>1387</v>
      </c>
      <c r="D2717" s="1" t="s">
        <v>1388</v>
      </c>
      <c r="E2717" s="1" t="s">
        <v>1393</v>
      </c>
      <c r="F2717" s="1" t="s">
        <v>1394</v>
      </c>
      <c r="G2717" s="1" t="s">
        <v>1395</v>
      </c>
      <c r="H2717" s="1" t="s">
        <v>1394</v>
      </c>
      <c r="I2717" s="1" t="s">
        <v>13474</v>
      </c>
      <c r="J2717" s="1" t="s">
        <v>13475</v>
      </c>
      <c r="K2717" s="1">
        <v>6</v>
      </c>
      <c r="L2717" s="1" t="s">
        <v>4254</v>
      </c>
      <c r="M2717" s="1">
        <v>8</v>
      </c>
      <c r="N2717" s="1" t="s">
        <v>4255</v>
      </c>
    </row>
    <row r="2718" spans="1:14" x14ac:dyDescent="0.15">
      <c r="A2718" s="1">
        <v>354</v>
      </c>
      <c r="B2718" s="1" t="s">
        <v>1384</v>
      </c>
      <c r="C2718" s="1" t="s">
        <v>1396</v>
      </c>
      <c r="D2718" s="1" t="s">
        <v>1397</v>
      </c>
      <c r="E2718" s="1" t="s">
        <v>1396</v>
      </c>
      <c r="F2718" s="1" t="s">
        <v>1397</v>
      </c>
      <c r="G2718" s="1" t="s">
        <v>1398</v>
      </c>
      <c r="H2718" s="1" t="s">
        <v>1397</v>
      </c>
      <c r="I2718" s="1" t="s">
        <v>8017</v>
      </c>
      <c r="J2718" s="1" t="s">
        <v>6146</v>
      </c>
      <c r="K2718" s="1">
        <v>6</v>
      </c>
      <c r="L2718" s="1" t="s">
        <v>4254</v>
      </c>
      <c r="M2718" s="1">
        <v>8</v>
      </c>
      <c r="N2718" s="1" t="s">
        <v>4255</v>
      </c>
    </row>
    <row r="2719" spans="1:14" x14ac:dyDescent="0.15">
      <c r="A2719" s="1">
        <v>353</v>
      </c>
      <c r="B2719" s="1" t="s">
        <v>1374</v>
      </c>
      <c r="C2719" s="1" t="s">
        <v>1380</v>
      </c>
      <c r="D2719" s="1" t="s">
        <v>1381</v>
      </c>
      <c r="E2719" s="1" t="s">
        <v>1380</v>
      </c>
      <c r="F2719" s="1" t="s">
        <v>1381</v>
      </c>
      <c r="G2719" s="1" t="s">
        <v>1382</v>
      </c>
      <c r="H2719" s="1" t="s">
        <v>1381</v>
      </c>
      <c r="I2719" s="1" t="s">
        <v>9483</v>
      </c>
      <c r="J2719" s="1" t="s">
        <v>1292</v>
      </c>
      <c r="K2719" s="1">
        <v>6</v>
      </c>
      <c r="L2719" s="1" t="s">
        <v>4254</v>
      </c>
      <c r="M2719" s="1">
        <v>8</v>
      </c>
      <c r="N2719" s="1" t="s">
        <v>4255</v>
      </c>
    </row>
    <row r="2720" spans="1:14" x14ac:dyDescent="0.15">
      <c r="A2720" s="1">
        <v>354</v>
      </c>
      <c r="B2720" s="1" t="s">
        <v>1384</v>
      </c>
      <c r="C2720" s="1" t="s">
        <v>1399</v>
      </c>
      <c r="D2720" s="1" t="s">
        <v>1400</v>
      </c>
      <c r="E2720" s="1" t="s">
        <v>1399</v>
      </c>
      <c r="F2720" s="1" t="s">
        <v>1401</v>
      </c>
      <c r="G2720" s="1" t="s">
        <v>1402</v>
      </c>
      <c r="H2720" s="1" t="s">
        <v>1401</v>
      </c>
      <c r="I2720" s="1" t="s">
        <v>13734</v>
      </c>
      <c r="J2720" s="1" t="s">
        <v>2993</v>
      </c>
      <c r="K2720" s="1">
        <v>6</v>
      </c>
      <c r="L2720" s="1" t="s">
        <v>4254</v>
      </c>
      <c r="M2720" s="1">
        <v>8</v>
      </c>
      <c r="N2720" s="1" t="s">
        <v>4255</v>
      </c>
    </row>
    <row r="2721" spans="1:14" x14ac:dyDescent="0.15">
      <c r="A2721" s="1">
        <v>354</v>
      </c>
      <c r="B2721" s="1" t="s">
        <v>1384</v>
      </c>
      <c r="C2721" s="1" t="s">
        <v>1399</v>
      </c>
      <c r="D2721" s="1" t="s">
        <v>1400</v>
      </c>
      <c r="E2721" s="1" t="s">
        <v>1399</v>
      </c>
      <c r="F2721" s="1" t="s">
        <v>1401</v>
      </c>
      <c r="G2721" s="1" t="s">
        <v>1402</v>
      </c>
      <c r="H2721" s="1" t="s">
        <v>1401</v>
      </c>
      <c r="I2721" s="1" t="s">
        <v>13782</v>
      </c>
      <c r="J2721" s="1" t="s">
        <v>2998</v>
      </c>
      <c r="K2721" s="1">
        <v>6</v>
      </c>
      <c r="L2721" s="1" t="s">
        <v>4254</v>
      </c>
      <c r="M2721" s="1">
        <v>8</v>
      </c>
      <c r="N2721" s="1" t="s">
        <v>4255</v>
      </c>
    </row>
    <row r="2722" spans="1:14" x14ac:dyDescent="0.15">
      <c r="A2722" s="1">
        <v>354</v>
      </c>
      <c r="B2722" s="1" t="s">
        <v>1384</v>
      </c>
      <c r="C2722" s="1" t="s">
        <v>1399</v>
      </c>
      <c r="D2722" s="1" t="s">
        <v>1400</v>
      </c>
      <c r="E2722" s="1" t="s">
        <v>1399</v>
      </c>
      <c r="F2722" s="1" t="s">
        <v>1401</v>
      </c>
      <c r="G2722" s="1" t="s">
        <v>1402</v>
      </c>
      <c r="H2722" s="1" t="s">
        <v>1401</v>
      </c>
      <c r="I2722" s="1" t="s">
        <v>12709</v>
      </c>
      <c r="J2722" s="1" t="s">
        <v>1383</v>
      </c>
      <c r="K2722" s="1">
        <v>6</v>
      </c>
      <c r="L2722" s="1" t="s">
        <v>4254</v>
      </c>
      <c r="M2722" s="1">
        <v>8</v>
      </c>
      <c r="N2722" s="1" t="s">
        <v>4255</v>
      </c>
    </row>
    <row r="2723" spans="1:14" x14ac:dyDescent="0.15">
      <c r="A2723" s="1">
        <v>360</v>
      </c>
      <c r="B2723" s="1" t="s">
        <v>1403</v>
      </c>
      <c r="C2723" s="1" t="s">
        <v>1404</v>
      </c>
      <c r="D2723" s="1" t="s">
        <v>1403</v>
      </c>
      <c r="E2723" s="1" t="s">
        <v>1404</v>
      </c>
      <c r="F2723" s="1" t="s">
        <v>1403</v>
      </c>
      <c r="G2723" s="1" t="s">
        <v>1405</v>
      </c>
      <c r="H2723" s="1" t="s">
        <v>1403</v>
      </c>
      <c r="I2723" s="1" t="s">
        <v>11879</v>
      </c>
      <c r="J2723" s="1" t="s">
        <v>4278</v>
      </c>
      <c r="K2723" s="1">
        <v>6</v>
      </c>
      <c r="L2723" s="1" t="s">
        <v>4254</v>
      </c>
      <c r="M2723" s="1">
        <v>8</v>
      </c>
      <c r="N2723" s="1" t="s">
        <v>4255</v>
      </c>
    </row>
    <row r="2724" spans="1:14" x14ac:dyDescent="0.15">
      <c r="A2724" s="1">
        <v>360</v>
      </c>
      <c r="B2724" s="1" t="s">
        <v>1403</v>
      </c>
      <c r="C2724" s="1" t="s">
        <v>1406</v>
      </c>
      <c r="D2724" s="1" t="s">
        <v>1407</v>
      </c>
      <c r="E2724" s="1" t="s">
        <v>1406</v>
      </c>
      <c r="F2724" s="1" t="s">
        <v>1407</v>
      </c>
      <c r="G2724" s="1" t="s">
        <v>1408</v>
      </c>
      <c r="H2724" s="1" t="s">
        <v>1407</v>
      </c>
      <c r="I2724" s="1" t="s">
        <v>7711</v>
      </c>
      <c r="J2724" s="1" t="s">
        <v>5118</v>
      </c>
      <c r="K2724" s="1">
        <v>6</v>
      </c>
      <c r="L2724" s="1" t="s">
        <v>4254</v>
      </c>
      <c r="M2724" s="1">
        <v>8</v>
      </c>
      <c r="N2724" s="1" t="s">
        <v>4255</v>
      </c>
    </row>
    <row r="2725" spans="1:14" x14ac:dyDescent="0.15">
      <c r="A2725" s="1">
        <v>360</v>
      </c>
      <c r="B2725" s="1" t="s">
        <v>1403</v>
      </c>
      <c r="C2725" s="1" t="s">
        <v>1409</v>
      </c>
      <c r="D2725" s="1" t="s">
        <v>1410</v>
      </c>
      <c r="E2725" s="1" t="s">
        <v>1409</v>
      </c>
      <c r="F2725" s="1" t="s">
        <v>1410</v>
      </c>
      <c r="G2725" s="1" t="s">
        <v>1411</v>
      </c>
      <c r="H2725" s="1" t="s">
        <v>1410</v>
      </c>
      <c r="I2725" s="1" t="s">
        <v>13372</v>
      </c>
      <c r="J2725" s="1" t="s">
        <v>1412</v>
      </c>
      <c r="K2725" s="1">
        <v>6</v>
      </c>
      <c r="L2725" s="1" t="s">
        <v>4254</v>
      </c>
      <c r="M2725" s="1">
        <v>8</v>
      </c>
      <c r="N2725" s="1" t="s">
        <v>4255</v>
      </c>
    </row>
    <row r="2726" spans="1:14" x14ac:dyDescent="0.15">
      <c r="A2726" s="1">
        <v>360</v>
      </c>
      <c r="B2726" s="1" t="s">
        <v>1403</v>
      </c>
      <c r="C2726" s="1" t="s">
        <v>1409</v>
      </c>
      <c r="D2726" s="1" t="s">
        <v>1410</v>
      </c>
      <c r="E2726" s="1" t="s">
        <v>1409</v>
      </c>
      <c r="F2726" s="1" t="s">
        <v>1410</v>
      </c>
      <c r="G2726" s="1" t="s">
        <v>1411</v>
      </c>
      <c r="H2726" s="1" t="s">
        <v>1410</v>
      </c>
      <c r="I2726" s="1" t="s">
        <v>13552</v>
      </c>
      <c r="J2726" s="1" t="s">
        <v>13553</v>
      </c>
      <c r="K2726" s="1">
        <v>6</v>
      </c>
      <c r="L2726" s="1" t="s">
        <v>4254</v>
      </c>
      <c r="M2726" s="1">
        <v>8</v>
      </c>
      <c r="N2726" s="1" t="s">
        <v>4255</v>
      </c>
    </row>
    <row r="2727" spans="1:14" x14ac:dyDescent="0.15">
      <c r="A2727" s="1">
        <v>360</v>
      </c>
      <c r="B2727" s="1" t="s">
        <v>1403</v>
      </c>
      <c r="C2727" s="1" t="s">
        <v>1413</v>
      </c>
      <c r="D2727" s="1" t="s">
        <v>1414</v>
      </c>
      <c r="E2727" s="1" t="s">
        <v>1413</v>
      </c>
      <c r="F2727" s="1" t="s">
        <v>1414</v>
      </c>
      <c r="G2727" s="1" t="s">
        <v>1415</v>
      </c>
      <c r="H2727" s="1" t="s">
        <v>1414</v>
      </c>
      <c r="I2727" s="1" t="s">
        <v>13304</v>
      </c>
      <c r="J2727" s="1" t="s">
        <v>13305</v>
      </c>
      <c r="K2727" s="1">
        <v>6</v>
      </c>
      <c r="L2727" s="1" t="s">
        <v>4254</v>
      </c>
      <c r="M2727" s="1">
        <v>8</v>
      </c>
      <c r="N2727" s="1" t="s">
        <v>4255</v>
      </c>
    </row>
    <row r="2728" spans="1:14" x14ac:dyDescent="0.15">
      <c r="A2728" s="1">
        <v>360</v>
      </c>
      <c r="B2728" s="1" t="s">
        <v>1403</v>
      </c>
      <c r="C2728" s="1" t="s">
        <v>1413</v>
      </c>
      <c r="D2728" s="1" t="s">
        <v>1414</v>
      </c>
      <c r="E2728" s="1" t="s">
        <v>1413</v>
      </c>
      <c r="F2728" s="1" t="s">
        <v>1414</v>
      </c>
      <c r="G2728" s="1" t="s">
        <v>1415</v>
      </c>
      <c r="H2728" s="1" t="s">
        <v>1414</v>
      </c>
      <c r="I2728" s="1" t="s">
        <v>13552</v>
      </c>
      <c r="J2728" s="1" t="s">
        <v>13553</v>
      </c>
      <c r="K2728" s="1">
        <v>6</v>
      </c>
      <c r="L2728" s="1" t="s">
        <v>4254</v>
      </c>
      <c r="M2728" s="1">
        <v>8</v>
      </c>
      <c r="N2728" s="1" t="s">
        <v>4255</v>
      </c>
    </row>
    <row r="2729" spans="1:14" x14ac:dyDescent="0.15">
      <c r="A2729" s="1">
        <v>361</v>
      </c>
      <c r="B2729" s="1" t="s">
        <v>1416</v>
      </c>
      <c r="C2729" s="1" t="s">
        <v>1417</v>
      </c>
      <c r="D2729" s="1" t="s">
        <v>1416</v>
      </c>
      <c r="E2729" s="1" t="s">
        <v>1417</v>
      </c>
      <c r="F2729" s="1" t="s">
        <v>1416</v>
      </c>
      <c r="G2729" s="1" t="s">
        <v>1418</v>
      </c>
      <c r="H2729" s="1" t="s">
        <v>1416</v>
      </c>
      <c r="I2729" s="1" t="s">
        <v>11879</v>
      </c>
      <c r="J2729" s="1" t="s">
        <v>4278</v>
      </c>
      <c r="K2729" s="1">
        <v>6</v>
      </c>
      <c r="L2729" s="1" t="s">
        <v>4254</v>
      </c>
      <c r="M2729" s="1">
        <v>8</v>
      </c>
      <c r="N2729" s="1" t="s">
        <v>4255</v>
      </c>
    </row>
    <row r="2730" spans="1:14" x14ac:dyDescent="0.15">
      <c r="A2730" s="1">
        <v>361</v>
      </c>
      <c r="B2730" s="1" t="s">
        <v>1416</v>
      </c>
      <c r="C2730" s="1" t="s">
        <v>1419</v>
      </c>
      <c r="D2730" s="1" t="s">
        <v>1420</v>
      </c>
      <c r="E2730" s="1" t="s">
        <v>1419</v>
      </c>
      <c r="F2730" s="1" t="s">
        <v>1420</v>
      </c>
      <c r="G2730" s="1" t="s">
        <v>1421</v>
      </c>
      <c r="H2730" s="1" t="s">
        <v>1420</v>
      </c>
      <c r="I2730" s="1" t="s">
        <v>13710</v>
      </c>
      <c r="J2730" s="1" t="s">
        <v>13711</v>
      </c>
      <c r="K2730" s="1">
        <v>6</v>
      </c>
      <c r="L2730" s="1" t="s">
        <v>4254</v>
      </c>
      <c r="M2730" s="1">
        <v>8</v>
      </c>
      <c r="N2730" s="1" t="s">
        <v>4255</v>
      </c>
    </row>
    <row r="2731" spans="1:14" x14ac:dyDescent="0.15">
      <c r="A2731" s="1">
        <v>361</v>
      </c>
      <c r="B2731" s="1" t="s">
        <v>1416</v>
      </c>
      <c r="C2731" s="1" t="s">
        <v>1422</v>
      </c>
      <c r="D2731" s="1" t="s">
        <v>1423</v>
      </c>
      <c r="E2731" s="1" t="s">
        <v>1422</v>
      </c>
      <c r="F2731" s="1" t="s">
        <v>1423</v>
      </c>
      <c r="G2731" s="1" t="s">
        <v>1424</v>
      </c>
      <c r="H2731" s="1" t="s">
        <v>1423</v>
      </c>
      <c r="I2731" s="1" t="s">
        <v>13710</v>
      </c>
      <c r="J2731" s="1" t="s">
        <v>13711</v>
      </c>
      <c r="K2731" s="1">
        <v>6</v>
      </c>
      <c r="L2731" s="1" t="s">
        <v>4254</v>
      </c>
      <c r="M2731" s="1">
        <v>8</v>
      </c>
      <c r="N2731" s="1" t="s">
        <v>4255</v>
      </c>
    </row>
    <row r="2732" spans="1:14" x14ac:dyDescent="0.15">
      <c r="A2732" s="1">
        <v>362</v>
      </c>
      <c r="B2732" s="1" t="s">
        <v>1425</v>
      </c>
      <c r="C2732" s="1" t="s">
        <v>1426</v>
      </c>
      <c r="D2732" s="1" t="s">
        <v>1425</v>
      </c>
      <c r="E2732" s="1" t="s">
        <v>1426</v>
      </c>
      <c r="F2732" s="1" t="s">
        <v>1425</v>
      </c>
      <c r="G2732" s="1" t="s">
        <v>1427</v>
      </c>
      <c r="H2732" s="1" t="s">
        <v>1425</v>
      </c>
      <c r="I2732" s="1" t="s">
        <v>11879</v>
      </c>
      <c r="J2732" s="1" t="s">
        <v>4278</v>
      </c>
      <c r="K2732" s="1">
        <v>6</v>
      </c>
      <c r="L2732" s="1" t="s">
        <v>4254</v>
      </c>
      <c r="M2732" s="1">
        <v>8</v>
      </c>
      <c r="N2732" s="1" t="s">
        <v>4255</v>
      </c>
    </row>
    <row r="2733" spans="1:14" x14ac:dyDescent="0.15">
      <c r="A2733" s="1">
        <v>362</v>
      </c>
      <c r="B2733" s="1" t="s">
        <v>1425</v>
      </c>
      <c r="C2733" s="1" t="s">
        <v>1428</v>
      </c>
      <c r="D2733" s="1" t="s">
        <v>1429</v>
      </c>
      <c r="E2733" s="1" t="s">
        <v>1428</v>
      </c>
      <c r="F2733" s="1" t="s">
        <v>1429</v>
      </c>
      <c r="G2733" s="1" t="s">
        <v>1430</v>
      </c>
      <c r="H2733" s="1" t="s">
        <v>1429</v>
      </c>
      <c r="I2733" s="1" t="s">
        <v>13722</v>
      </c>
      <c r="J2733" s="1" t="s">
        <v>13723</v>
      </c>
      <c r="K2733" s="1">
        <v>6</v>
      </c>
      <c r="L2733" s="1" t="s">
        <v>4254</v>
      </c>
      <c r="M2733" s="1">
        <v>8</v>
      </c>
      <c r="N2733" s="1" t="s">
        <v>4255</v>
      </c>
    </row>
    <row r="2734" spans="1:14" x14ac:dyDescent="0.15">
      <c r="A2734" s="1">
        <v>362</v>
      </c>
      <c r="B2734" s="1" t="s">
        <v>1425</v>
      </c>
      <c r="C2734" s="1" t="s">
        <v>1431</v>
      </c>
      <c r="D2734" s="1" t="s">
        <v>1432</v>
      </c>
      <c r="E2734" s="1" t="s">
        <v>1431</v>
      </c>
      <c r="F2734" s="1" t="s">
        <v>1432</v>
      </c>
      <c r="G2734" s="1" t="s">
        <v>1433</v>
      </c>
      <c r="H2734" s="1" t="s">
        <v>1432</v>
      </c>
      <c r="I2734" s="1" t="s">
        <v>13722</v>
      </c>
      <c r="J2734" s="1" t="s">
        <v>13723</v>
      </c>
      <c r="K2734" s="1">
        <v>6</v>
      </c>
      <c r="L2734" s="1" t="s">
        <v>4254</v>
      </c>
      <c r="M2734" s="1">
        <v>8</v>
      </c>
      <c r="N2734" s="1" t="s">
        <v>4255</v>
      </c>
    </row>
    <row r="2735" spans="1:14" x14ac:dyDescent="0.15">
      <c r="A2735" s="1">
        <v>363</v>
      </c>
      <c r="B2735" s="1" t="s">
        <v>1434</v>
      </c>
      <c r="C2735" s="1" t="s">
        <v>1435</v>
      </c>
      <c r="D2735" s="1" t="s">
        <v>1434</v>
      </c>
      <c r="E2735" s="1" t="s">
        <v>1435</v>
      </c>
      <c r="F2735" s="1" t="s">
        <v>1434</v>
      </c>
      <c r="G2735" s="1" t="s">
        <v>1436</v>
      </c>
      <c r="H2735" s="1" t="s">
        <v>1434</v>
      </c>
      <c r="I2735" s="1" t="s">
        <v>7793</v>
      </c>
      <c r="J2735" s="1" t="s">
        <v>6840</v>
      </c>
      <c r="K2735" s="1">
        <v>6</v>
      </c>
      <c r="L2735" s="1" t="s">
        <v>4254</v>
      </c>
      <c r="M2735" s="1">
        <v>8</v>
      </c>
      <c r="N2735" s="1" t="s">
        <v>4255</v>
      </c>
    </row>
    <row r="2736" spans="1:14" x14ac:dyDescent="0.15">
      <c r="A2736" s="1">
        <v>363</v>
      </c>
      <c r="B2736" s="1" t="s">
        <v>1434</v>
      </c>
      <c r="C2736" s="1" t="s">
        <v>1435</v>
      </c>
      <c r="D2736" s="1" t="s">
        <v>1434</v>
      </c>
      <c r="E2736" s="1" t="s">
        <v>1435</v>
      </c>
      <c r="F2736" s="1" t="s">
        <v>1434</v>
      </c>
      <c r="G2736" s="1" t="s">
        <v>1436</v>
      </c>
      <c r="H2736" s="1" t="s">
        <v>1434</v>
      </c>
      <c r="I2736" s="1" t="s">
        <v>7796</v>
      </c>
      <c r="J2736" s="1" t="s">
        <v>3009</v>
      </c>
      <c r="K2736" s="1">
        <v>6</v>
      </c>
      <c r="L2736" s="1" t="s">
        <v>4254</v>
      </c>
      <c r="M2736" s="1">
        <v>8</v>
      </c>
      <c r="N2736" s="1" t="s">
        <v>4255</v>
      </c>
    </row>
    <row r="2737" spans="1:14" x14ac:dyDescent="0.15">
      <c r="A2737" s="1">
        <v>363</v>
      </c>
      <c r="B2737" s="1" t="s">
        <v>1434</v>
      </c>
      <c r="C2737" s="1" t="s">
        <v>1435</v>
      </c>
      <c r="D2737" s="1" t="s">
        <v>1434</v>
      </c>
      <c r="E2737" s="1" t="s">
        <v>1435</v>
      </c>
      <c r="F2737" s="1" t="s">
        <v>1434</v>
      </c>
      <c r="G2737" s="1" t="s">
        <v>1436</v>
      </c>
      <c r="H2737" s="1" t="s">
        <v>1434</v>
      </c>
      <c r="I2737" s="1" t="s">
        <v>7799</v>
      </c>
      <c r="J2737" s="1" t="s">
        <v>1437</v>
      </c>
      <c r="K2737" s="1">
        <v>6</v>
      </c>
      <c r="L2737" s="1" t="s">
        <v>4254</v>
      </c>
      <c r="M2737" s="1">
        <v>8</v>
      </c>
      <c r="N2737" s="1" t="s">
        <v>4255</v>
      </c>
    </row>
    <row r="2738" spans="1:14" x14ac:dyDescent="0.15">
      <c r="A2738" s="1">
        <v>363</v>
      </c>
      <c r="B2738" s="1" t="s">
        <v>1434</v>
      </c>
      <c r="C2738" s="1" t="s">
        <v>1435</v>
      </c>
      <c r="D2738" s="1" t="s">
        <v>1434</v>
      </c>
      <c r="E2738" s="1" t="s">
        <v>1435</v>
      </c>
      <c r="F2738" s="1" t="s">
        <v>1434</v>
      </c>
      <c r="G2738" s="1" t="s">
        <v>1436</v>
      </c>
      <c r="H2738" s="1" t="s">
        <v>1434</v>
      </c>
      <c r="I2738" s="1" t="s">
        <v>7802</v>
      </c>
      <c r="J2738" s="1" t="s">
        <v>1438</v>
      </c>
      <c r="K2738" s="1">
        <v>6</v>
      </c>
      <c r="L2738" s="1" t="s">
        <v>4254</v>
      </c>
      <c r="M2738" s="1">
        <v>8</v>
      </c>
      <c r="N2738" s="1" t="s">
        <v>4255</v>
      </c>
    </row>
    <row r="2739" spans="1:14" x14ac:dyDescent="0.15">
      <c r="A2739" s="1">
        <v>364</v>
      </c>
      <c r="B2739" s="1" t="s">
        <v>1439</v>
      </c>
      <c r="C2739" s="1" t="s">
        <v>1440</v>
      </c>
      <c r="D2739" s="1" t="s">
        <v>1439</v>
      </c>
      <c r="E2739" s="1" t="s">
        <v>1440</v>
      </c>
      <c r="F2739" s="1" t="s">
        <v>1439</v>
      </c>
      <c r="G2739" s="1" t="s">
        <v>1441</v>
      </c>
      <c r="H2739" s="1" t="s">
        <v>1439</v>
      </c>
      <c r="I2739" s="1" t="s">
        <v>13642</v>
      </c>
      <c r="J2739" s="1" t="s">
        <v>5005</v>
      </c>
      <c r="K2739" s="1">
        <v>6</v>
      </c>
      <c r="L2739" s="1" t="s">
        <v>4254</v>
      </c>
      <c r="M2739" s="1">
        <v>8</v>
      </c>
      <c r="N2739" s="1" t="s">
        <v>4255</v>
      </c>
    </row>
    <row r="2740" spans="1:14" x14ac:dyDescent="0.15">
      <c r="A2740" s="1">
        <v>365</v>
      </c>
      <c r="B2740" s="1" t="s">
        <v>1442</v>
      </c>
      <c r="C2740" s="1" t="s">
        <v>1443</v>
      </c>
      <c r="D2740" s="1" t="s">
        <v>1442</v>
      </c>
      <c r="E2740" s="1" t="s">
        <v>1443</v>
      </c>
      <c r="F2740" s="1" t="s">
        <v>1442</v>
      </c>
      <c r="G2740" s="1" t="s">
        <v>1444</v>
      </c>
      <c r="H2740" s="1" t="s">
        <v>1442</v>
      </c>
      <c r="I2740" s="1" t="s">
        <v>11879</v>
      </c>
      <c r="J2740" s="1" t="s">
        <v>4278</v>
      </c>
      <c r="K2740" s="1">
        <v>6</v>
      </c>
      <c r="L2740" s="1" t="s">
        <v>4254</v>
      </c>
      <c r="M2740" s="1">
        <v>8</v>
      </c>
      <c r="N2740" s="1" t="s">
        <v>4255</v>
      </c>
    </row>
    <row r="2741" spans="1:14" x14ac:dyDescent="0.15">
      <c r="A2741" s="1">
        <v>365</v>
      </c>
      <c r="B2741" s="1" t="s">
        <v>1442</v>
      </c>
      <c r="C2741" s="1" t="s">
        <v>1445</v>
      </c>
      <c r="D2741" s="1" t="s">
        <v>1446</v>
      </c>
      <c r="E2741" s="1" t="s">
        <v>1445</v>
      </c>
      <c r="F2741" s="1" t="s">
        <v>1446</v>
      </c>
      <c r="G2741" s="1" t="s">
        <v>1447</v>
      </c>
      <c r="H2741" s="1" t="s">
        <v>1446</v>
      </c>
      <c r="I2741" s="1" t="s">
        <v>13678</v>
      </c>
      <c r="J2741" s="1" t="s">
        <v>5013</v>
      </c>
      <c r="K2741" s="1">
        <v>6</v>
      </c>
      <c r="L2741" s="1" t="s">
        <v>4254</v>
      </c>
      <c r="M2741" s="1">
        <v>8</v>
      </c>
      <c r="N2741" s="1" t="s">
        <v>4255</v>
      </c>
    </row>
    <row r="2742" spans="1:14" x14ac:dyDescent="0.15">
      <c r="A2742" s="1">
        <v>365</v>
      </c>
      <c r="B2742" s="1" t="s">
        <v>1442</v>
      </c>
      <c r="C2742" s="1" t="s">
        <v>1445</v>
      </c>
      <c r="D2742" s="1" t="s">
        <v>1446</v>
      </c>
      <c r="E2742" s="1" t="s">
        <v>1445</v>
      </c>
      <c r="F2742" s="1" t="s">
        <v>1446</v>
      </c>
      <c r="G2742" s="1" t="s">
        <v>1447</v>
      </c>
      <c r="H2742" s="1" t="s">
        <v>1446</v>
      </c>
      <c r="I2742" s="1" t="s">
        <v>8240</v>
      </c>
      <c r="J2742" s="1" t="s">
        <v>1448</v>
      </c>
      <c r="K2742" s="1">
        <v>6</v>
      </c>
      <c r="L2742" s="1" t="s">
        <v>4254</v>
      </c>
      <c r="M2742" s="1">
        <v>8</v>
      </c>
      <c r="N2742" s="1" t="s">
        <v>4255</v>
      </c>
    </row>
    <row r="2743" spans="1:14" x14ac:dyDescent="0.15">
      <c r="A2743" s="1">
        <v>365</v>
      </c>
      <c r="B2743" s="1" t="s">
        <v>1442</v>
      </c>
      <c r="C2743" s="1" t="s">
        <v>1445</v>
      </c>
      <c r="D2743" s="1" t="s">
        <v>1446</v>
      </c>
      <c r="E2743" s="1" t="s">
        <v>1445</v>
      </c>
      <c r="F2743" s="1" t="s">
        <v>1446</v>
      </c>
      <c r="G2743" s="1" t="s">
        <v>1447</v>
      </c>
      <c r="H2743" s="1" t="s">
        <v>1446</v>
      </c>
      <c r="I2743" s="1" t="s">
        <v>8246</v>
      </c>
      <c r="J2743" s="1" t="s">
        <v>1449</v>
      </c>
      <c r="K2743" s="1">
        <v>6</v>
      </c>
      <c r="L2743" s="1" t="s">
        <v>4254</v>
      </c>
      <c r="M2743" s="1">
        <v>8</v>
      </c>
      <c r="N2743" s="1" t="s">
        <v>4255</v>
      </c>
    </row>
    <row r="2744" spans="1:14" x14ac:dyDescent="0.15">
      <c r="A2744" s="1">
        <v>365</v>
      </c>
      <c r="B2744" s="1" t="s">
        <v>1442</v>
      </c>
      <c r="C2744" s="1" t="s">
        <v>1445</v>
      </c>
      <c r="D2744" s="1" t="s">
        <v>1446</v>
      </c>
      <c r="E2744" s="1" t="s">
        <v>1445</v>
      </c>
      <c r="F2744" s="1" t="s">
        <v>1446</v>
      </c>
      <c r="G2744" s="1" t="s">
        <v>1447</v>
      </c>
      <c r="H2744" s="1" t="s">
        <v>1446</v>
      </c>
      <c r="I2744" s="1" t="s">
        <v>11207</v>
      </c>
      <c r="J2744" s="1" t="s">
        <v>1370</v>
      </c>
      <c r="K2744" s="1">
        <v>6</v>
      </c>
      <c r="L2744" s="1" t="s">
        <v>4254</v>
      </c>
      <c r="M2744" s="1">
        <v>8</v>
      </c>
      <c r="N2744" s="1" t="s">
        <v>4255</v>
      </c>
    </row>
    <row r="2745" spans="1:14" x14ac:dyDescent="0.15">
      <c r="A2745" s="1">
        <v>365</v>
      </c>
      <c r="B2745" s="1" t="s">
        <v>1442</v>
      </c>
      <c r="C2745" s="1" t="s">
        <v>1445</v>
      </c>
      <c r="D2745" s="1" t="s">
        <v>1446</v>
      </c>
      <c r="E2745" s="1" t="s">
        <v>1445</v>
      </c>
      <c r="F2745" s="1" t="s">
        <v>1446</v>
      </c>
      <c r="G2745" s="1" t="s">
        <v>1447</v>
      </c>
      <c r="H2745" s="1" t="s">
        <v>1446</v>
      </c>
      <c r="I2745" s="1" t="s">
        <v>8256</v>
      </c>
      <c r="J2745" s="1" t="s">
        <v>1450</v>
      </c>
      <c r="K2745" s="1">
        <v>6</v>
      </c>
      <c r="L2745" s="1" t="s">
        <v>4254</v>
      </c>
      <c r="M2745" s="1">
        <v>8</v>
      </c>
      <c r="N2745" s="1" t="s">
        <v>4255</v>
      </c>
    </row>
    <row r="2746" spans="1:14" x14ac:dyDescent="0.15">
      <c r="A2746" s="1">
        <v>365</v>
      </c>
      <c r="B2746" s="1" t="s">
        <v>1442</v>
      </c>
      <c r="C2746" s="1" t="s">
        <v>1445</v>
      </c>
      <c r="D2746" s="1" t="s">
        <v>1446</v>
      </c>
      <c r="E2746" s="1" t="s">
        <v>1445</v>
      </c>
      <c r="F2746" s="1" t="s">
        <v>1446</v>
      </c>
      <c r="G2746" s="1" t="s">
        <v>1447</v>
      </c>
      <c r="H2746" s="1" t="s">
        <v>1446</v>
      </c>
      <c r="I2746" s="1" t="s">
        <v>13702</v>
      </c>
      <c r="J2746" s="1" t="s">
        <v>5028</v>
      </c>
      <c r="K2746" s="1">
        <v>6</v>
      </c>
      <c r="L2746" s="1" t="s">
        <v>4254</v>
      </c>
      <c r="M2746" s="1">
        <v>8</v>
      </c>
      <c r="N2746" s="1" t="s">
        <v>4255</v>
      </c>
    </row>
    <row r="2747" spans="1:14" x14ac:dyDescent="0.15">
      <c r="A2747" s="1">
        <v>365</v>
      </c>
      <c r="B2747" s="1" t="s">
        <v>1442</v>
      </c>
      <c r="C2747" s="1" t="s">
        <v>1445</v>
      </c>
      <c r="D2747" s="1" t="s">
        <v>1446</v>
      </c>
      <c r="E2747" s="1" t="s">
        <v>1445</v>
      </c>
      <c r="F2747" s="1" t="s">
        <v>1446</v>
      </c>
      <c r="G2747" s="1" t="s">
        <v>1447</v>
      </c>
      <c r="H2747" s="1" t="s">
        <v>1446</v>
      </c>
      <c r="I2747" s="1" t="s">
        <v>13404</v>
      </c>
      <c r="J2747" s="1" t="s">
        <v>5031</v>
      </c>
      <c r="K2747" s="1">
        <v>6</v>
      </c>
      <c r="L2747" s="1" t="s">
        <v>4254</v>
      </c>
      <c r="M2747" s="1">
        <v>8</v>
      </c>
      <c r="N2747" s="1" t="s">
        <v>4255</v>
      </c>
    </row>
    <row r="2748" spans="1:14" x14ac:dyDescent="0.15">
      <c r="A2748" s="1">
        <v>365</v>
      </c>
      <c r="B2748" s="1" t="s">
        <v>1442</v>
      </c>
      <c r="C2748" s="1" t="s">
        <v>1445</v>
      </c>
      <c r="D2748" s="1" t="s">
        <v>1446</v>
      </c>
      <c r="E2748" s="1" t="s">
        <v>1445</v>
      </c>
      <c r="F2748" s="1" t="s">
        <v>1446</v>
      </c>
      <c r="G2748" s="1" t="s">
        <v>1447</v>
      </c>
      <c r="H2748" s="1" t="s">
        <v>1446</v>
      </c>
      <c r="I2748" s="1" t="s">
        <v>8281</v>
      </c>
      <c r="J2748" s="1" t="s">
        <v>1451</v>
      </c>
      <c r="K2748" s="1">
        <v>6</v>
      </c>
      <c r="L2748" s="1" t="s">
        <v>4254</v>
      </c>
      <c r="M2748" s="1">
        <v>8</v>
      </c>
      <c r="N2748" s="1" t="s">
        <v>4255</v>
      </c>
    </row>
    <row r="2749" spans="1:14" x14ac:dyDescent="0.15">
      <c r="A2749" s="1">
        <v>365</v>
      </c>
      <c r="B2749" s="1" t="s">
        <v>1442</v>
      </c>
      <c r="C2749" s="1" t="s">
        <v>1445</v>
      </c>
      <c r="D2749" s="1" t="s">
        <v>1446</v>
      </c>
      <c r="E2749" s="1" t="s">
        <v>1445</v>
      </c>
      <c r="F2749" s="1" t="s">
        <v>1446</v>
      </c>
      <c r="G2749" s="1" t="s">
        <v>1447</v>
      </c>
      <c r="H2749" s="1" t="s">
        <v>1446</v>
      </c>
      <c r="I2749" s="1" t="s">
        <v>8293</v>
      </c>
      <c r="J2749" s="1" t="s">
        <v>1452</v>
      </c>
      <c r="K2749" s="1">
        <v>6</v>
      </c>
      <c r="L2749" s="1" t="s">
        <v>4254</v>
      </c>
      <c r="M2749" s="1">
        <v>8</v>
      </c>
      <c r="N2749" s="1" t="s">
        <v>4255</v>
      </c>
    </row>
    <row r="2750" spans="1:14" x14ac:dyDescent="0.15">
      <c r="A2750" s="1">
        <v>365</v>
      </c>
      <c r="B2750" s="1" t="s">
        <v>1442</v>
      </c>
      <c r="C2750" s="1" t="s">
        <v>1445</v>
      </c>
      <c r="D2750" s="1" t="s">
        <v>1446</v>
      </c>
      <c r="E2750" s="1" t="s">
        <v>1445</v>
      </c>
      <c r="F2750" s="1" t="s">
        <v>1446</v>
      </c>
      <c r="G2750" s="1" t="s">
        <v>1447</v>
      </c>
      <c r="H2750" s="1" t="s">
        <v>1446</v>
      </c>
      <c r="I2750" s="1" t="s">
        <v>1453</v>
      </c>
      <c r="J2750" s="1" t="s">
        <v>1454</v>
      </c>
      <c r="K2750" s="1">
        <v>6</v>
      </c>
      <c r="L2750" s="1" t="s">
        <v>4254</v>
      </c>
      <c r="M2750" s="1">
        <v>8</v>
      </c>
      <c r="N2750" s="1" t="s">
        <v>4255</v>
      </c>
    </row>
    <row r="2751" spans="1:14" x14ac:dyDescent="0.15">
      <c r="A2751" s="1">
        <v>365</v>
      </c>
      <c r="B2751" s="1" t="s">
        <v>1442</v>
      </c>
      <c r="C2751" s="1" t="s">
        <v>1445</v>
      </c>
      <c r="D2751" s="1" t="s">
        <v>1446</v>
      </c>
      <c r="E2751" s="1" t="s">
        <v>1445</v>
      </c>
      <c r="F2751" s="1" t="s">
        <v>1446</v>
      </c>
      <c r="G2751" s="1" t="s">
        <v>1447</v>
      </c>
      <c r="H2751" s="1" t="s">
        <v>1446</v>
      </c>
      <c r="I2751" s="1" t="s">
        <v>13400</v>
      </c>
      <c r="J2751" s="1" t="s">
        <v>1455</v>
      </c>
      <c r="K2751" s="1">
        <v>6</v>
      </c>
      <c r="L2751" s="1" t="s">
        <v>4254</v>
      </c>
      <c r="M2751" s="1">
        <v>8</v>
      </c>
      <c r="N2751" s="1" t="s">
        <v>4255</v>
      </c>
    </row>
    <row r="2752" spans="1:14" x14ac:dyDescent="0.15">
      <c r="A2752" s="1">
        <v>365</v>
      </c>
      <c r="B2752" s="1" t="s">
        <v>1442</v>
      </c>
      <c r="C2752" s="1" t="s">
        <v>1445</v>
      </c>
      <c r="D2752" s="1" t="s">
        <v>1446</v>
      </c>
      <c r="E2752" s="1" t="s">
        <v>1445</v>
      </c>
      <c r="F2752" s="1" t="s">
        <v>1446</v>
      </c>
      <c r="G2752" s="1" t="s">
        <v>1447</v>
      </c>
      <c r="H2752" s="1" t="s">
        <v>1446</v>
      </c>
      <c r="I2752" s="1" t="s">
        <v>13734</v>
      </c>
      <c r="J2752" s="1" t="s">
        <v>1456</v>
      </c>
      <c r="K2752" s="1">
        <v>6</v>
      </c>
      <c r="L2752" s="1" t="s">
        <v>4254</v>
      </c>
      <c r="M2752" s="1">
        <v>8</v>
      </c>
      <c r="N2752" s="1" t="s">
        <v>4255</v>
      </c>
    </row>
    <row r="2753" spans="1:14" x14ac:dyDescent="0.15">
      <c r="A2753" s="1">
        <v>365</v>
      </c>
      <c r="B2753" s="1" t="s">
        <v>1442</v>
      </c>
      <c r="C2753" s="1" t="s">
        <v>1445</v>
      </c>
      <c r="D2753" s="1" t="s">
        <v>1446</v>
      </c>
      <c r="E2753" s="1" t="s">
        <v>1445</v>
      </c>
      <c r="F2753" s="1" t="s">
        <v>1446</v>
      </c>
      <c r="G2753" s="1" t="s">
        <v>1447</v>
      </c>
      <c r="H2753" s="1" t="s">
        <v>1446</v>
      </c>
      <c r="I2753" s="1" t="s">
        <v>13408</v>
      </c>
      <c r="J2753" s="1" t="s">
        <v>5127</v>
      </c>
      <c r="K2753" s="1">
        <v>6</v>
      </c>
      <c r="L2753" s="1" t="s">
        <v>4254</v>
      </c>
      <c r="M2753" s="1">
        <v>8</v>
      </c>
      <c r="N2753" s="1" t="s">
        <v>4255</v>
      </c>
    </row>
    <row r="2754" spans="1:14" x14ac:dyDescent="0.15">
      <c r="A2754" s="1">
        <v>365</v>
      </c>
      <c r="B2754" s="1" t="s">
        <v>1442</v>
      </c>
      <c r="C2754" s="1" t="s">
        <v>1457</v>
      </c>
      <c r="D2754" s="1" t="s">
        <v>1458</v>
      </c>
      <c r="E2754" s="1" t="s">
        <v>1457</v>
      </c>
      <c r="F2754" s="1" t="s">
        <v>1458</v>
      </c>
      <c r="G2754" s="1" t="s">
        <v>1459</v>
      </c>
      <c r="H2754" s="1" t="s">
        <v>1458</v>
      </c>
      <c r="I2754" s="1" t="s">
        <v>13702</v>
      </c>
      <c r="J2754" s="1" t="s">
        <v>5028</v>
      </c>
      <c r="K2754" s="1">
        <v>6</v>
      </c>
      <c r="L2754" s="1" t="s">
        <v>4254</v>
      </c>
      <c r="M2754" s="1">
        <v>8</v>
      </c>
      <c r="N2754" s="1" t="s">
        <v>4255</v>
      </c>
    </row>
    <row r="2755" spans="1:14" x14ac:dyDescent="0.15">
      <c r="A2755" s="1">
        <v>365</v>
      </c>
      <c r="B2755" s="1" t="s">
        <v>1442</v>
      </c>
      <c r="C2755" s="1" t="s">
        <v>1457</v>
      </c>
      <c r="D2755" s="1" t="s">
        <v>1458</v>
      </c>
      <c r="E2755" s="1" t="s">
        <v>1457</v>
      </c>
      <c r="F2755" s="1" t="s">
        <v>1458</v>
      </c>
      <c r="G2755" s="1" t="s">
        <v>1459</v>
      </c>
      <c r="H2755" s="1" t="s">
        <v>1458</v>
      </c>
      <c r="I2755" s="1" t="s">
        <v>13734</v>
      </c>
      <c r="J2755" s="1" t="s">
        <v>2993</v>
      </c>
      <c r="K2755" s="1">
        <v>6</v>
      </c>
      <c r="L2755" s="1" t="s">
        <v>4254</v>
      </c>
      <c r="M2755" s="1">
        <v>8</v>
      </c>
      <c r="N2755" s="1" t="s">
        <v>4255</v>
      </c>
    </row>
    <row r="2756" spans="1:14" x14ac:dyDescent="0.15">
      <c r="A2756" s="1">
        <v>365</v>
      </c>
      <c r="B2756" s="1" t="s">
        <v>1442</v>
      </c>
      <c r="C2756" s="1" t="s">
        <v>1460</v>
      </c>
      <c r="D2756" s="1" t="s">
        <v>1461</v>
      </c>
      <c r="E2756" s="1" t="s">
        <v>1460</v>
      </c>
      <c r="F2756" s="1" t="s">
        <v>1461</v>
      </c>
      <c r="G2756" s="1" t="s">
        <v>1462</v>
      </c>
      <c r="H2756" s="1" t="s">
        <v>1461</v>
      </c>
      <c r="I2756" s="1" t="s">
        <v>13690</v>
      </c>
      <c r="J2756" s="1" t="s">
        <v>5016</v>
      </c>
      <c r="K2756" s="1">
        <v>6</v>
      </c>
      <c r="L2756" s="1" t="s">
        <v>4254</v>
      </c>
      <c r="M2756" s="1">
        <v>8</v>
      </c>
      <c r="N2756" s="1" t="s">
        <v>4255</v>
      </c>
    </row>
    <row r="2757" spans="1:14" x14ac:dyDescent="0.15">
      <c r="A2757" s="1">
        <v>365</v>
      </c>
      <c r="B2757" s="1" t="s">
        <v>1442</v>
      </c>
      <c r="C2757" s="1" t="s">
        <v>1463</v>
      </c>
      <c r="D2757" s="1" t="s">
        <v>1464</v>
      </c>
      <c r="E2757" s="1" t="s">
        <v>1463</v>
      </c>
      <c r="F2757" s="1" t="s">
        <v>1464</v>
      </c>
      <c r="G2757" s="1" t="s">
        <v>1465</v>
      </c>
      <c r="H2757" s="1" t="s">
        <v>1464</v>
      </c>
      <c r="I2757" s="1" t="s">
        <v>13718</v>
      </c>
      <c r="J2757" s="1" t="s">
        <v>2991</v>
      </c>
      <c r="K2757" s="1">
        <v>6</v>
      </c>
      <c r="L2757" s="1" t="s">
        <v>4254</v>
      </c>
      <c r="M2757" s="1">
        <v>8</v>
      </c>
      <c r="N2757" s="1" t="s">
        <v>4255</v>
      </c>
    </row>
    <row r="2758" spans="1:14" x14ac:dyDescent="0.15">
      <c r="A2758" s="1">
        <v>365</v>
      </c>
      <c r="B2758" s="1" t="s">
        <v>1442</v>
      </c>
      <c r="C2758" s="1" t="s">
        <v>1466</v>
      </c>
      <c r="D2758" s="1" t="s">
        <v>1467</v>
      </c>
      <c r="E2758" s="1" t="s">
        <v>1466</v>
      </c>
      <c r="F2758" s="1" t="s">
        <v>1467</v>
      </c>
      <c r="G2758" s="1" t="s">
        <v>1468</v>
      </c>
      <c r="H2758" s="1" t="s">
        <v>1467</v>
      </c>
      <c r="I2758" s="1" t="s">
        <v>13730</v>
      </c>
      <c r="J2758" s="1" t="s">
        <v>2992</v>
      </c>
      <c r="K2758" s="1">
        <v>1</v>
      </c>
      <c r="L2758" s="1" t="s">
        <v>4259</v>
      </c>
      <c r="M2758" s="1">
        <v>8</v>
      </c>
      <c r="N2758" s="1" t="s">
        <v>4255</v>
      </c>
    </row>
    <row r="2759" spans="1:14" x14ac:dyDescent="0.15">
      <c r="A2759" s="1">
        <v>365</v>
      </c>
      <c r="B2759" s="1" t="s">
        <v>1442</v>
      </c>
      <c r="C2759" s="1" t="s">
        <v>1469</v>
      </c>
      <c r="D2759" s="1" t="s">
        <v>1470</v>
      </c>
      <c r="E2759" s="1" t="s">
        <v>1469</v>
      </c>
      <c r="F2759" s="1" t="s">
        <v>1470</v>
      </c>
      <c r="G2759" s="1" t="s">
        <v>1471</v>
      </c>
      <c r="H2759" s="1" t="s">
        <v>1470</v>
      </c>
      <c r="I2759" s="1" t="s">
        <v>7717</v>
      </c>
      <c r="J2759" s="1" t="s">
        <v>1472</v>
      </c>
      <c r="K2759" s="1">
        <v>6</v>
      </c>
      <c r="L2759" s="1" t="s">
        <v>4254</v>
      </c>
      <c r="M2759" s="1">
        <v>8</v>
      </c>
      <c r="N2759" s="1" t="s">
        <v>4255</v>
      </c>
    </row>
    <row r="2760" spans="1:14" x14ac:dyDescent="0.15">
      <c r="A2760" s="1">
        <v>365</v>
      </c>
      <c r="B2760" s="1" t="s">
        <v>1442</v>
      </c>
      <c r="C2760" s="1" t="s">
        <v>1469</v>
      </c>
      <c r="D2760" s="1" t="s">
        <v>1470</v>
      </c>
      <c r="E2760" s="1" t="s">
        <v>1469</v>
      </c>
      <c r="F2760" s="1" t="s">
        <v>1470</v>
      </c>
      <c r="G2760" s="1" t="s">
        <v>1471</v>
      </c>
      <c r="H2760" s="1" t="s">
        <v>1470</v>
      </c>
      <c r="I2760" s="1" t="s">
        <v>7828</v>
      </c>
      <c r="J2760" s="1" t="s">
        <v>1473</v>
      </c>
      <c r="K2760" s="1">
        <v>6</v>
      </c>
      <c r="L2760" s="1" t="s">
        <v>4254</v>
      </c>
      <c r="M2760" s="1">
        <v>8</v>
      </c>
      <c r="N2760" s="1" t="s">
        <v>4255</v>
      </c>
    </row>
    <row r="2761" spans="1:14" x14ac:dyDescent="0.15">
      <c r="A2761" s="1">
        <v>365</v>
      </c>
      <c r="B2761" s="1" t="s">
        <v>1442</v>
      </c>
      <c r="C2761" s="1" t="s">
        <v>1469</v>
      </c>
      <c r="D2761" s="1" t="s">
        <v>1470</v>
      </c>
      <c r="E2761" s="1" t="s">
        <v>1469</v>
      </c>
      <c r="F2761" s="1" t="s">
        <v>1470</v>
      </c>
      <c r="G2761" s="1" t="s">
        <v>1471</v>
      </c>
      <c r="H2761" s="1" t="s">
        <v>1470</v>
      </c>
      <c r="I2761" s="1" t="s">
        <v>7819</v>
      </c>
      <c r="J2761" s="1" t="s">
        <v>1300</v>
      </c>
      <c r="K2761" s="1">
        <v>6</v>
      </c>
      <c r="L2761" s="1" t="s">
        <v>4254</v>
      </c>
      <c r="M2761" s="1">
        <v>8</v>
      </c>
      <c r="N2761" s="1" t="s">
        <v>4255</v>
      </c>
    </row>
    <row r="2762" spans="1:14" x14ac:dyDescent="0.15">
      <c r="A2762" s="1">
        <v>365</v>
      </c>
      <c r="B2762" s="1" t="s">
        <v>1442</v>
      </c>
      <c r="C2762" s="1" t="s">
        <v>1469</v>
      </c>
      <c r="D2762" s="1" t="s">
        <v>1470</v>
      </c>
      <c r="E2762" s="1" t="s">
        <v>1469</v>
      </c>
      <c r="F2762" s="1" t="s">
        <v>1470</v>
      </c>
      <c r="G2762" s="1" t="s">
        <v>1471</v>
      </c>
      <c r="H2762" s="1" t="s">
        <v>1470</v>
      </c>
      <c r="I2762" s="1" t="s">
        <v>7822</v>
      </c>
      <c r="J2762" s="1" t="s">
        <v>1474</v>
      </c>
      <c r="K2762" s="1">
        <v>6</v>
      </c>
      <c r="L2762" s="1" t="s">
        <v>4254</v>
      </c>
      <c r="M2762" s="1">
        <v>8</v>
      </c>
      <c r="N2762" s="1" t="s">
        <v>4255</v>
      </c>
    </row>
    <row r="2763" spans="1:14" x14ac:dyDescent="0.15">
      <c r="A2763" s="1">
        <v>365</v>
      </c>
      <c r="B2763" s="1" t="s">
        <v>1442</v>
      </c>
      <c r="C2763" s="1" t="s">
        <v>1469</v>
      </c>
      <c r="D2763" s="1" t="s">
        <v>1470</v>
      </c>
      <c r="E2763" s="1" t="s">
        <v>1469</v>
      </c>
      <c r="F2763" s="1" t="s">
        <v>1470</v>
      </c>
      <c r="G2763" s="1" t="s">
        <v>1471</v>
      </c>
      <c r="H2763" s="1" t="s">
        <v>1470</v>
      </c>
      <c r="I2763" s="1" t="s">
        <v>7825</v>
      </c>
      <c r="J2763" s="1" t="s">
        <v>1475</v>
      </c>
      <c r="K2763" s="1">
        <v>6</v>
      </c>
      <c r="L2763" s="1" t="s">
        <v>4254</v>
      </c>
      <c r="M2763" s="1">
        <v>8</v>
      </c>
      <c r="N2763" s="1" t="s">
        <v>4255</v>
      </c>
    </row>
    <row r="2764" spans="1:14" x14ac:dyDescent="0.15">
      <c r="A2764" s="1">
        <v>365</v>
      </c>
      <c r="B2764" s="1" t="s">
        <v>1442</v>
      </c>
      <c r="C2764" s="1" t="s">
        <v>1469</v>
      </c>
      <c r="D2764" s="1" t="s">
        <v>1470</v>
      </c>
      <c r="E2764" s="1" t="s">
        <v>1469</v>
      </c>
      <c r="F2764" s="1" t="s">
        <v>1470</v>
      </c>
      <c r="G2764" s="1" t="s">
        <v>1471</v>
      </c>
      <c r="H2764" s="1" t="s">
        <v>1470</v>
      </c>
      <c r="I2764" s="1" t="s">
        <v>7831</v>
      </c>
      <c r="J2764" s="1" t="s">
        <v>1476</v>
      </c>
      <c r="K2764" s="1">
        <v>6</v>
      </c>
      <c r="L2764" s="1" t="s">
        <v>4254</v>
      </c>
      <c r="M2764" s="1">
        <v>8</v>
      </c>
      <c r="N2764" s="1" t="s">
        <v>4255</v>
      </c>
    </row>
    <row r="2765" spans="1:14" x14ac:dyDescent="0.15">
      <c r="A2765" s="1">
        <v>363</v>
      </c>
      <c r="B2765" s="1" t="s">
        <v>1434</v>
      </c>
      <c r="C2765" s="1" t="s">
        <v>1435</v>
      </c>
      <c r="D2765" s="1" t="s">
        <v>1434</v>
      </c>
      <c r="E2765" s="1" t="s">
        <v>1435</v>
      </c>
      <c r="F2765" s="1" t="s">
        <v>1434</v>
      </c>
      <c r="G2765" s="1" t="s">
        <v>1436</v>
      </c>
      <c r="H2765" s="1" t="s">
        <v>1434</v>
      </c>
      <c r="I2765" s="1" t="s">
        <v>7799</v>
      </c>
      <c r="J2765" s="1" t="s">
        <v>1477</v>
      </c>
      <c r="K2765" s="1">
        <v>6</v>
      </c>
      <c r="L2765" s="1" t="s">
        <v>4254</v>
      </c>
      <c r="M2765" s="1">
        <v>8</v>
      </c>
      <c r="N2765" s="1" t="s">
        <v>4255</v>
      </c>
    </row>
    <row r="2766" spans="1:14" x14ac:dyDescent="0.15">
      <c r="A2766" s="1">
        <v>365</v>
      </c>
      <c r="B2766" s="1" t="s">
        <v>1442</v>
      </c>
      <c r="C2766" s="1" t="s">
        <v>1469</v>
      </c>
      <c r="D2766" s="1" t="s">
        <v>1470</v>
      </c>
      <c r="E2766" s="1" t="s">
        <v>1469</v>
      </c>
      <c r="F2766" s="1" t="s">
        <v>1470</v>
      </c>
      <c r="G2766" s="1" t="s">
        <v>1471</v>
      </c>
      <c r="H2766" s="1" t="s">
        <v>1470</v>
      </c>
      <c r="I2766" s="1" t="s">
        <v>7809</v>
      </c>
      <c r="J2766" s="1" t="s">
        <v>1478</v>
      </c>
      <c r="K2766" s="1">
        <v>6</v>
      </c>
      <c r="L2766" s="1" t="s">
        <v>4254</v>
      </c>
      <c r="M2766" s="1">
        <v>8</v>
      </c>
      <c r="N2766" s="1" t="s">
        <v>4255</v>
      </c>
    </row>
    <row r="2767" spans="1:14" x14ac:dyDescent="0.15">
      <c r="A2767" s="1">
        <v>365</v>
      </c>
      <c r="B2767" s="1" t="s">
        <v>1442</v>
      </c>
      <c r="C2767" s="1" t="s">
        <v>1469</v>
      </c>
      <c r="D2767" s="1" t="s">
        <v>1470</v>
      </c>
      <c r="E2767" s="1" t="s">
        <v>1469</v>
      </c>
      <c r="F2767" s="1" t="s">
        <v>1470</v>
      </c>
      <c r="G2767" s="1" t="s">
        <v>1471</v>
      </c>
      <c r="H2767" s="1" t="s">
        <v>1470</v>
      </c>
      <c r="I2767" s="1" t="s">
        <v>7714</v>
      </c>
      <c r="J2767" s="1" t="s">
        <v>1479</v>
      </c>
      <c r="K2767" s="1">
        <v>6</v>
      </c>
      <c r="L2767" s="1" t="s">
        <v>4254</v>
      </c>
      <c r="M2767" s="1">
        <v>8</v>
      </c>
      <c r="N2767" s="1" t="s">
        <v>4255</v>
      </c>
    </row>
    <row r="2768" spans="1:14" x14ac:dyDescent="0.15">
      <c r="A2768" s="1">
        <v>370</v>
      </c>
      <c r="B2768" s="1" t="s">
        <v>1480</v>
      </c>
      <c r="C2768" s="1" t="s">
        <v>1481</v>
      </c>
      <c r="D2768" s="1" t="s">
        <v>1480</v>
      </c>
      <c r="E2768" s="1" t="s">
        <v>1481</v>
      </c>
      <c r="F2768" s="1" t="s">
        <v>1480</v>
      </c>
      <c r="G2768" s="1" t="s">
        <v>1482</v>
      </c>
      <c r="H2768" s="1" t="s">
        <v>1480</v>
      </c>
      <c r="I2768" s="1" t="s">
        <v>16842</v>
      </c>
      <c r="J2768" s="1" t="s">
        <v>6242</v>
      </c>
      <c r="K2768" s="1">
        <v>9</v>
      </c>
      <c r="L2768" s="1" t="s">
        <v>4199</v>
      </c>
      <c r="M2768" s="1">
        <v>12</v>
      </c>
      <c r="N2768" s="1" t="s">
        <v>2841</v>
      </c>
    </row>
    <row r="2769" spans="1:14" x14ac:dyDescent="0.15">
      <c r="A2769" s="1">
        <v>370</v>
      </c>
      <c r="B2769" s="1" t="s">
        <v>1480</v>
      </c>
      <c r="C2769" s="1" t="s">
        <v>1481</v>
      </c>
      <c r="D2769" s="1" t="s">
        <v>1480</v>
      </c>
      <c r="E2769" s="1" t="s">
        <v>1481</v>
      </c>
      <c r="F2769" s="1" t="s">
        <v>1480</v>
      </c>
      <c r="G2769" s="1" t="s">
        <v>1482</v>
      </c>
      <c r="H2769" s="1" t="s">
        <v>1480</v>
      </c>
      <c r="I2769" s="1" t="s">
        <v>8769</v>
      </c>
      <c r="J2769" s="1" t="s">
        <v>3030</v>
      </c>
      <c r="K2769" s="1">
        <v>9</v>
      </c>
      <c r="L2769" s="1" t="s">
        <v>4199</v>
      </c>
      <c r="M2769" s="1">
        <v>12</v>
      </c>
      <c r="N2769" s="1" t="s">
        <v>2841</v>
      </c>
    </row>
    <row r="2770" spans="1:14" x14ac:dyDescent="0.15">
      <c r="A2770" s="1">
        <v>371</v>
      </c>
      <c r="B2770" s="1" t="s">
        <v>1483</v>
      </c>
      <c r="C2770" s="1" t="s">
        <v>1484</v>
      </c>
      <c r="D2770" s="1" t="s">
        <v>1483</v>
      </c>
      <c r="E2770" s="1" t="s">
        <v>1484</v>
      </c>
      <c r="F2770" s="1" t="s">
        <v>1483</v>
      </c>
      <c r="G2770" s="1" t="s">
        <v>1485</v>
      </c>
      <c r="H2770" s="1" t="s">
        <v>1483</v>
      </c>
      <c r="I2770" s="1" t="s">
        <v>16842</v>
      </c>
      <c r="J2770" s="1" t="s">
        <v>6242</v>
      </c>
      <c r="K2770" s="1">
        <v>9</v>
      </c>
      <c r="L2770" s="1" t="s">
        <v>4199</v>
      </c>
      <c r="M2770" s="1">
        <v>12</v>
      </c>
      <c r="N2770" s="1" t="s">
        <v>2841</v>
      </c>
    </row>
    <row r="2771" spans="1:14" x14ac:dyDescent="0.15">
      <c r="A2771" s="1">
        <v>371</v>
      </c>
      <c r="B2771" s="1" t="s">
        <v>1483</v>
      </c>
      <c r="C2771" s="1" t="s">
        <v>1484</v>
      </c>
      <c r="D2771" s="1" t="s">
        <v>1483</v>
      </c>
      <c r="E2771" s="1" t="s">
        <v>1484</v>
      </c>
      <c r="F2771" s="1" t="s">
        <v>1483</v>
      </c>
      <c r="G2771" s="1" t="s">
        <v>1485</v>
      </c>
      <c r="H2771" s="1" t="s">
        <v>1483</v>
      </c>
      <c r="I2771" s="1" t="s">
        <v>14590</v>
      </c>
      <c r="J2771" s="1" t="s">
        <v>14591</v>
      </c>
      <c r="K2771" s="1">
        <v>9</v>
      </c>
      <c r="L2771" s="1" t="s">
        <v>4199</v>
      </c>
      <c r="M2771" s="1">
        <v>12</v>
      </c>
      <c r="N2771" s="1" t="s">
        <v>2841</v>
      </c>
    </row>
    <row r="2772" spans="1:14" x14ac:dyDescent="0.15">
      <c r="A2772" s="1">
        <v>371</v>
      </c>
      <c r="B2772" s="1" t="s">
        <v>1483</v>
      </c>
      <c r="C2772" s="1" t="s">
        <v>1484</v>
      </c>
      <c r="D2772" s="1" t="s">
        <v>1483</v>
      </c>
      <c r="E2772" s="1" t="s">
        <v>1484</v>
      </c>
      <c r="F2772" s="1" t="s">
        <v>1483</v>
      </c>
      <c r="G2772" s="1" t="s">
        <v>1485</v>
      </c>
      <c r="H2772" s="1" t="s">
        <v>1483</v>
      </c>
      <c r="I2772" s="1" t="s">
        <v>14594</v>
      </c>
      <c r="J2772" s="1" t="s">
        <v>6243</v>
      </c>
      <c r="K2772" s="1">
        <v>9</v>
      </c>
      <c r="L2772" s="1" t="s">
        <v>4199</v>
      </c>
      <c r="M2772" s="1">
        <v>12</v>
      </c>
      <c r="N2772" s="1" t="s">
        <v>2841</v>
      </c>
    </row>
    <row r="2773" spans="1:14" x14ac:dyDescent="0.15">
      <c r="A2773" s="1">
        <v>372</v>
      </c>
      <c r="B2773" s="1" t="s">
        <v>1486</v>
      </c>
      <c r="C2773" s="1" t="s">
        <v>1487</v>
      </c>
      <c r="D2773" s="1" t="s">
        <v>1486</v>
      </c>
      <c r="E2773" s="1" t="s">
        <v>1487</v>
      </c>
      <c r="F2773" s="1" t="s">
        <v>1486</v>
      </c>
      <c r="G2773" s="1" t="s">
        <v>1488</v>
      </c>
      <c r="H2773" s="1" t="s">
        <v>1486</v>
      </c>
      <c r="I2773" s="1" t="s">
        <v>14618</v>
      </c>
      <c r="J2773" s="1" t="s">
        <v>14619</v>
      </c>
      <c r="K2773" s="1">
        <v>9</v>
      </c>
      <c r="L2773" s="1" t="s">
        <v>4199</v>
      </c>
      <c r="M2773" s="1">
        <v>12</v>
      </c>
      <c r="N2773" s="1" t="s">
        <v>2841</v>
      </c>
    </row>
    <row r="2774" spans="1:14" x14ac:dyDescent="0.15">
      <c r="A2774" s="1">
        <v>372</v>
      </c>
      <c r="B2774" s="1" t="s">
        <v>1486</v>
      </c>
      <c r="C2774" s="1" t="s">
        <v>1487</v>
      </c>
      <c r="D2774" s="1" t="s">
        <v>1486</v>
      </c>
      <c r="E2774" s="1" t="s">
        <v>1487</v>
      </c>
      <c r="F2774" s="1" t="s">
        <v>1486</v>
      </c>
      <c r="G2774" s="1" t="s">
        <v>1488</v>
      </c>
      <c r="H2774" s="1" t="s">
        <v>1486</v>
      </c>
      <c r="I2774" s="1" t="s">
        <v>14622</v>
      </c>
      <c r="J2774" s="1" t="s">
        <v>14623</v>
      </c>
      <c r="K2774" s="1">
        <v>9</v>
      </c>
      <c r="L2774" s="1" t="s">
        <v>4199</v>
      </c>
      <c r="M2774" s="1">
        <v>12</v>
      </c>
      <c r="N2774" s="1" t="s">
        <v>2841</v>
      </c>
    </row>
    <row r="2775" spans="1:14" x14ac:dyDescent="0.15">
      <c r="A2775" s="1">
        <v>372</v>
      </c>
      <c r="B2775" s="1" t="s">
        <v>1486</v>
      </c>
      <c r="C2775" s="1" t="s">
        <v>1487</v>
      </c>
      <c r="D2775" s="1" t="s">
        <v>1486</v>
      </c>
      <c r="E2775" s="1" t="s">
        <v>1487</v>
      </c>
      <c r="F2775" s="1" t="s">
        <v>1486</v>
      </c>
      <c r="G2775" s="1" t="s">
        <v>1489</v>
      </c>
      <c r="H2775" s="1" t="s">
        <v>1490</v>
      </c>
      <c r="I2775" s="1" t="s">
        <v>14618</v>
      </c>
      <c r="J2775" s="1" t="s">
        <v>14619</v>
      </c>
      <c r="K2775" s="1">
        <v>9</v>
      </c>
      <c r="L2775" s="1" t="s">
        <v>4199</v>
      </c>
      <c r="M2775" s="1">
        <v>12</v>
      </c>
      <c r="N2775" s="1" t="s">
        <v>2841</v>
      </c>
    </row>
    <row r="2776" spans="1:14" x14ac:dyDescent="0.15">
      <c r="A2776" s="1">
        <v>372</v>
      </c>
      <c r="B2776" s="1" t="s">
        <v>1486</v>
      </c>
      <c r="C2776" s="1" t="s">
        <v>1487</v>
      </c>
      <c r="D2776" s="1" t="s">
        <v>1486</v>
      </c>
      <c r="E2776" s="1" t="s">
        <v>1487</v>
      </c>
      <c r="F2776" s="1" t="s">
        <v>1486</v>
      </c>
      <c r="G2776" s="1" t="s">
        <v>1489</v>
      </c>
      <c r="H2776" s="1" t="s">
        <v>1490</v>
      </c>
      <c r="I2776" s="1" t="s">
        <v>14622</v>
      </c>
      <c r="J2776" s="1" t="s">
        <v>14623</v>
      </c>
      <c r="K2776" s="1">
        <v>9</v>
      </c>
      <c r="L2776" s="1" t="s">
        <v>4199</v>
      </c>
      <c r="M2776" s="1">
        <v>12</v>
      </c>
      <c r="N2776" s="1" t="s">
        <v>2841</v>
      </c>
    </row>
    <row r="2777" spans="1:14" x14ac:dyDescent="0.15">
      <c r="A2777" s="1">
        <v>372</v>
      </c>
      <c r="B2777" s="1" t="s">
        <v>1486</v>
      </c>
      <c r="C2777" s="1" t="s">
        <v>1487</v>
      </c>
      <c r="D2777" s="1" t="s">
        <v>1486</v>
      </c>
      <c r="E2777" s="1" t="s">
        <v>1487</v>
      </c>
      <c r="F2777" s="1" t="s">
        <v>1486</v>
      </c>
      <c r="G2777" s="1" t="s">
        <v>1491</v>
      </c>
      <c r="H2777" s="1" t="s">
        <v>1492</v>
      </c>
      <c r="I2777" s="1" t="s">
        <v>14618</v>
      </c>
      <c r="J2777" s="1" t="s">
        <v>14619</v>
      </c>
      <c r="K2777" s="1">
        <v>9</v>
      </c>
      <c r="L2777" s="1" t="s">
        <v>4199</v>
      </c>
      <c r="M2777" s="1">
        <v>12</v>
      </c>
      <c r="N2777" s="1" t="s">
        <v>2841</v>
      </c>
    </row>
    <row r="2778" spans="1:14" x14ac:dyDescent="0.15">
      <c r="A2778" s="1">
        <v>372</v>
      </c>
      <c r="B2778" s="1" t="s">
        <v>1486</v>
      </c>
      <c r="C2778" s="1" t="s">
        <v>1487</v>
      </c>
      <c r="D2778" s="1" t="s">
        <v>1486</v>
      </c>
      <c r="E2778" s="1" t="s">
        <v>1487</v>
      </c>
      <c r="F2778" s="1" t="s">
        <v>1486</v>
      </c>
      <c r="G2778" s="1" t="s">
        <v>1491</v>
      </c>
      <c r="H2778" s="1" t="s">
        <v>1492</v>
      </c>
      <c r="I2778" s="1" t="s">
        <v>14622</v>
      </c>
      <c r="J2778" s="1" t="s">
        <v>14623</v>
      </c>
      <c r="K2778" s="1">
        <v>9</v>
      </c>
      <c r="L2778" s="1" t="s">
        <v>4199</v>
      </c>
      <c r="M2778" s="1">
        <v>12</v>
      </c>
      <c r="N2778" s="1" t="s">
        <v>2841</v>
      </c>
    </row>
    <row r="2779" spans="1:14" x14ac:dyDescent="0.15">
      <c r="A2779" s="1">
        <v>373</v>
      </c>
      <c r="B2779" s="1" t="s">
        <v>1493</v>
      </c>
      <c r="C2779" s="1" t="s">
        <v>1494</v>
      </c>
      <c r="D2779" s="1" t="s">
        <v>1495</v>
      </c>
      <c r="E2779" s="1" t="s">
        <v>1494</v>
      </c>
      <c r="F2779" s="1" t="s">
        <v>1496</v>
      </c>
      <c r="G2779" s="1" t="s">
        <v>1497</v>
      </c>
      <c r="H2779" s="1" t="s">
        <v>1496</v>
      </c>
      <c r="I2779" s="1" t="s">
        <v>8766</v>
      </c>
      <c r="J2779" s="1" t="s">
        <v>1498</v>
      </c>
      <c r="K2779" s="1">
        <v>9</v>
      </c>
      <c r="L2779" s="1" t="s">
        <v>4199</v>
      </c>
      <c r="M2779" s="1">
        <v>12</v>
      </c>
      <c r="N2779" s="1" t="s">
        <v>2841</v>
      </c>
    </row>
    <row r="2780" spans="1:14" x14ac:dyDescent="0.15">
      <c r="A2780" s="1">
        <v>373</v>
      </c>
      <c r="B2780" s="1" t="s">
        <v>1493</v>
      </c>
      <c r="C2780" s="1" t="s">
        <v>1494</v>
      </c>
      <c r="D2780" s="1" t="s">
        <v>1495</v>
      </c>
      <c r="E2780" s="1" t="s">
        <v>1494</v>
      </c>
      <c r="F2780" s="1" t="s">
        <v>1496</v>
      </c>
      <c r="G2780" s="1" t="s">
        <v>1497</v>
      </c>
      <c r="H2780" s="1" t="s">
        <v>1496</v>
      </c>
      <c r="I2780" s="1" t="s">
        <v>14638</v>
      </c>
      <c r="J2780" s="1" t="s">
        <v>14635</v>
      </c>
      <c r="K2780" s="1">
        <v>9</v>
      </c>
      <c r="L2780" s="1" t="s">
        <v>4199</v>
      </c>
      <c r="M2780" s="1">
        <v>12</v>
      </c>
      <c r="N2780" s="1" t="s">
        <v>2841</v>
      </c>
    </row>
    <row r="2781" spans="1:14" x14ac:dyDescent="0.15">
      <c r="A2781" s="1">
        <v>374</v>
      </c>
      <c r="B2781" s="1" t="s">
        <v>1499</v>
      </c>
      <c r="C2781" s="1" t="s">
        <v>1500</v>
      </c>
      <c r="D2781" s="1" t="s">
        <v>1499</v>
      </c>
      <c r="E2781" s="1" t="s">
        <v>1500</v>
      </c>
      <c r="F2781" s="1" t="s">
        <v>1499</v>
      </c>
      <c r="G2781" s="1" t="s">
        <v>1501</v>
      </c>
      <c r="H2781" s="1" t="s">
        <v>1499</v>
      </c>
      <c r="I2781" s="1" t="s">
        <v>14626</v>
      </c>
      <c r="J2781" s="1" t="s">
        <v>14627</v>
      </c>
      <c r="K2781" s="1">
        <v>9</v>
      </c>
      <c r="L2781" s="1" t="s">
        <v>4199</v>
      </c>
      <c r="M2781" s="1">
        <v>12</v>
      </c>
      <c r="N2781" s="1" t="s">
        <v>2841</v>
      </c>
    </row>
    <row r="2782" spans="1:14" x14ac:dyDescent="0.15">
      <c r="A2782" s="1">
        <v>374</v>
      </c>
      <c r="B2782" s="1" t="s">
        <v>1499</v>
      </c>
      <c r="C2782" s="1" t="s">
        <v>1500</v>
      </c>
      <c r="D2782" s="1" t="s">
        <v>1499</v>
      </c>
      <c r="E2782" s="1" t="s">
        <v>1500</v>
      </c>
      <c r="F2782" s="1" t="s">
        <v>1499</v>
      </c>
      <c r="G2782" s="1" t="s">
        <v>1501</v>
      </c>
      <c r="H2782" s="1" t="s">
        <v>1499</v>
      </c>
      <c r="I2782" s="1" t="s">
        <v>14630</v>
      </c>
      <c r="J2782" s="1" t="s">
        <v>14631</v>
      </c>
      <c r="K2782" s="1">
        <v>9</v>
      </c>
      <c r="L2782" s="1" t="s">
        <v>4199</v>
      </c>
      <c r="M2782" s="1">
        <v>12</v>
      </c>
      <c r="N2782" s="1" t="s">
        <v>2841</v>
      </c>
    </row>
    <row r="2783" spans="1:14" x14ac:dyDescent="0.15">
      <c r="A2783" s="1">
        <v>374</v>
      </c>
      <c r="B2783" s="1" t="s">
        <v>1499</v>
      </c>
      <c r="C2783" s="1" t="s">
        <v>1500</v>
      </c>
      <c r="D2783" s="1" t="s">
        <v>1499</v>
      </c>
      <c r="E2783" s="1" t="s">
        <v>1500</v>
      </c>
      <c r="F2783" s="1" t="s">
        <v>1499</v>
      </c>
      <c r="G2783" s="1" t="s">
        <v>1502</v>
      </c>
      <c r="H2783" s="1" t="s">
        <v>1503</v>
      </c>
      <c r="I2783" s="1" t="s">
        <v>14626</v>
      </c>
      <c r="J2783" s="1" t="s">
        <v>14627</v>
      </c>
      <c r="K2783" s="1">
        <v>9</v>
      </c>
      <c r="L2783" s="1" t="s">
        <v>4199</v>
      </c>
      <c r="M2783" s="1">
        <v>12</v>
      </c>
      <c r="N2783" s="1" t="s">
        <v>2841</v>
      </c>
    </row>
    <row r="2784" spans="1:14" x14ac:dyDescent="0.15">
      <c r="A2784" s="1">
        <v>374</v>
      </c>
      <c r="B2784" s="1" t="s">
        <v>1499</v>
      </c>
      <c r="C2784" s="1" t="s">
        <v>1500</v>
      </c>
      <c r="D2784" s="1" t="s">
        <v>1499</v>
      </c>
      <c r="E2784" s="1" t="s">
        <v>1500</v>
      </c>
      <c r="F2784" s="1" t="s">
        <v>1499</v>
      </c>
      <c r="G2784" s="1" t="s">
        <v>1502</v>
      </c>
      <c r="H2784" s="1" t="s">
        <v>1503</v>
      </c>
      <c r="I2784" s="1" t="s">
        <v>14630</v>
      </c>
      <c r="J2784" s="1" t="s">
        <v>14631</v>
      </c>
      <c r="K2784" s="1">
        <v>9</v>
      </c>
      <c r="L2784" s="1" t="s">
        <v>4199</v>
      </c>
      <c r="M2784" s="1">
        <v>12</v>
      </c>
      <c r="N2784" s="1" t="s">
        <v>2841</v>
      </c>
    </row>
    <row r="2785" spans="1:14" x14ac:dyDescent="0.15">
      <c r="A2785" s="1">
        <v>374</v>
      </c>
      <c r="B2785" s="1" t="s">
        <v>1499</v>
      </c>
      <c r="C2785" s="1" t="s">
        <v>1500</v>
      </c>
      <c r="D2785" s="1" t="s">
        <v>1499</v>
      </c>
      <c r="E2785" s="1" t="s">
        <v>1500</v>
      </c>
      <c r="F2785" s="1" t="s">
        <v>1499</v>
      </c>
      <c r="G2785" s="1" t="s">
        <v>1504</v>
      </c>
      <c r="H2785" s="1" t="s">
        <v>1505</v>
      </c>
      <c r="I2785" s="1" t="s">
        <v>14626</v>
      </c>
      <c r="J2785" s="1" t="s">
        <v>14627</v>
      </c>
      <c r="K2785" s="1">
        <v>9</v>
      </c>
      <c r="L2785" s="1" t="s">
        <v>4199</v>
      </c>
      <c r="M2785" s="1">
        <v>12</v>
      </c>
      <c r="N2785" s="1" t="s">
        <v>2841</v>
      </c>
    </row>
    <row r="2786" spans="1:14" x14ac:dyDescent="0.15">
      <c r="A2786" s="1">
        <v>374</v>
      </c>
      <c r="B2786" s="1" t="s">
        <v>1499</v>
      </c>
      <c r="C2786" s="1" t="s">
        <v>1500</v>
      </c>
      <c r="D2786" s="1" t="s">
        <v>1499</v>
      </c>
      <c r="E2786" s="1" t="s">
        <v>1500</v>
      </c>
      <c r="F2786" s="1" t="s">
        <v>1499</v>
      </c>
      <c r="G2786" s="1" t="s">
        <v>1504</v>
      </c>
      <c r="H2786" s="1" t="s">
        <v>1505</v>
      </c>
      <c r="I2786" s="1" t="s">
        <v>14630</v>
      </c>
      <c r="J2786" s="1" t="s">
        <v>14631</v>
      </c>
      <c r="K2786" s="1">
        <v>9</v>
      </c>
      <c r="L2786" s="1" t="s">
        <v>4199</v>
      </c>
      <c r="M2786" s="1">
        <v>12</v>
      </c>
      <c r="N2786" s="1" t="s">
        <v>2841</v>
      </c>
    </row>
    <row r="2787" spans="1:14" x14ac:dyDescent="0.15">
      <c r="A2787" s="1">
        <v>375</v>
      </c>
      <c r="B2787" s="1" t="s">
        <v>1506</v>
      </c>
      <c r="C2787" s="1" t="s">
        <v>1507</v>
      </c>
      <c r="D2787" s="1" t="s">
        <v>1506</v>
      </c>
      <c r="E2787" s="1" t="s">
        <v>1507</v>
      </c>
      <c r="F2787" s="1" t="s">
        <v>1506</v>
      </c>
      <c r="G2787" s="1" t="s">
        <v>1508</v>
      </c>
      <c r="H2787" s="1" t="s">
        <v>1506</v>
      </c>
      <c r="I2787" s="1" t="s">
        <v>11879</v>
      </c>
      <c r="J2787" s="1" t="s">
        <v>4278</v>
      </c>
      <c r="K2787" s="1">
        <v>9</v>
      </c>
      <c r="L2787" s="1" t="s">
        <v>4199</v>
      </c>
      <c r="M2787" s="1">
        <v>12</v>
      </c>
      <c r="N2787" s="1" t="s">
        <v>2841</v>
      </c>
    </row>
    <row r="2788" spans="1:14" x14ac:dyDescent="0.15">
      <c r="A2788" s="1">
        <v>375</v>
      </c>
      <c r="B2788" s="1" t="s">
        <v>1506</v>
      </c>
      <c r="C2788" s="1" t="s">
        <v>1509</v>
      </c>
      <c r="D2788" s="1" t="s">
        <v>1510</v>
      </c>
      <c r="E2788" s="1" t="s">
        <v>1509</v>
      </c>
      <c r="F2788" s="1" t="s">
        <v>1510</v>
      </c>
      <c r="G2788" s="1" t="s">
        <v>1511</v>
      </c>
      <c r="H2788" s="1" t="s">
        <v>1510</v>
      </c>
      <c r="I2788" s="1" t="s">
        <v>14618</v>
      </c>
      <c r="J2788" s="1" t="s">
        <v>14619</v>
      </c>
      <c r="K2788" s="1">
        <v>9</v>
      </c>
      <c r="L2788" s="1" t="s">
        <v>4199</v>
      </c>
      <c r="M2788" s="1">
        <v>12</v>
      </c>
      <c r="N2788" s="1" t="s">
        <v>2841</v>
      </c>
    </row>
    <row r="2789" spans="1:14" x14ac:dyDescent="0.15">
      <c r="A2789" s="1">
        <v>375</v>
      </c>
      <c r="B2789" s="1" t="s">
        <v>1506</v>
      </c>
      <c r="C2789" s="1" t="s">
        <v>1509</v>
      </c>
      <c r="D2789" s="1" t="s">
        <v>1510</v>
      </c>
      <c r="E2789" s="1" t="s">
        <v>1509</v>
      </c>
      <c r="F2789" s="1" t="s">
        <v>1510</v>
      </c>
      <c r="G2789" s="1" t="s">
        <v>1511</v>
      </c>
      <c r="H2789" s="1" t="s">
        <v>1510</v>
      </c>
      <c r="I2789" s="1" t="s">
        <v>14626</v>
      </c>
      <c r="J2789" s="1" t="s">
        <v>14627</v>
      </c>
      <c r="K2789" s="1">
        <v>9</v>
      </c>
      <c r="L2789" s="1" t="s">
        <v>4199</v>
      </c>
      <c r="M2789" s="1">
        <v>12</v>
      </c>
      <c r="N2789" s="1" t="s">
        <v>2841</v>
      </c>
    </row>
    <row r="2790" spans="1:14" x14ac:dyDescent="0.15">
      <c r="A2790" s="1">
        <v>375</v>
      </c>
      <c r="B2790" s="1" t="s">
        <v>1506</v>
      </c>
      <c r="C2790" s="1" t="s">
        <v>1509</v>
      </c>
      <c r="D2790" s="1" t="s">
        <v>1510</v>
      </c>
      <c r="E2790" s="1" t="s">
        <v>1509</v>
      </c>
      <c r="F2790" s="1" t="s">
        <v>1510</v>
      </c>
      <c r="G2790" s="1" t="s">
        <v>1512</v>
      </c>
      <c r="H2790" s="1" t="s">
        <v>1506</v>
      </c>
      <c r="I2790" s="1" t="s">
        <v>14618</v>
      </c>
      <c r="J2790" s="1" t="s">
        <v>14619</v>
      </c>
      <c r="K2790" s="1">
        <v>9</v>
      </c>
      <c r="L2790" s="1" t="s">
        <v>4199</v>
      </c>
      <c r="M2790" s="1">
        <v>12</v>
      </c>
      <c r="N2790" s="1" t="s">
        <v>2841</v>
      </c>
    </row>
    <row r="2791" spans="1:14" x14ac:dyDescent="0.15">
      <c r="A2791" s="1">
        <v>375</v>
      </c>
      <c r="B2791" s="1" t="s">
        <v>1506</v>
      </c>
      <c r="C2791" s="1" t="s">
        <v>1509</v>
      </c>
      <c r="D2791" s="1" t="s">
        <v>1510</v>
      </c>
      <c r="E2791" s="1" t="s">
        <v>1509</v>
      </c>
      <c r="F2791" s="1" t="s">
        <v>1510</v>
      </c>
      <c r="G2791" s="1" t="s">
        <v>1512</v>
      </c>
      <c r="H2791" s="1" t="s">
        <v>1506</v>
      </c>
      <c r="I2791" s="1" t="s">
        <v>14626</v>
      </c>
      <c r="J2791" s="1" t="s">
        <v>14627</v>
      </c>
      <c r="K2791" s="1">
        <v>9</v>
      </c>
      <c r="L2791" s="1" t="s">
        <v>4199</v>
      </c>
      <c r="M2791" s="1">
        <v>12</v>
      </c>
      <c r="N2791" s="1" t="s">
        <v>4318</v>
      </c>
    </row>
    <row r="2792" spans="1:14" x14ac:dyDescent="0.15">
      <c r="A2792" s="1">
        <v>375</v>
      </c>
      <c r="B2792" s="1" t="s">
        <v>1506</v>
      </c>
      <c r="C2792" s="1" t="s">
        <v>1509</v>
      </c>
      <c r="D2792" s="1" t="s">
        <v>1510</v>
      </c>
      <c r="E2792" s="1" t="s">
        <v>1509</v>
      </c>
      <c r="F2792" s="1" t="s">
        <v>1510</v>
      </c>
      <c r="G2792" s="1" t="s">
        <v>1513</v>
      </c>
      <c r="H2792" s="1" t="s">
        <v>1514</v>
      </c>
      <c r="I2792" s="1" t="s">
        <v>14618</v>
      </c>
      <c r="J2792" s="1" t="s">
        <v>14619</v>
      </c>
      <c r="K2792" s="1">
        <v>9</v>
      </c>
      <c r="L2792" s="1" t="s">
        <v>4199</v>
      </c>
      <c r="M2792" s="1">
        <v>12</v>
      </c>
      <c r="N2792" s="1" t="s">
        <v>2841</v>
      </c>
    </row>
    <row r="2793" spans="1:14" x14ac:dyDescent="0.15">
      <c r="A2793" s="1">
        <v>375</v>
      </c>
      <c r="B2793" s="1" t="s">
        <v>1506</v>
      </c>
      <c r="C2793" s="1" t="s">
        <v>1509</v>
      </c>
      <c r="D2793" s="1" t="s">
        <v>1510</v>
      </c>
      <c r="E2793" s="1" t="s">
        <v>1509</v>
      </c>
      <c r="F2793" s="1" t="s">
        <v>1510</v>
      </c>
      <c r="G2793" s="1" t="s">
        <v>1513</v>
      </c>
      <c r="H2793" s="1" t="s">
        <v>1514</v>
      </c>
      <c r="I2793" s="1" t="s">
        <v>14626</v>
      </c>
      <c r="J2793" s="1" t="s">
        <v>14627</v>
      </c>
      <c r="K2793" s="1">
        <v>9</v>
      </c>
      <c r="L2793" s="1" t="s">
        <v>4199</v>
      </c>
      <c r="M2793" s="1">
        <v>12</v>
      </c>
      <c r="N2793" s="1" t="s">
        <v>2841</v>
      </c>
    </row>
    <row r="2794" spans="1:14" x14ac:dyDescent="0.15">
      <c r="A2794" s="1">
        <v>375</v>
      </c>
      <c r="B2794" s="1" t="s">
        <v>1506</v>
      </c>
      <c r="C2794" s="1" t="s">
        <v>1515</v>
      </c>
      <c r="D2794" s="1" t="s">
        <v>1516</v>
      </c>
      <c r="E2794" s="1" t="s">
        <v>1515</v>
      </c>
      <c r="F2794" s="1" t="s">
        <v>1516</v>
      </c>
      <c r="G2794" s="1" t="s">
        <v>1517</v>
      </c>
      <c r="H2794" s="1" t="s">
        <v>1516</v>
      </c>
      <c r="I2794" s="1" t="s">
        <v>14626</v>
      </c>
      <c r="J2794" s="1" t="s">
        <v>14627</v>
      </c>
      <c r="K2794" s="1">
        <v>9</v>
      </c>
      <c r="L2794" s="1" t="s">
        <v>4199</v>
      </c>
      <c r="M2794" s="1">
        <v>12</v>
      </c>
      <c r="N2794" s="1" t="s">
        <v>2841</v>
      </c>
    </row>
    <row r="2795" spans="1:14" x14ac:dyDescent="0.15">
      <c r="A2795" s="1">
        <v>380</v>
      </c>
      <c r="B2795" s="1" t="s">
        <v>1518</v>
      </c>
      <c r="C2795" s="1" t="s">
        <v>1519</v>
      </c>
      <c r="D2795" s="1" t="s">
        <v>1518</v>
      </c>
      <c r="E2795" s="1" t="s">
        <v>1519</v>
      </c>
      <c r="F2795" s="1" t="s">
        <v>1518</v>
      </c>
      <c r="G2795" s="1" t="s">
        <v>1520</v>
      </c>
      <c r="H2795" s="1" t="s">
        <v>1518</v>
      </c>
      <c r="I2795" s="1" t="s">
        <v>11879</v>
      </c>
      <c r="J2795" s="1" t="s">
        <v>4278</v>
      </c>
      <c r="K2795" s="1">
        <v>9</v>
      </c>
      <c r="L2795" s="1" t="s">
        <v>4199</v>
      </c>
      <c r="M2795" s="1">
        <v>12</v>
      </c>
      <c r="N2795" s="1" t="s">
        <v>2841</v>
      </c>
    </row>
    <row r="2796" spans="1:14" x14ac:dyDescent="0.15">
      <c r="A2796" s="1">
        <v>380</v>
      </c>
      <c r="B2796" s="1" t="s">
        <v>1518</v>
      </c>
      <c r="C2796" s="1" t="s">
        <v>1521</v>
      </c>
      <c r="D2796" s="1" t="s">
        <v>1522</v>
      </c>
      <c r="E2796" s="1" t="s">
        <v>1521</v>
      </c>
      <c r="F2796" s="1" t="s">
        <v>1522</v>
      </c>
      <c r="G2796" s="1" t="s">
        <v>1523</v>
      </c>
      <c r="H2796" s="1" t="s">
        <v>1522</v>
      </c>
      <c r="I2796" s="1" t="s">
        <v>14602</v>
      </c>
      <c r="J2796" s="1" t="s">
        <v>6245</v>
      </c>
      <c r="K2796" s="1">
        <v>9</v>
      </c>
      <c r="L2796" s="1" t="s">
        <v>4199</v>
      </c>
      <c r="M2796" s="1">
        <v>12</v>
      </c>
      <c r="N2796" s="1" t="s">
        <v>2841</v>
      </c>
    </row>
    <row r="2797" spans="1:14" x14ac:dyDescent="0.15">
      <c r="A2797" s="1">
        <v>380</v>
      </c>
      <c r="B2797" s="1" t="s">
        <v>1518</v>
      </c>
      <c r="C2797" s="1" t="s">
        <v>1524</v>
      </c>
      <c r="D2797" s="1" t="s">
        <v>1525</v>
      </c>
      <c r="E2797" s="1" t="s">
        <v>1524</v>
      </c>
      <c r="F2797" s="1" t="s">
        <v>1525</v>
      </c>
      <c r="G2797" s="1" t="s">
        <v>1526</v>
      </c>
      <c r="H2797" s="1" t="s">
        <v>1525</v>
      </c>
      <c r="I2797" s="1" t="s">
        <v>16842</v>
      </c>
      <c r="J2797" s="1" t="s">
        <v>6242</v>
      </c>
      <c r="K2797" s="1">
        <v>9</v>
      </c>
      <c r="L2797" s="1" t="s">
        <v>4199</v>
      </c>
      <c r="M2797" s="1">
        <v>12</v>
      </c>
      <c r="N2797" s="1" t="s">
        <v>2841</v>
      </c>
    </row>
    <row r="2798" spans="1:14" x14ac:dyDescent="0.15">
      <c r="A2798" s="1">
        <v>380</v>
      </c>
      <c r="B2798" s="1" t="s">
        <v>1518</v>
      </c>
      <c r="C2798" s="1" t="s">
        <v>1524</v>
      </c>
      <c r="D2798" s="1" t="s">
        <v>1525</v>
      </c>
      <c r="E2798" s="1" t="s">
        <v>1524</v>
      </c>
      <c r="F2798" s="1" t="s">
        <v>1525</v>
      </c>
      <c r="G2798" s="1" t="s">
        <v>1526</v>
      </c>
      <c r="H2798" s="1" t="s">
        <v>1525</v>
      </c>
      <c r="I2798" s="1" t="s">
        <v>8760</v>
      </c>
      <c r="J2798" s="1" t="s">
        <v>2798</v>
      </c>
      <c r="K2798" s="1">
        <v>9</v>
      </c>
      <c r="L2798" s="1" t="s">
        <v>4199</v>
      </c>
      <c r="M2798" s="1">
        <v>12</v>
      </c>
      <c r="N2798" s="1" t="s">
        <v>2841</v>
      </c>
    </row>
    <row r="2799" spans="1:14" x14ac:dyDescent="0.15">
      <c r="A2799" s="1">
        <v>380</v>
      </c>
      <c r="B2799" s="1" t="s">
        <v>1518</v>
      </c>
      <c r="C2799" s="1" t="s">
        <v>1524</v>
      </c>
      <c r="D2799" s="1" t="s">
        <v>1525</v>
      </c>
      <c r="E2799" s="1" t="s">
        <v>1524</v>
      </c>
      <c r="F2799" s="1" t="s">
        <v>1525</v>
      </c>
      <c r="G2799" s="1" t="s">
        <v>1526</v>
      </c>
      <c r="H2799" s="1" t="s">
        <v>1525</v>
      </c>
      <c r="I2799" s="1" t="s">
        <v>14610</v>
      </c>
      <c r="J2799" s="1" t="s">
        <v>14611</v>
      </c>
      <c r="K2799" s="1">
        <v>9</v>
      </c>
      <c r="L2799" s="1" t="s">
        <v>4199</v>
      </c>
      <c r="M2799" s="1">
        <v>12</v>
      </c>
      <c r="N2799" s="1" t="s">
        <v>2841</v>
      </c>
    </row>
    <row r="2800" spans="1:14" x14ac:dyDescent="0.15">
      <c r="A2800" s="1">
        <v>382</v>
      </c>
      <c r="B2800" s="1" t="s">
        <v>1527</v>
      </c>
      <c r="C2800" s="1" t="s">
        <v>1528</v>
      </c>
      <c r="D2800" s="1" t="s">
        <v>1527</v>
      </c>
      <c r="E2800" s="1" t="s">
        <v>1528</v>
      </c>
      <c r="F2800" s="1" t="s">
        <v>1527</v>
      </c>
      <c r="G2800" s="1" t="s">
        <v>1529</v>
      </c>
      <c r="H2800" s="1" t="s">
        <v>1527</v>
      </c>
      <c r="I2800" s="1" t="s">
        <v>11879</v>
      </c>
      <c r="J2800" s="1" t="s">
        <v>4278</v>
      </c>
      <c r="K2800" s="1">
        <v>9</v>
      </c>
      <c r="L2800" s="1" t="s">
        <v>4199</v>
      </c>
      <c r="M2800" s="1">
        <v>12</v>
      </c>
      <c r="N2800" s="1" t="s">
        <v>2841</v>
      </c>
    </row>
    <row r="2801" spans="1:14" x14ac:dyDescent="0.15">
      <c r="A2801" s="1">
        <v>382</v>
      </c>
      <c r="B2801" s="1" t="s">
        <v>1527</v>
      </c>
      <c r="C2801" s="1" t="s">
        <v>1528</v>
      </c>
      <c r="D2801" s="1" t="s">
        <v>1527</v>
      </c>
      <c r="E2801" s="1" t="s">
        <v>1528</v>
      </c>
      <c r="F2801" s="1" t="s">
        <v>1527</v>
      </c>
      <c r="G2801" s="1" t="s">
        <v>1529</v>
      </c>
      <c r="H2801" s="1" t="s">
        <v>1527</v>
      </c>
      <c r="I2801" s="1" t="s">
        <v>14602</v>
      </c>
      <c r="J2801" s="1" t="s">
        <v>6245</v>
      </c>
      <c r="K2801" s="1">
        <v>9</v>
      </c>
      <c r="L2801" s="1" t="s">
        <v>4199</v>
      </c>
      <c r="M2801" s="1">
        <v>12</v>
      </c>
      <c r="N2801" s="1" t="s">
        <v>2841</v>
      </c>
    </row>
    <row r="2802" spans="1:14" x14ac:dyDescent="0.15">
      <c r="A2802" s="1">
        <v>382</v>
      </c>
      <c r="B2802" s="1" t="s">
        <v>1527</v>
      </c>
      <c r="C2802" s="1" t="s">
        <v>1528</v>
      </c>
      <c r="D2802" s="1" t="s">
        <v>1527</v>
      </c>
      <c r="E2802" s="1" t="s">
        <v>1528</v>
      </c>
      <c r="F2802" s="1" t="s">
        <v>1527</v>
      </c>
      <c r="G2802" s="1" t="s">
        <v>1529</v>
      </c>
      <c r="H2802" s="1" t="s">
        <v>1527</v>
      </c>
      <c r="I2802" s="1" t="s">
        <v>8763</v>
      </c>
      <c r="J2802" s="1" t="s">
        <v>3029</v>
      </c>
      <c r="K2802" s="1">
        <v>9</v>
      </c>
      <c r="L2802" s="1" t="s">
        <v>4199</v>
      </c>
      <c r="M2802" s="1">
        <v>12</v>
      </c>
      <c r="N2802" s="1" t="s">
        <v>2841</v>
      </c>
    </row>
    <row r="2803" spans="1:14" x14ac:dyDescent="0.15">
      <c r="A2803" s="1">
        <v>382</v>
      </c>
      <c r="B2803" s="1" t="s">
        <v>1527</v>
      </c>
      <c r="C2803" s="1" t="s">
        <v>1528</v>
      </c>
      <c r="D2803" s="1" t="s">
        <v>1527</v>
      </c>
      <c r="E2803" s="1" t="s">
        <v>1528</v>
      </c>
      <c r="F2803" s="1" t="s">
        <v>1527</v>
      </c>
      <c r="G2803" s="1" t="s">
        <v>1530</v>
      </c>
      <c r="H2803" s="1" t="s">
        <v>1531</v>
      </c>
      <c r="I2803" s="1" t="s">
        <v>14602</v>
      </c>
      <c r="J2803" s="1" t="s">
        <v>6245</v>
      </c>
      <c r="K2803" s="1">
        <v>9</v>
      </c>
      <c r="L2803" s="1" t="s">
        <v>4199</v>
      </c>
      <c r="M2803" s="1">
        <v>12</v>
      </c>
      <c r="N2803" s="1" t="s">
        <v>2841</v>
      </c>
    </row>
    <row r="2804" spans="1:14" x14ac:dyDescent="0.15">
      <c r="A2804" s="1">
        <v>382</v>
      </c>
      <c r="B2804" s="1" t="s">
        <v>1527</v>
      </c>
      <c r="C2804" s="1" t="s">
        <v>1528</v>
      </c>
      <c r="D2804" s="1" t="s">
        <v>1527</v>
      </c>
      <c r="E2804" s="1" t="s">
        <v>1528</v>
      </c>
      <c r="F2804" s="1" t="s">
        <v>1527</v>
      </c>
      <c r="G2804" s="1" t="s">
        <v>1530</v>
      </c>
      <c r="H2804" s="1" t="s">
        <v>1531</v>
      </c>
      <c r="I2804" s="1" t="s">
        <v>8763</v>
      </c>
      <c r="J2804" s="1" t="s">
        <v>3029</v>
      </c>
      <c r="K2804" s="1">
        <v>9</v>
      </c>
      <c r="L2804" s="1" t="s">
        <v>4199</v>
      </c>
      <c r="M2804" s="1">
        <v>12</v>
      </c>
      <c r="N2804" s="1" t="s">
        <v>2841</v>
      </c>
    </row>
    <row r="2805" spans="1:14" x14ac:dyDescent="0.15">
      <c r="A2805" s="1">
        <v>382</v>
      </c>
      <c r="B2805" s="1" t="s">
        <v>1527</v>
      </c>
      <c r="C2805" s="1" t="s">
        <v>1528</v>
      </c>
      <c r="D2805" s="1" t="s">
        <v>1527</v>
      </c>
      <c r="E2805" s="1" t="s">
        <v>1528</v>
      </c>
      <c r="F2805" s="1" t="s">
        <v>1527</v>
      </c>
      <c r="G2805" s="1" t="s">
        <v>1532</v>
      </c>
      <c r="H2805" s="1" t="s">
        <v>1533</v>
      </c>
      <c r="I2805" s="1" t="s">
        <v>14602</v>
      </c>
      <c r="J2805" s="1" t="s">
        <v>6245</v>
      </c>
      <c r="K2805" s="1">
        <v>9</v>
      </c>
      <c r="L2805" s="1" t="s">
        <v>4199</v>
      </c>
      <c r="M2805" s="1">
        <v>12</v>
      </c>
      <c r="N2805" s="1" t="s">
        <v>2841</v>
      </c>
    </row>
    <row r="2806" spans="1:14" x14ac:dyDescent="0.15">
      <c r="A2806" s="1">
        <v>382</v>
      </c>
      <c r="B2806" s="1" t="s">
        <v>1527</v>
      </c>
      <c r="C2806" s="1" t="s">
        <v>1528</v>
      </c>
      <c r="D2806" s="1" t="s">
        <v>1527</v>
      </c>
      <c r="E2806" s="1" t="s">
        <v>1528</v>
      </c>
      <c r="F2806" s="1" t="s">
        <v>1527</v>
      </c>
      <c r="G2806" s="1" t="s">
        <v>1532</v>
      </c>
      <c r="H2806" s="1" t="s">
        <v>1533</v>
      </c>
      <c r="I2806" s="1" t="s">
        <v>8763</v>
      </c>
      <c r="J2806" s="1" t="s">
        <v>3029</v>
      </c>
      <c r="K2806" s="1">
        <v>9</v>
      </c>
      <c r="L2806" s="1" t="s">
        <v>4199</v>
      </c>
      <c r="M2806" s="1">
        <v>12</v>
      </c>
      <c r="N2806" s="1" t="s">
        <v>2841</v>
      </c>
    </row>
    <row r="2807" spans="1:14" x14ac:dyDescent="0.15">
      <c r="A2807" s="1">
        <v>382</v>
      </c>
      <c r="B2807" s="1" t="s">
        <v>1527</v>
      </c>
      <c r="C2807" s="1" t="s">
        <v>1528</v>
      </c>
      <c r="D2807" s="1" t="s">
        <v>1527</v>
      </c>
      <c r="E2807" s="1" t="s">
        <v>1528</v>
      </c>
      <c r="F2807" s="1" t="s">
        <v>1527</v>
      </c>
      <c r="G2807" s="1" t="s">
        <v>1534</v>
      </c>
      <c r="H2807" s="1" t="s">
        <v>1535</v>
      </c>
      <c r="I2807" s="1" t="s">
        <v>14602</v>
      </c>
      <c r="J2807" s="1" t="s">
        <v>6245</v>
      </c>
      <c r="K2807" s="1">
        <v>9</v>
      </c>
      <c r="L2807" s="1" t="s">
        <v>4199</v>
      </c>
      <c r="M2807" s="1">
        <v>12</v>
      </c>
      <c r="N2807" s="1" t="s">
        <v>2841</v>
      </c>
    </row>
    <row r="2808" spans="1:14" x14ac:dyDescent="0.15">
      <c r="A2808" s="1">
        <v>382</v>
      </c>
      <c r="B2808" s="1" t="s">
        <v>1527</v>
      </c>
      <c r="C2808" s="1" t="s">
        <v>1528</v>
      </c>
      <c r="D2808" s="1" t="s">
        <v>1527</v>
      </c>
      <c r="E2808" s="1" t="s">
        <v>1528</v>
      </c>
      <c r="F2808" s="1" t="s">
        <v>1527</v>
      </c>
      <c r="G2808" s="1" t="s">
        <v>1534</v>
      </c>
      <c r="H2808" s="1" t="s">
        <v>1535</v>
      </c>
      <c r="I2808" s="1" t="s">
        <v>8763</v>
      </c>
      <c r="J2808" s="1" t="s">
        <v>3029</v>
      </c>
      <c r="K2808" s="1">
        <v>9</v>
      </c>
      <c r="L2808" s="1" t="s">
        <v>4199</v>
      </c>
      <c r="M2808" s="1">
        <v>12</v>
      </c>
      <c r="N2808" s="1" t="s">
        <v>2841</v>
      </c>
    </row>
    <row r="2809" spans="1:14" x14ac:dyDescent="0.15">
      <c r="A2809" s="1">
        <v>382</v>
      </c>
      <c r="B2809" s="1" t="s">
        <v>1527</v>
      </c>
      <c r="C2809" s="1" t="s">
        <v>1528</v>
      </c>
      <c r="D2809" s="1" t="s">
        <v>1527</v>
      </c>
      <c r="E2809" s="1" t="s">
        <v>1528</v>
      </c>
      <c r="F2809" s="1" t="s">
        <v>1527</v>
      </c>
      <c r="G2809" s="1" t="s">
        <v>1536</v>
      </c>
      <c r="H2809" s="1" t="s">
        <v>1537</v>
      </c>
      <c r="I2809" s="1" t="s">
        <v>14602</v>
      </c>
      <c r="J2809" s="1" t="s">
        <v>6245</v>
      </c>
      <c r="K2809" s="1">
        <v>9</v>
      </c>
      <c r="L2809" s="1" t="s">
        <v>4199</v>
      </c>
      <c r="M2809" s="1">
        <v>12</v>
      </c>
      <c r="N2809" s="1" t="s">
        <v>2841</v>
      </c>
    </row>
    <row r="2810" spans="1:14" x14ac:dyDescent="0.15">
      <c r="A2810" s="1">
        <v>382</v>
      </c>
      <c r="B2810" s="1" t="s">
        <v>1527</v>
      </c>
      <c r="C2810" s="1" t="s">
        <v>1528</v>
      </c>
      <c r="D2810" s="1" t="s">
        <v>1527</v>
      </c>
      <c r="E2810" s="1" t="s">
        <v>1528</v>
      </c>
      <c r="F2810" s="1" t="s">
        <v>1527</v>
      </c>
      <c r="G2810" s="1" t="s">
        <v>1536</v>
      </c>
      <c r="H2810" s="1" t="s">
        <v>1537</v>
      </c>
      <c r="I2810" s="1" t="s">
        <v>8763</v>
      </c>
      <c r="J2810" s="1" t="s">
        <v>3029</v>
      </c>
      <c r="K2810" s="1">
        <v>9</v>
      </c>
      <c r="L2810" s="1" t="s">
        <v>4199</v>
      </c>
      <c r="M2810" s="1">
        <v>12</v>
      </c>
      <c r="N2810" s="1" t="s">
        <v>2841</v>
      </c>
    </row>
    <row r="2811" spans="1:14" x14ac:dyDescent="0.15">
      <c r="A2811" s="1">
        <v>382</v>
      </c>
      <c r="B2811" s="1" t="s">
        <v>1527</v>
      </c>
      <c r="C2811" s="1" t="s">
        <v>1528</v>
      </c>
      <c r="D2811" s="1" t="s">
        <v>1527</v>
      </c>
      <c r="E2811" s="1" t="s">
        <v>1528</v>
      </c>
      <c r="F2811" s="1" t="s">
        <v>1527</v>
      </c>
      <c r="G2811" s="1" t="s">
        <v>1538</v>
      </c>
      <c r="H2811" s="1" t="s">
        <v>1539</v>
      </c>
      <c r="I2811" s="1" t="s">
        <v>14602</v>
      </c>
      <c r="J2811" s="1" t="s">
        <v>6245</v>
      </c>
      <c r="K2811" s="1">
        <v>9</v>
      </c>
      <c r="L2811" s="1" t="s">
        <v>4199</v>
      </c>
      <c r="M2811" s="1">
        <v>12</v>
      </c>
      <c r="N2811" s="1" t="s">
        <v>2841</v>
      </c>
    </row>
    <row r="2812" spans="1:14" x14ac:dyDescent="0.15">
      <c r="A2812" s="1">
        <v>382</v>
      </c>
      <c r="B2812" s="1" t="s">
        <v>1527</v>
      </c>
      <c r="C2812" s="1" t="s">
        <v>1528</v>
      </c>
      <c r="D2812" s="1" t="s">
        <v>1527</v>
      </c>
      <c r="E2812" s="1" t="s">
        <v>1528</v>
      </c>
      <c r="F2812" s="1" t="s">
        <v>1527</v>
      </c>
      <c r="G2812" s="1" t="s">
        <v>1538</v>
      </c>
      <c r="H2812" s="1" t="s">
        <v>1539</v>
      </c>
      <c r="I2812" s="1" t="s">
        <v>8763</v>
      </c>
      <c r="J2812" s="1" t="s">
        <v>3029</v>
      </c>
      <c r="K2812" s="1">
        <v>9</v>
      </c>
      <c r="L2812" s="1" t="s">
        <v>4199</v>
      </c>
      <c r="M2812" s="1">
        <v>12</v>
      </c>
      <c r="N2812" s="1" t="s">
        <v>2841</v>
      </c>
    </row>
    <row r="2813" spans="1:14" x14ac:dyDescent="0.15">
      <c r="A2813" s="1">
        <v>383</v>
      </c>
      <c r="B2813" s="1" t="s">
        <v>1540</v>
      </c>
      <c r="C2813" s="1" t="s">
        <v>1541</v>
      </c>
      <c r="D2813" s="1" t="s">
        <v>1540</v>
      </c>
      <c r="E2813" s="1" t="s">
        <v>1541</v>
      </c>
      <c r="F2813" s="1" t="s">
        <v>1540</v>
      </c>
      <c r="G2813" s="1" t="s">
        <v>1542</v>
      </c>
      <c r="H2813" s="1" t="s">
        <v>1540</v>
      </c>
      <c r="I2813" s="1" t="s">
        <v>11595</v>
      </c>
      <c r="J2813" s="1" t="s">
        <v>1543</v>
      </c>
      <c r="K2813" s="1">
        <v>9</v>
      </c>
      <c r="L2813" s="1" t="s">
        <v>4199</v>
      </c>
      <c r="M2813" s="1">
        <v>12</v>
      </c>
      <c r="N2813" s="1" t="s">
        <v>2841</v>
      </c>
    </row>
    <row r="2814" spans="1:14" x14ac:dyDescent="0.15">
      <c r="A2814" s="1">
        <v>383</v>
      </c>
      <c r="B2814" s="1" t="s">
        <v>1540</v>
      </c>
      <c r="C2814" s="1" t="s">
        <v>1541</v>
      </c>
      <c r="D2814" s="1" t="s">
        <v>1540</v>
      </c>
      <c r="E2814" s="1" t="s">
        <v>1541</v>
      </c>
      <c r="F2814" s="1" t="s">
        <v>1540</v>
      </c>
      <c r="G2814" s="1" t="s">
        <v>1542</v>
      </c>
      <c r="H2814" s="1" t="s">
        <v>1540</v>
      </c>
      <c r="I2814" s="1" t="s">
        <v>18139</v>
      </c>
      <c r="J2814" s="1" t="s">
        <v>18136</v>
      </c>
      <c r="K2814" s="1">
        <v>9</v>
      </c>
      <c r="L2814" s="1" t="s">
        <v>4199</v>
      </c>
      <c r="M2814" s="1">
        <v>12</v>
      </c>
      <c r="N2814" s="1" t="s">
        <v>2841</v>
      </c>
    </row>
    <row r="2815" spans="1:14" x14ac:dyDescent="0.15">
      <c r="A2815" s="1">
        <v>383</v>
      </c>
      <c r="B2815" s="1" t="s">
        <v>1540</v>
      </c>
      <c r="C2815" s="1" t="s">
        <v>1541</v>
      </c>
      <c r="D2815" s="1" t="s">
        <v>1540</v>
      </c>
      <c r="E2815" s="1" t="s">
        <v>1541</v>
      </c>
      <c r="F2815" s="1" t="s">
        <v>1540</v>
      </c>
      <c r="G2815" s="1" t="s">
        <v>1542</v>
      </c>
      <c r="H2815" s="1" t="s">
        <v>1540</v>
      </c>
      <c r="I2815" s="1" t="s">
        <v>18190</v>
      </c>
      <c r="J2815" s="1" t="s">
        <v>2506</v>
      </c>
      <c r="K2815" s="1">
        <v>9</v>
      </c>
      <c r="L2815" s="1" t="s">
        <v>4199</v>
      </c>
      <c r="M2815" s="1">
        <v>12</v>
      </c>
      <c r="N2815" s="1" t="s">
        <v>2841</v>
      </c>
    </row>
    <row r="2816" spans="1:14" x14ac:dyDescent="0.15">
      <c r="A2816" s="1">
        <v>384</v>
      </c>
      <c r="B2816" s="1" t="s">
        <v>1544</v>
      </c>
      <c r="C2816" s="1" t="s">
        <v>1545</v>
      </c>
      <c r="D2816" s="1" t="s">
        <v>1544</v>
      </c>
      <c r="E2816" s="1" t="s">
        <v>1545</v>
      </c>
      <c r="F2816" s="1" t="s">
        <v>1544</v>
      </c>
      <c r="G2816" s="1" t="s">
        <v>1546</v>
      </c>
      <c r="H2816" s="1" t="s">
        <v>1544</v>
      </c>
      <c r="I2816" s="1" t="s">
        <v>14638</v>
      </c>
      <c r="J2816" s="1" t="s">
        <v>14635</v>
      </c>
      <c r="K2816" s="1">
        <v>9</v>
      </c>
      <c r="L2816" s="1" t="s">
        <v>4199</v>
      </c>
      <c r="M2816" s="1">
        <v>12</v>
      </c>
      <c r="N2816" s="1" t="s">
        <v>2841</v>
      </c>
    </row>
    <row r="2817" spans="1:14" x14ac:dyDescent="0.15">
      <c r="A2817" s="1">
        <v>385</v>
      </c>
      <c r="B2817" s="1" t="s">
        <v>1547</v>
      </c>
      <c r="C2817" s="1" t="s">
        <v>1548</v>
      </c>
      <c r="D2817" s="1" t="s">
        <v>1547</v>
      </c>
      <c r="E2817" s="1" t="s">
        <v>1548</v>
      </c>
      <c r="F2817" s="1" t="s">
        <v>1547</v>
      </c>
      <c r="G2817" s="1" t="s">
        <v>1549</v>
      </c>
      <c r="H2817" s="1" t="s">
        <v>1547</v>
      </c>
      <c r="I2817" s="1" t="s">
        <v>14602</v>
      </c>
      <c r="J2817" s="1" t="s">
        <v>6245</v>
      </c>
      <c r="K2817" s="1">
        <v>9</v>
      </c>
      <c r="L2817" s="1" t="s">
        <v>4199</v>
      </c>
      <c r="M2817" s="1">
        <v>12</v>
      </c>
      <c r="N2817" s="1" t="s">
        <v>2841</v>
      </c>
    </row>
    <row r="2818" spans="1:14" x14ac:dyDescent="0.15">
      <c r="A2818" s="1">
        <v>385</v>
      </c>
      <c r="B2818" s="1" t="s">
        <v>1547</v>
      </c>
      <c r="C2818" s="1" t="s">
        <v>1548</v>
      </c>
      <c r="D2818" s="1" t="s">
        <v>1547</v>
      </c>
      <c r="E2818" s="1" t="s">
        <v>1548</v>
      </c>
      <c r="F2818" s="1" t="s">
        <v>1547</v>
      </c>
      <c r="G2818" s="1" t="s">
        <v>1549</v>
      </c>
      <c r="H2818" s="1" t="s">
        <v>1547</v>
      </c>
      <c r="I2818" s="1" t="s">
        <v>8763</v>
      </c>
      <c r="J2818" s="1" t="s">
        <v>3029</v>
      </c>
      <c r="K2818" s="1">
        <v>9</v>
      </c>
      <c r="L2818" s="1" t="s">
        <v>4199</v>
      </c>
      <c r="M2818" s="1">
        <v>12</v>
      </c>
      <c r="N2818" s="1" t="s">
        <v>2841</v>
      </c>
    </row>
    <row r="2819" spans="1:14" x14ac:dyDescent="0.15">
      <c r="A2819" s="1">
        <v>385</v>
      </c>
      <c r="B2819" s="1" t="s">
        <v>1547</v>
      </c>
      <c r="C2819" s="1" t="s">
        <v>1548</v>
      </c>
      <c r="D2819" s="1" t="s">
        <v>1547</v>
      </c>
      <c r="E2819" s="1" t="s">
        <v>1548</v>
      </c>
      <c r="F2819" s="1" t="s">
        <v>1547</v>
      </c>
      <c r="G2819" s="1" t="s">
        <v>1550</v>
      </c>
      <c r="H2819" s="1" t="s">
        <v>1551</v>
      </c>
      <c r="I2819" s="1" t="s">
        <v>14602</v>
      </c>
      <c r="J2819" s="1" t="s">
        <v>6245</v>
      </c>
      <c r="K2819" s="1">
        <v>9</v>
      </c>
      <c r="L2819" s="1" t="s">
        <v>4199</v>
      </c>
      <c r="M2819" s="1">
        <v>12</v>
      </c>
      <c r="N2819" s="1" t="s">
        <v>2841</v>
      </c>
    </row>
    <row r="2820" spans="1:14" x14ac:dyDescent="0.15">
      <c r="A2820" s="1">
        <v>385</v>
      </c>
      <c r="B2820" s="1" t="s">
        <v>1547</v>
      </c>
      <c r="C2820" s="1" t="s">
        <v>1548</v>
      </c>
      <c r="D2820" s="1" t="s">
        <v>1547</v>
      </c>
      <c r="E2820" s="1" t="s">
        <v>1548</v>
      </c>
      <c r="F2820" s="1" t="s">
        <v>1547</v>
      </c>
      <c r="G2820" s="1" t="s">
        <v>1550</v>
      </c>
      <c r="H2820" s="1" t="s">
        <v>1551</v>
      </c>
      <c r="I2820" s="1" t="s">
        <v>8763</v>
      </c>
      <c r="J2820" s="1" t="s">
        <v>3029</v>
      </c>
      <c r="K2820" s="1">
        <v>9</v>
      </c>
      <c r="L2820" s="1" t="s">
        <v>4199</v>
      </c>
      <c r="M2820" s="1">
        <v>12</v>
      </c>
      <c r="N2820" s="1" t="s">
        <v>2841</v>
      </c>
    </row>
    <row r="2821" spans="1:14" x14ac:dyDescent="0.15">
      <c r="A2821" s="1">
        <v>385</v>
      </c>
      <c r="B2821" s="1" t="s">
        <v>1547</v>
      </c>
      <c r="C2821" s="1" t="s">
        <v>1548</v>
      </c>
      <c r="D2821" s="1" t="s">
        <v>1547</v>
      </c>
      <c r="E2821" s="1" t="s">
        <v>1548</v>
      </c>
      <c r="F2821" s="1" t="s">
        <v>1547</v>
      </c>
      <c r="G2821" s="1" t="s">
        <v>1552</v>
      </c>
      <c r="H2821" s="1" t="s">
        <v>1553</v>
      </c>
      <c r="I2821" s="1" t="s">
        <v>14602</v>
      </c>
      <c r="J2821" s="1" t="s">
        <v>6245</v>
      </c>
      <c r="K2821" s="1">
        <v>9</v>
      </c>
      <c r="L2821" s="1" t="s">
        <v>4199</v>
      </c>
      <c r="M2821" s="1">
        <v>12</v>
      </c>
      <c r="N2821" s="1" t="s">
        <v>2841</v>
      </c>
    </row>
    <row r="2822" spans="1:14" x14ac:dyDescent="0.15">
      <c r="A2822" s="1">
        <v>385</v>
      </c>
      <c r="B2822" s="1" t="s">
        <v>1547</v>
      </c>
      <c r="C2822" s="1" t="s">
        <v>1548</v>
      </c>
      <c r="D2822" s="1" t="s">
        <v>1547</v>
      </c>
      <c r="E2822" s="1" t="s">
        <v>1548</v>
      </c>
      <c r="F2822" s="1" t="s">
        <v>1547</v>
      </c>
      <c r="G2822" s="1" t="s">
        <v>1552</v>
      </c>
      <c r="H2822" s="1" t="s">
        <v>1553</v>
      </c>
      <c r="I2822" s="1" t="s">
        <v>8763</v>
      </c>
      <c r="J2822" s="1" t="s">
        <v>3029</v>
      </c>
      <c r="K2822" s="1">
        <v>9</v>
      </c>
      <c r="L2822" s="1" t="s">
        <v>4199</v>
      </c>
      <c r="M2822" s="1">
        <v>12</v>
      </c>
      <c r="N2822" s="1" t="s">
        <v>2841</v>
      </c>
    </row>
    <row r="2823" spans="1:14" x14ac:dyDescent="0.15">
      <c r="A2823" s="1">
        <v>385</v>
      </c>
      <c r="B2823" s="1" t="s">
        <v>1547</v>
      </c>
      <c r="C2823" s="1" t="s">
        <v>1548</v>
      </c>
      <c r="D2823" s="1" t="s">
        <v>1547</v>
      </c>
      <c r="E2823" s="1" t="s">
        <v>1548</v>
      </c>
      <c r="F2823" s="1" t="s">
        <v>1547</v>
      </c>
      <c r="G2823" s="1" t="s">
        <v>1554</v>
      </c>
      <c r="H2823" s="1" t="s">
        <v>1555</v>
      </c>
      <c r="I2823" s="1" t="s">
        <v>14602</v>
      </c>
      <c r="J2823" s="1" t="s">
        <v>6245</v>
      </c>
      <c r="K2823" s="1">
        <v>9</v>
      </c>
      <c r="L2823" s="1" t="s">
        <v>4199</v>
      </c>
      <c r="M2823" s="1">
        <v>12</v>
      </c>
      <c r="N2823" s="1" t="s">
        <v>2841</v>
      </c>
    </row>
    <row r="2824" spans="1:14" x14ac:dyDescent="0.15">
      <c r="A2824" s="1">
        <v>385</v>
      </c>
      <c r="B2824" s="1" t="s">
        <v>1547</v>
      </c>
      <c r="C2824" s="1" t="s">
        <v>1548</v>
      </c>
      <c r="D2824" s="1" t="s">
        <v>1547</v>
      </c>
      <c r="E2824" s="1" t="s">
        <v>1548</v>
      </c>
      <c r="F2824" s="1" t="s">
        <v>1547</v>
      </c>
      <c r="G2824" s="1" t="s">
        <v>1554</v>
      </c>
      <c r="H2824" s="1" t="s">
        <v>1555</v>
      </c>
      <c r="I2824" s="1" t="s">
        <v>8763</v>
      </c>
      <c r="J2824" s="1" t="s">
        <v>3029</v>
      </c>
      <c r="K2824" s="1">
        <v>9</v>
      </c>
      <c r="L2824" s="1" t="s">
        <v>4199</v>
      </c>
      <c r="M2824" s="1">
        <v>12</v>
      </c>
      <c r="N2824" s="1" t="s">
        <v>2841</v>
      </c>
    </row>
    <row r="2825" spans="1:14" x14ac:dyDescent="0.15">
      <c r="A2825" s="1">
        <v>386</v>
      </c>
      <c r="B2825" s="1" t="s">
        <v>1556</v>
      </c>
      <c r="C2825" s="1" t="s">
        <v>1557</v>
      </c>
      <c r="D2825" s="1" t="s">
        <v>1556</v>
      </c>
      <c r="E2825" s="1" t="s">
        <v>1557</v>
      </c>
      <c r="F2825" s="1" t="s">
        <v>1556</v>
      </c>
      <c r="G2825" s="1" t="s">
        <v>1558</v>
      </c>
      <c r="H2825" s="1" t="s">
        <v>1556</v>
      </c>
      <c r="I2825" s="1" t="s">
        <v>14606</v>
      </c>
      <c r="J2825" s="1" t="s">
        <v>14607</v>
      </c>
      <c r="K2825" s="1">
        <v>9</v>
      </c>
      <c r="L2825" s="1" t="s">
        <v>4199</v>
      </c>
      <c r="M2825" s="1">
        <v>12</v>
      </c>
      <c r="N2825" s="1" t="s">
        <v>2841</v>
      </c>
    </row>
    <row r="2826" spans="1:14" x14ac:dyDescent="0.15">
      <c r="A2826" s="1">
        <v>386</v>
      </c>
      <c r="B2826" s="1" t="s">
        <v>1556</v>
      </c>
      <c r="C2826" s="1" t="s">
        <v>1557</v>
      </c>
      <c r="D2826" s="1" t="s">
        <v>1556</v>
      </c>
      <c r="E2826" s="1" t="s">
        <v>1557</v>
      </c>
      <c r="F2826" s="1" t="s">
        <v>1556</v>
      </c>
      <c r="G2826" s="1" t="s">
        <v>1558</v>
      </c>
      <c r="H2826" s="1" t="s">
        <v>1556</v>
      </c>
      <c r="I2826" s="1" t="s">
        <v>14638</v>
      </c>
      <c r="J2826" s="1" t="s">
        <v>14635</v>
      </c>
      <c r="K2826" s="1">
        <v>9</v>
      </c>
      <c r="L2826" s="1" t="s">
        <v>4199</v>
      </c>
      <c r="M2826" s="1">
        <v>12</v>
      </c>
      <c r="N2826" s="1" t="s">
        <v>2841</v>
      </c>
    </row>
    <row r="2827" spans="1:14" x14ac:dyDescent="0.15">
      <c r="A2827" s="1">
        <v>390</v>
      </c>
      <c r="B2827" s="1" t="s">
        <v>1559</v>
      </c>
      <c r="C2827" s="1" t="s">
        <v>1560</v>
      </c>
      <c r="D2827" s="1" t="s">
        <v>1559</v>
      </c>
      <c r="E2827" s="1" t="s">
        <v>1560</v>
      </c>
      <c r="F2827" s="1" t="s">
        <v>1559</v>
      </c>
      <c r="G2827" s="1" t="s">
        <v>1561</v>
      </c>
      <c r="H2827" s="1" t="s">
        <v>1559</v>
      </c>
      <c r="I2827" s="1" t="s">
        <v>14638</v>
      </c>
      <c r="J2827" s="1" t="s">
        <v>14635</v>
      </c>
      <c r="K2827" s="1">
        <v>9</v>
      </c>
      <c r="L2827" s="1" t="s">
        <v>4199</v>
      </c>
      <c r="M2827" s="1">
        <v>12</v>
      </c>
      <c r="N2827" s="1" t="s">
        <v>2841</v>
      </c>
    </row>
    <row r="2828" spans="1:14" x14ac:dyDescent="0.15">
      <c r="A2828" s="1">
        <v>391</v>
      </c>
      <c r="B2828" s="1" t="s">
        <v>1562</v>
      </c>
      <c r="C2828" s="1" t="s">
        <v>1563</v>
      </c>
      <c r="D2828" s="1" t="s">
        <v>1562</v>
      </c>
      <c r="E2828" s="1" t="s">
        <v>1563</v>
      </c>
      <c r="F2828" s="1" t="s">
        <v>1562</v>
      </c>
      <c r="G2828" s="1" t="s">
        <v>1564</v>
      </c>
      <c r="H2828" s="1" t="s">
        <v>1562</v>
      </c>
      <c r="I2828" s="1" t="s">
        <v>14602</v>
      </c>
      <c r="J2828" s="1" t="s">
        <v>6245</v>
      </c>
      <c r="K2828" s="1">
        <v>9</v>
      </c>
      <c r="L2828" s="1" t="s">
        <v>4199</v>
      </c>
      <c r="M2828" s="1">
        <v>12</v>
      </c>
      <c r="N2828" s="1" t="s">
        <v>2841</v>
      </c>
    </row>
    <row r="2829" spans="1:14" x14ac:dyDescent="0.15">
      <c r="A2829" s="1">
        <v>392</v>
      </c>
      <c r="B2829" s="1" t="s">
        <v>1565</v>
      </c>
      <c r="C2829" s="1" t="s">
        <v>1566</v>
      </c>
      <c r="D2829" s="1" t="s">
        <v>1565</v>
      </c>
      <c r="E2829" s="1" t="s">
        <v>1566</v>
      </c>
      <c r="F2829" s="1" t="s">
        <v>1565</v>
      </c>
      <c r="G2829" s="1" t="s">
        <v>1567</v>
      </c>
      <c r="H2829" s="1" t="s">
        <v>1565</v>
      </c>
      <c r="I2829" s="1" t="s">
        <v>11879</v>
      </c>
      <c r="J2829" s="1" t="s">
        <v>4278</v>
      </c>
      <c r="K2829" s="1">
        <v>9</v>
      </c>
      <c r="L2829" s="1" t="s">
        <v>4199</v>
      </c>
      <c r="M2829" s="1">
        <v>12</v>
      </c>
      <c r="N2829" s="1" t="s">
        <v>2841</v>
      </c>
    </row>
    <row r="2830" spans="1:14" x14ac:dyDescent="0.15">
      <c r="A2830" s="1">
        <v>392</v>
      </c>
      <c r="B2830" s="1" t="s">
        <v>1565</v>
      </c>
      <c r="C2830" s="1" t="s">
        <v>1568</v>
      </c>
      <c r="D2830" s="1" t="s">
        <v>1569</v>
      </c>
      <c r="E2830" s="1" t="s">
        <v>1568</v>
      </c>
      <c r="F2830" s="1" t="s">
        <v>1569</v>
      </c>
      <c r="G2830" s="1" t="s">
        <v>1570</v>
      </c>
      <c r="H2830" s="1" t="s">
        <v>1569</v>
      </c>
      <c r="I2830" s="1" t="s">
        <v>4494</v>
      </c>
      <c r="J2830" s="1" t="s">
        <v>4495</v>
      </c>
      <c r="K2830" s="1">
        <v>9</v>
      </c>
      <c r="L2830" s="1" t="s">
        <v>4199</v>
      </c>
      <c r="M2830" s="1">
        <v>12</v>
      </c>
      <c r="N2830" s="1" t="s">
        <v>2841</v>
      </c>
    </row>
    <row r="2831" spans="1:14" x14ac:dyDescent="0.15">
      <c r="A2831" s="1">
        <v>392</v>
      </c>
      <c r="B2831" s="1" t="s">
        <v>1565</v>
      </c>
      <c r="C2831" s="1" t="s">
        <v>1571</v>
      </c>
      <c r="D2831" s="1" t="s">
        <v>1572</v>
      </c>
      <c r="E2831" s="1" t="s">
        <v>1571</v>
      </c>
      <c r="F2831" s="1" t="s">
        <v>1572</v>
      </c>
      <c r="G2831" s="1" t="s">
        <v>1573</v>
      </c>
      <c r="H2831" s="1" t="s">
        <v>1572</v>
      </c>
      <c r="I2831" s="1" t="s">
        <v>14606</v>
      </c>
      <c r="J2831" s="1" t="s">
        <v>14607</v>
      </c>
      <c r="K2831" s="1">
        <v>9</v>
      </c>
      <c r="L2831" s="1" t="s">
        <v>4199</v>
      </c>
      <c r="M2831" s="1">
        <v>12</v>
      </c>
      <c r="N2831" s="1" t="s">
        <v>2841</v>
      </c>
    </row>
    <row r="2832" spans="1:14" x14ac:dyDescent="0.15">
      <c r="A2832" s="1">
        <v>392</v>
      </c>
      <c r="B2832" s="1" t="s">
        <v>1565</v>
      </c>
      <c r="C2832" s="1" t="s">
        <v>1571</v>
      </c>
      <c r="D2832" s="1" t="s">
        <v>1572</v>
      </c>
      <c r="E2832" s="1" t="s">
        <v>1571</v>
      </c>
      <c r="F2832" s="1" t="s">
        <v>1572</v>
      </c>
      <c r="G2832" s="1" t="s">
        <v>1573</v>
      </c>
      <c r="H2832" s="1" t="s">
        <v>1572</v>
      </c>
      <c r="I2832" s="1" t="s">
        <v>8766</v>
      </c>
      <c r="J2832" s="1" t="s">
        <v>1498</v>
      </c>
      <c r="K2832" s="1">
        <v>9</v>
      </c>
      <c r="L2832" s="1" t="s">
        <v>4199</v>
      </c>
      <c r="M2832" s="1">
        <v>12</v>
      </c>
      <c r="N2832" s="1" t="s">
        <v>2841</v>
      </c>
    </row>
    <row r="2833" spans="1:14" x14ac:dyDescent="0.15">
      <c r="A2833" s="1">
        <v>394</v>
      </c>
      <c r="B2833" s="1" t="s">
        <v>1574</v>
      </c>
      <c r="C2833" s="1" t="s">
        <v>1575</v>
      </c>
      <c r="D2833" s="1" t="s">
        <v>1574</v>
      </c>
      <c r="E2833" s="1" t="s">
        <v>1575</v>
      </c>
      <c r="F2833" s="1" t="s">
        <v>1574</v>
      </c>
      <c r="G2833" s="1" t="s">
        <v>1576</v>
      </c>
      <c r="H2833" s="1" t="s">
        <v>1574</v>
      </c>
      <c r="I2833" s="1" t="s">
        <v>14606</v>
      </c>
      <c r="J2833" s="1" t="s">
        <v>14607</v>
      </c>
      <c r="K2833" s="1">
        <v>9</v>
      </c>
      <c r="L2833" s="1" t="s">
        <v>4199</v>
      </c>
      <c r="M2833" s="1">
        <v>12</v>
      </c>
      <c r="N2833" s="1" t="s">
        <v>2841</v>
      </c>
    </row>
    <row r="2834" spans="1:14" x14ac:dyDescent="0.15">
      <c r="A2834" s="1">
        <v>394</v>
      </c>
      <c r="B2834" s="1" t="s">
        <v>1574</v>
      </c>
      <c r="C2834" s="1" t="s">
        <v>1575</v>
      </c>
      <c r="D2834" s="1" t="s">
        <v>1574</v>
      </c>
      <c r="E2834" s="1" t="s">
        <v>1575</v>
      </c>
      <c r="F2834" s="1" t="s">
        <v>1574</v>
      </c>
      <c r="G2834" s="1" t="s">
        <v>1576</v>
      </c>
      <c r="H2834" s="1" t="s">
        <v>1574</v>
      </c>
      <c r="I2834" s="1" t="s">
        <v>14638</v>
      </c>
      <c r="J2834" s="1" t="s">
        <v>14635</v>
      </c>
      <c r="K2834" s="1">
        <v>9</v>
      </c>
      <c r="L2834" s="1" t="s">
        <v>4199</v>
      </c>
      <c r="M2834" s="1">
        <v>12</v>
      </c>
      <c r="N2834" s="1" t="s">
        <v>2841</v>
      </c>
    </row>
    <row r="2835" spans="1:14" x14ac:dyDescent="0.15">
      <c r="A2835" s="1">
        <v>99</v>
      </c>
      <c r="B2835" s="1" t="s">
        <v>1577</v>
      </c>
      <c r="C2835" s="1" t="s">
        <v>1578</v>
      </c>
      <c r="D2835" s="1" t="s">
        <v>1579</v>
      </c>
      <c r="E2835" s="1" t="s">
        <v>1578</v>
      </c>
      <c r="F2835" s="1" t="s">
        <v>1579</v>
      </c>
      <c r="G2835" s="1" t="s">
        <v>1580</v>
      </c>
      <c r="H2835" s="1" t="s">
        <v>1579</v>
      </c>
      <c r="I2835" s="1" t="s">
        <v>14638</v>
      </c>
      <c r="J2835" s="1" t="s">
        <v>14635</v>
      </c>
      <c r="K2835" s="1">
        <v>9</v>
      </c>
      <c r="L2835" s="1" t="s">
        <v>4199</v>
      </c>
      <c r="M2835" s="1">
        <v>12</v>
      </c>
      <c r="N2835" s="1" t="s">
        <v>2841</v>
      </c>
    </row>
    <row r="2836" spans="1:14" x14ac:dyDescent="0.15">
      <c r="A2836" s="1">
        <v>395</v>
      </c>
      <c r="B2836" s="1" t="s">
        <v>1581</v>
      </c>
      <c r="C2836" s="1" t="s">
        <v>1582</v>
      </c>
      <c r="D2836" s="1" t="s">
        <v>1581</v>
      </c>
      <c r="E2836" s="1" t="s">
        <v>1582</v>
      </c>
      <c r="F2836" s="1" t="s">
        <v>1581</v>
      </c>
      <c r="G2836" s="1" t="s">
        <v>1583</v>
      </c>
      <c r="H2836" s="1" t="s">
        <v>1581</v>
      </c>
      <c r="I2836" s="1" t="s">
        <v>8766</v>
      </c>
      <c r="J2836" s="1" t="s">
        <v>1498</v>
      </c>
      <c r="K2836" s="1">
        <v>9</v>
      </c>
      <c r="L2836" s="1" t="s">
        <v>4199</v>
      </c>
      <c r="M2836" s="1">
        <v>12</v>
      </c>
      <c r="N2836" s="1" t="s">
        <v>2841</v>
      </c>
    </row>
    <row r="2837" spans="1:14" x14ac:dyDescent="0.15">
      <c r="A2837" s="1">
        <v>99</v>
      </c>
      <c r="B2837" s="1" t="s">
        <v>1577</v>
      </c>
      <c r="C2837" s="1" t="s">
        <v>1582</v>
      </c>
      <c r="D2837" s="1" t="s">
        <v>1584</v>
      </c>
      <c r="E2837" s="1" t="s">
        <v>1582</v>
      </c>
      <c r="F2837" s="1" t="s">
        <v>1585</v>
      </c>
      <c r="G2837" s="1" t="s">
        <v>1583</v>
      </c>
      <c r="H2837" s="1" t="s">
        <v>1585</v>
      </c>
      <c r="I2837" s="1" t="s">
        <v>14638</v>
      </c>
      <c r="J2837" s="1" t="s">
        <v>14635</v>
      </c>
      <c r="K2837" s="1">
        <v>9</v>
      </c>
      <c r="L2837" s="1" t="s">
        <v>4199</v>
      </c>
      <c r="M2837" s="1">
        <v>12</v>
      </c>
      <c r="N2837" s="1" t="s">
        <v>2841</v>
      </c>
    </row>
    <row r="2838" spans="1:14" x14ac:dyDescent="0.15">
      <c r="A2838" s="1">
        <v>400</v>
      </c>
      <c r="B2838" s="1" t="s">
        <v>1586</v>
      </c>
      <c r="C2838" s="1" t="s">
        <v>1587</v>
      </c>
      <c r="D2838" s="1" t="s">
        <v>1586</v>
      </c>
      <c r="E2838" s="1" t="s">
        <v>1587</v>
      </c>
      <c r="F2838" s="1" t="s">
        <v>1586</v>
      </c>
      <c r="G2838" s="1" t="s">
        <v>1588</v>
      </c>
      <c r="H2838" s="1" t="s">
        <v>1586</v>
      </c>
      <c r="I2838" s="1" t="s">
        <v>10888</v>
      </c>
      <c r="J2838" s="1" t="s">
        <v>1589</v>
      </c>
      <c r="K2838" s="1">
        <v>10</v>
      </c>
      <c r="L2838" s="1" t="s">
        <v>4380</v>
      </c>
      <c r="M2838" s="1">
        <v>9</v>
      </c>
      <c r="N2838" s="1" t="s">
        <v>4381</v>
      </c>
    </row>
    <row r="2839" spans="1:14" x14ac:dyDescent="0.15">
      <c r="A2839" s="1">
        <v>400</v>
      </c>
      <c r="B2839" s="1" t="s">
        <v>1586</v>
      </c>
      <c r="C2839" s="1" t="s">
        <v>1587</v>
      </c>
      <c r="D2839" s="1" t="s">
        <v>1586</v>
      </c>
      <c r="E2839" s="1" t="s">
        <v>1587</v>
      </c>
      <c r="F2839" s="1" t="s">
        <v>1586</v>
      </c>
      <c r="G2839" s="1" t="s">
        <v>1588</v>
      </c>
      <c r="H2839" s="1" t="s">
        <v>1586</v>
      </c>
      <c r="I2839" s="1" t="s">
        <v>16882</v>
      </c>
      <c r="J2839" s="1" t="s">
        <v>16883</v>
      </c>
      <c r="K2839" s="1">
        <v>10</v>
      </c>
      <c r="L2839" s="1" t="s">
        <v>4380</v>
      </c>
      <c r="M2839" s="1">
        <v>9</v>
      </c>
      <c r="N2839" s="1" t="s">
        <v>4381</v>
      </c>
    </row>
    <row r="2840" spans="1:14" x14ac:dyDescent="0.15">
      <c r="A2840" s="1">
        <v>401</v>
      </c>
      <c r="B2840" s="1" t="s">
        <v>1590</v>
      </c>
      <c r="C2840" s="1" t="s">
        <v>1591</v>
      </c>
      <c r="D2840" s="1" t="s">
        <v>1590</v>
      </c>
      <c r="E2840" s="1" t="s">
        <v>1591</v>
      </c>
      <c r="F2840" s="1" t="s">
        <v>1590</v>
      </c>
      <c r="G2840" s="1" t="s">
        <v>1592</v>
      </c>
      <c r="H2840" s="1" t="s">
        <v>1590</v>
      </c>
      <c r="I2840" s="1" t="s">
        <v>10888</v>
      </c>
      <c r="J2840" s="1" t="s">
        <v>1589</v>
      </c>
      <c r="K2840" s="1">
        <v>10</v>
      </c>
      <c r="L2840" s="1" t="s">
        <v>4380</v>
      </c>
      <c r="M2840" s="1">
        <v>9</v>
      </c>
      <c r="N2840" s="1" t="s">
        <v>4381</v>
      </c>
    </row>
    <row r="2841" spans="1:14" x14ac:dyDescent="0.15">
      <c r="A2841" s="1">
        <v>401</v>
      </c>
      <c r="B2841" s="1" t="s">
        <v>1590</v>
      </c>
      <c r="C2841" s="1" t="s">
        <v>1591</v>
      </c>
      <c r="D2841" s="1" t="s">
        <v>1590</v>
      </c>
      <c r="E2841" s="1" t="s">
        <v>1591</v>
      </c>
      <c r="F2841" s="1" t="s">
        <v>1590</v>
      </c>
      <c r="G2841" s="1" t="s">
        <v>1592</v>
      </c>
      <c r="H2841" s="1" t="s">
        <v>1590</v>
      </c>
      <c r="I2841" s="1" t="s">
        <v>16886</v>
      </c>
      <c r="J2841" s="1" t="s">
        <v>4379</v>
      </c>
      <c r="K2841" s="1">
        <v>10</v>
      </c>
      <c r="L2841" s="1" t="s">
        <v>4380</v>
      </c>
      <c r="M2841" s="1">
        <v>9</v>
      </c>
      <c r="N2841" s="1" t="s">
        <v>4381</v>
      </c>
    </row>
    <row r="2842" spans="1:14" x14ac:dyDescent="0.15">
      <c r="A2842" s="1">
        <v>401</v>
      </c>
      <c r="B2842" s="1" t="s">
        <v>1590</v>
      </c>
      <c r="C2842" s="1" t="s">
        <v>1591</v>
      </c>
      <c r="D2842" s="1" t="s">
        <v>1590</v>
      </c>
      <c r="E2842" s="1" t="s">
        <v>1591</v>
      </c>
      <c r="F2842" s="1" t="s">
        <v>1590</v>
      </c>
      <c r="G2842" s="1" t="s">
        <v>1592</v>
      </c>
      <c r="H2842" s="1" t="s">
        <v>1590</v>
      </c>
      <c r="I2842" s="1" t="s">
        <v>17192</v>
      </c>
      <c r="J2842" s="1" t="s">
        <v>5911</v>
      </c>
      <c r="K2842" s="1">
        <v>10</v>
      </c>
      <c r="L2842" s="1" t="s">
        <v>4380</v>
      </c>
      <c r="M2842" s="1">
        <v>9</v>
      </c>
      <c r="N2842" s="1" t="s">
        <v>4381</v>
      </c>
    </row>
    <row r="2843" spans="1:14" x14ac:dyDescent="0.15">
      <c r="A2843" s="1">
        <v>402</v>
      </c>
      <c r="B2843" s="1" t="s">
        <v>1593</v>
      </c>
      <c r="C2843" s="1" t="s">
        <v>1594</v>
      </c>
      <c r="D2843" s="1" t="s">
        <v>1593</v>
      </c>
      <c r="E2843" s="1" t="s">
        <v>1594</v>
      </c>
      <c r="F2843" s="1" t="s">
        <v>1593</v>
      </c>
      <c r="G2843" s="1" t="s">
        <v>1595</v>
      </c>
      <c r="H2843" s="1" t="s">
        <v>1593</v>
      </c>
      <c r="I2843" s="1" t="s">
        <v>11879</v>
      </c>
      <c r="J2843" s="1" t="s">
        <v>4278</v>
      </c>
      <c r="K2843" s="1">
        <v>10</v>
      </c>
      <c r="L2843" s="1" t="s">
        <v>4380</v>
      </c>
      <c r="M2843" s="1">
        <v>9</v>
      </c>
      <c r="N2843" s="1" t="s">
        <v>4381</v>
      </c>
    </row>
    <row r="2844" spans="1:14" x14ac:dyDescent="0.15">
      <c r="A2844" s="1">
        <v>402</v>
      </c>
      <c r="B2844" s="1" t="s">
        <v>1593</v>
      </c>
      <c r="C2844" s="1" t="s">
        <v>1596</v>
      </c>
      <c r="D2844" s="1" t="s">
        <v>1597</v>
      </c>
      <c r="E2844" s="1" t="s">
        <v>1596</v>
      </c>
      <c r="F2844" s="1" t="s">
        <v>1597</v>
      </c>
      <c r="G2844" s="1" t="s">
        <v>1598</v>
      </c>
      <c r="H2844" s="1" t="s">
        <v>1597</v>
      </c>
      <c r="I2844" s="1" t="s">
        <v>16890</v>
      </c>
      <c r="J2844" s="1" t="s">
        <v>6858</v>
      </c>
      <c r="K2844" s="1">
        <v>10</v>
      </c>
      <c r="L2844" s="1" t="s">
        <v>4380</v>
      </c>
      <c r="M2844" s="1">
        <v>9</v>
      </c>
      <c r="N2844" s="1" t="s">
        <v>4381</v>
      </c>
    </row>
    <row r="2845" spans="1:14" x14ac:dyDescent="0.15">
      <c r="A2845" s="1">
        <v>402</v>
      </c>
      <c r="B2845" s="1" t="s">
        <v>1593</v>
      </c>
      <c r="C2845" s="1" t="s">
        <v>1596</v>
      </c>
      <c r="D2845" s="1" t="s">
        <v>1597</v>
      </c>
      <c r="E2845" s="1" t="s">
        <v>1596</v>
      </c>
      <c r="F2845" s="1" t="s">
        <v>1597</v>
      </c>
      <c r="G2845" s="1" t="s">
        <v>1598</v>
      </c>
      <c r="H2845" s="1" t="s">
        <v>1597</v>
      </c>
      <c r="I2845" s="1" t="s">
        <v>10908</v>
      </c>
      <c r="J2845" s="1" t="s">
        <v>1599</v>
      </c>
      <c r="K2845" s="1">
        <v>10</v>
      </c>
      <c r="L2845" s="1" t="s">
        <v>4380</v>
      </c>
      <c r="M2845" s="1">
        <v>9</v>
      </c>
      <c r="N2845" s="1" t="s">
        <v>4381</v>
      </c>
    </row>
    <row r="2846" spans="1:14" x14ac:dyDescent="0.15">
      <c r="A2846" s="1">
        <v>402</v>
      </c>
      <c r="B2846" s="1" t="s">
        <v>1593</v>
      </c>
      <c r="C2846" s="1" t="s">
        <v>1600</v>
      </c>
      <c r="D2846" s="1" t="s">
        <v>1601</v>
      </c>
      <c r="E2846" s="1" t="s">
        <v>1600</v>
      </c>
      <c r="F2846" s="1" t="s">
        <v>1601</v>
      </c>
      <c r="G2846" s="1" t="s">
        <v>1602</v>
      </c>
      <c r="H2846" s="1" t="s">
        <v>1601</v>
      </c>
      <c r="I2846" s="1" t="s">
        <v>10888</v>
      </c>
      <c r="J2846" s="1" t="s">
        <v>1589</v>
      </c>
      <c r="K2846" s="1">
        <v>10</v>
      </c>
      <c r="L2846" s="1" t="s">
        <v>4380</v>
      </c>
      <c r="M2846" s="1">
        <v>9</v>
      </c>
      <c r="N2846" s="1" t="s">
        <v>4381</v>
      </c>
    </row>
    <row r="2847" spans="1:14" x14ac:dyDescent="0.15">
      <c r="A2847" s="1">
        <v>402</v>
      </c>
      <c r="B2847" s="1" t="s">
        <v>1593</v>
      </c>
      <c r="C2847" s="1" t="s">
        <v>1600</v>
      </c>
      <c r="D2847" s="1" t="s">
        <v>1601</v>
      </c>
      <c r="E2847" s="1" t="s">
        <v>1600</v>
      </c>
      <c r="F2847" s="1" t="s">
        <v>1601</v>
      </c>
      <c r="G2847" s="1" t="s">
        <v>1602</v>
      </c>
      <c r="H2847" s="1" t="s">
        <v>1601</v>
      </c>
      <c r="I2847" s="1" t="s">
        <v>16890</v>
      </c>
      <c r="J2847" s="1" t="s">
        <v>6858</v>
      </c>
      <c r="K2847" s="1">
        <v>10</v>
      </c>
      <c r="L2847" s="1" t="s">
        <v>4380</v>
      </c>
      <c r="M2847" s="1">
        <v>9</v>
      </c>
      <c r="N2847" s="1" t="s">
        <v>4381</v>
      </c>
    </row>
    <row r="2848" spans="1:14" x14ac:dyDescent="0.15">
      <c r="A2848" s="1">
        <v>402</v>
      </c>
      <c r="B2848" s="1" t="s">
        <v>1593</v>
      </c>
      <c r="C2848" s="1" t="s">
        <v>1600</v>
      </c>
      <c r="D2848" s="1" t="s">
        <v>1601</v>
      </c>
      <c r="E2848" s="1" t="s">
        <v>1600</v>
      </c>
      <c r="F2848" s="1" t="s">
        <v>1601</v>
      </c>
      <c r="G2848" s="1" t="s">
        <v>1602</v>
      </c>
      <c r="H2848" s="1" t="s">
        <v>1601</v>
      </c>
      <c r="I2848" s="1" t="s">
        <v>16902</v>
      </c>
      <c r="J2848" s="1" t="s">
        <v>1603</v>
      </c>
      <c r="K2848" s="1">
        <v>10</v>
      </c>
      <c r="L2848" s="1" t="s">
        <v>4380</v>
      </c>
      <c r="M2848" s="1">
        <v>9</v>
      </c>
      <c r="N2848" s="1" t="s">
        <v>4381</v>
      </c>
    </row>
    <row r="2849" spans="1:14" x14ac:dyDescent="0.15">
      <c r="A2849" s="1">
        <v>402</v>
      </c>
      <c r="B2849" s="1" t="s">
        <v>1593</v>
      </c>
      <c r="C2849" s="1" t="s">
        <v>1600</v>
      </c>
      <c r="D2849" s="1" t="s">
        <v>1601</v>
      </c>
      <c r="E2849" s="1" t="s">
        <v>1600</v>
      </c>
      <c r="F2849" s="1" t="s">
        <v>1601</v>
      </c>
      <c r="G2849" s="1" t="s">
        <v>1602</v>
      </c>
      <c r="H2849" s="1" t="s">
        <v>1601</v>
      </c>
      <c r="I2849" s="1" t="s">
        <v>17192</v>
      </c>
      <c r="J2849" s="1" t="s">
        <v>5911</v>
      </c>
      <c r="K2849" s="1">
        <v>10</v>
      </c>
      <c r="L2849" s="1" t="s">
        <v>4380</v>
      </c>
      <c r="M2849" s="1">
        <v>9</v>
      </c>
      <c r="N2849" s="1" t="s">
        <v>4381</v>
      </c>
    </row>
    <row r="2850" spans="1:14" x14ac:dyDescent="0.15">
      <c r="A2850" s="1">
        <v>402</v>
      </c>
      <c r="B2850" s="1" t="s">
        <v>1593</v>
      </c>
      <c r="C2850" s="1" t="s">
        <v>1600</v>
      </c>
      <c r="D2850" s="1" t="s">
        <v>1601</v>
      </c>
      <c r="E2850" s="1" t="s">
        <v>1600</v>
      </c>
      <c r="F2850" s="1" t="s">
        <v>1601</v>
      </c>
      <c r="G2850" s="1" t="s">
        <v>1602</v>
      </c>
      <c r="H2850" s="1" t="s">
        <v>1601</v>
      </c>
      <c r="I2850" s="1" t="s">
        <v>10908</v>
      </c>
      <c r="J2850" s="1" t="s">
        <v>1599</v>
      </c>
      <c r="K2850" s="1">
        <v>10</v>
      </c>
      <c r="L2850" s="1" t="s">
        <v>4380</v>
      </c>
      <c r="M2850" s="1">
        <v>9</v>
      </c>
      <c r="N2850" s="1" t="s">
        <v>4381</v>
      </c>
    </row>
    <row r="2851" spans="1:14" x14ac:dyDescent="0.15">
      <c r="A2851" s="1">
        <v>402</v>
      </c>
      <c r="B2851" s="1" t="s">
        <v>1593</v>
      </c>
      <c r="D2851" s="1" t="s">
        <v>1604</v>
      </c>
      <c r="E2851" s="1" t="s">
        <v>1605</v>
      </c>
      <c r="F2851" s="1" t="s">
        <v>1606</v>
      </c>
      <c r="G2851" s="1" t="s">
        <v>1607</v>
      </c>
      <c r="H2851" s="1" t="s">
        <v>1606</v>
      </c>
      <c r="I2851" s="1" t="s">
        <v>16882</v>
      </c>
      <c r="J2851" s="1" t="s">
        <v>16883</v>
      </c>
      <c r="K2851" s="1">
        <v>10</v>
      </c>
      <c r="L2851" s="1" t="s">
        <v>4380</v>
      </c>
      <c r="M2851" s="1">
        <v>9</v>
      </c>
      <c r="N2851" s="1" t="s">
        <v>4381</v>
      </c>
    </row>
    <row r="2852" spans="1:14" x14ac:dyDescent="0.15">
      <c r="A2852" s="1">
        <v>402</v>
      </c>
      <c r="B2852" s="1" t="s">
        <v>1593</v>
      </c>
      <c r="D2852" s="1" t="s">
        <v>1604</v>
      </c>
      <c r="E2852" s="1" t="s">
        <v>1605</v>
      </c>
      <c r="F2852" s="1" t="s">
        <v>1606</v>
      </c>
      <c r="G2852" s="1" t="s">
        <v>1607</v>
      </c>
      <c r="H2852" s="1" t="s">
        <v>1606</v>
      </c>
      <c r="I2852" s="1" t="s">
        <v>16890</v>
      </c>
      <c r="J2852" s="1" t="s">
        <v>6858</v>
      </c>
      <c r="K2852" s="1">
        <v>10</v>
      </c>
      <c r="L2852" s="1" t="s">
        <v>4380</v>
      </c>
      <c r="M2852" s="1">
        <v>9</v>
      </c>
      <c r="N2852" s="1" t="s">
        <v>4381</v>
      </c>
    </row>
    <row r="2853" spans="1:14" x14ac:dyDescent="0.15">
      <c r="A2853" s="1">
        <v>402</v>
      </c>
      <c r="B2853" s="1" t="s">
        <v>1593</v>
      </c>
      <c r="C2853" s="1" t="s">
        <v>1608</v>
      </c>
      <c r="D2853" s="1" t="s">
        <v>1609</v>
      </c>
      <c r="E2853" s="1" t="s">
        <v>1608</v>
      </c>
      <c r="F2853" s="1" t="s">
        <v>1609</v>
      </c>
      <c r="G2853" s="1" t="s">
        <v>1610</v>
      </c>
      <c r="H2853" s="1" t="s">
        <v>1609</v>
      </c>
      <c r="I2853" s="1" t="s">
        <v>10888</v>
      </c>
      <c r="J2853" s="1" t="s">
        <v>1589</v>
      </c>
      <c r="K2853" s="1">
        <v>10</v>
      </c>
      <c r="L2853" s="1" t="s">
        <v>4380</v>
      </c>
      <c r="M2853" s="1">
        <v>9</v>
      </c>
      <c r="N2853" s="1" t="s">
        <v>4381</v>
      </c>
    </row>
    <row r="2854" spans="1:14" x14ac:dyDescent="0.15">
      <c r="A2854" s="1">
        <v>402</v>
      </c>
      <c r="B2854" s="1" t="s">
        <v>1593</v>
      </c>
      <c r="C2854" s="1" t="s">
        <v>1608</v>
      </c>
      <c r="D2854" s="1" t="s">
        <v>1609</v>
      </c>
      <c r="E2854" s="1" t="s">
        <v>1608</v>
      </c>
      <c r="F2854" s="1" t="s">
        <v>1609</v>
      </c>
      <c r="G2854" s="1" t="s">
        <v>1610</v>
      </c>
      <c r="H2854" s="1" t="s">
        <v>1609</v>
      </c>
      <c r="I2854" s="1" t="s">
        <v>16882</v>
      </c>
      <c r="J2854" s="1" t="s">
        <v>16883</v>
      </c>
      <c r="K2854" s="1">
        <v>10</v>
      </c>
      <c r="L2854" s="1" t="s">
        <v>4380</v>
      </c>
      <c r="M2854" s="1">
        <v>9</v>
      </c>
      <c r="N2854" s="1" t="s">
        <v>4381</v>
      </c>
    </row>
    <row r="2855" spans="1:14" x14ac:dyDescent="0.15">
      <c r="A2855" s="1">
        <v>402</v>
      </c>
      <c r="B2855" s="1" t="s">
        <v>1593</v>
      </c>
      <c r="C2855" s="1" t="s">
        <v>1611</v>
      </c>
      <c r="D2855" s="1" t="s">
        <v>1612</v>
      </c>
      <c r="E2855" s="1" t="s">
        <v>1611</v>
      </c>
      <c r="F2855" s="1" t="s">
        <v>1612</v>
      </c>
      <c r="G2855" s="1" t="s">
        <v>1613</v>
      </c>
      <c r="H2855" s="1" t="s">
        <v>1612</v>
      </c>
      <c r="I2855" s="1" t="s">
        <v>16890</v>
      </c>
      <c r="J2855" s="1" t="s">
        <v>6858</v>
      </c>
      <c r="K2855" s="1">
        <v>10</v>
      </c>
      <c r="L2855" s="1" t="s">
        <v>4380</v>
      </c>
      <c r="M2855" s="1">
        <v>9</v>
      </c>
      <c r="N2855" s="1" t="s">
        <v>4381</v>
      </c>
    </row>
    <row r="2856" spans="1:14" x14ac:dyDescent="0.15">
      <c r="A2856" s="1">
        <v>402</v>
      </c>
      <c r="B2856" s="1" t="s">
        <v>1593</v>
      </c>
      <c r="C2856" s="1" t="s">
        <v>1611</v>
      </c>
      <c r="D2856" s="1" t="s">
        <v>1612</v>
      </c>
      <c r="E2856" s="1" t="s">
        <v>1611</v>
      </c>
      <c r="F2856" s="1" t="s">
        <v>1612</v>
      </c>
      <c r="G2856" s="1" t="s">
        <v>1613</v>
      </c>
      <c r="H2856" s="1" t="s">
        <v>1612</v>
      </c>
      <c r="I2856" s="1" t="s">
        <v>10908</v>
      </c>
      <c r="J2856" s="1" t="s">
        <v>1599</v>
      </c>
      <c r="K2856" s="1">
        <v>10</v>
      </c>
      <c r="L2856" s="1" t="s">
        <v>4380</v>
      </c>
      <c r="M2856" s="1">
        <v>9</v>
      </c>
      <c r="N2856" s="1" t="s">
        <v>4381</v>
      </c>
    </row>
    <row r="2857" spans="1:14" x14ac:dyDescent="0.15">
      <c r="A2857" s="1">
        <v>402</v>
      </c>
      <c r="B2857" s="1" t="s">
        <v>1593</v>
      </c>
      <c r="C2857" s="1" t="s">
        <v>1614</v>
      </c>
      <c r="D2857" s="1" t="s">
        <v>1615</v>
      </c>
      <c r="E2857" s="1" t="s">
        <v>1614</v>
      </c>
      <c r="F2857" s="1" t="s">
        <v>1615</v>
      </c>
      <c r="G2857" s="1" t="s">
        <v>1616</v>
      </c>
      <c r="H2857" s="1" t="s">
        <v>1615</v>
      </c>
      <c r="I2857" s="1" t="s">
        <v>10888</v>
      </c>
      <c r="J2857" s="1" t="s">
        <v>1589</v>
      </c>
      <c r="K2857" s="1">
        <v>10</v>
      </c>
      <c r="L2857" s="1" t="s">
        <v>4380</v>
      </c>
      <c r="M2857" s="1">
        <v>9</v>
      </c>
      <c r="N2857" s="1" t="s">
        <v>4381</v>
      </c>
    </row>
    <row r="2858" spans="1:14" x14ac:dyDescent="0.15">
      <c r="A2858" s="1">
        <v>402</v>
      </c>
      <c r="B2858" s="1" t="s">
        <v>1593</v>
      </c>
      <c r="C2858" s="1" t="s">
        <v>1614</v>
      </c>
      <c r="D2858" s="1" t="s">
        <v>1615</v>
      </c>
      <c r="E2858" s="1" t="s">
        <v>1614</v>
      </c>
      <c r="F2858" s="1" t="s">
        <v>1615</v>
      </c>
      <c r="G2858" s="1" t="s">
        <v>1616</v>
      </c>
      <c r="H2858" s="1" t="s">
        <v>1615</v>
      </c>
      <c r="I2858" s="1" t="s">
        <v>16882</v>
      </c>
      <c r="J2858" s="1" t="s">
        <v>16883</v>
      </c>
      <c r="K2858" s="1">
        <v>10</v>
      </c>
      <c r="L2858" s="1" t="s">
        <v>4380</v>
      </c>
      <c r="M2858" s="1">
        <v>9</v>
      </c>
      <c r="N2858" s="1" t="s">
        <v>4381</v>
      </c>
    </row>
    <row r="2859" spans="1:14" x14ac:dyDescent="0.15">
      <c r="A2859" s="1">
        <v>403</v>
      </c>
      <c r="B2859" s="1" t="s">
        <v>1617</v>
      </c>
      <c r="C2859" s="1" t="s">
        <v>1618</v>
      </c>
      <c r="D2859" s="1" t="s">
        <v>1617</v>
      </c>
      <c r="E2859" s="1" t="s">
        <v>1618</v>
      </c>
      <c r="F2859" s="1" t="s">
        <v>1617</v>
      </c>
      <c r="G2859" s="1" t="s">
        <v>1619</v>
      </c>
      <c r="H2859" s="1" t="s">
        <v>1617</v>
      </c>
      <c r="I2859" s="1" t="s">
        <v>10888</v>
      </c>
      <c r="J2859" s="1" t="s">
        <v>1589</v>
      </c>
      <c r="K2859" s="1">
        <v>10</v>
      </c>
      <c r="L2859" s="1" t="s">
        <v>4380</v>
      </c>
      <c r="M2859" s="1">
        <v>9</v>
      </c>
      <c r="N2859" s="1" t="s">
        <v>4381</v>
      </c>
    </row>
    <row r="2860" spans="1:14" x14ac:dyDescent="0.15">
      <c r="A2860" s="1">
        <v>403</v>
      </c>
      <c r="B2860" s="1" t="s">
        <v>1617</v>
      </c>
      <c r="C2860" s="1" t="s">
        <v>1618</v>
      </c>
      <c r="D2860" s="1" t="s">
        <v>1617</v>
      </c>
      <c r="E2860" s="1" t="s">
        <v>1618</v>
      </c>
      <c r="F2860" s="1" t="s">
        <v>1617</v>
      </c>
      <c r="G2860" s="1" t="s">
        <v>1619</v>
      </c>
      <c r="H2860" s="1" t="s">
        <v>1617</v>
      </c>
      <c r="I2860" s="1" t="s">
        <v>16890</v>
      </c>
      <c r="J2860" s="1" t="s">
        <v>6858</v>
      </c>
      <c r="K2860" s="1">
        <v>10</v>
      </c>
      <c r="L2860" s="1" t="s">
        <v>4380</v>
      </c>
      <c r="M2860" s="1">
        <v>9</v>
      </c>
      <c r="N2860" s="1" t="s">
        <v>4381</v>
      </c>
    </row>
    <row r="2861" spans="1:14" x14ac:dyDescent="0.15">
      <c r="A2861" s="1">
        <v>403</v>
      </c>
      <c r="B2861" s="1" t="s">
        <v>1617</v>
      </c>
      <c r="C2861" s="1" t="s">
        <v>1618</v>
      </c>
      <c r="D2861" s="1" t="s">
        <v>1617</v>
      </c>
      <c r="E2861" s="1" t="s">
        <v>1618</v>
      </c>
      <c r="F2861" s="1" t="s">
        <v>1617</v>
      </c>
      <c r="G2861" s="1" t="s">
        <v>1619</v>
      </c>
      <c r="H2861" s="1" t="s">
        <v>1617</v>
      </c>
      <c r="I2861" s="1" t="s">
        <v>10908</v>
      </c>
      <c r="J2861" s="1" t="s">
        <v>1599</v>
      </c>
      <c r="K2861" s="1">
        <v>10</v>
      </c>
      <c r="L2861" s="1" t="s">
        <v>4380</v>
      </c>
      <c r="M2861" s="1">
        <v>9</v>
      </c>
      <c r="N2861" s="1" t="s">
        <v>4381</v>
      </c>
    </row>
    <row r="2862" spans="1:14" x14ac:dyDescent="0.15">
      <c r="A2862" s="1">
        <v>404</v>
      </c>
      <c r="B2862" s="1" t="s">
        <v>1620</v>
      </c>
      <c r="C2862" s="1" t="s">
        <v>1621</v>
      </c>
      <c r="D2862" s="1" t="s">
        <v>1620</v>
      </c>
      <c r="E2862" s="1" t="s">
        <v>1621</v>
      </c>
      <c r="F2862" s="1" t="s">
        <v>1620</v>
      </c>
      <c r="G2862" s="1" t="s">
        <v>1622</v>
      </c>
      <c r="H2862" s="1" t="s">
        <v>1620</v>
      </c>
      <c r="I2862" s="1" t="s">
        <v>16878</v>
      </c>
      <c r="J2862" s="1" t="s">
        <v>6854</v>
      </c>
      <c r="K2862" s="1">
        <v>10</v>
      </c>
      <c r="L2862" s="1" t="s">
        <v>4380</v>
      </c>
      <c r="M2862" s="1">
        <v>9</v>
      </c>
      <c r="N2862" s="1" t="s">
        <v>4381</v>
      </c>
    </row>
    <row r="2863" spans="1:14" x14ac:dyDescent="0.15">
      <c r="A2863" s="1">
        <v>405</v>
      </c>
      <c r="B2863" s="1" t="s">
        <v>1623</v>
      </c>
      <c r="C2863" s="1" t="s">
        <v>1624</v>
      </c>
      <c r="D2863" s="1" t="s">
        <v>1623</v>
      </c>
      <c r="E2863" s="1" t="s">
        <v>1624</v>
      </c>
      <c r="F2863" s="1" t="s">
        <v>1623</v>
      </c>
      <c r="G2863" s="1" t="s">
        <v>1625</v>
      </c>
      <c r="H2863" s="1" t="s">
        <v>1623</v>
      </c>
      <c r="I2863" s="1" t="s">
        <v>16890</v>
      </c>
      <c r="J2863" s="1" t="s">
        <v>6858</v>
      </c>
      <c r="K2863" s="1">
        <v>10</v>
      </c>
      <c r="L2863" s="1" t="s">
        <v>4380</v>
      </c>
      <c r="M2863" s="1">
        <v>9</v>
      </c>
      <c r="N2863" s="1" t="s">
        <v>4381</v>
      </c>
    </row>
    <row r="2864" spans="1:14" x14ac:dyDescent="0.15">
      <c r="A2864" s="1">
        <v>405</v>
      </c>
      <c r="B2864" s="1" t="s">
        <v>1623</v>
      </c>
      <c r="C2864" s="1" t="s">
        <v>1624</v>
      </c>
      <c r="D2864" s="1" t="s">
        <v>1623</v>
      </c>
      <c r="E2864" s="1" t="s">
        <v>1624</v>
      </c>
      <c r="F2864" s="1" t="s">
        <v>1623</v>
      </c>
      <c r="G2864" s="1" t="s">
        <v>1625</v>
      </c>
      <c r="H2864" s="1" t="s">
        <v>1623</v>
      </c>
      <c r="I2864" s="1" t="s">
        <v>10908</v>
      </c>
      <c r="J2864" s="1" t="s">
        <v>1599</v>
      </c>
      <c r="K2864" s="1">
        <v>10</v>
      </c>
      <c r="L2864" s="1" t="s">
        <v>4380</v>
      </c>
      <c r="M2864" s="1">
        <v>9</v>
      </c>
      <c r="N2864" s="1" t="s">
        <v>4381</v>
      </c>
    </row>
    <row r="2865" spans="1:14" x14ac:dyDescent="0.15">
      <c r="A2865" s="1">
        <v>406</v>
      </c>
      <c r="B2865" s="1" t="s">
        <v>1626</v>
      </c>
      <c r="C2865" s="1" t="s">
        <v>1627</v>
      </c>
      <c r="D2865" s="1" t="s">
        <v>1626</v>
      </c>
      <c r="E2865" s="1" t="s">
        <v>1627</v>
      </c>
      <c r="F2865" s="1" t="s">
        <v>1626</v>
      </c>
      <c r="G2865" s="1" t="s">
        <v>1628</v>
      </c>
      <c r="H2865" s="1" t="s">
        <v>1626</v>
      </c>
      <c r="I2865" s="1" t="s">
        <v>16898</v>
      </c>
      <c r="J2865" s="1" t="s">
        <v>1629</v>
      </c>
      <c r="K2865" s="1">
        <v>10</v>
      </c>
      <c r="L2865" s="1" t="s">
        <v>4380</v>
      </c>
      <c r="M2865" s="1">
        <v>9</v>
      </c>
      <c r="N2865" s="1" t="s">
        <v>4381</v>
      </c>
    </row>
    <row r="2866" spans="1:14" x14ac:dyDescent="0.15">
      <c r="A2866" s="1">
        <v>411</v>
      </c>
      <c r="B2866" s="1" t="s">
        <v>1630</v>
      </c>
      <c r="C2866" s="1" t="s">
        <v>1631</v>
      </c>
      <c r="D2866" s="1" t="s">
        <v>1630</v>
      </c>
      <c r="E2866" s="1" t="s">
        <v>1631</v>
      </c>
      <c r="F2866" s="1" t="s">
        <v>1630</v>
      </c>
      <c r="G2866" s="1" t="s">
        <v>1632</v>
      </c>
      <c r="H2866" s="1" t="s">
        <v>1630</v>
      </c>
      <c r="I2866" s="1" t="s">
        <v>16898</v>
      </c>
      <c r="J2866" s="1" t="s">
        <v>1629</v>
      </c>
      <c r="K2866" s="1">
        <v>10</v>
      </c>
      <c r="L2866" s="1" t="s">
        <v>4380</v>
      </c>
      <c r="M2866" s="1">
        <v>9</v>
      </c>
      <c r="N2866" s="1" t="s">
        <v>4381</v>
      </c>
    </row>
    <row r="2867" spans="1:14" x14ac:dyDescent="0.15">
      <c r="A2867" s="1">
        <v>412</v>
      </c>
      <c r="B2867" s="1" t="s">
        <v>1633</v>
      </c>
      <c r="C2867" s="1" t="s">
        <v>1634</v>
      </c>
      <c r="D2867" s="1" t="s">
        <v>1633</v>
      </c>
      <c r="E2867" s="1" t="s">
        <v>1634</v>
      </c>
      <c r="F2867" s="1" t="s">
        <v>1633</v>
      </c>
      <c r="G2867" s="1" t="s">
        <v>1635</v>
      </c>
      <c r="H2867" s="1" t="s">
        <v>1633</v>
      </c>
      <c r="I2867" s="1" t="s">
        <v>16898</v>
      </c>
      <c r="J2867" s="1" t="s">
        <v>1629</v>
      </c>
      <c r="K2867" s="1">
        <v>10</v>
      </c>
      <c r="L2867" s="1" t="s">
        <v>4380</v>
      </c>
      <c r="M2867" s="1">
        <v>9</v>
      </c>
      <c r="N2867" s="1" t="s">
        <v>4381</v>
      </c>
    </row>
    <row r="2868" spans="1:14" x14ac:dyDescent="0.15">
      <c r="A2868" s="1">
        <v>413</v>
      </c>
      <c r="B2868" s="1" t="s">
        <v>1636</v>
      </c>
      <c r="C2868" s="1" t="s">
        <v>1637</v>
      </c>
      <c r="D2868" s="1" t="s">
        <v>1636</v>
      </c>
      <c r="E2868" s="1" t="s">
        <v>1637</v>
      </c>
      <c r="F2868" s="1" t="s">
        <v>1636</v>
      </c>
      <c r="G2868" s="1" t="s">
        <v>1638</v>
      </c>
      <c r="H2868" s="1" t="s">
        <v>1636</v>
      </c>
      <c r="I2868" s="1" t="s">
        <v>16898</v>
      </c>
      <c r="J2868" s="1" t="s">
        <v>1629</v>
      </c>
      <c r="K2868" s="1">
        <v>10</v>
      </c>
      <c r="L2868" s="1" t="s">
        <v>4380</v>
      </c>
      <c r="M2868" s="1">
        <v>9</v>
      </c>
      <c r="N2868" s="1" t="s">
        <v>4381</v>
      </c>
    </row>
    <row r="2869" spans="1:14" x14ac:dyDescent="0.15">
      <c r="A2869" s="1">
        <v>414</v>
      </c>
      <c r="B2869" s="1" t="s">
        <v>1639</v>
      </c>
      <c r="C2869" s="1" t="s">
        <v>1640</v>
      </c>
      <c r="D2869" s="1" t="s">
        <v>1639</v>
      </c>
      <c r="E2869" s="1" t="s">
        <v>1640</v>
      </c>
      <c r="F2869" s="1" t="s">
        <v>1639</v>
      </c>
      <c r="G2869" s="1" t="s">
        <v>1641</v>
      </c>
      <c r="H2869" s="1" t="s">
        <v>1639</v>
      </c>
      <c r="I2869" s="1" t="s">
        <v>16890</v>
      </c>
      <c r="J2869" s="1" t="s">
        <v>6858</v>
      </c>
      <c r="K2869" s="1">
        <v>10</v>
      </c>
      <c r="L2869" s="1" t="s">
        <v>4380</v>
      </c>
      <c r="M2869" s="1">
        <v>9</v>
      </c>
      <c r="N2869" s="1" t="s">
        <v>4381</v>
      </c>
    </row>
    <row r="2870" spans="1:14" x14ac:dyDescent="0.15">
      <c r="A2870" s="1">
        <v>415</v>
      </c>
      <c r="B2870" s="1" t="s">
        <v>1642</v>
      </c>
      <c r="C2870" s="1" t="s">
        <v>1643</v>
      </c>
      <c r="D2870" s="1" t="s">
        <v>1642</v>
      </c>
      <c r="E2870" s="1" t="s">
        <v>1643</v>
      </c>
      <c r="F2870" s="1" t="s">
        <v>1642</v>
      </c>
      <c r="G2870" s="1" t="s">
        <v>1644</v>
      </c>
      <c r="H2870" s="1" t="s">
        <v>1642</v>
      </c>
      <c r="I2870" s="1" t="s">
        <v>16898</v>
      </c>
      <c r="J2870" s="1" t="s">
        <v>1629</v>
      </c>
      <c r="K2870" s="1">
        <v>10</v>
      </c>
      <c r="L2870" s="1" t="s">
        <v>4380</v>
      </c>
      <c r="M2870" s="1">
        <v>9</v>
      </c>
      <c r="N2870" s="1" t="s">
        <v>4381</v>
      </c>
    </row>
    <row r="2871" spans="1:14" x14ac:dyDescent="0.15">
      <c r="A2871" s="1">
        <v>416</v>
      </c>
      <c r="B2871" s="1" t="s">
        <v>1645</v>
      </c>
      <c r="C2871" s="1" t="s">
        <v>1646</v>
      </c>
      <c r="D2871" s="1" t="s">
        <v>1647</v>
      </c>
      <c r="E2871" s="1" t="s">
        <v>1646</v>
      </c>
      <c r="F2871" s="1" t="s">
        <v>1647</v>
      </c>
      <c r="G2871" s="1" t="s">
        <v>1648</v>
      </c>
      <c r="H2871" s="1" t="s">
        <v>1647</v>
      </c>
      <c r="I2871" s="1" t="s">
        <v>4494</v>
      </c>
      <c r="J2871" s="1" t="s">
        <v>4495</v>
      </c>
      <c r="K2871" s="1">
        <v>10</v>
      </c>
      <c r="L2871" s="1" t="s">
        <v>4380</v>
      </c>
      <c r="M2871" s="1">
        <v>9</v>
      </c>
      <c r="N2871" s="1" t="s">
        <v>4381</v>
      </c>
    </row>
    <row r="2872" spans="1:14" x14ac:dyDescent="0.15">
      <c r="A2872" s="1">
        <v>420</v>
      </c>
      <c r="B2872" s="1" t="s">
        <v>1649</v>
      </c>
      <c r="C2872" s="1" t="s">
        <v>1650</v>
      </c>
      <c r="D2872" s="1" t="s">
        <v>1649</v>
      </c>
      <c r="E2872" s="1" t="s">
        <v>1650</v>
      </c>
      <c r="F2872" s="1" t="s">
        <v>1649</v>
      </c>
      <c r="G2872" s="1" t="s">
        <v>1651</v>
      </c>
      <c r="H2872" s="1" t="s">
        <v>1649</v>
      </c>
      <c r="I2872" s="1" t="s">
        <v>4494</v>
      </c>
      <c r="J2872" s="1" t="s">
        <v>4495</v>
      </c>
      <c r="K2872" s="1">
        <v>10</v>
      </c>
      <c r="L2872" s="1" t="s">
        <v>4380</v>
      </c>
      <c r="M2872" s="1">
        <v>9</v>
      </c>
      <c r="N2872" s="1" t="s">
        <v>4381</v>
      </c>
    </row>
    <row r="2873" spans="1:14" x14ac:dyDescent="0.15">
      <c r="A2873" s="1">
        <v>420</v>
      </c>
      <c r="B2873" s="1" t="s">
        <v>1649</v>
      </c>
      <c r="C2873" s="1" t="s">
        <v>1650</v>
      </c>
      <c r="D2873" s="1" t="s">
        <v>1649</v>
      </c>
      <c r="E2873" s="1" t="s">
        <v>1650</v>
      </c>
      <c r="F2873" s="1" t="s">
        <v>1652</v>
      </c>
      <c r="G2873" s="1" t="s">
        <v>1653</v>
      </c>
      <c r="H2873" s="1" t="s">
        <v>1652</v>
      </c>
      <c r="I2873" s="1" t="s">
        <v>4494</v>
      </c>
      <c r="J2873" s="1" t="s">
        <v>4495</v>
      </c>
      <c r="K2873" s="1">
        <v>10</v>
      </c>
      <c r="L2873" s="1" t="s">
        <v>4380</v>
      </c>
      <c r="M2873" s="1">
        <v>9</v>
      </c>
      <c r="N2873" s="1" t="s">
        <v>4381</v>
      </c>
    </row>
    <row r="2874" spans="1:14" x14ac:dyDescent="0.15">
      <c r="A2874" s="1">
        <v>420</v>
      </c>
      <c r="B2874" s="1" t="s">
        <v>1649</v>
      </c>
      <c r="C2874" s="1" t="s">
        <v>1650</v>
      </c>
      <c r="D2874" s="1" t="s">
        <v>1649</v>
      </c>
      <c r="E2874" s="1" t="s">
        <v>1650</v>
      </c>
      <c r="F2874" s="1" t="s">
        <v>1654</v>
      </c>
      <c r="G2874" s="1" t="s">
        <v>1655</v>
      </c>
      <c r="H2874" s="1" t="s">
        <v>1654</v>
      </c>
      <c r="I2874" s="1" t="s">
        <v>4494</v>
      </c>
      <c r="J2874" s="1" t="s">
        <v>4495</v>
      </c>
      <c r="K2874" s="1">
        <v>10</v>
      </c>
      <c r="L2874" s="1" t="s">
        <v>4380</v>
      </c>
      <c r="M2874" s="1">
        <v>9</v>
      </c>
      <c r="N2874" s="1" t="s">
        <v>4381</v>
      </c>
    </row>
    <row r="2875" spans="1:14" x14ac:dyDescent="0.15">
      <c r="A2875" s="1">
        <v>421</v>
      </c>
      <c r="B2875" s="1" t="s">
        <v>1656</v>
      </c>
      <c r="C2875" s="1" t="s">
        <v>1657</v>
      </c>
      <c r="D2875" s="1" t="s">
        <v>1656</v>
      </c>
      <c r="E2875" s="1" t="s">
        <v>1657</v>
      </c>
      <c r="F2875" s="1" t="s">
        <v>1656</v>
      </c>
      <c r="G2875" s="1" t="s">
        <v>1658</v>
      </c>
      <c r="H2875" s="1" t="s">
        <v>1656</v>
      </c>
      <c r="I2875" s="1" t="s">
        <v>17952</v>
      </c>
      <c r="J2875" s="1" t="s">
        <v>6566</v>
      </c>
      <c r="K2875" s="1">
        <v>1</v>
      </c>
      <c r="L2875" s="1" t="s">
        <v>4259</v>
      </c>
      <c r="M2875" s="1">
        <v>1</v>
      </c>
      <c r="N2875" s="1" t="s">
        <v>4318</v>
      </c>
    </row>
    <row r="2876" spans="1:14" x14ac:dyDescent="0.15">
      <c r="A2876" s="1">
        <v>421</v>
      </c>
      <c r="B2876" s="1" t="s">
        <v>1656</v>
      </c>
      <c r="C2876" s="1" t="s">
        <v>1657</v>
      </c>
      <c r="D2876" s="1" t="s">
        <v>1656</v>
      </c>
      <c r="E2876" s="1" t="s">
        <v>1657</v>
      </c>
      <c r="F2876" s="1" t="s">
        <v>1656</v>
      </c>
      <c r="G2876" s="1" t="s">
        <v>1658</v>
      </c>
      <c r="H2876" s="1" t="s">
        <v>1656</v>
      </c>
      <c r="I2876" s="1" t="s">
        <v>17960</v>
      </c>
      <c r="J2876" s="1" t="s">
        <v>2910</v>
      </c>
      <c r="K2876" s="1">
        <v>1</v>
      </c>
      <c r="L2876" s="1" t="s">
        <v>4259</v>
      </c>
      <c r="M2876" s="1">
        <v>1</v>
      </c>
      <c r="N2876" s="1" t="s">
        <v>4318</v>
      </c>
    </row>
    <row r="2877" spans="1:14" x14ac:dyDescent="0.15">
      <c r="A2877" s="1">
        <v>421</v>
      </c>
      <c r="B2877" s="1" t="s">
        <v>1656</v>
      </c>
      <c r="C2877" s="1" t="s">
        <v>1657</v>
      </c>
      <c r="D2877" s="1" t="s">
        <v>1656</v>
      </c>
      <c r="E2877" s="1" t="s">
        <v>1657</v>
      </c>
      <c r="F2877" s="1" t="s">
        <v>1656</v>
      </c>
      <c r="G2877" s="1" t="s">
        <v>1658</v>
      </c>
      <c r="H2877" s="1" t="s">
        <v>1656</v>
      </c>
      <c r="I2877" s="1" t="s">
        <v>17968</v>
      </c>
      <c r="J2877" s="1" t="s">
        <v>2911</v>
      </c>
      <c r="K2877" s="1">
        <v>1</v>
      </c>
      <c r="L2877" s="1" t="s">
        <v>4259</v>
      </c>
      <c r="M2877" s="1">
        <v>1</v>
      </c>
      <c r="N2877" s="1" t="s">
        <v>4318</v>
      </c>
    </row>
    <row r="2878" spans="1:14" x14ac:dyDescent="0.15">
      <c r="A2878" s="1">
        <v>421</v>
      </c>
      <c r="B2878" s="1" t="s">
        <v>1656</v>
      </c>
      <c r="C2878" s="1" t="s">
        <v>1657</v>
      </c>
      <c r="D2878" s="1" t="s">
        <v>1656</v>
      </c>
      <c r="E2878" s="1" t="s">
        <v>1657</v>
      </c>
      <c r="F2878" s="1" t="s">
        <v>1656</v>
      </c>
      <c r="G2878" s="1" t="s">
        <v>1659</v>
      </c>
      <c r="H2878" s="1" t="s">
        <v>1660</v>
      </c>
      <c r="I2878" s="1" t="s">
        <v>17952</v>
      </c>
      <c r="J2878" s="1" t="s">
        <v>6566</v>
      </c>
      <c r="K2878" s="1">
        <v>1</v>
      </c>
      <c r="L2878" s="1" t="s">
        <v>4259</v>
      </c>
      <c r="M2878" s="1">
        <v>1</v>
      </c>
      <c r="N2878" s="1" t="s">
        <v>4318</v>
      </c>
    </row>
    <row r="2879" spans="1:14" x14ac:dyDescent="0.15">
      <c r="A2879" s="1">
        <v>421</v>
      </c>
      <c r="B2879" s="1" t="s">
        <v>1656</v>
      </c>
      <c r="C2879" s="1" t="s">
        <v>1657</v>
      </c>
      <c r="D2879" s="1" t="s">
        <v>1656</v>
      </c>
      <c r="E2879" s="1" t="s">
        <v>1657</v>
      </c>
      <c r="F2879" s="1" t="s">
        <v>1656</v>
      </c>
      <c r="G2879" s="1" t="s">
        <v>1659</v>
      </c>
      <c r="H2879" s="1" t="s">
        <v>1660</v>
      </c>
      <c r="I2879" s="1" t="s">
        <v>17960</v>
      </c>
      <c r="J2879" s="1" t="s">
        <v>2910</v>
      </c>
      <c r="K2879" s="1">
        <v>1</v>
      </c>
      <c r="L2879" s="1" t="s">
        <v>4259</v>
      </c>
      <c r="M2879" s="1">
        <v>1</v>
      </c>
      <c r="N2879" s="1" t="s">
        <v>4318</v>
      </c>
    </row>
    <row r="2880" spans="1:14" x14ac:dyDescent="0.15">
      <c r="A2880" s="1">
        <v>421</v>
      </c>
      <c r="B2880" s="1" t="s">
        <v>1656</v>
      </c>
      <c r="C2880" s="1" t="s">
        <v>1657</v>
      </c>
      <c r="D2880" s="1" t="s">
        <v>1656</v>
      </c>
      <c r="E2880" s="1" t="s">
        <v>1657</v>
      </c>
      <c r="F2880" s="1" t="s">
        <v>1656</v>
      </c>
      <c r="G2880" s="1" t="s">
        <v>1659</v>
      </c>
      <c r="H2880" s="1" t="s">
        <v>1660</v>
      </c>
      <c r="I2880" s="1" t="s">
        <v>17968</v>
      </c>
      <c r="J2880" s="1" t="s">
        <v>2911</v>
      </c>
      <c r="K2880" s="1">
        <v>1</v>
      </c>
      <c r="L2880" s="1" t="s">
        <v>4259</v>
      </c>
      <c r="M2880" s="1">
        <v>1</v>
      </c>
      <c r="N2880" s="1" t="s">
        <v>4318</v>
      </c>
    </row>
    <row r="2881" spans="1:14" x14ac:dyDescent="0.15">
      <c r="A2881" s="1">
        <v>421</v>
      </c>
      <c r="B2881" s="1" t="s">
        <v>1656</v>
      </c>
      <c r="C2881" s="1" t="s">
        <v>1657</v>
      </c>
      <c r="D2881" s="1" t="s">
        <v>1656</v>
      </c>
      <c r="E2881" s="1" t="s">
        <v>1657</v>
      </c>
      <c r="F2881" s="1" t="s">
        <v>1656</v>
      </c>
      <c r="G2881" s="1" t="s">
        <v>1661</v>
      </c>
      <c r="H2881" s="1" t="s">
        <v>1662</v>
      </c>
      <c r="I2881" s="1" t="s">
        <v>17952</v>
      </c>
      <c r="J2881" s="1" t="s">
        <v>6566</v>
      </c>
      <c r="K2881" s="1">
        <v>1</v>
      </c>
      <c r="L2881" s="1" t="s">
        <v>4259</v>
      </c>
      <c r="M2881" s="1">
        <v>1</v>
      </c>
      <c r="N2881" s="1" t="s">
        <v>4318</v>
      </c>
    </row>
    <row r="2882" spans="1:14" x14ac:dyDescent="0.15">
      <c r="A2882" s="1">
        <v>421</v>
      </c>
      <c r="B2882" s="1" t="s">
        <v>1656</v>
      </c>
      <c r="C2882" s="1" t="s">
        <v>1657</v>
      </c>
      <c r="D2882" s="1" t="s">
        <v>1656</v>
      </c>
      <c r="E2882" s="1" t="s">
        <v>1657</v>
      </c>
      <c r="F2882" s="1" t="s">
        <v>1656</v>
      </c>
      <c r="G2882" s="1" t="s">
        <v>1661</v>
      </c>
      <c r="H2882" s="1" t="s">
        <v>1662</v>
      </c>
      <c r="I2882" s="1" t="s">
        <v>17960</v>
      </c>
      <c r="J2882" s="1" t="s">
        <v>2910</v>
      </c>
      <c r="K2882" s="1">
        <v>1</v>
      </c>
      <c r="L2882" s="1" t="s">
        <v>4259</v>
      </c>
      <c r="M2882" s="1">
        <v>1</v>
      </c>
      <c r="N2882" s="1" t="s">
        <v>4318</v>
      </c>
    </row>
    <row r="2883" spans="1:14" x14ac:dyDescent="0.15">
      <c r="A2883" s="1">
        <v>421</v>
      </c>
      <c r="B2883" s="1" t="s">
        <v>1656</v>
      </c>
      <c r="C2883" s="1" t="s">
        <v>1657</v>
      </c>
      <c r="D2883" s="1" t="s">
        <v>1656</v>
      </c>
      <c r="E2883" s="1" t="s">
        <v>1657</v>
      </c>
      <c r="F2883" s="1" t="s">
        <v>1656</v>
      </c>
      <c r="G2883" s="1" t="s">
        <v>1661</v>
      </c>
      <c r="H2883" s="1" t="s">
        <v>1662</v>
      </c>
      <c r="I2883" s="1" t="s">
        <v>17968</v>
      </c>
      <c r="J2883" s="1" t="s">
        <v>2911</v>
      </c>
      <c r="K2883" s="1">
        <v>1</v>
      </c>
      <c r="L2883" s="1" t="s">
        <v>4259</v>
      </c>
      <c r="M2883" s="1">
        <v>1</v>
      </c>
      <c r="N2883" s="1" t="s">
        <v>4318</v>
      </c>
    </row>
    <row r="2884" spans="1:14" x14ac:dyDescent="0.15">
      <c r="A2884" s="1">
        <v>422</v>
      </c>
      <c r="B2884" s="1" t="s">
        <v>1663</v>
      </c>
      <c r="C2884" s="1" t="s">
        <v>1664</v>
      </c>
      <c r="D2884" s="1" t="s">
        <v>1665</v>
      </c>
      <c r="E2884" s="1" t="s">
        <v>1664</v>
      </c>
      <c r="F2884" s="1" t="s">
        <v>1665</v>
      </c>
      <c r="G2884" s="1" t="s">
        <v>1666</v>
      </c>
      <c r="H2884" s="1" t="s">
        <v>1665</v>
      </c>
      <c r="I2884" s="1" t="s">
        <v>4494</v>
      </c>
      <c r="J2884" s="1" t="s">
        <v>4495</v>
      </c>
      <c r="K2884" s="1">
        <v>2</v>
      </c>
      <c r="L2884" s="1" t="s">
        <v>4193</v>
      </c>
      <c r="M2884" s="1">
        <v>4</v>
      </c>
      <c r="N2884" s="1" t="s">
        <v>4194</v>
      </c>
    </row>
    <row r="2885" spans="1:14" x14ac:dyDescent="0.15">
      <c r="A2885" s="1">
        <v>423</v>
      </c>
      <c r="B2885" s="1" t="s">
        <v>1667</v>
      </c>
      <c r="C2885" s="1" t="s">
        <v>1668</v>
      </c>
      <c r="D2885" s="1" t="s">
        <v>1667</v>
      </c>
      <c r="E2885" s="1" t="s">
        <v>1668</v>
      </c>
      <c r="F2885" s="1" t="s">
        <v>1667</v>
      </c>
      <c r="G2885" s="1" t="s">
        <v>1669</v>
      </c>
      <c r="H2885" s="1" t="s">
        <v>1667</v>
      </c>
      <c r="I2885" s="1" t="s">
        <v>4494</v>
      </c>
      <c r="J2885" s="1" t="s">
        <v>4495</v>
      </c>
      <c r="K2885" s="1">
        <v>2</v>
      </c>
      <c r="L2885" s="1" t="s">
        <v>4193</v>
      </c>
      <c r="M2885" s="1">
        <v>9</v>
      </c>
      <c r="N2885" s="1" t="s">
        <v>4381</v>
      </c>
    </row>
    <row r="2886" spans="1:14" x14ac:dyDescent="0.15">
      <c r="A2886" s="1">
        <v>424</v>
      </c>
      <c r="B2886" s="1" t="s">
        <v>1670</v>
      </c>
      <c r="C2886" s="1" t="s">
        <v>1671</v>
      </c>
      <c r="D2886" s="1" t="s">
        <v>1670</v>
      </c>
      <c r="E2886" s="1" t="s">
        <v>1671</v>
      </c>
      <c r="F2886" s="1" t="s">
        <v>1670</v>
      </c>
      <c r="G2886" s="1" t="s">
        <v>1672</v>
      </c>
      <c r="H2886" s="1" t="s">
        <v>1670</v>
      </c>
      <c r="I2886" s="1" t="s">
        <v>11602</v>
      </c>
      <c r="J2886" s="1" t="s">
        <v>4467</v>
      </c>
      <c r="K2886" s="1">
        <v>1</v>
      </c>
      <c r="L2886" s="1" t="s">
        <v>4259</v>
      </c>
      <c r="M2886" s="1">
        <v>1</v>
      </c>
      <c r="N2886" s="1" t="s">
        <v>4318</v>
      </c>
    </row>
    <row r="2887" spans="1:14" x14ac:dyDescent="0.15">
      <c r="A2887" s="1">
        <v>425</v>
      </c>
      <c r="B2887" s="1" t="s">
        <v>1673</v>
      </c>
      <c r="C2887" s="1" t="s">
        <v>1674</v>
      </c>
      <c r="D2887" s="1" t="s">
        <v>1673</v>
      </c>
      <c r="E2887" s="1" t="s">
        <v>1674</v>
      </c>
      <c r="F2887" s="1" t="s">
        <v>1673</v>
      </c>
      <c r="G2887" s="1" t="s">
        <v>1675</v>
      </c>
      <c r="H2887" s="1" t="s">
        <v>1673</v>
      </c>
      <c r="I2887" s="1" t="s">
        <v>11879</v>
      </c>
      <c r="J2887" s="1" t="s">
        <v>4278</v>
      </c>
      <c r="K2887" s="1">
        <v>1</v>
      </c>
      <c r="L2887" s="1" t="s">
        <v>4259</v>
      </c>
      <c r="M2887" s="1">
        <v>1</v>
      </c>
      <c r="N2887" s="1" t="s">
        <v>4318</v>
      </c>
    </row>
    <row r="2888" spans="1:14" x14ac:dyDescent="0.15">
      <c r="A2888" s="1">
        <v>425</v>
      </c>
      <c r="B2888" s="1" t="s">
        <v>1673</v>
      </c>
      <c r="C2888" s="1" t="s">
        <v>1676</v>
      </c>
      <c r="D2888" s="1" t="s">
        <v>1677</v>
      </c>
      <c r="E2888" s="1" t="s">
        <v>1676</v>
      </c>
      <c r="F2888" s="1" t="s">
        <v>1677</v>
      </c>
      <c r="G2888" s="1" t="s">
        <v>1678</v>
      </c>
      <c r="H2888" s="1" t="s">
        <v>1677</v>
      </c>
      <c r="I2888" s="1" t="s">
        <v>17960</v>
      </c>
      <c r="J2888" s="1" t="s">
        <v>2910</v>
      </c>
      <c r="K2888" s="1">
        <v>1</v>
      </c>
      <c r="L2888" s="1" t="s">
        <v>4259</v>
      </c>
      <c r="M2888" s="1">
        <v>1</v>
      </c>
      <c r="N2888" s="1" t="s">
        <v>4318</v>
      </c>
    </row>
    <row r="2889" spans="1:14" x14ac:dyDescent="0.15">
      <c r="A2889" s="1">
        <v>425</v>
      </c>
      <c r="B2889" s="1" t="s">
        <v>1673</v>
      </c>
      <c r="C2889" s="1" t="s">
        <v>1676</v>
      </c>
      <c r="D2889" s="1" t="s">
        <v>1677</v>
      </c>
      <c r="E2889" s="1" t="s">
        <v>1676</v>
      </c>
      <c r="F2889" s="1" t="s">
        <v>1677</v>
      </c>
      <c r="G2889" s="1" t="s">
        <v>1678</v>
      </c>
      <c r="H2889" s="1" t="s">
        <v>1677</v>
      </c>
      <c r="I2889" s="1" t="s">
        <v>17968</v>
      </c>
      <c r="J2889" s="1" t="s">
        <v>2911</v>
      </c>
      <c r="K2889" s="1">
        <v>1</v>
      </c>
      <c r="L2889" s="1" t="s">
        <v>4259</v>
      </c>
      <c r="M2889" s="1">
        <v>1</v>
      </c>
      <c r="N2889" s="1" t="s">
        <v>4318</v>
      </c>
    </row>
    <row r="2890" spans="1:14" x14ac:dyDescent="0.15">
      <c r="A2890" s="1">
        <v>425</v>
      </c>
      <c r="B2890" s="1" t="s">
        <v>1673</v>
      </c>
      <c r="C2890" s="1" t="s">
        <v>1679</v>
      </c>
      <c r="D2890" s="1" t="s">
        <v>1680</v>
      </c>
      <c r="E2890" s="1" t="s">
        <v>1679</v>
      </c>
      <c r="F2890" s="1" t="s">
        <v>1680</v>
      </c>
      <c r="G2890" s="1" t="s">
        <v>1681</v>
      </c>
      <c r="H2890" s="1" t="s">
        <v>1680</v>
      </c>
      <c r="I2890" s="1" t="s">
        <v>17960</v>
      </c>
      <c r="J2890" s="1" t="s">
        <v>2910</v>
      </c>
      <c r="K2890" s="1">
        <v>1</v>
      </c>
      <c r="L2890" s="1" t="s">
        <v>4259</v>
      </c>
      <c r="M2890" s="1">
        <v>1</v>
      </c>
      <c r="N2890" s="1" t="s">
        <v>4318</v>
      </c>
    </row>
    <row r="2891" spans="1:14" x14ac:dyDescent="0.15">
      <c r="A2891" s="1">
        <v>425</v>
      </c>
      <c r="B2891" s="1" t="s">
        <v>1673</v>
      </c>
      <c r="C2891" s="1" t="s">
        <v>1679</v>
      </c>
      <c r="D2891" s="1" t="s">
        <v>1680</v>
      </c>
      <c r="E2891" s="1" t="s">
        <v>1679</v>
      </c>
      <c r="F2891" s="1" t="s">
        <v>1680</v>
      </c>
      <c r="G2891" s="1" t="s">
        <v>1681</v>
      </c>
      <c r="H2891" s="1" t="s">
        <v>1680</v>
      </c>
      <c r="I2891" s="1" t="s">
        <v>17964</v>
      </c>
      <c r="J2891" s="1" t="s">
        <v>4323</v>
      </c>
      <c r="K2891" s="1">
        <v>1</v>
      </c>
      <c r="L2891" s="1" t="s">
        <v>4259</v>
      </c>
      <c r="M2891" s="1">
        <v>1</v>
      </c>
      <c r="N2891" s="1" t="s">
        <v>4318</v>
      </c>
    </row>
    <row r="2892" spans="1:14" x14ac:dyDescent="0.15">
      <c r="A2892" s="1">
        <v>425</v>
      </c>
      <c r="B2892" s="1" t="s">
        <v>1673</v>
      </c>
      <c r="C2892" s="1" t="s">
        <v>1679</v>
      </c>
      <c r="D2892" s="1" t="s">
        <v>1680</v>
      </c>
      <c r="E2892" s="1" t="s">
        <v>1679</v>
      </c>
      <c r="F2892" s="1" t="s">
        <v>1680</v>
      </c>
      <c r="G2892" s="1" t="s">
        <v>1681</v>
      </c>
      <c r="H2892" s="1" t="s">
        <v>1680</v>
      </c>
      <c r="I2892" s="1" t="s">
        <v>17968</v>
      </c>
      <c r="J2892" s="1" t="s">
        <v>2911</v>
      </c>
      <c r="K2892" s="1">
        <v>1</v>
      </c>
      <c r="L2892" s="1" t="s">
        <v>4259</v>
      </c>
      <c r="M2892" s="1">
        <v>1</v>
      </c>
      <c r="N2892" s="1" t="s">
        <v>4318</v>
      </c>
    </row>
    <row r="2893" spans="1:14" x14ac:dyDescent="0.15">
      <c r="A2893" s="1">
        <v>425</v>
      </c>
      <c r="B2893" s="1" t="s">
        <v>1673</v>
      </c>
      <c r="C2893" s="1" t="s">
        <v>1682</v>
      </c>
      <c r="D2893" s="1" t="s">
        <v>1683</v>
      </c>
      <c r="E2893" s="1" t="s">
        <v>1682</v>
      </c>
      <c r="F2893" s="1" t="s">
        <v>1683</v>
      </c>
      <c r="G2893" s="1" t="s">
        <v>1684</v>
      </c>
      <c r="H2893" s="1" t="s">
        <v>1683</v>
      </c>
      <c r="I2893" s="1" t="s">
        <v>17972</v>
      </c>
      <c r="J2893" s="1" t="s">
        <v>2912</v>
      </c>
      <c r="K2893" s="1">
        <v>1</v>
      </c>
      <c r="L2893" s="1" t="s">
        <v>4259</v>
      </c>
      <c r="M2893" s="1">
        <v>1</v>
      </c>
      <c r="N2893" s="1" t="s">
        <v>4318</v>
      </c>
    </row>
    <row r="2894" spans="1:14" x14ac:dyDescent="0.15">
      <c r="A2894" s="1">
        <v>425</v>
      </c>
      <c r="B2894" s="1" t="s">
        <v>1673</v>
      </c>
      <c r="C2894" s="1" t="s">
        <v>1685</v>
      </c>
      <c r="D2894" s="1" t="s">
        <v>1686</v>
      </c>
      <c r="E2894" s="1" t="s">
        <v>1685</v>
      </c>
      <c r="F2894" s="1" t="s">
        <v>1686</v>
      </c>
      <c r="G2894" s="1" t="s">
        <v>1687</v>
      </c>
      <c r="H2894" s="1" t="s">
        <v>1686</v>
      </c>
      <c r="I2894" s="1" t="s">
        <v>17948</v>
      </c>
      <c r="J2894" s="1" t="s">
        <v>6564</v>
      </c>
      <c r="K2894" s="1">
        <v>1</v>
      </c>
      <c r="L2894" s="1" t="s">
        <v>4259</v>
      </c>
      <c r="M2894" s="1">
        <v>1</v>
      </c>
      <c r="N2894" s="1" t="s">
        <v>4318</v>
      </c>
    </row>
    <row r="2895" spans="1:14" x14ac:dyDescent="0.15">
      <c r="A2895" s="1">
        <v>425</v>
      </c>
      <c r="B2895" s="1" t="s">
        <v>1673</v>
      </c>
      <c r="C2895" s="1" t="s">
        <v>1685</v>
      </c>
      <c r="D2895" s="1" t="s">
        <v>1686</v>
      </c>
      <c r="E2895" s="1" t="s">
        <v>1685</v>
      </c>
      <c r="F2895" s="1" t="s">
        <v>1686</v>
      </c>
      <c r="G2895" s="1" t="s">
        <v>1687</v>
      </c>
      <c r="H2895" s="1" t="s">
        <v>1686</v>
      </c>
      <c r="I2895" s="1" t="s">
        <v>17960</v>
      </c>
      <c r="J2895" s="1" t="s">
        <v>2910</v>
      </c>
      <c r="K2895" s="1">
        <v>1</v>
      </c>
      <c r="L2895" s="1" t="s">
        <v>4259</v>
      </c>
      <c r="M2895" s="1">
        <v>1</v>
      </c>
      <c r="N2895" s="1" t="s">
        <v>4318</v>
      </c>
    </row>
    <row r="2896" spans="1:14" x14ac:dyDescent="0.15">
      <c r="A2896" s="1">
        <v>425</v>
      </c>
      <c r="B2896" s="1" t="s">
        <v>1673</v>
      </c>
      <c r="C2896" s="1" t="s">
        <v>1685</v>
      </c>
      <c r="D2896" s="1" t="s">
        <v>1686</v>
      </c>
      <c r="E2896" s="1" t="s">
        <v>1685</v>
      </c>
      <c r="F2896" s="1" t="s">
        <v>1686</v>
      </c>
      <c r="G2896" s="1" t="s">
        <v>1687</v>
      </c>
      <c r="H2896" s="1" t="s">
        <v>1686</v>
      </c>
      <c r="I2896" s="1" t="s">
        <v>17968</v>
      </c>
      <c r="J2896" s="1" t="s">
        <v>2911</v>
      </c>
      <c r="K2896" s="1">
        <v>1</v>
      </c>
      <c r="L2896" s="1" t="s">
        <v>4259</v>
      </c>
      <c r="M2896" s="1">
        <v>1</v>
      </c>
      <c r="N2896" s="1" t="s">
        <v>4318</v>
      </c>
    </row>
    <row r="2897" spans="1:14" x14ac:dyDescent="0.15">
      <c r="A2897" s="1">
        <v>425</v>
      </c>
      <c r="B2897" s="1" t="s">
        <v>1673</v>
      </c>
      <c r="C2897" s="1" t="s">
        <v>1685</v>
      </c>
      <c r="D2897" s="1" t="s">
        <v>1686</v>
      </c>
      <c r="E2897" s="1" t="s">
        <v>1685</v>
      </c>
      <c r="F2897" s="1" t="s">
        <v>1686</v>
      </c>
      <c r="G2897" s="1" t="s">
        <v>1687</v>
      </c>
      <c r="H2897" s="1" t="s">
        <v>1686</v>
      </c>
      <c r="I2897" s="1" t="s">
        <v>17972</v>
      </c>
      <c r="J2897" s="1" t="s">
        <v>2912</v>
      </c>
      <c r="K2897" s="1">
        <v>1</v>
      </c>
      <c r="L2897" s="1" t="s">
        <v>4259</v>
      </c>
      <c r="M2897" s="1">
        <v>1</v>
      </c>
      <c r="N2897" s="1" t="s">
        <v>4318</v>
      </c>
    </row>
    <row r="2898" spans="1:14" x14ac:dyDescent="0.15">
      <c r="A2898" s="1">
        <v>99</v>
      </c>
      <c r="B2898" s="1" t="s">
        <v>1688</v>
      </c>
      <c r="C2898" s="1" t="s">
        <v>1689</v>
      </c>
      <c r="D2898" s="1" t="s">
        <v>1690</v>
      </c>
      <c r="E2898" s="1" t="s">
        <v>1689</v>
      </c>
      <c r="F2898" s="1" t="s">
        <v>1690</v>
      </c>
      <c r="G2898" s="1" t="s">
        <v>1691</v>
      </c>
      <c r="H2898" s="1" t="s">
        <v>1690</v>
      </c>
      <c r="I2898" s="1" t="s">
        <v>4494</v>
      </c>
      <c r="J2898" s="1" t="s">
        <v>4495</v>
      </c>
      <c r="K2898" s="1">
        <v>10</v>
      </c>
      <c r="L2898" s="1" t="s">
        <v>4380</v>
      </c>
      <c r="M2898" s="1">
        <v>9</v>
      </c>
      <c r="N2898" s="1" t="s">
        <v>4381</v>
      </c>
    </row>
    <row r="2899" spans="1:14" x14ac:dyDescent="0.15">
      <c r="A2899" s="1">
        <v>430</v>
      </c>
      <c r="B2899" s="1" t="s">
        <v>1692</v>
      </c>
      <c r="C2899" s="1" t="s">
        <v>1693</v>
      </c>
      <c r="D2899" s="1" t="s">
        <v>1692</v>
      </c>
      <c r="E2899" s="1" t="s">
        <v>1693</v>
      </c>
      <c r="F2899" s="1" t="s">
        <v>1692</v>
      </c>
      <c r="G2899" s="1" t="s">
        <v>1694</v>
      </c>
      <c r="H2899" s="1" t="s">
        <v>1692</v>
      </c>
      <c r="I2899" s="1" t="s">
        <v>11879</v>
      </c>
      <c r="J2899" s="1" t="s">
        <v>4278</v>
      </c>
      <c r="K2899" s="1">
        <v>10</v>
      </c>
      <c r="L2899" s="1" t="s">
        <v>4380</v>
      </c>
      <c r="M2899" s="1">
        <v>9</v>
      </c>
      <c r="N2899" s="1" t="s">
        <v>4381</v>
      </c>
    </row>
    <row r="2900" spans="1:14" x14ac:dyDescent="0.15">
      <c r="A2900" s="1">
        <v>430</v>
      </c>
      <c r="B2900" s="1" t="s">
        <v>1692</v>
      </c>
      <c r="C2900" s="1" t="s">
        <v>1695</v>
      </c>
      <c r="D2900" s="1" t="s">
        <v>1696</v>
      </c>
      <c r="E2900" s="1" t="s">
        <v>1695</v>
      </c>
      <c r="F2900" s="1" t="s">
        <v>1696</v>
      </c>
      <c r="G2900" s="1" t="s">
        <v>1697</v>
      </c>
      <c r="H2900" s="1" t="s">
        <v>1696</v>
      </c>
      <c r="I2900" s="1" t="s">
        <v>4494</v>
      </c>
      <c r="J2900" s="1" t="s">
        <v>4495</v>
      </c>
      <c r="K2900" s="1">
        <v>10</v>
      </c>
      <c r="L2900" s="1" t="s">
        <v>4380</v>
      </c>
      <c r="M2900" s="1">
        <v>9</v>
      </c>
      <c r="N2900" s="1" t="s">
        <v>4381</v>
      </c>
    </row>
    <row r="2901" spans="1:14" x14ac:dyDescent="0.15">
      <c r="A2901" s="1">
        <v>430</v>
      </c>
      <c r="B2901" s="1" t="s">
        <v>1692</v>
      </c>
      <c r="C2901" s="1" t="s">
        <v>1698</v>
      </c>
      <c r="D2901" s="1" t="s">
        <v>1699</v>
      </c>
      <c r="E2901" s="1" t="s">
        <v>1698</v>
      </c>
      <c r="F2901" s="1" t="s">
        <v>1699</v>
      </c>
      <c r="G2901" s="1" t="s">
        <v>1700</v>
      </c>
      <c r="H2901" s="1" t="s">
        <v>1699</v>
      </c>
      <c r="I2901" s="1" t="s">
        <v>4494</v>
      </c>
      <c r="J2901" s="1" t="s">
        <v>4495</v>
      </c>
      <c r="K2901" s="1">
        <v>10</v>
      </c>
      <c r="L2901" s="1" t="s">
        <v>4380</v>
      </c>
      <c r="M2901" s="1">
        <v>9</v>
      </c>
      <c r="N2901" s="1" t="s">
        <v>4381</v>
      </c>
    </row>
    <row r="2902" spans="1:14" x14ac:dyDescent="0.15">
      <c r="A2902" s="1">
        <v>432</v>
      </c>
      <c r="B2902" s="1" t="s">
        <v>1701</v>
      </c>
      <c r="C2902" s="1" t="s">
        <v>1702</v>
      </c>
      <c r="D2902" s="1" t="s">
        <v>1701</v>
      </c>
      <c r="E2902" s="1" t="s">
        <v>1702</v>
      </c>
      <c r="F2902" s="1" t="s">
        <v>1701</v>
      </c>
      <c r="G2902" s="1" t="s">
        <v>1703</v>
      </c>
      <c r="H2902" s="1" t="s">
        <v>1701</v>
      </c>
      <c r="I2902" s="1" t="s">
        <v>4494</v>
      </c>
      <c r="J2902" s="1" t="s">
        <v>4495</v>
      </c>
      <c r="K2902" s="1">
        <v>10</v>
      </c>
      <c r="L2902" s="1" t="s">
        <v>4380</v>
      </c>
      <c r="M2902" s="1">
        <v>9</v>
      </c>
      <c r="N2902" s="1" t="s">
        <v>4381</v>
      </c>
    </row>
    <row r="2903" spans="1:14" x14ac:dyDescent="0.15">
      <c r="A2903" s="1">
        <v>434</v>
      </c>
      <c r="B2903" s="1" t="s">
        <v>1704</v>
      </c>
      <c r="C2903" s="1" t="s">
        <v>1705</v>
      </c>
      <c r="D2903" s="1" t="s">
        <v>1704</v>
      </c>
      <c r="E2903" s="1" t="s">
        <v>1705</v>
      </c>
      <c r="F2903" s="1" t="s">
        <v>1704</v>
      </c>
      <c r="G2903" s="1" t="s">
        <v>1706</v>
      </c>
      <c r="H2903" s="1" t="s">
        <v>1704</v>
      </c>
      <c r="I2903" s="1" t="s">
        <v>17932</v>
      </c>
      <c r="J2903" s="1" t="s">
        <v>6556</v>
      </c>
      <c r="K2903" s="1">
        <v>1</v>
      </c>
      <c r="L2903" s="1" t="s">
        <v>4259</v>
      </c>
      <c r="M2903" s="1">
        <v>1</v>
      </c>
      <c r="N2903" s="1" t="s">
        <v>4318</v>
      </c>
    </row>
    <row r="2904" spans="1:14" x14ac:dyDescent="0.15">
      <c r="A2904" s="1">
        <v>434</v>
      </c>
      <c r="B2904" s="1" t="s">
        <v>1704</v>
      </c>
      <c r="C2904" s="1" t="s">
        <v>1705</v>
      </c>
      <c r="D2904" s="1" t="s">
        <v>1704</v>
      </c>
      <c r="E2904" s="1" t="s">
        <v>1705</v>
      </c>
      <c r="F2904" s="1" t="s">
        <v>1704</v>
      </c>
      <c r="G2904" s="1" t="s">
        <v>1706</v>
      </c>
      <c r="H2904" s="1" t="s">
        <v>1704</v>
      </c>
      <c r="I2904" s="1" t="s">
        <v>17936</v>
      </c>
      <c r="J2904" s="1" t="s">
        <v>6558</v>
      </c>
      <c r="K2904" s="1">
        <v>1</v>
      </c>
      <c r="L2904" s="1" t="s">
        <v>4259</v>
      </c>
      <c r="M2904" s="1">
        <v>1</v>
      </c>
      <c r="N2904" s="1" t="s">
        <v>4318</v>
      </c>
    </row>
    <row r="2905" spans="1:14" x14ac:dyDescent="0.15">
      <c r="A2905" s="1">
        <v>435</v>
      </c>
      <c r="B2905" s="1" t="s">
        <v>1707</v>
      </c>
      <c r="C2905" s="1" t="s">
        <v>1708</v>
      </c>
      <c r="D2905" s="1" t="s">
        <v>1707</v>
      </c>
      <c r="E2905" s="1" t="s">
        <v>1708</v>
      </c>
      <c r="F2905" s="1" t="s">
        <v>1707</v>
      </c>
      <c r="G2905" s="1" t="s">
        <v>1709</v>
      </c>
      <c r="H2905" s="1" t="s">
        <v>1707</v>
      </c>
      <c r="I2905" s="1" t="s">
        <v>11602</v>
      </c>
      <c r="J2905" s="1" t="s">
        <v>4467</v>
      </c>
      <c r="K2905" s="1">
        <v>1</v>
      </c>
      <c r="L2905" s="1" t="s">
        <v>4259</v>
      </c>
      <c r="M2905" s="1">
        <v>1</v>
      </c>
      <c r="N2905" s="1" t="s">
        <v>4318</v>
      </c>
    </row>
    <row r="2906" spans="1:14" x14ac:dyDescent="0.15">
      <c r="A2906" s="1">
        <v>435</v>
      </c>
      <c r="B2906" s="1" t="s">
        <v>1707</v>
      </c>
      <c r="C2906" s="1" t="s">
        <v>1708</v>
      </c>
      <c r="D2906" s="1" t="s">
        <v>1707</v>
      </c>
      <c r="E2906" s="1" t="s">
        <v>1708</v>
      </c>
      <c r="F2906" s="1" t="s">
        <v>1707</v>
      </c>
      <c r="G2906" s="1" t="s">
        <v>1709</v>
      </c>
      <c r="H2906" s="1" t="s">
        <v>1707</v>
      </c>
      <c r="I2906" s="1" t="s">
        <v>11654</v>
      </c>
      <c r="J2906" s="1" t="s">
        <v>1710</v>
      </c>
      <c r="K2906" s="1">
        <v>1</v>
      </c>
      <c r="L2906" s="1" t="s">
        <v>4259</v>
      </c>
      <c r="M2906" s="1">
        <v>1</v>
      </c>
      <c r="N2906" s="1" t="s">
        <v>4318</v>
      </c>
    </row>
    <row r="2907" spans="1:14" x14ac:dyDescent="0.15">
      <c r="A2907" s="1">
        <v>440</v>
      </c>
      <c r="B2907" s="1" t="s">
        <v>1711</v>
      </c>
      <c r="C2907" s="1" t="s">
        <v>1712</v>
      </c>
      <c r="D2907" s="1" t="s">
        <v>1711</v>
      </c>
      <c r="E2907" s="1" t="s">
        <v>1712</v>
      </c>
      <c r="F2907" s="1" t="s">
        <v>1711</v>
      </c>
      <c r="G2907" s="1" t="s">
        <v>1713</v>
      </c>
      <c r="H2907" s="1" t="s">
        <v>1711</v>
      </c>
      <c r="I2907" s="1" t="s">
        <v>11879</v>
      </c>
      <c r="J2907" s="1" t="s">
        <v>4278</v>
      </c>
      <c r="K2907" s="1">
        <v>10</v>
      </c>
      <c r="L2907" s="1" t="s">
        <v>4380</v>
      </c>
      <c r="M2907" s="1">
        <v>9</v>
      </c>
      <c r="N2907" s="1" t="s">
        <v>4381</v>
      </c>
    </row>
    <row r="2908" spans="1:14" x14ac:dyDescent="0.15">
      <c r="A2908" s="1">
        <v>440</v>
      </c>
      <c r="B2908" s="1" t="s">
        <v>1711</v>
      </c>
      <c r="C2908" s="1" t="s">
        <v>1714</v>
      </c>
      <c r="D2908" s="1" t="s">
        <v>1715</v>
      </c>
      <c r="E2908" s="1" t="s">
        <v>1714</v>
      </c>
      <c r="F2908" s="1" t="s">
        <v>1715</v>
      </c>
      <c r="G2908" s="1" t="s">
        <v>1716</v>
      </c>
      <c r="H2908" s="1" t="s">
        <v>1715</v>
      </c>
      <c r="I2908" s="1" t="s">
        <v>4494</v>
      </c>
      <c r="J2908" s="1" t="s">
        <v>4495</v>
      </c>
      <c r="K2908" s="1">
        <v>10</v>
      </c>
      <c r="L2908" s="1" t="s">
        <v>4380</v>
      </c>
      <c r="M2908" s="1">
        <v>9</v>
      </c>
      <c r="N2908" s="1" t="s">
        <v>4381</v>
      </c>
    </row>
    <row r="2909" spans="1:14" x14ac:dyDescent="0.15">
      <c r="A2909" s="1">
        <v>440</v>
      </c>
      <c r="B2909" s="1" t="s">
        <v>1711</v>
      </c>
      <c r="C2909" s="1" t="s">
        <v>1717</v>
      </c>
      <c r="D2909" s="1" t="s">
        <v>1718</v>
      </c>
      <c r="E2909" s="1" t="s">
        <v>1717</v>
      </c>
      <c r="F2909" s="1" t="s">
        <v>1718</v>
      </c>
      <c r="G2909" s="1" t="s">
        <v>1719</v>
      </c>
      <c r="H2909" s="1" t="s">
        <v>1718</v>
      </c>
      <c r="I2909" s="1" t="s">
        <v>4494</v>
      </c>
      <c r="J2909" s="1" t="s">
        <v>4495</v>
      </c>
      <c r="K2909" s="1">
        <v>10</v>
      </c>
      <c r="L2909" s="1" t="s">
        <v>4380</v>
      </c>
      <c r="M2909" s="1">
        <v>9</v>
      </c>
      <c r="N2909" s="1" t="s">
        <v>4381</v>
      </c>
    </row>
    <row r="2910" spans="1:14" x14ac:dyDescent="0.15">
      <c r="A2910" s="1">
        <v>441</v>
      </c>
      <c r="B2910" s="1" t="s">
        <v>1720</v>
      </c>
      <c r="C2910" s="1" t="s">
        <v>1721</v>
      </c>
      <c r="D2910" s="1" t="s">
        <v>1720</v>
      </c>
      <c r="E2910" s="1" t="s">
        <v>1721</v>
      </c>
      <c r="F2910" s="1" t="s">
        <v>1720</v>
      </c>
      <c r="G2910" s="1" t="s">
        <v>1722</v>
      </c>
      <c r="H2910" s="1" t="s">
        <v>1720</v>
      </c>
      <c r="I2910" s="1" t="s">
        <v>4494</v>
      </c>
      <c r="J2910" s="1" t="s">
        <v>4495</v>
      </c>
      <c r="K2910" s="1">
        <v>13</v>
      </c>
      <c r="L2910" s="1" t="s">
        <v>4219</v>
      </c>
      <c r="M2910" s="1">
        <v>3</v>
      </c>
      <c r="N2910" s="1" t="s">
        <v>3241</v>
      </c>
    </row>
    <row r="2911" spans="1:14" x14ac:dyDescent="0.15">
      <c r="A2911" s="1">
        <v>442</v>
      </c>
      <c r="B2911" s="1" t="s">
        <v>1723</v>
      </c>
      <c r="C2911" s="1" t="s">
        <v>1724</v>
      </c>
      <c r="D2911" s="1" t="s">
        <v>1723</v>
      </c>
      <c r="E2911" s="1" t="s">
        <v>1724</v>
      </c>
      <c r="F2911" s="1" t="s">
        <v>1723</v>
      </c>
      <c r="G2911" s="1" t="s">
        <v>1725</v>
      </c>
      <c r="H2911" s="1" t="s">
        <v>1723</v>
      </c>
      <c r="I2911" s="1" t="s">
        <v>4494</v>
      </c>
      <c r="J2911" s="1" t="s">
        <v>4495</v>
      </c>
      <c r="K2911" s="1">
        <v>13</v>
      </c>
      <c r="L2911" s="1" t="s">
        <v>4219</v>
      </c>
      <c r="M2911" s="1">
        <v>3</v>
      </c>
      <c r="N2911" s="1" t="s">
        <v>3241</v>
      </c>
    </row>
    <row r="2912" spans="1:14" x14ac:dyDescent="0.15">
      <c r="A2912" s="1">
        <v>443</v>
      </c>
      <c r="B2912" s="1" t="s">
        <v>1726</v>
      </c>
      <c r="C2912" s="1" t="s">
        <v>1727</v>
      </c>
      <c r="D2912" s="1" t="s">
        <v>1726</v>
      </c>
      <c r="E2912" s="1" t="s">
        <v>1727</v>
      </c>
      <c r="F2912" s="1" t="s">
        <v>1726</v>
      </c>
      <c r="G2912" s="1" t="s">
        <v>1728</v>
      </c>
      <c r="H2912" s="1" t="s">
        <v>1726</v>
      </c>
      <c r="I2912" s="1" t="s">
        <v>11879</v>
      </c>
      <c r="J2912" s="1" t="s">
        <v>4278</v>
      </c>
      <c r="K2912" s="1">
        <v>99</v>
      </c>
      <c r="L2912" s="1" t="s">
        <v>4454</v>
      </c>
      <c r="M2912" s="1">
        <v>99</v>
      </c>
      <c r="N2912" s="1" t="s">
        <v>4454</v>
      </c>
    </row>
    <row r="2913" spans="1:14" x14ac:dyDescent="0.15">
      <c r="A2913" s="1">
        <v>443</v>
      </c>
      <c r="B2913" s="1" t="s">
        <v>1726</v>
      </c>
      <c r="C2913" s="1" t="s">
        <v>1729</v>
      </c>
      <c r="D2913" s="1" t="s">
        <v>1730</v>
      </c>
      <c r="E2913" s="1" t="s">
        <v>1729</v>
      </c>
      <c r="F2913" s="1" t="s">
        <v>1730</v>
      </c>
      <c r="G2913" s="1" t="s">
        <v>1731</v>
      </c>
      <c r="H2913" s="1" t="s">
        <v>1730</v>
      </c>
      <c r="I2913" s="1" t="s">
        <v>4494</v>
      </c>
      <c r="J2913" s="1" t="s">
        <v>4495</v>
      </c>
      <c r="K2913" s="1">
        <v>10</v>
      </c>
      <c r="L2913" s="1" t="s">
        <v>4380</v>
      </c>
      <c r="M2913" s="1">
        <v>9</v>
      </c>
      <c r="N2913" s="1" t="s">
        <v>4381</v>
      </c>
    </row>
    <row r="2914" spans="1:14" x14ac:dyDescent="0.15">
      <c r="A2914" s="1">
        <v>443</v>
      </c>
      <c r="B2914" s="1" t="s">
        <v>1726</v>
      </c>
      <c r="C2914" s="1" t="s">
        <v>1732</v>
      </c>
      <c r="D2914" s="1" t="s">
        <v>1733</v>
      </c>
      <c r="E2914" s="1" t="s">
        <v>1732</v>
      </c>
      <c r="F2914" s="1" t="s">
        <v>1733</v>
      </c>
      <c r="G2914" s="1" t="s">
        <v>1734</v>
      </c>
      <c r="H2914" s="1" t="s">
        <v>1733</v>
      </c>
      <c r="I2914" s="1" t="s">
        <v>4494</v>
      </c>
      <c r="J2914" s="1" t="s">
        <v>4495</v>
      </c>
      <c r="K2914" s="1">
        <v>13</v>
      </c>
      <c r="L2914" s="1" t="s">
        <v>4219</v>
      </c>
      <c r="M2914" s="1">
        <v>3</v>
      </c>
      <c r="N2914" s="1" t="s">
        <v>3241</v>
      </c>
    </row>
    <row r="2915" spans="1:14" x14ac:dyDescent="0.15">
      <c r="A2915" s="1">
        <v>443</v>
      </c>
      <c r="B2915" s="1" t="s">
        <v>1726</v>
      </c>
      <c r="C2915" s="1" t="s">
        <v>1735</v>
      </c>
      <c r="D2915" s="1" t="s">
        <v>1736</v>
      </c>
      <c r="E2915" s="1" t="s">
        <v>1735</v>
      </c>
      <c r="F2915" s="1" t="s">
        <v>1736</v>
      </c>
      <c r="G2915" s="1" t="s">
        <v>1737</v>
      </c>
      <c r="H2915" s="1" t="s">
        <v>1736</v>
      </c>
      <c r="I2915" s="1" t="s">
        <v>4494</v>
      </c>
      <c r="J2915" s="1" t="s">
        <v>4495</v>
      </c>
      <c r="K2915" s="1">
        <v>10</v>
      </c>
      <c r="L2915" s="1" t="s">
        <v>4380</v>
      </c>
      <c r="M2915" s="1">
        <v>9</v>
      </c>
      <c r="N2915" s="1" t="s">
        <v>4381</v>
      </c>
    </row>
    <row r="2916" spans="1:14" x14ac:dyDescent="0.15">
      <c r="A2916" s="1">
        <v>443</v>
      </c>
      <c r="B2916" s="1" t="s">
        <v>1726</v>
      </c>
      <c r="C2916" s="1" t="s">
        <v>1738</v>
      </c>
      <c r="D2916" s="1" t="s">
        <v>1739</v>
      </c>
      <c r="E2916" s="1" t="s">
        <v>1738</v>
      </c>
      <c r="F2916" s="1" t="s">
        <v>1739</v>
      </c>
      <c r="G2916" s="1" t="s">
        <v>1740</v>
      </c>
      <c r="H2916" s="1" t="s">
        <v>1739</v>
      </c>
      <c r="I2916" s="1" t="s">
        <v>4494</v>
      </c>
      <c r="J2916" s="1" t="s">
        <v>4495</v>
      </c>
      <c r="K2916" s="1">
        <v>10</v>
      </c>
      <c r="L2916" s="1" t="s">
        <v>4380</v>
      </c>
      <c r="M2916" s="1">
        <v>9</v>
      </c>
      <c r="N2916" s="1" t="s">
        <v>4381</v>
      </c>
    </row>
    <row r="2917" spans="1:14" x14ac:dyDescent="0.15">
      <c r="A2917" s="1">
        <v>446</v>
      </c>
      <c r="B2917" s="1" t="s">
        <v>1741</v>
      </c>
      <c r="C2917" s="1" t="s">
        <v>1742</v>
      </c>
      <c r="D2917" s="1" t="s">
        <v>1741</v>
      </c>
      <c r="E2917" s="1" t="s">
        <v>1742</v>
      </c>
      <c r="F2917" s="1" t="s">
        <v>1741</v>
      </c>
      <c r="G2917" s="1" t="s">
        <v>1743</v>
      </c>
      <c r="H2917" s="1" t="s">
        <v>1741</v>
      </c>
      <c r="I2917" s="1" t="s">
        <v>11879</v>
      </c>
      <c r="J2917" s="1" t="s">
        <v>4278</v>
      </c>
      <c r="K2917" s="1">
        <v>11</v>
      </c>
      <c r="L2917" s="1" t="s">
        <v>4227</v>
      </c>
      <c r="M2917" s="1">
        <v>8</v>
      </c>
      <c r="N2917" s="1" t="s">
        <v>4255</v>
      </c>
    </row>
    <row r="2918" spans="1:14" x14ac:dyDescent="0.15">
      <c r="A2918" s="1">
        <v>446</v>
      </c>
      <c r="B2918" s="1" t="s">
        <v>1741</v>
      </c>
      <c r="C2918" s="1" t="s">
        <v>1744</v>
      </c>
      <c r="D2918" s="1" t="s">
        <v>1745</v>
      </c>
      <c r="E2918" s="1" t="s">
        <v>1744</v>
      </c>
      <c r="F2918" s="1" t="s">
        <v>1745</v>
      </c>
      <c r="G2918" s="1" t="s">
        <v>1746</v>
      </c>
      <c r="H2918" s="1" t="s">
        <v>1745</v>
      </c>
      <c r="I2918" s="1" t="s">
        <v>17125</v>
      </c>
      <c r="J2918" s="1" t="s">
        <v>4387</v>
      </c>
      <c r="K2918" s="1">
        <v>11</v>
      </c>
      <c r="L2918" s="1" t="s">
        <v>4227</v>
      </c>
      <c r="M2918" s="1">
        <v>8</v>
      </c>
      <c r="N2918" s="1" t="s">
        <v>4255</v>
      </c>
    </row>
    <row r="2919" spans="1:14" x14ac:dyDescent="0.15">
      <c r="A2919" s="1">
        <v>446</v>
      </c>
      <c r="B2919" s="1" t="s">
        <v>1741</v>
      </c>
      <c r="C2919" s="1" t="s">
        <v>1744</v>
      </c>
      <c r="D2919" s="1" t="s">
        <v>1745</v>
      </c>
      <c r="E2919" s="1" t="s">
        <v>1744</v>
      </c>
      <c r="F2919" s="1" t="s">
        <v>1745</v>
      </c>
      <c r="G2919" s="1" t="s">
        <v>1746</v>
      </c>
      <c r="H2919" s="1" t="s">
        <v>1745</v>
      </c>
      <c r="I2919" s="1" t="s">
        <v>10846</v>
      </c>
      <c r="J2919" s="1" t="s">
        <v>1747</v>
      </c>
      <c r="K2919" s="1">
        <v>11</v>
      </c>
      <c r="L2919" s="1" t="s">
        <v>4227</v>
      </c>
      <c r="M2919" s="1">
        <v>8</v>
      </c>
      <c r="N2919" s="1" t="s">
        <v>4255</v>
      </c>
    </row>
    <row r="2920" spans="1:14" x14ac:dyDescent="0.15">
      <c r="A2920" s="1">
        <v>446</v>
      </c>
      <c r="B2920" s="1" t="s">
        <v>1741</v>
      </c>
      <c r="C2920" s="1" t="s">
        <v>1748</v>
      </c>
      <c r="D2920" s="1" t="s">
        <v>1749</v>
      </c>
      <c r="E2920" s="1" t="s">
        <v>1748</v>
      </c>
      <c r="F2920" s="1" t="s">
        <v>1749</v>
      </c>
      <c r="G2920" s="1" t="s">
        <v>1750</v>
      </c>
      <c r="H2920" s="1" t="s">
        <v>1749</v>
      </c>
      <c r="I2920" s="1" t="s">
        <v>17125</v>
      </c>
      <c r="J2920" s="1" t="s">
        <v>4387</v>
      </c>
      <c r="K2920" s="1">
        <v>11</v>
      </c>
      <c r="L2920" s="1" t="s">
        <v>4227</v>
      </c>
      <c r="M2920" s="1">
        <v>14</v>
      </c>
      <c r="N2920" s="1" t="s">
        <v>4220</v>
      </c>
    </row>
    <row r="2921" spans="1:14" x14ac:dyDescent="0.15">
      <c r="A2921" s="1">
        <v>450</v>
      </c>
      <c r="B2921" s="1" t="s">
        <v>1751</v>
      </c>
      <c r="C2921" s="1" t="s">
        <v>1752</v>
      </c>
      <c r="D2921" s="1" t="s">
        <v>1751</v>
      </c>
      <c r="E2921" s="1" t="s">
        <v>1752</v>
      </c>
      <c r="F2921" s="1" t="s">
        <v>1751</v>
      </c>
      <c r="G2921" s="1" t="s">
        <v>1753</v>
      </c>
      <c r="H2921" s="1" t="s">
        <v>1751</v>
      </c>
      <c r="I2921" s="1" t="s">
        <v>16846</v>
      </c>
      <c r="J2921" s="1" t="s">
        <v>6838</v>
      </c>
      <c r="K2921" s="1">
        <v>11</v>
      </c>
      <c r="L2921" s="1" t="s">
        <v>4227</v>
      </c>
      <c r="M2921" s="1">
        <v>14</v>
      </c>
      <c r="N2921" s="1" t="s">
        <v>4220</v>
      </c>
    </row>
    <row r="2922" spans="1:14" x14ac:dyDescent="0.15">
      <c r="A2922" s="1">
        <v>450</v>
      </c>
      <c r="B2922" s="1" t="s">
        <v>1751</v>
      </c>
      <c r="C2922" s="1" t="s">
        <v>1752</v>
      </c>
      <c r="D2922" s="1" t="s">
        <v>1751</v>
      </c>
      <c r="E2922" s="1" t="s">
        <v>1752</v>
      </c>
      <c r="F2922" s="1" t="s">
        <v>1751</v>
      </c>
      <c r="G2922" s="1" t="s">
        <v>1753</v>
      </c>
      <c r="H2922" s="1" t="s">
        <v>1751</v>
      </c>
      <c r="I2922" s="1" t="s">
        <v>10865</v>
      </c>
      <c r="J2922" s="1" t="s">
        <v>1754</v>
      </c>
      <c r="K2922" s="1">
        <v>11</v>
      </c>
      <c r="L2922" s="1" t="s">
        <v>4227</v>
      </c>
      <c r="M2922" s="1">
        <v>14</v>
      </c>
      <c r="N2922" s="1" t="s">
        <v>4220</v>
      </c>
    </row>
    <row r="2923" spans="1:14" x14ac:dyDescent="0.15">
      <c r="A2923" s="1">
        <v>450</v>
      </c>
      <c r="B2923" s="1" t="s">
        <v>1751</v>
      </c>
      <c r="C2923" s="1" t="s">
        <v>1752</v>
      </c>
      <c r="D2923" s="1" t="s">
        <v>1751</v>
      </c>
      <c r="E2923" s="1" t="s">
        <v>1752</v>
      </c>
      <c r="F2923" s="1" t="s">
        <v>1751</v>
      </c>
      <c r="G2923" s="1" t="s">
        <v>1753</v>
      </c>
      <c r="H2923" s="1" t="s">
        <v>1751</v>
      </c>
      <c r="I2923" s="1" t="s">
        <v>10880</v>
      </c>
      <c r="J2923" s="1" t="s">
        <v>1755</v>
      </c>
      <c r="K2923" s="1">
        <v>11</v>
      </c>
      <c r="L2923" s="1" t="s">
        <v>4227</v>
      </c>
      <c r="M2923" s="1">
        <v>14</v>
      </c>
      <c r="N2923" s="1" t="s">
        <v>4220</v>
      </c>
    </row>
    <row r="2924" spans="1:14" x14ac:dyDescent="0.15">
      <c r="A2924" s="1">
        <v>450</v>
      </c>
      <c r="B2924" s="1" t="s">
        <v>1751</v>
      </c>
      <c r="C2924" s="1" t="s">
        <v>1752</v>
      </c>
      <c r="D2924" s="1" t="s">
        <v>1751</v>
      </c>
      <c r="E2924" s="1" t="s">
        <v>1752</v>
      </c>
      <c r="F2924" s="1" t="s">
        <v>1751</v>
      </c>
      <c r="G2924" s="1" t="s">
        <v>1753</v>
      </c>
      <c r="H2924" s="1" t="s">
        <v>1751</v>
      </c>
      <c r="I2924" s="1" t="s">
        <v>10883</v>
      </c>
      <c r="J2924" s="1" t="s">
        <v>1756</v>
      </c>
      <c r="K2924" s="1">
        <v>11</v>
      </c>
      <c r="L2924" s="1" t="s">
        <v>4227</v>
      </c>
      <c r="M2924" s="1">
        <v>14</v>
      </c>
      <c r="N2924" s="1" t="s">
        <v>4220</v>
      </c>
    </row>
    <row r="2925" spans="1:14" x14ac:dyDescent="0.15">
      <c r="A2925" s="1">
        <v>451</v>
      </c>
      <c r="B2925" s="1" t="s">
        <v>1757</v>
      </c>
      <c r="C2925" s="1" t="s">
        <v>1758</v>
      </c>
      <c r="D2925" s="1" t="s">
        <v>1757</v>
      </c>
      <c r="E2925" s="1" t="s">
        <v>1758</v>
      </c>
      <c r="F2925" s="1" t="s">
        <v>1757</v>
      </c>
      <c r="G2925" s="1" t="s">
        <v>1759</v>
      </c>
      <c r="H2925" s="1" t="s">
        <v>1757</v>
      </c>
      <c r="I2925" s="1" t="s">
        <v>17132</v>
      </c>
      <c r="J2925" s="1" t="s">
        <v>6837</v>
      </c>
      <c r="K2925" s="1">
        <v>11</v>
      </c>
      <c r="L2925" s="1" t="s">
        <v>4227</v>
      </c>
      <c r="M2925" s="1">
        <v>14</v>
      </c>
      <c r="N2925" s="1" t="s">
        <v>4220</v>
      </c>
    </row>
    <row r="2926" spans="1:14" x14ac:dyDescent="0.15">
      <c r="A2926" s="1">
        <v>451</v>
      </c>
      <c r="B2926" s="1" t="s">
        <v>1757</v>
      </c>
      <c r="C2926" s="1" t="s">
        <v>1758</v>
      </c>
      <c r="D2926" s="1" t="s">
        <v>1757</v>
      </c>
      <c r="E2926" s="1" t="s">
        <v>1758</v>
      </c>
      <c r="F2926" s="1" t="s">
        <v>1757</v>
      </c>
      <c r="G2926" s="1" t="s">
        <v>1759</v>
      </c>
      <c r="H2926" s="1" t="s">
        <v>1757</v>
      </c>
      <c r="I2926" s="1" t="s">
        <v>16854</v>
      </c>
      <c r="J2926" s="1" t="s">
        <v>1760</v>
      </c>
      <c r="K2926" s="1">
        <v>11</v>
      </c>
      <c r="L2926" s="1" t="s">
        <v>4227</v>
      </c>
      <c r="M2926" s="1">
        <v>14</v>
      </c>
      <c r="N2926" s="1" t="s">
        <v>4220</v>
      </c>
    </row>
    <row r="2927" spans="1:14" x14ac:dyDescent="0.15">
      <c r="A2927" s="1">
        <v>451</v>
      </c>
      <c r="B2927" s="1" t="s">
        <v>1757</v>
      </c>
      <c r="C2927" s="1" t="s">
        <v>1758</v>
      </c>
      <c r="D2927" s="1" t="s">
        <v>1757</v>
      </c>
      <c r="E2927" s="1" t="s">
        <v>1758</v>
      </c>
      <c r="F2927" s="1" t="s">
        <v>1757</v>
      </c>
      <c r="G2927" s="1" t="s">
        <v>1759</v>
      </c>
      <c r="H2927" s="1" t="s">
        <v>1757</v>
      </c>
      <c r="I2927" s="1" t="s">
        <v>16862</v>
      </c>
      <c r="J2927" s="1" t="s">
        <v>6842</v>
      </c>
      <c r="K2927" s="1">
        <v>11</v>
      </c>
      <c r="L2927" s="1" t="s">
        <v>4227</v>
      </c>
      <c r="M2927" s="1">
        <v>14</v>
      </c>
      <c r="N2927" s="1" t="s">
        <v>4220</v>
      </c>
    </row>
    <row r="2928" spans="1:14" x14ac:dyDescent="0.15">
      <c r="A2928" s="1">
        <v>451</v>
      </c>
      <c r="B2928" s="1" t="s">
        <v>1757</v>
      </c>
      <c r="C2928" s="1" t="s">
        <v>1758</v>
      </c>
      <c r="D2928" s="1" t="s">
        <v>1757</v>
      </c>
      <c r="E2928" s="1" t="s">
        <v>1758</v>
      </c>
      <c r="F2928" s="1" t="s">
        <v>1757</v>
      </c>
      <c r="G2928" s="1" t="s">
        <v>1759</v>
      </c>
      <c r="H2928" s="1" t="s">
        <v>1757</v>
      </c>
      <c r="I2928" s="1" t="s">
        <v>10865</v>
      </c>
      <c r="J2928" s="1" t="s">
        <v>1754</v>
      </c>
      <c r="K2928" s="1">
        <v>11</v>
      </c>
      <c r="L2928" s="1" t="s">
        <v>4227</v>
      </c>
      <c r="M2928" s="1">
        <v>14</v>
      </c>
      <c r="N2928" s="1" t="s">
        <v>4220</v>
      </c>
    </row>
    <row r="2929" spans="1:14" x14ac:dyDescent="0.15">
      <c r="A2929" s="1">
        <v>451</v>
      </c>
      <c r="B2929" s="1" t="s">
        <v>1757</v>
      </c>
      <c r="C2929" s="1" t="s">
        <v>1758</v>
      </c>
      <c r="D2929" s="1" t="s">
        <v>1757</v>
      </c>
      <c r="E2929" s="1" t="s">
        <v>1758</v>
      </c>
      <c r="F2929" s="1" t="s">
        <v>1757</v>
      </c>
      <c r="G2929" s="1" t="s">
        <v>1759</v>
      </c>
      <c r="H2929" s="1" t="s">
        <v>1757</v>
      </c>
      <c r="I2929" s="1" t="s">
        <v>10877</v>
      </c>
      <c r="J2929" s="1" t="s">
        <v>1761</v>
      </c>
      <c r="K2929" s="1">
        <v>11</v>
      </c>
      <c r="L2929" s="1" t="s">
        <v>4227</v>
      </c>
      <c r="M2929" s="1">
        <v>14</v>
      </c>
      <c r="N2929" s="1" t="s">
        <v>4220</v>
      </c>
    </row>
    <row r="2930" spans="1:14" x14ac:dyDescent="0.15">
      <c r="A2930" s="1">
        <v>451</v>
      </c>
      <c r="B2930" s="1" t="s">
        <v>1757</v>
      </c>
      <c r="C2930" s="1" t="s">
        <v>1758</v>
      </c>
      <c r="D2930" s="1" t="s">
        <v>1757</v>
      </c>
      <c r="E2930" s="1" t="s">
        <v>1758</v>
      </c>
      <c r="F2930" s="1" t="s">
        <v>1757</v>
      </c>
      <c r="G2930" s="1" t="s">
        <v>1759</v>
      </c>
      <c r="H2930" s="1" t="s">
        <v>1757</v>
      </c>
      <c r="I2930" s="1" t="s">
        <v>10880</v>
      </c>
      <c r="J2930" s="1" t="s">
        <v>1755</v>
      </c>
      <c r="K2930" s="1">
        <v>11</v>
      </c>
      <c r="L2930" s="1" t="s">
        <v>4227</v>
      </c>
      <c r="M2930" s="1">
        <v>14</v>
      </c>
      <c r="N2930" s="1" t="s">
        <v>4220</v>
      </c>
    </row>
    <row r="2931" spans="1:14" x14ac:dyDescent="0.15">
      <c r="A2931" s="1">
        <v>451</v>
      </c>
      <c r="B2931" s="1" t="s">
        <v>1757</v>
      </c>
      <c r="C2931" s="1" t="s">
        <v>1758</v>
      </c>
      <c r="D2931" s="1" t="s">
        <v>1757</v>
      </c>
      <c r="E2931" s="1" t="s">
        <v>1758</v>
      </c>
      <c r="F2931" s="1" t="s">
        <v>1757</v>
      </c>
      <c r="G2931" s="1" t="s">
        <v>1759</v>
      </c>
      <c r="H2931" s="1" t="s">
        <v>1757</v>
      </c>
      <c r="I2931" s="1" t="s">
        <v>10883</v>
      </c>
      <c r="J2931" s="1" t="s">
        <v>1756</v>
      </c>
      <c r="K2931" s="1">
        <v>11</v>
      </c>
      <c r="L2931" s="1" t="s">
        <v>4227</v>
      </c>
      <c r="M2931" s="1">
        <v>14</v>
      </c>
      <c r="N2931" s="1" t="s">
        <v>4220</v>
      </c>
    </row>
    <row r="2932" spans="1:14" x14ac:dyDescent="0.15">
      <c r="A2932" s="1">
        <v>451</v>
      </c>
      <c r="B2932" s="1" t="s">
        <v>1757</v>
      </c>
      <c r="C2932" s="1" t="s">
        <v>1758</v>
      </c>
      <c r="D2932" s="1" t="s">
        <v>1757</v>
      </c>
      <c r="E2932" s="1" t="s">
        <v>1758</v>
      </c>
      <c r="F2932" s="1" t="s">
        <v>1757</v>
      </c>
      <c r="G2932" s="1" t="s">
        <v>1759</v>
      </c>
      <c r="H2932" s="1" t="s">
        <v>1757</v>
      </c>
      <c r="I2932" s="1" t="s">
        <v>16866</v>
      </c>
      <c r="J2932" s="1" t="s">
        <v>1762</v>
      </c>
      <c r="K2932" s="1">
        <v>11</v>
      </c>
      <c r="L2932" s="1" t="s">
        <v>4227</v>
      </c>
      <c r="M2932" s="1">
        <v>14</v>
      </c>
      <c r="N2932" s="1" t="s">
        <v>4220</v>
      </c>
    </row>
    <row r="2933" spans="1:14" x14ac:dyDescent="0.15">
      <c r="A2933" s="1">
        <v>452</v>
      </c>
      <c r="B2933" s="1" t="s">
        <v>1763</v>
      </c>
      <c r="C2933" s="1" t="s">
        <v>1764</v>
      </c>
      <c r="D2933" s="1" t="s">
        <v>1763</v>
      </c>
      <c r="E2933" s="1" t="s">
        <v>1764</v>
      </c>
      <c r="F2933" s="1" t="s">
        <v>1763</v>
      </c>
      <c r="G2933" s="1" t="s">
        <v>1765</v>
      </c>
      <c r="H2933" s="1" t="s">
        <v>1763</v>
      </c>
      <c r="I2933" s="1" t="s">
        <v>11879</v>
      </c>
      <c r="J2933" s="1" t="s">
        <v>4278</v>
      </c>
      <c r="K2933" s="1">
        <v>11</v>
      </c>
      <c r="L2933" s="1" t="s">
        <v>4227</v>
      </c>
      <c r="M2933" s="1">
        <v>14</v>
      </c>
      <c r="N2933" s="1" t="s">
        <v>4220</v>
      </c>
    </row>
    <row r="2934" spans="1:14" x14ac:dyDescent="0.15">
      <c r="A2934" s="1">
        <v>452</v>
      </c>
      <c r="B2934" s="1" t="s">
        <v>1763</v>
      </c>
      <c r="C2934" s="1" t="s">
        <v>1766</v>
      </c>
      <c r="D2934" s="1" t="s">
        <v>1767</v>
      </c>
      <c r="E2934" s="1" t="s">
        <v>1766</v>
      </c>
      <c r="F2934" s="1" t="s">
        <v>1767</v>
      </c>
      <c r="G2934" s="1" t="s">
        <v>1768</v>
      </c>
      <c r="H2934" s="1" t="s">
        <v>1767</v>
      </c>
      <c r="I2934" s="1" t="s">
        <v>17132</v>
      </c>
      <c r="J2934" s="1" t="s">
        <v>6837</v>
      </c>
      <c r="K2934" s="1">
        <v>11</v>
      </c>
      <c r="L2934" s="1" t="s">
        <v>4227</v>
      </c>
      <c r="M2934" s="1">
        <v>14</v>
      </c>
      <c r="N2934" s="1" t="s">
        <v>4220</v>
      </c>
    </row>
    <row r="2935" spans="1:14" x14ac:dyDescent="0.15">
      <c r="A2935" s="1">
        <v>452</v>
      </c>
      <c r="B2935" s="1" t="s">
        <v>1763</v>
      </c>
      <c r="C2935" s="1" t="s">
        <v>1766</v>
      </c>
      <c r="D2935" s="1" t="s">
        <v>1767</v>
      </c>
      <c r="E2935" s="1" t="s">
        <v>1766</v>
      </c>
      <c r="F2935" s="1" t="s">
        <v>1767</v>
      </c>
      <c r="G2935" s="1" t="s">
        <v>1768</v>
      </c>
      <c r="H2935" s="1" t="s">
        <v>1767</v>
      </c>
      <c r="I2935" s="1" t="s">
        <v>16862</v>
      </c>
      <c r="J2935" s="1" t="s">
        <v>6842</v>
      </c>
      <c r="K2935" s="1">
        <v>11</v>
      </c>
      <c r="L2935" s="1" t="s">
        <v>4227</v>
      </c>
      <c r="M2935" s="1">
        <v>14</v>
      </c>
      <c r="N2935" s="1" t="s">
        <v>4220</v>
      </c>
    </row>
    <row r="2936" spans="1:14" x14ac:dyDescent="0.15">
      <c r="A2936" s="1">
        <v>452</v>
      </c>
      <c r="B2936" s="1" t="s">
        <v>1763</v>
      </c>
      <c r="C2936" s="1" t="s">
        <v>1766</v>
      </c>
      <c r="D2936" s="1" t="s">
        <v>1767</v>
      </c>
      <c r="E2936" s="1" t="s">
        <v>1766</v>
      </c>
      <c r="F2936" s="1" t="s">
        <v>1767</v>
      </c>
      <c r="G2936" s="1" t="s">
        <v>1768</v>
      </c>
      <c r="H2936" s="1" t="s">
        <v>1767</v>
      </c>
      <c r="I2936" s="1" t="s">
        <v>10877</v>
      </c>
      <c r="J2936" s="1" t="s">
        <v>1761</v>
      </c>
      <c r="K2936" s="1">
        <v>11</v>
      </c>
      <c r="L2936" s="1" t="s">
        <v>4227</v>
      </c>
      <c r="M2936" s="1">
        <v>14</v>
      </c>
      <c r="N2936" s="1" t="s">
        <v>4220</v>
      </c>
    </row>
    <row r="2937" spans="1:14" x14ac:dyDescent="0.15">
      <c r="A2937" s="1">
        <v>452</v>
      </c>
      <c r="B2937" s="1" t="s">
        <v>1763</v>
      </c>
      <c r="C2937" s="1" t="s">
        <v>1769</v>
      </c>
      <c r="D2937" s="1" t="s">
        <v>1770</v>
      </c>
      <c r="E2937" s="1" t="s">
        <v>1769</v>
      </c>
      <c r="F2937" s="1" t="s">
        <v>1770</v>
      </c>
      <c r="G2937" s="1" t="s">
        <v>1771</v>
      </c>
      <c r="H2937" s="1" t="s">
        <v>1770</v>
      </c>
      <c r="I2937" s="1" t="s">
        <v>17132</v>
      </c>
      <c r="J2937" s="1" t="s">
        <v>6837</v>
      </c>
      <c r="K2937" s="1">
        <v>11</v>
      </c>
      <c r="L2937" s="1" t="s">
        <v>4227</v>
      </c>
      <c r="M2937" s="1">
        <v>14</v>
      </c>
      <c r="N2937" s="1" t="s">
        <v>4220</v>
      </c>
    </row>
    <row r="2938" spans="1:14" x14ac:dyDescent="0.15">
      <c r="A2938" s="1">
        <v>452</v>
      </c>
      <c r="B2938" s="1" t="s">
        <v>1763</v>
      </c>
      <c r="C2938" s="1" t="s">
        <v>1769</v>
      </c>
      <c r="D2938" s="1" t="s">
        <v>1770</v>
      </c>
      <c r="E2938" s="1" t="s">
        <v>1769</v>
      </c>
      <c r="F2938" s="1" t="s">
        <v>1770</v>
      </c>
      <c r="G2938" s="1" t="s">
        <v>1771</v>
      </c>
      <c r="H2938" s="1" t="s">
        <v>1770</v>
      </c>
      <c r="I2938" s="1" t="s">
        <v>10874</v>
      </c>
      <c r="J2938" s="1" t="s">
        <v>1772</v>
      </c>
      <c r="K2938" s="1">
        <v>11</v>
      </c>
      <c r="L2938" s="1" t="s">
        <v>4227</v>
      </c>
      <c r="M2938" s="1">
        <v>14</v>
      </c>
      <c r="N2938" s="1" t="s">
        <v>4220</v>
      </c>
    </row>
    <row r="2939" spans="1:14" x14ac:dyDescent="0.15">
      <c r="A2939" s="1">
        <v>452</v>
      </c>
      <c r="B2939" s="1" t="s">
        <v>1763</v>
      </c>
      <c r="C2939" s="1" t="s">
        <v>1773</v>
      </c>
      <c r="D2939" s="1" t="s">
        <v>1774</v>
      </c>
      <c r="E2939" s="1" t="s">
        <v>1773</v>
      </c>
      <c r="F2939" s="1" t="s">
        <v>1774</v>
      </c>
      <c r="G2939" s="1" t="s">
        <v>1775</v>
      </c>
      <c r="H2939" s="1" t="s">
        <v>1774</v>
      </c>
      <c r="I2939" s="1" t="s">
        <v>10865</v>
      </c>
      <c r="J2939" s="1" t="s">
        <v>1754</v>
      </c>
      <c r="K2939" s="1">
        <v>11</v>
      </c>
      <c r="L2939" s="1" t="s">
        <v>4227</v>
      </c>
      <c r="M2939" s="1">
        <v>14</v>
      </c>
      <c r="N2939" s="1" t="s">
        <v>4220</v>
      </c>
    </row>
    <row r="2940" spans="1:14" x14ac:dyDescent="0.15">
      <c r="A2940" s="1">
        <v>452</v>
      </c>
      <c r="B2940" s="1" t="s">
        <v>1763</v>
      </c>
      <c r="C2940" s="1" t="s">
        <v>1776</v>
      </c>
      <c r="D2940" s="1" t="s">
        <v>1777</v>
      </c>
      <c r="E2940" s="1" t="s">
        <v>1776</v>
      </c>
      <c r="F2940" s="1" t="s">
        <v>1777</v>
      </c>
      <c r="G2940" s="1" t="s">
        <v>1778</v>
      </c>
      <c r="H2940" s="1" t="s">
        <v>1777</v>
      </c>
      <c r="I2940" s="1" t="s">
        <v>17132</v>
      </c>
      <c r="J2940" s="1" t="s">
        <v>6837</v>
      </c>
      <c r="K2940" s="1">
        <v>11</v>
      </c>
      <c r="L2940" s="1" t="s">
        <v>4227</v>
      </c>
      <c r="M2940" s="1">
        <v>14</v>
      </c>
      <c r="N2940" s="1" t="s">
        <v>4220</v>
      </c>
    </row>
    <row r="2941" spans="1:14" x14ac:dyDescent="0.15">
      <c r="A2941" s="1">
        <v>452</v>
      </c>
      <c r="B2941" s="1" t="s">
        <v>1763</v>
      </c>
      <c r="C2941" s="1" t="s">
        <v>1776</v>
      </c>
      <c r="D2941" s="1" t="s">
        <v>1777</v>
      </c>
      <c r="E2941" s="1" t="s">
        <v>1776</v>
      </c>
      <c r="F2941" s="1" t="s">
        <v>1777</v>
      </c>
      <c r="G2941" s="1" t="s">
        <v>1778</v>
      </c>
      <c r="H2941" s="1" t="s">
        <v>1777</v>
      </c>
      <c r="I2941" s="1" t="s">
        <v>10868</v>
      </c>
      <c r="J2941" s="1" t="s">
        <v>1779</v>
      </c>
      <c r="K2941" s="1">
        <v>11</v>
      </c>
      <c r="L2941" s="1" t="s">
        <v>4227</v>
      </c>
      <c r="M2941" s="1">
        <v>14</v>
      </c>
      <c r="N2941" s="1" t="s">
        <v>4220</v>
      </c>
    </row>
    <row r="2942" spans="1:14" x14ac:dyDescent="0.15">
      <c r="A2942" s="1">
        <v>453</v>
      </c>
      <c r="B2942" s="1" t="s">
        <v>1780</v>
      </c>
      <c r="C2942" s="1" t="s">
        <v>1781</v>
      </c>
      <c r="D2942" s="1" t="s">
        <v>1780</v>
      </c>
      <c r="E2942" s="1" t="s">
        <v>1781</v>
      </c>
      <c r="F2942" s="1" t="s">
        <v>1780</v>
      </c>
      <c r="G2942" s="1" t="s">
        <v>1782</v>
      </c>
      <c r="H2942" s="1" t="s">
        <v>1780</v>
      </c>
      <c r="I2942" s="1" t="s">
        <v>11879</v>
      </c>
      <c r="J2942" s="1" t="s">
        <v>4278</v>
      </c>
      <c r="K2942" s="1">
        <v>10</v>
      </c>
      <c r="L2942" s="1" t="s">
        <v>4380</v>
      </c>
      <c r="M2942" s="1">
        <v>9</v>
      </c>
      <c r="N2942" s="1" t="s">
        <v>4381</v>
      </c>
    </row>
    <row r="2943" spans="1:14" x14ac:dyDescent="0.15">
      <c r="A2943" s="1">
        <v>453</v>
      </c>
      <c r="B2943" s="1" t="s">
        <v>1780</v>
      </c>
      <c r="C2943" s="1" t="s">
        <v>1783</v>
      </c>
      <c r="D2943" s="1" t="s">
        <v>1784</v>
      </c>
      <c r="E2943" s="1" t="s">
        <v>1783</v>
      </c>
      <c r="F2943" s="1" t="s">
        <v>1784</v>
      </c>
      <c r="G2943" s="1" t="s">
        <v>1785</v>
      </c>
      <c r="H2943" s="1" t="s">
        <v>1784</v>
      </c>
      <c r="I2943" s="1" t="s">
        <v>4494</v>
      </c>
      <c r="J2943" s="1" t="s">
        <v>4495</v>
      </c>
      <c r="K2943" s="1">
        <v>10</v>
      </c>
      <c r="L2943" s="1" t="s">
        <v>4380</v>
      </c>
      <c r="M2943" s="1">
        <v>9</v>
      </c>
      <c r="N2943" s="1" t="s">
        <v>4381</v>
      </c>
    </row>
    <row r="2944" spans="1:14" x14ac:dyDescent="0.15">
      <c r="A2944" s="1">
        <v>453</v>
      </c>
      <c r="B2944" s="1" t="s">
        <v>1780</v>
      </c>
      <c r="C2944" s="1" t="s">
        <v>1786</v>
      </c>
      <c r="D2944" s="1" t="s">
        <v>1787</v>
      </c>
      <c r="E2944" s="1" t="s">
        <v>1786</v>
      </c>
      <c r="F2944" s="1" t="s">
        <v>1787</v>
      </c>
      <c r="G2944" s="1" t="s">
        <v>1788</v>
      </c>
      <c r="H2944" s="1" t="s">
        <v>1787</v>
      </c>
      <c r="I2944" s="1" t="s">
        <v>4494</v>
      </c>
      <c r="J2944" s="1" t="s">
        <v>4495</v>
      </c>
      <c r="K2944" s="1">
        <v>10</v>
      </c>
      <c r="L2944" s="1" t="s">
        <v>4380</v>
      </c>
      <c r="M2944" s="1">
        <v>9</v>
      </c>
      <c r="N2944" s="1" t="s">
        <v>4381</v>
      </c>
    </row>
    <row r="2945" spans="1:14" x14ac:dyDescent="0.15">
      <c r="A2945" s="1">
        <v>454</v>
      </c>
      <c r="B2945" s="1" t="s">
        <v>1789</v>
      </c>
      <c r="C2945" s="1" t="s">
        <v>1790</v>
      </c>
      <c r="D2945" s="1" t="s">
        <v>1789</v>
      </c>
      <c r="E2945" s="1" t="s">
        <v>1790</v>
      </c>
      <c r="F2945" s="1" t="s">
        <v>1789</v>
      </c>
      <c r="G2945" s="1" t="s">
        <v>1791</v>
      </c>
      <c r="H2945" s="1" t="s">
        <v>1789</v>
      </c>
      <c r="I2945" s="1" t="s">
        <v>11879</v>
      </c>
      <c r="J2945" s="1" t="s">
        <v>4278</v>
      </c>
      <c r="K2945" s="1">
        <v>10</v>
      </c>
      <c r="L2945" s="1" t="s">
        <v>4380</v>
      </c>
      <c r="M2945" s="1">
        <v>9</v>
      </c>
      <c r="N2945" s="1" t="s">
        <v>4381</v>
      </c>
    </row>
    <row r="2946" spans="1:14" x14ac:dyDescent="0.15">
      <c r="A2946" s="1">
        <v>454</v>
      </c>
      <c r="B2946" s="1" t="s">
        <v>1789</v>
      </c>
      <c r="C2946" s="1" t="s">
        <v>1792</v>
      </c>
      <c r="D2946" s="1" t="s">
        <v>1793</v>
      </c>
      <c r="E2946" s="1" t="s">
        <v>1792</v>
      </c>
      <c r="F2946" s="1" t="s">
        <v>1793</v>
      </c>
      <c r="G2946" s="1" t="s">
        <v>1794</v>
      </c>
      <c r="H2946" s="1" t="s">
        <v>1793</v>
      </c>
      <c r="I2946" s="1" t="s">
        <v>12895</v>
      </c>
      <c r="J2946" s="1" t="s">
        <v>4460</v>
      </c>
      <c r="K2946" s="1">
        <v>10</v>
      </c>
      <c r="L2946" s="1" t="s">
        <v>4380</v>
      </c>
      <c r="M2946" s="1">
        <v>9</v>
      </c>
      <c r="N2946" s="1" t="s">
        <v>4381</v>
      </c>
    </row>
    <row r="2947" spans="1:14" x14ac:dyDescent="0.15">
      <c r="A2947" s="1">
        <v>454</v>
      </c>
      <c r="B2947" s="1" t="s">
        <v>1789</v>
      </c>
      <c r="C2947" s="1" t="s">
        <v>1795</v>
      </c>
      <c r="D2947" s="1" t="s">
        <v>1796</v>
      </c>
      <c r="E2947" s="1" t="s">
        <v>1795</v>
      </c>
      <c r="F2947" s="1" t="s">
        <v>1796</v>
      </c>
      <c r="G2947" s="1" t="s">
        <v>1797</v>
      </c>
      <c r="H2947" s="1" t="s">
        <v>1796</v>
      </c>
      <c r="I2947" s="1" t="s">
        <v>7680</v>
      </c>
      <c r="J2947" s="1" t="s">
        <v>4396</v>
      </c>
      <c r="K2947" s="1">
        <v>10</v>
      </c>
      <c r="L2947" s="1" t="s">
        <v>4380</v>
      </c>
      <c r="M2947" s="1">
        <v>9</v>
      </c>
      <c r="N2947" s="1" t="s">
        <v>4381</v>
      </c>
    </row>
    <row r="2948" spans="1:14" x14ac:dyDescent="0.15">
      <c r="A2948" s="1">
        <v>455</v>
      </c>
      <c r="B2948" s="1" t="s">
        <v>1798</v>
      </c>
      <c r="C2948" s="1" t="s">
        <v>1799</v>
      </c>
      <c r="D2948" s="1" t="s">
        <v>1798</v>
      </c>
      <c r="E2948" s="1" t="s">
        <v>1799</v>
      </c>
      <c r="F2948" s="1" t="s">
        <v>1798</v>
      </c>
      <c r="G2948" s="1" t="s">
        <v>1800</v>
      </c>
      <c r="H2948" s="1" t="s">
        <v>1798</v>
      </c>
      <c r="I2948" s="1" t="s">
        <v>11879</v>
      </c>
      <c r="J2948" s="1" t="s">
        <v>4278</v>
      </c>
      <c r="K2948" s="1">
        <v>14</v>
      </c>
      <c r="L2948" s="1" t="s">
        <v>4307</v>
      </c>
      <c r="M2948" s="1">
        <v>16</v>
      </c>
      <c r="N2948" s="1" t="s">
        <v>4308</v>
      </c>
    </row>
    <row r="2949" spans="1:14" x14ac:dyDescent="0.15">
      <c r="A2949" s="1">
        <v>455</v>
      </c>
      <c r="B2949" s="1" t="s">
        <v>1798</v>
      </c>
      <c r="C2949" s="1" t="s">
        <v>1801</v>
      </c>
      <c r="D2949" s="1" t="s">
        <v>1802</v>
      </c>
      <c r="E2949" s="1" t="s">
        <v>1801</v>
      </c>
      <c r="F2949" s="1" t="s">
        <v>1802</v>
      </c>
      <c r="G2949" s="1" t="s">
        <v>1803</v>
      </c>
      <c r="H2949" s="1" t="s">
        <v>1802</v>
      </c>
      <c r="I2949" s="1" t="s">
        <v>13921</v>
      </c>
      <c r="J2949" s="1" t="s">
        <v>4896</v>
      </c>
      <c r="K2949" s="1">
        <v>14</v>
      </c>
      <c r="L2949" s="1" t="s">
        <v>4307</v>
      </c>
      <c r="M2949" s="1">
        <v>16</v>
      </c>
      <c r="N2949" s="1" t="s">
        <v>4308</v>
      </c>
    </row>
    <row r="2950" spans="1:14" x14ac:dyDescent="0.15">
      <c r="A2950" s="1">
        <v>455</v>
      </c>
      <c r="B2950" s="1" t="s">
        <v>1798</v>
      </c>
      <c r="C2950" s="1" t="s">
        <v>1804</v>
      </c>
      <c r="D2950" s="1" t="s">
        <v>1805</v>
      </c>
      <c r="E2950" s="1" t="s">
        <v>1804</v>
      </c>
      <c r="F2950" s="1" t="s">
        <v>1805</v>
      </c>
      <c r="G2950" s="1" t="s">
        <v>1806</v>
      </c>
      <c r="H2950" s="1" t="s">
        <v>1805</v>
      </c>
      <c r="I2950" s="1" t="s">
        <v>7680</v>
      </c>
      <c r="J2950" s="1" t="s">
        <v>4396</v>
      </c>
      <c r="K2950" s="1">
        <v>14</v>
      </c>
      <c r="L2950" s="1" t="s">
        <v>4307</v>
      </c>
      <c r="M2950" s="1">
        <v>16</v>
      </c>
      <c r="N2950" s="1" t="s">
        <v>4308</v>
      </c>
    </row>
    <row r="2951" spans="1:14" x14ac:dyDescent="0.15">
      <c r="A2951" s="1">
        <v>460</v>
      </c>
      <c r="B2951" s="1" t="s">
        <v>1807</v>
      </c>
      <c r="C2951" s="1" t="s">
        <v>1808</v>
      </c>
      <c r="D2951" s="1" t="s">
        <v>1807</v>
      </c>
      <c r="E2951" s="1" t="s">
        <v>1808</v>
      </c>
      <c r="F2951" s="1" t="s">
        <v>1807</v>
      </c>
      <c r="G2951" s="1" t="s">
        <v>1809</v>
      </c>
      <c r="H2951" s="1" t="s">
        <v>1807</v>
      </c>
      <c r="I2951" s="1" t="s">
        <v>10076</v>
      </c>
      <c r="J2951" s="1" t="s">
        <v>16215</v>
      </c>
      <c r="K2951" s="1">
        <v>4</v>
      </c>
      <c r="L2951" s="1" t="s">
        <v>4342</v>
      </c>
      <c r="M2951" s="1">
        <v>10</v>
      </c>
      <c r="N2951" s="1" t="s">
        <v>4237</v>
      </c>
    </row>
    <row r="2952" spans="1:14" x14ac:dyDescent="0.15">
      <c r="A2952" s="1">
        <v>461</v>
      </c>
      <c r="B2952" s="1" t="s">
        <v>1810</v>
      </c>
      <c r="C2952" s="1" t="s">
        <v>1811</v>
      </c>
      <c r="D2952" s="1" t="s">
        <v>1810</v>
      </c>
      <c r="E2952" s="1" t="s">
        <v>1811</v>
      </c>
      <c r="F2952" s="1" t="s">
        <v>1810</v>
      </c>
      <c r="G2952" s="1" t="s">
        <v>1812</v>
      </c>
      <c r="H2952" s="1" t="s">
        <v>1810</v>
      </c>
      <c r="I2952" s="1" t="s">
        <v>4494</v>
      </c>
      <c r="J2952" s="1" t="s">
        <v>4495</v>
      </c>
      <c r="K2952" s="1">
        <v>6</v>
      </c>
      <c r="L2952" s="1" t="s">
        <v>4254</v>
      </c>
      <c r="M2952" s="1">
        <v>10</v>
      </c>
      <c r="N2952" s="1" t="s">
        <v>4237</v>
      </c>
    </row>
    <row r="2953" spans="1:14" x14ac:dyDescent="0.15">
      <c r="A2953" s="1">
        <v>462</v>
      </c>
      <c r="B2953" s="1" t="s">
        <v>1813</v>
      </c>
      <c r="C2953" s="1" t="s">
        <v>1814</v>
      </c>
      <c r="D2953" s="1" t="s">
        <v>1813</v>
      </c>
      <c r="E2953" s="1" t="s">
        <v>1814</v>
      </c>
      <c r="F2953" s="1" t="s">
        <v>1813</v>
      </c>
      <c r="G2953" s="1" t="s">
        <v>1815</v>
      </c>
      <c r="H2953" s="1" t="s">
        <v>1813</v>
      </c>
      <c r="I2953" s="1" t="s">
        <v>11879</v>
      </c>
      <c r="J2953" s="1" t="s">
        <v>4278</v>
      </c>
      <c r="K2953" s="1">
        <v>4</v>
      </c>
      <c r="L2953" s="1" t="s">
        <v>4342</v>
      </c>
      <c r="M2953" s="1">
        <v>5</v>
      </c>
      <c r="N2953" s="1" t="s">
        <v>4342</v>
      </c>
    </row>
    <row r="2954" spans="1:14" x14ac:dyDescent="0.15">
      <c r="A2954" s="1">
        <v>462</v>
      </c>
      <c r="B2954" s="1" t="s">
        <v>1813</v>
      </c>
      <c r="C2954" s="1" t="s">
        <v>1816</v>
      </c>
      <c r="D2954" s="1" t="s">
        <v>1817</v>
      </c>
      <c r="E2954" s="1" t="s">
        <v>1816</v>
      </c>
      <c r="F2954" s="1" t="s">
        <v>1817</v>
      </c>
      <c r="G2954" s="1" t="s">
        <v>1818</v>
      </c>
      <c r="H2954" s="1" t="s">
        <v>1817</v>
      </c>
      <c r="I2954" s="1" t="s">
        <v>16575</v>
      </c>
      <c r="J2954" s="1" t="s">
        <v>16576</v>
      </c>
      <c r="K2954" s="1">
        <v>4</v>
      </c>
      <c r="L2954" s="1" t="s">
        <v>4342</v>
      </c>
      <c r="M2954" s="1">
        <v>5</v>
      </c>
      <c r="N2954" s="1" t="s">
        <v>4342</v>
      </c>
    </row>
    <row r="2955" spans="1:14" x14ac:dyDescent="0.15">
      <c r="A2955" s="1">
        <v>462</v>
      </c>
      <c r="B2955" s="1" t="s">
        <v>1813</v>
      </c>
      <c r="C2955" s="1" t="s">
        <v>1816</v>
      </c>
      <c r="D2955" s="1" t="s">
        <v>1817</v>
      </c>
      <c r="E2955" s="1" t="s">
        <v>1816</v>
      </c>
      <c r="F2955" s="1" t="s">
        <v>1817</v>
      </c>
      <c r="G2955" s="1" t="s">
        <v>1818</v>
      </c>
      <c r="H2955" s="1" t="s">
        <v>1817</v>
      </c>
      <c r="I2955" s="1" t="s">
        <v>15305</v>
      </c>
      <c r="J2955" s="1" t="s">
        <v>15306</v>
      </c>
      <c r="K2955" s="1">
        <v>4</v>
      </c>
      <c r="L2955" s="1" t="s">
        <v>4342</v>
      </c>
      <c r="M2955" s="1">
        <v>5</v>
      </c>
      <c r="N2955" s="1" t="s">
        <v>4342</v>
      </c>
    </row>
    <row r="2956" spans="1:14" x14ac:dyDescent="0.15">
      <c r="A2956" s="1">
        <v>462</v>
      </c>
      <c r="B2956" s="1" t="s">
        <v>1813</v>
      </c>
      <c r="C2956" s="1" t="s">
        <v>1816</v>
      </c>
      <c r="D2956" s="1" t="s">
        <v>1817</v>
      </c>
      <c r="E2956" s="1" t="s">
        <v>1816</v>
      </c>
      <c r="F2956" s="1" t="s">
        <v>1817</v>
      </c>
      <c r="G2956" s="1" t="s">
        <v>1818</v>
      </c>
      <c r="H2956" s="1" t="s">
        <v>1817</v>
      </c>
      <c r="I2956" s="1" t="s">
        <v>15317</v>
      </c>
      <c r="J2956" s="1" t="s">
        <v>15318</v>
      </c>
      <c r="K2956" s="1">
        <v>4</v>
      </c>
      <c r="L2956" s="1" t="s">
        <v>4342</v>
      </c>
      <c r="M2956" s="1">
        <v>5</v>
      </c>
      <c r="N2956" s="1" t="s">
        <v>4342</v>
      </c>
    </row>
    <row r="2957" spans="1:14" x14ac:dyDescent="0.15">
      <c r="A2957" s="1">
        <v>462</v>
      </c>
      <c r="B2957" s="1" t="s">
        <v>1813</v>
      </c>
      <c r="C2957" s="1" t="s">
        <v>1819</v>
      </c>
      <c r="D2957" s="1" t="s">
        <v>1820</v>
      </c>
      <c r="E2957" s="1" t="s">
        <v>1819</v>
      </c>
      <c r="F2957" s="1" t="s">
        <v>1820</v>
      </c>
      <c r="G2957" s="1" t="s">
        <v>1821</v>
      </c>
      <c r="H2957" s="1" t="s">
        <v>1820</v>
      </c>
      <c r="I2957" s="1" t="s">
        <v>15291</v>
      </c>
      <c r="J2957" s="1" t="s">
        <v>15288</v>
      </c>
      <c r="K2957" s="1">
        <v>10</v>
      </c>
      <c r="L2957" s="1" t="s">
        <v>4380</v>
      </c>
      <c r="M2957" s="1">
        <v>9</v>
      </c>
      <c r="N2957" s="1" t="s">
        <v>4381</v>
      </c>
    </row>
    <row r="2958" spans="1:14" x14ac:dyDescent="0.15">
      <c r="A2958" s="1">
        <v>462</v>
      </c>
      <c r="B2958" s="1" t="s">
        <v>1813</v>
      </c>
      <c r="C2958" s="1" t="s">
        <v>1819</v>
      </c>
      <c r="D2958" s="1" t="s">
        <v>1820</v>
      </c>
      <c r="E2958" s="1" t="s">
        <v>1819</v>
      </c>
      <c r="F2958" s="1" t="s">
        <v>1820</v>
      </c>
      <c r="G2958" s="1" t="s">
        <v>1821</v>
      </c>
      <c r="H2958" s="1" t="s">
        <v>1820</v>
      </c>
      <c r="I2958" s="1" t="s">
        <v>15298</v>
      </c>
      <c r="J2958" s="1" t="s">
        <v>15295</v>
      </c>
      <c r="K2958" s="1">
        <v>10</v>
      </c>
      <c r="L2958" s="1" t="s">
        <v>4380</v>
      </c>
      <c r="M2958" s="1">
        <v>9</v>
      </c>
      <c r="N2958" s="1" t="s">
        <v>4381</v>
      </c>
    </row>
    <row r="2959" spans="1:14" x14ac:dyDescent="0.15">
      <c r="A2959" s="1">
        <v>462</v>
      </c>
      <c r="B2959" s="1" t="s">
        <v>1813</v>
      </c>
      <c r="C2959" s="1" t="s">
        <v>1819</v>
      </c>
      <c r="D2959" s="1" t="s">
        <v>1820</v>
      </c>
      <c r="E2959" s="1" t="s">
        <v>1819</v>
      </c>
      <c r="F2959" s="1" t="s">
        <v>1820</v>
      </c>
      <c r="G2959" s="1" t="s">
        <v>1821</v>
      </c>
      <c r="H2959" s="1" t="s">
        <v>1820</v>
      </c>
      <c r="I2959" s="1" t="s">
        <v>15317</v>
      </c>
      <c r="J2959" s="1" t="s">
        <v>15318</v>
      </c>
      <c r="K2959" s="1">
        <v>10</v>
      </c>
      <c r="L2959" s="1" t="s">
        <v>4380</v>
      </c>
      <c r="M2959" s="1">
        <v>9</v>
      </c>
      <c r="N2959" s="1" t="s">
        <v>4381</v>
      </c>
    </row>
    <row r="2960" spans="1:14" x14ac:dyDescent="0.15">
      <c r="A2960" s="1">
        <v>462</v>
      </c>
      <c r="B2960" s="1" t="s">
        <v>1813</v>
      </c>
      <c r="C2960" s="1" t="s">
        <v>1819</v>
      </c>
      <c r="D2960" s="1" t="s">
        <v>1820</v>
      </c>
      <c r="E2960" s="1" t="s">
        <v>1819</v>
      </c>
      <c r="F2960" s="1" t="s">
        <v>1820</v>
      </c>
      <c r="G2960" s="1" t="s">
        <v>1821</v>
      </c>
      <c r="H2960" s="1" t="s">
        <v>1820</v>
      </c>
      <c r="I2960" s="1" t="s">
        <v>15329</v>
      </c>
      <c r="J2960" s="1" t="s">
        <v>15330</v>
      </c>
      <c r="K2960" s="1">
        <v>10</v>
      </c>
      <c r="L2960" s="1" t="s">
        <v>4380</v>
      </c>
      <c r="M2960" s="1">
        <v>9</v>
      </c>
      <c r="N2960" s="1" t="s">
        <v>4381</v>
      </c>
    </row>
    <row r="2961" spans="1:14" x14ac:dyDescent="0.15">
      <c r="A2961" s="1">
        <v>462</v>
      </c>
      <c r="B2961" s="1" t="s">
        <v>1813</v>
      </c>
      <c r="C2961" s="1" t="s">
        <v>1819</v>
      </c>
      <c r="D2961" s="1" t="s">
        <v>1820</v>
      </c>
      <c r="E2961" s="1" t="s">
        <v>1819</v>
      </c>
      <c r="F2961" s="1" t="s">
        <v>1820</v>
      </c>
      <c r="G2961" s="1" t="s">
        <v>1821</v>
      </c>
      <c r="H2961" s="1" t="s">
        <v>1820</v>
      </c>
      <c r="I2961" s="1" t="s">
        <v>15337</v>
      </c>
      <c r="J2961" s="1" t="s">
        <v>15334</v>
      </c>
      <c r="K2961" s="1">
        <v>10</v>
      </c>
      <c r="L2961" s="1" t="s">
        <v>4380</v>
      </c>
      <c r="M2961" s="1">
        <v>9</v>
      </c>
      <c r="N2961" s="1" t="s">
        <v>4381</v>
      </c>
    </row>
    <row r="2962" spans="1:14" x14ac:dyDescent="0.15">
      <c r="A2962" s="1">
        <v>464</v>
      </c>
      <c r="B2962" s="1" t="s">
        <v>1822</v>
      </c>
      <c r="C2962" s="1" t="s">
        <v>1823</v>
      </c>
      <c r="D2962" s="1" t="s">
        <v>1822</v>
      </c>
      <c r="E2962" s="1" t="s">
        <v>1823</v>
      </c>
      <c r="F2962" s="1" t="s">
        <v>1822</v>
      </c>
      <c r="G2962" s="1" t="s">
        <v>1824</v>
      </c>
      <c r="H2962" s="1" t="s">
        <v>1822</v>
      </c>
      <c r="I2962" s="1" t="s">
        <v>7592</v>
      </c>
      <c r="J2962" s="1" t="s">
        <v>4382</v>
      </c>
      <c r="K2962" s="1">
        <v>6</v>
      </c>
      <c r="L2962" s="1" t="s">
        <v>4254</v>
      </c>
      <c r="M2962" s="1">
        <v>10</v>
      </c>
      <c r="N2962" s="1" t="s">
        <v>4237</v>
      </c>
    </row>
    <row r="2963" spans="1:14" x14ac:dyDescent="0.15">
      <c r="A2963" s="1">
        <v>465</v>
      </c>
      <c r="B2963" s="1" t="s">
        <v>1825</v>
      </c>
      <c r="C2963" s="1" t="s">
        <v>1826</v>
      </c>
      <c r="D2963" s="1" t="s">
        <v>1825</v>
      </c>
      <c r="E2963" s="1" t="s">
        <v>1826</v>
      </c>
      <c r="F2963" s="1" t="s">
        <v>1825</v>
      </c>
      <c r="G2963" s="1" t="s">
        <v>1827</v>
      </c>
      <c r="H2963" s="1" t="s">
        <v>1825</v>
      </c>
      <c r="I2963" s="1" t="s">
        <v>4494</v>
      </c>
      <c r="J2963" s="1" t="s">
        <v>4495</v>
      </c>
      <c r="K2963" s="1">
        <v>11</v>
      </c>
      <c r="L2963" s="1" t="s">
        <v>4227</v>
      </c>
      <c r="M2963" s="1">
        <v>14</v>
      </c>
      <c r="N2963" s="1" t="s">
        <v>4220</v>
      </c>
    </row>
    <row r="2964" spans="1:14" x14ac:dyDescent="0.15">
      <c r="A2964" s="1">
        <v>470</v>
      </c>
      <c r="B2964" s="1" t="s">
        <v>1828</v>
      </c>
      <c r="C2964" s="1" t="s">
        <v>1829</v>
      </c>
      <c r="D2964" s="1" t="s">
        <v>1828</v>
      </c>
      <c r="E2964" s="1" t="s">
        <v>1829</v>
      </c>
      <c r="F2964" s="1" t="s">
        <v>1828</v>
      </c>
      <c r="G2964" s="1" t="s">
        <v>1830</v>
      </c>
      <c r="H2964" s="1" t="s">
        <v>1828</v>
      </c>
      <c r="I2964" s="1" t="s">
        <v>11682</v>
      </c>
      <c r="J2964" s="1" t="s">
        <v>3333</v>
      </c>
      <c r="K2964" s="1">
        <v>11</v>
      </c>
      <c r="L2964" s="1" t="s">
        <v>4227</v>
      </c>
      <c r="M2964" s="1">
        <v>14</v>
      </c>
      <c r="N2964" s="1" t="s">
        <v>4220</v>
      </c>
    </row>
    <row r="2965" spans="1:14" x14ac:dyDescent="0.15">
      <c r="A2965" s="1">
        <v>470</v>
      </c>
      <c r="B2965" s="1" t="s">
        <v>1828</v>
      </c>
      <c r="C2965" s="1" t="s">
        <v>1829</v>
      </c>
      <c r="D2965" s="1" t="s">
        <v>1828</v>
      </c>
      <c r="E2965" s="1" t="s">
        <v>1829</v>
      </c>
      <c r="F2965" s="1" t="s">
        <v>1828</v>
      </c>
      <c r="G2965" s="1" t="s">
        <v>1830</v>
      </c>
      <c r="H2965" s="1" t="s">
        <v>1828</v>
      </c>
      <c r="I2965" s="1" t="s">
        <v>9991</v>
      </c>
      <c r="J2965" s="1" t="s">
        <v>4226</v>
      </c>
      <c r="K2965" s="1">
        <v>11</v>
      </c>
      <c r="L2965" s="1" t="s">
        <v>4227</v>
      </c>
      <c r="M2965" s="1">
        <v>14</v>
      </c>
      <c r="N2965" s="1" t="s">
        <v>4220</v>
      </c>
    </row>
    <row r="2966" spans="1:14" x14ac:dyDescent="0.15">
      <c r="A2966" s="1">
        <v>470</v>
      </c>
      <c r="B2966" s="1" t="s">
        <v>1828</v>
      </c>
      <c r="C2966" s="1" t="s">
        <v>1829</v>
      </c>
      <c r="D2966" s="1" t="s">
        <v>1828</v>
      </c>
      <c r="E2966" s="1" t="s">
        <v>1829</v>
      </c>
      <c r="F2966" s="1" t="s">
        <v>1828</v>
      </c>
      <c r="G2966" s="1" t="s">
        <v>1830</v>
      </c>
      <c r="H2966" s="1" t="s">
        <v>1828</v>
      </c>
      <c r="I2966" s="1" t="s">
        <v>7858</v>
      </c>
      <c r="J2966" s="1" t="s">
        <v>4619</v>
      </c>
      <c r="K2966" s="1">
        <v>11</v>
      </c>
      <c r="L2966" s="1" t="s">
        <v>4227</v>
      </c>
      <c r="M2966" s="1">
        <v>14</v>
      </c>
      <c r="N2966" s="1" t="s">
        <v>4220</v>
      </c>
    </row>
    <row r="2967" spans="1:14" x14ac:dyDescent="0.15">
      <c r="A2967" s="1">
        <v>470</v>
      </c>
      <c r="B2967" s="1" t="s">
        <v>1828</v>
      </c>
      <c r="C2967" s="1" t="s">
        <v>1829</v>
      </c>
      <c r="D2967" s="1" t="s">
        <v>1828</v>
      </c>
      <c r="E2967" s="1" t="s">
        <v>1829</v>
      </c>
      <c r="F2967" s="1" t="s">
        <v>1828</v>
      </c>
      <c r="G2967" s="1" t="s">
        <v>1830</v>
      </c>
      <c r="H2967" s="1" t="s">
        <v>1828</v>
      </c>
      <c r="I2967" s="1" t="s">
        <v>9995</v>
      </c>
      <c r="J2967" s="1" t="s">
        <v>1831</v>
      </c>
      <c r="K2967" s="1">
        <v>11</v>
      </c>
      <c r="L2967" s="1" t="s">
        <v>4227</v>
      </c>
      <c r="M2967" s="1">
        <v>14</v>
      </c>
      <c r="N2967" s="1" t="s">
        <v>4220</v>
      </c>
    </row>
    <row r="2968" spans="1:14" x14ac:dyDescent="0.15">
      <c r="A2968" s="1">
        <v>470</v>
      </c>
      <c r="B2968" s="1" t="s">
        <v>1828</v>
      </c>
      <c r="C2968" s="1" t="s">
        <v>1829</v>
      </c>
      <c r="D2968" s="1" t="s">
        <v>1828</v>
      </c>
      <c r="E2968" s="1" t="s">
        <v>1829</v>
      </c>
      <c r="F2968" s="1" t="s">
        <v>1828</v>
      </c>
      <c r="G2968" s="1" t="s">
        <v>1830</v>
      </c>
      <c r="H2968" s="1" t="s">
        <v>1828</v>
      </c>
      <c r="I2968" s="1" t="s">
        <v>7680</v>
      </c>
      <c r="J2968" s="1" t="s">
        <v>4396</v>
      </c>
      <c r="K2968" s="1">
        <v>11</v>
      </c>
      <c r="L2968" s="1" t="s">
        <v>4227</v>
      </c>
      <c r="M2968" s="1">
        <v>14</v>
      </c>
      <c r="N2968" s="1" t="s">
        <v>4381</v>
      </c>
    </row>
    <row r="2969" spans="1:14" x14ac:dyDescent="0.15">
      <c r="A2969" s="1">
        <v>470</v>
      </c>
      <c r="B2969" s="1" t="s">
        <v>1828</v>
      </c>
      <c r="C2969" s="1" t="s">
        <v>1829</v>
      </c>
      <c r="D2969" s="1" t="s">
        <v>1828</v>
      </c>
      <c r="E2969" s="1" t="s">
        <v>1829</v>
      </c>
      <c r="F2969" s="1" t="s">
        <v>1828</v>
      </c>
      <c r="G2969" s="1" t="s">
        <v>1830</v>
      </c>
      <c r="H2969" s="1" t="s">
        <v>1828</v>
      </c>
      <c r="I2969" s="1" t="s">
        <v>7293</v>
      </c>
      <c r="J2969" s="1" t="s">
        <v>1832</v>
      </c>
      <c r="K2969" s="1">
        <v>11</v>
      </c>
      <c r="L2969" s="1" t="s">
        <v>4227</v>
      </c>
      <c r="M2969" s="1">
        <v>14</v>
      </c>
      <c r="N2969" s="1" t="s">
        <v>4220</v>
      </c>
    </row>
    <row r="2970" spans="1:14" x14ac:dyDescent="0.15">
      <c r="A2970" s="1">
        <v>470</v>
      </c>
      <c r="B2970" s="1" t="s">
        <v>1828</v>
      </c>
      <c r="C2970" s="1" t="s">
        <v>1829</v>
      </c>
      <c r="D2970" s="1" t="s">
        <v>1828</v>
      </c>
      <c r="E2970" s="1" t="s">
        <v>1829</v>
      </c>
      <c r="F2970" s="1" t="s">
        <v>1828</v>
      </c>
      <c r="G2970" s="1" t="s">
        <v>1830</v>
      </c>
      <c r="H2970" s="1" t="s">
        <v>1828</v>
      </c>
      <c r="I2970" s="1" t="s">
        <v>7299</v>
      </c>
      <c r="J2970" s="1" t="s">
        <v>1833</v>
      </c>
      <c r="K2970" s="1">
        <v>11</v>
      </c>
      <c r="L2970" s="1" t="s">
        <v>4227</v>
      </c>
      <c r="M2970" s="1">
        <v>14</v>
      </c>
      <c r="N2970" s="1" t="s">
        <v>4220</v>
      </c>
    </row>
    <row r="2971" spans="1:14" x14ac:dyDescent="0.15">
      <c r="A2971" s="1">
        <v>470</v>
      </c>
      <c r="B2971" s="1" t="s">
        <v>1828</v>
      </c>
      <c r="C2971" s="1" t="s">
        <v>1829</v>
      </c>
      <c r="D2971" s="1" t="s">
        <v>1828</v>
      </c>
      <c r="E2971" s="1" t="s">
        <v>1829</v>
      </c>
      <c r="F2971" s="1" t="s">
        <v>1828</v>
      </c>
      <c r="G2971" s="1" t="s">
        <v>1830</v>
      </c>
      <c r="H2971" s="1" t="s">
        <v>1828</v>
      </c>
      <c r="I2971" s="1" t="s">
        <v>11827</v>
      </c>
      <c r="J2971" s="1" t="s">
        <v>4449</v>
      </c>
      <c r="K2971" s="1">
        <v>11</v>
      </c>
      <c r="L2971" s="1" t="s">
        <v>4227</v>
      </c>
      <c r="M2971" s="1">
        <v>14</v>
      </c>
      <c r="N2971" s="1" t="s">
        <v>4220</v>
      </c>
    </row>
    <row r="2972" spans="1:14" x14ac:dyDescent="0.15">
      <c r="A2972" s="1">
        <v>471</v>
      </c>
      <c r="B2972" s="1" t="s">
        <v>1834</v>
      </c>
      <c r="C2972" s="1" t="s">
        <v>1835</v>
      </c>
      <c r="D2972" s="1" t="s">
        <v>1834</v>
      </c>
      <c r="E2972" s="1" t="s">
        <v>1835</v>
      </c>
      <c r="F2972" s="1" t="s">
        <v>1834</v>
      </c>
      <c r="G2972" s="1" t="s">
        <v>1836</v>
      </c>
      <c r="H2972" s="1" t="s">
        <v>1834</v>
      </c>
      <c r="I2972" s="1" t="s">
        <v>7683</v>
      </c>
      <c r="J2972" s="1" t="s">
        <v>1837</v>
      </c>
      <c r="K2972" s="1">
        <v>11</v>
      </c>
      <c r="L2972" s="1" t="s">
        <v>4227</v>
      </c>
      <c r="M2972" s="1">
        <v>14</v>
      </c>
      <c r="N2972" s="1" t="s">
        <v>4220</v>
      </c>
    </row>
    <row r="2973" spans="1:14" x14ac:dyDescent="0.15">
      <c r="A2973" s="1">
        <v>471</v>
      </c>
      <c r="B2973" s="1" t="s">
        <v>1834</v>
      </c>
      <c r="C2973" s="1" t="s">
        <v>1835</v>
      </c>
      <c r="D2973" s="1" t="s">
        <v>1834</v>
      </c>
      <c r="E2973" s="1" t="s">
        <v>1835</v>
      </c>
      <c r="F2973" s="1" t="s">
        <v>1834</v>
      </c>
      <c r="G2973" s="1" t="s">
        <v>1836</v>
      </c>
      <c r="H2973" s="1" t="s">
        <v>1834</v>
      </c>
      <c r="I2973" s="1" t="s">
        <v>7293</v>
      </c>
      <c r="J2973" s="1" t="s">
        <v>1832</v>
      </c>
      <c r="K2973" s="1">
        <v>11</v>
      </c>
      <c r="L2973" s="1" t="s">
        <v>4227</v>
      </c>
      <c r="M2973" s="1">
        <v>14</v>
      </c>
      <c r="N2973" s="1" t="s">
        <v>4220</v>
      </c>
    </row>
    <row r="2974" spans="1:14" x14ac:dyDescent="0.15">
      <c r="A2974" s="1">
        <v>471</v>
      </c>
      <c r="B2974" s="1" t="s">
        <v>1834</v>
      </c>
      <c r="C2974" s="1" t="s">
        <v>1835</v>
      </c>
      <c r="D2974" s="1" t="s">
        <v>1834</v>
      </c>
      <c r="E2974" s="1" t="s">
        <v>1835</v>
      </c>
      <c r="F2974" s="1" t="s">
        <v>1834</v>
      </c>
      <c r="G2974" s="1" t="s">
        <v>1836</v>
      </c>
      <c r="H2974" s="1" t="s">
        <v>1834</v>
      </c>
      <c r="I2974" s="1" t="s">
        <v>7299</v>
      </c>
      <c r="J2974" s="1" t="s">
        <v>1833</v>
      </c>
      <c r="K2974" s="1">
        <v>11</v>
      </c>
      <c r="L2974" s="1" t="s">
        <v>4227</v>
      </c>
      <c r="M2974" s="1">
        <v>14</v>
      </c>
      <c r="N2974" s="1" t="s">
        <v>4220</v>
      </c>
    </row>
    <row r="2975" spans="1:14" x14ac:dyDescent="0.15">
      <c r="A2975" s="1">
        <v>471</v>
      </c>
      <c r="B2975" s="1" t="s">
        <v>1834</v>
      </c>
      <c r="C2975" s="1" t="s">
        <v>1835</v>
      </c>
      <c r="D2975" s="1" t="s">
        <v>1834</v>
      </c>
      <c r="E2975" s="1" t="s">
        <v>1835</v>
      </c>
      <c r="F2975" s="1" t="s">
        <v>1834</v>
      </c>
      <c r="G2975" s="1" t="s">
        <v>1836</v>
      </c>
      <c r="H2975" s="1" t="s">
        <v>1834</v>
      </c>
      <c r="I2975" s="1" t="s">
        <v>11827</v>
      </c>
      <c r="J2975" s="1" t="s">
        <v>4449</v>
      </c>
      <c r="K2975" s="1">
        <v>11</v>
      </c>
      <c r="L2975" s="1" t="s">
        <v>4227</v>
      </c>
      <c r="M2975" s="1">
        <v>14</v>
      </c>
      <c r="N2975" s="1" t="s">
        <v>4220</v>
      </c>
    </row>
    <row r="2976" spans="1:14" x14ac:dyDescent="0.15">
      <c r="A2976" s="1">
        <v>472</v>
      </c>
      <c r="B2976" s="1" t="s">
        <v>1838</v>
      </c>
      <c r="C2976" s="1" t="s">
        <v>1839</v>
      </c>
      <c r="D2976" s="1" t="s">
        <v>1838</v>
      </c>
      <c r="E2976" s="1" t="s">
        <v>1839</v>
      </c>
      <c r="F2976" s="1" t="s">
        <v>1838</v>
      </c>
      <c r="G2976" s="1" t="s">
        <v>1840</v>
      </c>
      <c r="H2976" s="1" t="s">
        <v>1838</v>
      </c>
      <c r="I2976" s="1" t="s">
        <v>9995</v>
      </c>
      <c r="J2976" s="1" t="s">
        <v>1831</v>
      </c>
      <c r="K2976" s="1">
        <v>11</v>
      </c>
      <c r="L2976" s="1" t="s">
        <v>4227</v>
      </c>
      <c r="M2976" s="1">
        <v>14</v>
      </c>
      <c r="N2976" s="1" t="s">
        <v>4220</v>
      </c>
    </row>
    <row r="2977" spans="1:14" x14ac:dyDescent="0.15">
      <c r="A2977" s="1">
        <v>472</v>
      </c>
      <c r="B2977" s="1" t="s">
        <v>1838</v>
      </c>
      <c r="C2977" s="1" t="s">
        <v>1841</v>
      </c>
      <c r="D2977" s="1" t="s">
        <v>1842</v>
      </c>
      <c r="E2977" s="1" t="s">
        <v>1841</v>
      </c>
      <c r="F2977" s="1" t="s">
        <v>1842</v>
      </c>
      <c r="G2977" s="1" t="s">
        <v>1843</v>
      </c>
      <c r="H2977" s="1" t="s">
        <v>1842</v>
      </c>
      <c r="I2977" s="1" t="s">
        <v>9995</v>
      </c>
      <c r="J2977" s="1" t="s">
        <v>1831</v>
      </c>
      <c r="K2977" s="1">
        <v>10</v>
      </c>
      <c r="L2977" s="1" t="s">
        <v>4380</v>
      </c>
      <c r="M2977" s="1">
        <v>9</v>
      </c>
      <c r="N2977" s="1" t="s">
        <v>4381</v>
      </c>
    </row>
    <row r="2978" spans="1:14" x14ac:dyDescent="0.15">
      <c r="A2978" s="1">
        <v>474</v>
      </c>
      <c r="B2978" s="1" t="s">
        <v>1844</v>
      </c>
      <c r="C2978" s="1" t="s">
        <v>1845</v>
      </c>
      <c r="D2978" s="1" t="s">
        <v>1844</v>
      </c>
      <c r="E2978" s="1" t="s">
        <v>1845</v>
      </c>
      <c r="F2978" s="1" t="s">
        <v>1844</v>
      </c>
      <c r="G2978" s="1" t="s">
        <v>1846</v>
      </c>
      <c r="H2978" s="1" t="s">
        <v>1844</v>
      </c>
      <c r="I2978" s="1" t="s">
        <v>7680</v>
      </c>
      <c r="J2978" s="1" t="s">
        <v>4396</v>
      </c>
      <c r="K2978" s="1">
        <v>11</v>
      </c>
      <c r="L2978" s="1" t="s">
        <v>4227</v>
      </c>
      <c r="M2978" s="1">
        <v>14</v>
      </c>
      <c r="N2978" s="1" t="s">
        <v>4220</v>
      </c>
    </row>
    <row r="2979" spans="1:14" x14ac:dyDescent="0.15">
      <c r="A2979" s="1">
        <v>475</v>
      </c>
      <c r="B2979" s="1" t="s">
        <v>1847</v>
      </c>
      <c r="C2979" s="1" t="s">
        <v>1848</v>
      </c>
      <c r="D2979" s="1" t="s">
        <v>1847</v>
      </c>
      <c r="E2979" s="1" t="s">
        <v>1848</v>
      </c>
      <c r="F2979" s="1" t="s">
        <v>1847</v>
      </c>
      <c r="G2979" s="1" t="s">
        <v>1849</v>
      </c>
      <c r="H2979" s="1" t="s">
        <v>1847</v>
      </c>
      <c r="I2979" s="1" t="s">
        <v>7680</v>
      </c>
      <c r="J2979" s="1" t="s">
        <v>4396</v>
      </c>
      <c r="K2979" s="1">
        <v>11</v>
      </c>
      <c r="L2979" s="1" t="s">
        <v>4227</v>
      </c>
      <c r="M2979" s="1">
        <v>14</v>
      </c>
      <c r="N2979" s="1" t="s">
        <v>4220</v>
      </c>
    </row>
    <row r="2980" spans="1:14" x14ac:dyDescent="0.15">
      <c r="A2980" s="1">
        <v>475</v>
      </c>
      <c r="B2980" s="1" t="s">
        <v>1847</v>
      </c>
      <c r="C2980" s="1" t="s">
        <v>1848</v>
      </c>
      <c r="D2980" s="1" t="s">
        <v>1847</v>
      </c>
      <c r="E2980" s="1" t="s">
        <v>1848</v>
      </c>
      <c r="F2980" s="1" t="s">
        <v>1847</v>
      </c>
      <c r="G2980" s="1" t="s">
        <v>1849</v>
      </c>
      <c r="H2980" s="1" t="s">
        <v>1847</v>
      </c>
      <c r="I2980" s="1" t="s">
        <v>7287</v>
      </c>
      <c r="J2980" s="1" t="s">
        <v>17688</v>
      </c>
      <c r="K2980" s="1">
        <v>11</v>
      </c>
      <c r="L2980" s="1" t="s">
        <v>4227</v>
      </c>
      <c r="M2980" s="1">
        <v>14</v>
      </c>
      <c r="N2980" s="1" t="s">
        <v>4220</v>
      </c>
    </row>
    <row r="2981" spans="1:14" x14ac:dyDescent="0.15">
      <c r="A2981" s="1">
        <v>476</v>
      </c>
      <c r="B2981" s="1" t="s">
        <v>1850</v>
      </c>
      <c r="C2981" s="1" t="s">
        <v>1851</v>
      </c>
      <c r="D2981" s="1" t="s">
        <v>1850</v>
      </c>
      <c r="E2981" s="1" t="s">
        <v>1851</v>
      </c>
      <c r="F2981" s="1" t="s">
        <v>1850</v>
      </c>
      <c r="G2981" s="1" t="s">
        <v>1852</v>
      </c>
      <c r="H2981" s="1" t="s">
        <v>1850</v>
      </c>
      <c r="I2981" s="1" t="s">
        <v>11682</v>
      </c>
      <c r="J2981" s="1" t="s">
        <v>3333</v>
      </c>
      <c r="K2981" s="1">
        <v>11</v>
      </c>
      <c r="L2981" s="1" t="s">
        <v>4227</v>
      </c>
      <c r="M2981" s="1">
        <v>14</v>
      </c>
      <c r="N2981" s="1" t="s">
        <v>4220</v>
      </c>
    </row>
    <row r="2982" spans="1:14" x14ac:dyDescent="0.15">
      <c r="A2982" s="1">
        <v>476</v>
      </c>
      <c r="B2982" s="1" t="s">
        <v>1850</v>
      </c>
      <c r="C2982" s="1" t="s">
        <v>1851</v>
      </c>
      <c r="D2982" s="1" t="s">
        <v>1850</v>
      </c>
      <c r="E2982" s="1" t="s">
        <v>1851</v>
      </c>
      <c r="F2982" s="1" t="s">
        <v>1850</v>
      </c>
      <c r="G2982" s="1" t="s">
        <v>1852</v>
      </c>
      <c r="H2982" s="1" t="s">
        <v>1850</v>
      </c>
      <c r="I2982" s="1" t="s">
        <v>9994</v>
      </c>
      <c r="J2982" s="1" t="s">
        <v>4471</v>
      </c>
      <c r="K2982" s="1">
        <v>11</v>
      </c>
      <c r="L2982" s="1" t="s">
        <v>4227</v>
      </c>
      <c r="M2982" s="1">
        <v>14</v>
      </c>
      <c r="N2982" s="1" t="s">
        <v>4220</v>
      </c>
    </row>
    <row r="2983" spans="1:14" x14ac:dyDescent="0.15">
      <c r="A2983" s="1">
        <v>476</v>
      </c>
      <c r="B2983" s="1" t="s">
        <v>1850</v>
      </c>
      <c r="C2983" s="1" t="s">
        <v>1851</v>
      </c>
      <c r="D2983" s="1" t="s">
        <v>1850</v>
      </c>
      <c r="E2983" s="1" t="s">
        <v>1851</v>
      </c>
      <c r="F2983" s="1" t="s">
        <v>1850</v>
      </c>
      <c r="G2983" s="1" t="s">
        <v>1852</v>
      </c>
      <c r="H2983" s="1" t="s">
        <v>1850</v>
      </c>
      <c r="I2983" s="1" t="s">
        <v>9995</v>
      </c>
      <c r="J2983" s="1" t="s">
        <v>1831</v>
      </c>
      <c r="K2983" s="1">
        <v>11</v>
      </c>
      <c r="L2983" s="1" t="s">
        <v>4227</v>
      </c>
      <c r="M2983" s="1">
        <v>14</v>
      </c>
      <c r="N2983" s="1" t="s">
        <v>4220</v>
      </c>
    </row>
    <row r="2984" spans="1:14" x14ac:dyDescent="0.15">
      <c r="A2984" s="1">
        <v>476</v>
      </c>
      <c r="B2984" s="1" t="s">
        <v>1850</v>
      </c>
      <c r="C2984" s="1" t="s">
        <v>1851</v>
      </c>
      <c r="D2984" s="1" t="s">
        <v>1850</v>
      </c>
      <c r="E2984" s="1" t="s">
        <v>1851</v>
      </c>
      <c r="F2984" s="1" t="s">
        <v>1850</v>
      </c>
      <c r="G2984" s="1" t="s">
        <v>1852</v>
      </c>
      <c r="H2984" s="1" t="s">
        <v>1850</v>
      </c>
      <c r="I2984" s="1" t="s">
        <v>7680</v>
      </c>
      <c r="J2984" s="1" t="s">
        <v>4396</v>
      </c>
      <c r="K2984" s="1">
        <v>11</v>
      </c>
      <c r="L2984" s="1" t="s">
        <v>4227</v>
      </c>
      <c r="M2984" s="1">
        <v>14</v>
      </c>
      <c r="N2984" s="1" t="s">
        <v>4220</v>
      </c>
    </row>
    <row r="2985" spans="1:14" x14ac:dyDescent="0.15">
      <c r="A2985" s="1">
        <v>480</v>
      </c>
      <c r="B2985" s="1" t="s">
        <v>1853</v>
      </c>
      <c r="C2985" s="1" t="s">
        <v>1854</v>
      </c>
      <c r="D2985" s="1" t="s">
        <v>1853</v>
      </c>
      <c r="E2985" s="1" t="s">
        <v>1854</v>
      </c>
      <c r="F2985" s="1" t="s">
        <v>1853</v>
      </c>
      <c r="G2985" s="1" t="s">
        <v>1855</v>
      </c>
      <c r="H2985" s="1" t="s">
        <v>1853</v>
      </c>
      <c r="I2985" s="1" t="s">
        <v>10996</v>
      </c>
      <c r="J2985" s="1" t="s">
        <v>4221</v>
      </c>
      <c r="K2985" s="1">
        <v>11</v>
      </c>
      <c r="L2985" s="1" t="s">
        <v>4227</v>
      </c>
      <c r="M2985" s="1">
        <v>14</v>
      </c>
      <c r="N2985" s="1" t="s">
        <v>4220</v>
      </c>
    </row>
    <row r="2986" spans="1:14" x14ac:dyDescent="0.15">
      <c r="A2986" s="1">
        <v>481</v>
      </c>
      <c r="B2986" s="1" t="s">
        <v>1856</v>
      </c>
      <c r="C2986" s="1" t="s">
        <v>1857</v>
      </c>
      <c r="D2986" s="1" t="s">
        <v>1856</v>
      </c>
      <c r="E2986" s="1" t="s">
        <v>1857</v>
      </c>
      <c r="F2986" s="1" t="s">
        <v>1856</v>
      </c>
      <c r="G2986" s="1" t="s">
        <v>1858</v>
      </c>
      <c r="H2986" s="1" t="s">
        <v>1856</v>
      </c>
      <c r="I2986" s="1" t="s">
        <v>7669</v>
      </c>
      <c r="J2986" s="1" t="s">
        <v>5256</v>
      </c>
      <c r="K2986" s="1">
        <v>5</v>
      </c>
      <c r="L2986" s="1" t="s">
        <v>4206</v>
      </c>
      <c r="M2986" s="1">
        <v>6</v>
      </c>
      <c r="N2986" s="1" t="s">
        <v>4207</v>
      </c>
    </row>
    <row r="2987" spans="1:14" x14ac:dyDescent="0.15">
      <c r="A2987" s="1">
        <v>482</v>
      </c>
      <c r="B2987" s="1" t="s">
        <v>1859</v>
      </c>
      <c r="C2987" s="1" t="s">
        <v>1860</v>
      </c>
      <c r="D2987" s="1" t="s">
        <v>1859</v>
      </c>
      <c r="E2987" s="1" t="s">
        <v>1860</v>
      </c>
      <c r="F2987" s="1" t="s">
        <v>1859</v>
      </c>
      <c r="G2987" s="1" t="s">
        <v>1861</v>
      </c>
      <c r="H2987" s="1" t="s">
        <v>1859</v>
      </c>
      <c r="I2987" s="1" t="s">
        <v>12859</v>
      </c>
      <c r="J2987" s="1" t="s">
        <v>4574</v>
      </c>
      <c r="K2987" s="1">
        <v>5</v>
      </c>
      <c r="L2987" s="1" t="s">
        <v>4206</v>
      </c>
      <c r="M2987" s="1">
        <v>6</v>
      </c>
      <c r="N2987" s="1" t="s">
        <v>4207</v>
      </c>
    </row>
    <row r="2988" spans="1:14" x14ac:dyDescent="0.15">
      <c r="A2988" s="1">
        <v>482</v>
      </c>
      <c r="B2988" s="1" t="s">
        <v>1859</v>
      </c>
      <c r="C2988" s="1" t="s">
        <v>1860</v>
      </c>
      <c r="D2988" s="1" t="s">
        <v>1859</v>
      </c>
      <c r="E2988" s="1" t="s">
        <v>1860</v>
      </c>
      <c r="F2988" s="1" t="s">
        <v>1859</v>
      </c>
      <c r="G2988" s="1" t="s">
        <v>1861</v>
      </c>
      <c r="H2988" s="1" t="s">
        <v>1859</v>
      </c>
      <c r="I2988" s="1" t="s">
        <v>12871</v>
      </c>
      <c r="J2988" s="1" t="s">
        <v>12872</v>
      </c>
      <c r="K2988" s="1">
        <v>5</v>
      </c>
      <c r="L2988" s="1" t="s">
        <v>4206</v>
      </c>
      <c r="M2988" s="1">
        <v>6</v>
      </c>
      <c r="N2988" s="1" t="s">
        <v>4207</v>
      </c>
    </row>
    <row r="2989" spans="1:14" x14ac:dyDescent="0.15">
      <c r="A2989" s="1">
        <v>482</v>
      </c>
      <c r="B2989" s="1" t="s">
        <v>1859</v>
      </c>
      <c r="C2989" s="1" t="s">
        <v>1860</v>
      </c>
      <c r="D2989" s="1" t="s">
        <v>1859</v>
      </c>
      <c r="E2989" s="1" t="s">
        <v>1860</v>
      </c>
      <c r="F2989" s="1" t="s">
        <v>1859</v>
      </c>
      <c r="G2989" s="1" t="s">
        <v>1862</v>
      </c>
      <c r="H2989" s="1" t="s">
        <v>1863</v>
      </c>
      <c r="I2989" s="1" t="s">
        <v>12859</v>
      </c>
      <c r="J2989" s="1" t="s">
        <v>4574</v>
      </c>
      <c r="K2989" s="1">
        <v>5</v>
      </c>
      <c r="L2989" s="1" t="s">
        <v>4206</v>
      </c>
      <c r="M2989" s="1">
        <v>6</v>
      </c>
      <c r="N2989" s="1" t="s">
        <v>4207</v>
      </c>
    </row>
    <row r="2990" spans="1:14" x14ac:dyDescent="0.15">
      <c r="A2990" s="1">
        <v>482</v>
      </c>
      <c r="B2990" s="1" t="s">
        <v>1859</v>
      </c>
      <c r="C2990" s="1" t="s">
        <v>1860</v>
      </c>
      <c r="D2990" s="1" t="s">
        <v>1859</v>
      </c>
      <c r="E2990" s="1" t="s">
        <v>1860</v>
      </c>
      <c r="F2990" s="1" t="s">
        <v>1859</v>
      </c>
      <c r="G2990" s="1" t="s">
        <v>1862</v>
      </c>
      <c r="H2990" s="1" t="s">
        <v>1863</v>
      </c>
      <c r="I2990" s="1" t="s">
        <v>12871</v>
      </c>
      <c r="J2990" s="1" t="s">
        <v>12872</v>
      </c>
      <c r="K2990" s="1">
        <v>5</v>
      </c>
      <c r="L2990" s="1" t="s">
        <v>4206</v>
      </c>
      <c r="M2990" s="1">
        <v>6</v>
      </c>
      <c r="N2990" s="1" t="s">
        <v>4207</v>
      </c>
    </row>
    <row r="2991" spans="1:14" x14ac:dyDescent="0.15">
      <c r="A2991" s="1">
        <v>482</v>
      </c>
      <c r="B2991" s="1" t="s">
        <v>1859</v>
      </c>
      <c r="C2991" s="1" t="s">
        <v>1860</v>
      </c>
      <c r="D2991" s="1" t="s">
        <v>1859</v>
      </c>
      <c r="E2991" s="1" t="s">
        <v>1860</v>
      </c>
      <c r="F2991" s="1" t="s">
        <v>1859</v>
      </c>
      <c r="G2991" s="1" t="s">
        <v>1864</v>
      </c>
      <c r="H2991" s="1" t="s">
        <v>1865</v>
      </c>
      <c r="I2991" s="1" t="s">
        <v>12859</v>
      </c>
      <c r="J2991" s="1" t="s">
        <v>4574</v>
      </c>
      <c r="K2991" s="1">
        <v>5</v>
      </c>
      <c r="L2991" s="1" t="s">
        <v>4206</v>
      </c>
      <c r="M2991" s="1">
        <v>6</v>
      </c>
      <c r="N2991" s="1" t="s">
        <v>4207</v>
      </c>
    </row>
    <row r="2992" spans="1:14" x14ac:dyDescent="0.15">
      <c r="A2992" s="1">
        <v>482</v>
      </c>
      <c r="B2992" s="1" t="s">
        <v>1859</v>
      </c>
      <c r="C2992" s="1" t="s">
        <v>1860</v>
      </c>
      <c r="D2992" s="1" t="s">
        <v>1859</v>
      </c>
      <c r="E2992" s="1" t="s">
        <v>1860</v>
      </c>
      <c r="F2992" s="1" t="s">
        <v>1859</v>
      </c>
      <c r="G2992" s="1" t="s">
        <v>1864</v>
      </c>
      <c r="H2992" s="1" t="s">
        <v>1865</v>
      </c>
      <c r="I2992" s="1" t="s">
        <v>12871</v>
      </c>
      <c r="J2992" s="1" t="s">
        <v>12872</v>
      </c>
      <c r="K2992" s="1">
        <v>5</v>
      </c>
      <c r="L2992" s="1" t="s">
        <v>4206</v>
      </c>
      <c r="M2992" s="1">
        <v>6</v>
      </c>
      <c r="N2992" s="1" t="s">
        <v>4207</v>
      </c>
    </row>
    <row r="2993" spans="1:14" x14ac:dyDescent="0.15">
      <c r="A2993" s="1">
        <v>482</v>
      </c>
      <c r="B2993" s="1" t="s">
        <v>1859</v>
      </c>
      <c r="C2993" s="1" t="s">
        <v>1860</v>
      </c>
      <c r="D2993" s="1" t="s">
        <v>1859</v>
      </c>
      <c r="E2993" s="1" t="s">
        <v>1860</v>
      </c>
      <c r="F2993" s="1" t="s">
        <v>1859</v>
      </c>
      <c r="G2993" s="1" t="s">
        <v>1864</v>
      </c>
      <c r="H2993" s="1" t="s">
        <v>1865</v>
      </c>
      <c r="I2993" s="1" t="s">
        <v>7290</v>
      </c>
      <c r="J2993" s="1" t="s">
        <v>1866</v>
      </c>
      <c r="K2993" s="1">
        <v>5</v>
      </c>
      <c r="L2993" s="1" t="s">
        <v>4206</v>
      </c>
      <c r="M2993" s="1">
        <v>6</v>
      </c>
      <c r="N2993" s="1" t="s">
        <v>4207</v>
      </c>
    </row>
    <row r="2994" spans="1:14" x14ac:dyDescent="0.15">
      <c r="A2994" s="1">
        <v>483</v>
      </c>
      <c r="B2994" s="1" t="s">
        <v>1867</v>
      </c>
      <c r="C2994" s="1" t="s">
        <v>1868</v>
      </c>
      <c r="D2994" s="1" t="s">
        <v>1867</v>
      </c>
      <c r="E2994" s="1" t="s">
        <v>1868</v>
      </c>
      <c r="F2994" s="1" t="s">
        <v>1867</v>
      </c>
      <c r="G2994" s="1" t="s">
        <v>1869</v>
      </c>
      <c r="H2994" s="1" t="s">
        <v>1867</v>
      </c>
      <c r="I2994" s="1" t="s">
        <v>7680</v>
      </c>
      <c r="J2994" s="1" t="s">
        <v>4396</v>
      </c>
      <c r="K2994" s="1">
        <v>10</v>
      </c>
      <c r="L2994" s="1" t="s">
        <v>4380</v>
      </c>
      <c r="M2994" s="1">
        <v>9</v>
      </c>
      <c r="N2994" s="1" t="s">
        <v>4381</v>
      </c>
    </row>
    <row r="2995" spans="1:14" x14ac:dyDescent="0.15">
      <c r="A2995" s="1">
        <v>483</v>
      </c>
      <c r="B2995" s="1" t="s">
        <v>1867</v>
      </c>
      <c r="C2995" s="1" t="s">
        <v>1868</v>
      </c>
      <c r="D2995" s="1" t="s">
        <v>1867</v>
      </c>
      <c r="E2995" s="1" t="s">
        <v>1868</v>
      </c>
      <c r="F2995" s="1" t="s">
        <v>1867</v>
      </c>
      <c r="G2995" s="1" t="s">
        <v>1869</v>
      </c>
      <c r="H2995" s="1" t="s">
        <v>1867</v>
      </c>
      <c r="I2995" s="1" t="s">
        <v>7698</v>
      </c>
      <c r="J2995" s="1" t="s">
        <v>6740</v>
      </c>
      <c r="K2995" s="1">
        <v>10</v>
      </c>
      <c r="L2995" s="1" t="s">
        <v>4380</v>
      </c>
      <c r="M2995" s="1">
        <v>9</v>
      </c>
      <c r="N2995" s="1" t="s">
        <v>4381</v>
      </c>
    </row>
    <row r="2996" spans="1:14" x14ac:dyDescent="0.15">
      <c r="A2996" s="1">
        <v>484</v>
      </c>
      <c r="B2996" s="1" t="s">
        <v>1870</v>
      </c>
      <c r="C2996" s="1" t="s">
        <v>1871</v>
      </c>
      <c r="D2996" s="1" t="s">
        <v>1870</v>
      </c>
      <c r="E2996" s="1" t="s">
        <v>1871</v>
      </c>
      <c r="F2996" s="1" t="s">
        <v>1870</v>
      </c>
      <c r="G2996" s="1" t="s">
        <v>1872</v>
      </c>
      <c r="H2996" s="1" t="s">
        <v>1870</v>
      </c>
      <c r="I2996" s="1" t="s">
        <v>9995</v>
      </c>
      <c r="J2996" s="1" t="s">
        <v>1831</v>
      </c>
      <c r="K2996" s="1">
        <v>11</v>
      </c>
      <c r="L2996" s="1" t="s">
        <v>4227</v>
      </c>
      <c r="M2996" s="1">
        <v>14</v>
      </c>
      <c r="N2996" s="1" t="s">
        <v>4220</v>
      </c>
    </row>
    <row r="2997" spans="1:14" x14ac:dyDescent="0.15">
      <c r="A2997" s="1">
        <v>484</v>
      </c>
      <c r="B2997" s="1" t="s">
        <v>1870</v>
      </c>
      <c r="C2997" s="1" t="s">
        <v>1871</v>
      </c>
      <c r="D2997" s="1" t="s">
        <v>1870</v>
      </c>
      <c r="E2997" s="1" t="s">
        <v>1871</v>
      </c>
      <c r="F2997" s="1" t="s">
        <v>1870</v>
      </c>
      <c r="G2997" s="1" t="s">
        <v>1872</v>
      </c>
      <c r="H2997" s="1" t="s">
        <v>1870</v>
      </c>
      <c r="I2997" s="1" t="s">
        <v>7680</v>
      </c>
      <c r="J2997" s="1" t="s">
        <v>4396</v>
      </c>
      <c r="K2997" s="1">
        <v>11</v>
      </c>
      <c r="L2997" s="1" t="s">
        <v>4227</v>
      </c>
      <c r="M2997" s="1">
        <v>14</v>
      </c>
      <c r="N2997" s="1" t="s">
        <v>4220</v>
      </c>
    </row>
    <row r="2998" spans="1:14" x14ac:dyDescent="0.15">
      <c r="A2998" s="1">
        <v>484</v>
      </c>
      <c r="B2998" s="1" t="s">
        <v>1870</v>
      </c>
      <c r="C2998" s="1" t="s">
        <v>1871</v>
      </c>
      <c r="D2998" s="1" t="s">
        <v>1870</v>
      </c>
      <c r="E2998" s="1" t="s">
        <v>1871</v>
      </c>
      <c r="F2998" s="1" t="s">
        <v>1870</v>
      </c>
      <c r="G2998" s="1" t="s">
        <v>1872</v>
      </c>
      <c r="H2998" s="1" t="s">
        <v>1870</v>
      </c>
      <c r="I2998" s="1" t="s">
        <v>11827</v>
      </c>
      <c r="J2998" s="1" t="s">
        <v>4449</v>
      </c>
      <c r="K2998" s="1">
        <v>11</v>
      </c>
      <c r="L2998" s="1" t="s">
        <v>4227</v>
      </c>
      <c r="M2998" s="1">
        <v>14</v>
      </c>
      <c r="N2998" s="1" t="s">
        <v>4220</v>
      </c>
    </row>
    <row r="2999" spans="1:14" x14ac:dyDescent="0.15">
      <c r="A2999" s="1">
        <v>485</v>
      </c>
      <c r="B2999" s="1" t="s">
        <v>1873</v>
      </c>
      <c r="C2999" s="1" t="s">
        <v>1874</v>
      </c>
      <c r="D2999" s="1" t="s">
        <v>1873</v>
      </c>
      <c r="E2999" s="1" t="s">
        <v>1874</v>
      </c>
      <c r="F2999" s="1" t="s">
        <v>1873</v>
      </c>
      <c r="G2999" s="1" t="s">
        <v>1875</v>
      </c>
      <c r="H2999" s="1" t="s">
        <v>1873</v>
      </c>
      <c r="I2999" s="1" t="s">
        <v>11879</v>
      </c>
      <c r="J2999" s="1" t="s">
        <v>4278</v>
      </c>
      <c r="K2999" s="1">
        <v>11</v>
      </c>
      <c r="L2999" s="1" t="s">
        <v>4227</v>
      </c>
      <c r="M2999" s="1">
        <v>14</v>
      </c>
      <c r="N2999" s="1" t="s">
        <v>4220</v>
      </c>
    </row>
    <row r="3000" spans="1:14" x14ac:dyDescent="0.15">
      <c r="A3000" s="1">
        <v>485</v>
      </c>
      <c r="B3000" s="1" t="s">
        <v>1873</v>
      </c>
      <c r="C3000" s="1" t="s">
        <v>1876</v>
      </c>
      <c r="D3000" s="1" t="s">
        <v>1877</v>
      </c>
      <c r="E3000" s="1" t="s">
        <v>1876</v>
      </c>
      <c r="F3000" s="1" t="s">
        <v>1877</v>
      </c>
      <c r="G3000" s="1" t="s">
        <v>1878</v>
      </c>
      <c r="H3000" s="1" t="s">
        <v>1877</v>
      </c>
      <c r="I3000" s="1" t="s">
        <v>7680</v>
      </c>
      <c r="J3000" s="1" t="s">
        <v>4396</v>
      </c>
      <c r="K3000" s="1">
        <v>11</v>
      </c>
      <c r="L3000" s="1" t="s">
        <v>4227</v>
      </c>
      <c r="M3000" s="1">
        <v>14</v>
      </c>
      <c r="N3000" s="1" t="s">
        <v>4220</v>
      </c>
    </row>
    <row r="3001" spans="1:14" x14ac:dyDescent="0.15">
      <c r="A3001" s="1">
        <v>485</v>
      </c>
      <c r="B3001" s="1" t="s">
        <v>1873</v>
      </c>
      <c r="C3001" s="1" t="s">
        <v>1876</v>
      </c>
      <c r="D3001" s="1" t="s">
        <v>1877</v>
      </c>
      <c r="E3001" s="1" t="s">
        <v>1876</v>
      </c>
      <c r="F3001" s="1" t="s">
        <v>1877</v>
      </c>
      <c r="G3001" s="1" t="s">
        <v>1878</v>
      </c>
      <c r="H3001" s="1" t="s">
        <v>1877</v>
      </c>
      <c r="I3001" s="1" t="s">
        <v>11827</v>
      </c>
      <c r="J3001" s="1" t="s">
        <v>4449</v>
      </c>
      <c r="K3001" s="1">
        <v>11</v>
      </c>
      <c r="L3001" s="1" t="s">
        <v>4227</v>
      </c>
      <c r="M3001" s="1">
        <v>14</v>
      </c>
      <c r="N3001" s="1" t="s">
        <v>4220</v>
      </c>
    </row>
    <row r="3002" spans="1:14" x14ac:dyDescent="0.15">
      <c r="A3002" s="1">
        <v>485</v>
      </c>
      <c r="B3002" s="1" t="s">
        <v>1873</v>
      </c>
      <c r="C3002" s="1" t="s">
        <v>1876</v>
      </c>
      <c r="D3002" s="1" t="s">
        <v>1877</v>
      </c>
      <c r="E3002" s="1" t="s">
        <v>1876</v>
      </c>
      <c r="F3002" s="1" t="s">
        <v>1877</v>
      </c>
      <c r="G3002" s="1" t="s">
        <v>1879</v>
      </c>
      <c r="H3002" s="1" t="s">
        <v>1880</v>
      </c>
      <c r="I3002" s="1" t="s">
        <v>7680</v>
      </c>
      <c r="J3002" s="1" t="s">
        <v>4396</v>
      </c>
      <c r="K3002" s="1">
        <v>1</v>
      </c>
      <c r="L3002" s="1" t="s">
        <v>4259</v>
      </c>
      <c r="M3002" s="1">
        <v>14</v>
      </c>
      <c r="N3002" s="1" t="s">
        <v>4220</v>
      </c>
    </row>
    <row r="3003" spans="1:14" x14ac:dyDescent="0.15">
      <c r="A3003" s="1">
        <v>485</v>
      </c>
      <c r="B3003" s="1" t="s">
        <v>1873</v>
      </c>
      <c r="C3003" s="1" t="s">
        <v>1876</v>
      </c>
      <c r="D3003" s="1" t="s">
        <v>1877</v>
      </c>
      <c r="E3003" s="1" t="s">
        <v>1876</v>
      </c>
      <c r="F3003" s="1" t="s">
        <v>1877</v>
      </c>
      <c r="G3003" s="1" t="s">
        <v>1879</v>
      </c>
      <c r="H3003" s="1" t="s">
        <v>1880</v>
      </c>
      <c r="I3003" s="1" t="s">
        <v>11827</v>
      </c>
      <c r="J3003" s="1" t="s">
        <v>4449</v>
      </c>
      <c r="K3003" s="1">
        <v>1</v>
      </c>
      <c r="L3003" s="1" t="s">
        <v>4259</v>
      </c>
      <c r="M3003" s="1">
        <v>14</v>
      </c>
      <c r="N3003" s="1" t="s">
        <v>4220</v>
      </c>
    </row>
    <row r="3004" spans="1:14" x14ac:dyDescent="0.15">
      <c r="A3004" s="1">
        <v>485</v>
      </c>
      <c r="B3004" s="1" t="s">
        <v>1873</v>
      </c>
      <c r="C3004" s="1" t="s">
        <v>1876</v>
      </c>
      <c r="D3004" s="1" t="s">
        <v>1877</v>
      </c>
      <c r="E3004" s="1" t="s">
        <v>1876</v>
      </c>
      <c r="F3004" s="1" t="s">
        <v>1877</v>
      </c>
      <c r="G3004" s="1" t="s">
        <v>1881</v>
      </c>
      <c r="H3004" s="1" t="s">
        <v>1882</v>
      </c>
      <c r="I3004" s="1" t="s">
        <v>7680</v>
      </c>
      <c r="J3004" s="1" t="s">
        <v>4396</v>
      </c>
      <c r="K3004" s="1">
        <v>11</v>
      </c>
      <c r="L3004" s="1" t="s">
        <v>4227</v>
      </c>
      <c r="M3004" s="1">
        <v>14</v>
      </c>
      <c r="N3004" s="1" t="s">
        <v>4220</v>
      </c>
    </row>
    <row r="3005" spans="1:14" x14ac:dyDescent="0.15">
      <c r="A3005" s="1">
        <v>485</v>
      </c>
      <c r="B3005" s="1" t="s">
        <v>1873</v>
      </c>
      <c r="C3005" s="1" t="s">
        <v>1876</v>
      </c>
      <c r="D3005" s="1" t="s">
        <v>1877</v>
      </c>
      <c r="E3005" s="1" t="s">
        <v>1876</v>
      </c>
      <c r="F3005" s="1" t="s">
        <v>1877</v>
      </c>
      <c r="G3005" s="1" t="s">
        <v>1881</v>
      </c>
      <c r="H3005" s="1" t="s">
        <v>1882</v>
      </c>
      <c r="I3005" s="1" t="s">
        <v>11827</v>
      </c>
      <c r="J3005" s="1" t="s">
        <v>4449</v>
      </c>
      <c r="K3005" s="1">
        <v>11</v>
      </c>
      <c r="L3005" s="1" t="s">
        <v>4227</v>
      </c>
      <c r="M3005" s="1">
        <v>14</v>
      </c>
      <c r="N3005" s="1" t="s">
        <v>4220</v>
      </c>
    </row>
    <row r="3006" spans="1:14" x14ac:dyDescent="0.15">
      <c r="A3006" s="1">
        <v>485</v>
      </c>
      <c r="B3006" s="1" t="s">
        <v>1873</v>
      </c>
      <c r="C3006" s="1" t="s">
        <v>1876</v>
      </c>
      <c r="D3006" s="1" t="s">
        <v>1877</v>
      </c>
      <c r="E3006" s="1" t="s">
        <v>1876</v>
      </c>
      <c r="F3006" s="1" t="s">
        <v>1877</v>
      </c>
      <c r="G3006" s="1" t="s">
        <v>1883</v>
      </c>
      <c r="H3006" s="1" t="s">
        <v>1884</v>
      </c>
      <c r="I3006" s="1" t="s">
        <v>7680</v>
      </c>
      <c r="J3006" s="1" t="s">
        <v>4396</v>
      </c>
      <c r="K3006" s="1">
        <v>11</v>
      </c>
      <c r="L3006" s="1" t="s">
        <v>4227</v>
      </c>
      <c r="M3006" s="1">
        <v>14</v>
      </c>
      <c r="N3006" s="1" t="s">
        <v>4220</v>
      </c>
    </row>
    <row r="3007" spans="1:14" x14ac:dyDescent="0.15">
      <c r="A3007" s="1">
        <v>485</v>
      </c>
      <c r="B3007" s="1" t="s">
        <v>1873</v>
      </c>
      <c r="C3007" s="1" t="s">
        <v>1876</v>
      </c>
      <c r="D3007" s="1" t="s">
        <v>1877</v>
      </c>
      <c r="E3007" s="1" t="s">
        <v>1876</v>
      </c>
      <c r="F3007" s="1" t="s">
        <v>1877</v>
      </c>
      <c r="G3007" s="1" t="s">
        <v>1883</v>
      </c>
      <c r="H3007" s="1" t="s">
        <v>1884</v>
      </c>
      <c r="I3007" s="1" t="s">
        <v>11827</v>
      </c>
      <c r="J3007" s="1" t="s">
        <v>4449</v>
      </c>
      <c r="K3007" s="1">
        <v>11</v>
      </c>
      <c r="L3007" s="1" t="s">
        <v>4227</v>
      </c>
      <c r="M3007" s="1">
        <v>14</v>
      </c>
      <c r="N3007" s="1" t="s">
        <v>4220</v>
      </c>
    </row>
    <row r="3008" spans="1:14" x14ac:dyDescent="0.15">
      <c r="A3008" s="1">
        <v>485</v>
      </c>
      <c r="B3008" s="1" t="s">
        <v>1873</v>
      </c>
      <c r="C3008" s="1" t="s">
        <v>1876</v>
      </c>
      <c r="D3008" s="1" t="s">
        <v>1877</v>
      </c>
      <c r="E3008" s="1" t="s">
        <v>1876</v>
      </c>
      <c r="F3008" s="1" t="s">
        <v>1877</v>
      </c>
      <c r="G3008" s="1" t="s">
        <v>1885</v>
      </c>
      <c r="H3008" s="1" t="s">
        <v>1886</v>
      </c>
      <c r="I3008" s="1" t="s">
        <v>7680</v>
      </c>
      <c r="J3008" s="1" t="s">
        <v>4396</v>
      </c>
      <c r="K3008" s="1">
        <v>11</v>
      </c>
      <c r="L3008" s="1" t="s">
        <v>4227</v>
      </c>
      <c r="M3008" s="1">
        <v>14</v>
      </c>
      <c r="N3008" s="1" t="s">
        <v>4220</v>
      </c>
    </row>
    <row r="3009" spans="1:14" x14ac:dyDescent="0.15">
      <c r="A3009" s="1">
        <v>485</v>
      </c>
      <c r="B3009" s="1" t="s">
        <v>1873</v>
      </c>
      <c r="C3009" s="1" t="s">
        <v>1876</v>
      </c>
      <c r="D3009" s="1" t="s">
        <v>1877</v>
      </c>
      <c r="E3009" s="1" t="s">
        <v>1876</v>
      </c>
      <c r="F3009" s="1" t="s">
        <v>1877</v>
      </c>
      <c r="G3009" s="1" t="s">
        <v>1885</v>
      </c>
      <c r="H3009" s="1" t="s">
        <v>1886</v>
      </c>
      <c r="I3009" s="1" t="s">
        <v>11827</v>
      </c>
      <c r="J3009" s="1" t="s">
        <v>4449</v>
      </c>
      <c r="K3009" s="1">
        <v>11</v>
      </c>
      <c r="L3009" s="1" t="s">
        <v>4227</v>
      </c>
      <c r="M3009" s="1">
        <v>14</v>
      </c>
      <c r="N3009" s="1" t="s">
        <v>4220</v>
      </c>
    </row>
    <row r="3010" spans="1:14" x14ac:dyDescent="0.15">
      <c r="A3010" s="1">
        <v>485</v>
      </c>
      <c r="B3010" s="1" t="s">
        <v>1873</v>
      </c>
      <c r="C3010" s="1" t="s">
        <v>1876</v>
      </c>
      <c r="D3010" s="1" t="s">
        <v>1877</v>
      </c>
      <c r="E3010" s="1" t="s">
        <v>1876</v>
      </c>
      <c r="F3010" s="1" t="s">
        <v>1877</v>
      </c>
      <c r="G3010" s="1" t="s">
        <v>1887</v>
      </c>
      <c r="H3010" s="1" t="s">
        <v>1888</v>
      </c>
      <c r="I3010" s="1" t="s">
        <v>7680</v>
      </c>
      <c r="J3010" s="1" t="s">
        <v>4396</v>
      </c>
      <c r="K3010" s="1">
        <v>11</v>
      </c>
      <c r="L3010" s="1" t="s">
        <v>4227</v>
      </c>
      <c r="M3010" s="1">
        <v>14</v>
      </c>
      <c r="N3010" s="1" t="s">
        <v>4220</v>
      </c>
    </row>
    <row r="3011" spans="1:14" x14ac:dyDescent="0.15">
      <c r="A3011" s="1">
        <v>485</v>
      </c>
      <c r="B3011" s="1" t="s">
        <v>1873</v>
      </c>
      <c r="C3011" s="1" t="s">
        <v>1876</v>
      </c>
      <c r="D3011" s="1" t="s">
        <v>1877</v>
      </c>
      <c r="E3011" s="1" t="s">
        <v>1876</v>
      </c>
      <c r="F3011" s="1" t="s">
        <v>1877</v>
      </c>
      <c r="G3011" s="1" t="s">
        <v>1887</v>
      </c>
      <c r="H3011" s="1" t="s">
        <v>1888</v>
      </c>
      <c r="I3011" s="1" t="s">
        <v>11827</v>
      </c>
      <c r="J3011" s="1" t="s">
        <v>4449</v>
      </c>
      <c r="K3011" s="1">
        <v>11</v>
      </c>
      <c r="L3011" s="1" t="s">
        <v>4227</v>
      </c>
      <c r="M3011" s="1">
        <v>14</v>
      </c>
      <c r="N3011" s="1" t="s">
        <v>4220</v>
      </c>
    </row>
    <row r="3012" spans="1:14" x14ac:dyDescent="0.15">
      <c r="A3012" s="1">
        <v>485</v>
      </c>
      <c r="B3012" s="1" t="s">
        <v>1873</v>
      </c>
      <c r="C3012" s="1" t="s">
        <v>1876</v>
      </c>
      <c r="D3012" s="1" t="s">
        <v>1877</v>
      </c>
      <c r="E3012" s="1" t="s">
        <v>1876</v>
      </c>
      <c r="F3012" s="1" t="s">
        <v>1877</v>
      </c>
      <c r="G3012" s="1" t="s">
        <v>1889</v>
      </c>
      <c r="H3012" s="1" t="s">
        <v>1890</v>
      </c>
      <c r="I3012" s="1" t="s">
        <v>7680</v>
      </c>
      <c r="J3012" s="1" t="s">
        <v>4396</v>
      </c>
      <c r="K3012" s="1">
        <v>11</v>
      </c>
      <c r="L3012" s="1" t="s">
        <v>4227</v>
      </c>
      <c r="M3012" s="1">
        <v>14</v>
      </c>
      <c r="N3012" s="1" t="s">
        <v>4220</v>
      </c>
    </row>
    <row r="3013" spans="1:14" x14ac:dyDescent="0.15">
      <c r="A3013" s="1">
        <v>485</v>
      </c>
      <c r="B3013" s="1" t="s">
        <v>1873</v>
      </c>
      <c r="C3013" s="1" t="s">
        <v>1876</v>
      </c>
      <c r="D3013" s="1" t="s">
        <v>1877</v>
      </c>
      <c r="E3013" s="1" t="s">
        <v>1876</v>
      </c>
      <c r="F3013" s="1" t="s">
        <v>1877</v>
      </c>
      <c r="G3013" s="1" t="s">
        <v>1889</v>
      </c>
      <c r="H3013" s="1" t="s">
        <v>1890</v>
      </c>
      <c r="I3013" s="1" t="s">
        <v>11827</v>
      </c>
      <c r="J3013" s="1" t="s">
        <v>4449</v>
      </c>
      <c r="K3013" s="1">
        <v>11</v>
      </c>
      <c r="L3013" s="1" t="s">
        <v>4227</v>
      </c>
      <c r="M3013" s="1">
        <v>14</v>
      </c>
      <c r="N3013" s="1" t="s">
        <v>4220</v>
      </c>
    </row>
    <row r="3014" spans="1:14" x14ac:dyDescent="0.15">
      <c r="A3014" s="1">
        <v>485</v>
      </c>
      <c r="B3014" s="1" t="s">
        <v>1873</v>
      </c>
      <c r="C3014" s="1" t="s">
        <v>1891</v>
      </c>
      <c r="D3014" s="1" t="s">
        <v>1892</v>
      </c>
      <c r="E3014" s="1" t="s">
        <v>1891</v>
      </c>
      <c r="F3014" s="1" t="s">
        <v>1892</v>
      </c>
      <c r="G3014" s="1" t="s">
        <v>1893</v>
      </c>
      <c r="H3014" s="1" t="s">
        <v>1892</v>
      </c>
      <c r="I3014" s="1" t="s">
        <v>7669</v>
      </c>
      <c r="J3014" s="1" t="s">
        <v>4471</v>
      </c>
      <c r="K3014" s="1">
        <v>11</v>
      </c>
      <c r="L3014" s="1" t="s">
        <v>4227</v>
      </c>
      <c r="M3014" s="1">
        <v>14</v>
      </c>
      <c r="N3014" s="1" t="s">
        <v>4220</v>
      </c>
    </row>
    <row r="3015" spans="1:14" x14ac:dyDescent="0.15">
      <c r="A3015" s="1">
        <v>485</v>
      </c>
      <c r="B3015" s="1" t="s">
        <v>1873</v>
      </c>
      <c r="C3015" s="1" t="s">
        <v>1891</v>
      </c>
      <c r="D3015" s="1" t="s">
        <v>1892</v>
      </c>
      <c r="E3015" s="1" t="s">
        <v>1891</v>
      </c>
      <c r="F3015" s="1" t="s">
        <v>1892</v>
      </c>
      <c r="G3015" s="1" t="s">
        <v>1893</v>
      </c>
      <c r="H3015" s="1" t="s">
        <v>1892</v>
      </c>
      <c r="I3015" s="1" t="s">
        <v>9994</v>
      </c>
      <c r="J3015" s="1" t="s">
        <v>4472</v>
      </c>
      <c r="K3015" s="1">
        <v>11</v>
      </c>
      <c r="L3015" s="1" t="s">
        <v>4227</v>
      </c>
      <c r="M3015" s="1">
        <v>14</v>
      </c>
      <c r="N3015" s="1" t="s">
        <v>4220</v>
      </c>
    </row>
    <row r="3016" spans="1:14" x14ac:dyDescent="0.15">
      <c r="A3016" s="1">
        <v>485</v>
      </c>
      <c r="B3016" s="1" t="s">
        <v>1873</v>
      </c>
      <c r="C3016" s="1" t="s">
        <v>1891</v>
      </c>
      <c r="D3016" s="1" t="s">
        <v>1892</v>
      </c>
      <c r="E3016" s="1" t="s">
        <v>1891</v>
      </c>
      <c r="F3016" s="1" t="s">
        <v>1892</v>
      </c>
      <c r="G3016" s="1" t="s">
        <v>1893</v>
      </c>
      <c r="H3016" s="1" t="s">
        <v>1892</v>
      </c>
      <c r="I3016" s="1" t="s">
        <v>7683</v>
      </c>
      <c r="J3016" s="1" t="s">
        <v>1837</v>
      </c>
      <c r="K3016" s="1">
        <v>11</v>
      </c>
      <c r="L3016" s="1" t="s">
        <v>4227</v>
      </c>
      <c r="M3016" s="1">
        <v>14</v>
      </c>
      <c r="N3016" s="1" t="s">
        <v>4220</v>
      </c>
    </row>
    <row r="3017" spans="1:14" x14ac:dyDescent="0.15">
      <c r="A3017" s="1">
        <v>485</v>
      </c>
      <c r="B3017" s="1" t="s">
        <v>1873</v>
      </c>
      <c r="C3017" s="1" t="s">
        <v>1891</v>
      </c>
      <c r="D3017" s="1" t="s">
        <v>1892</v>
      </c>
      <c r="E3017" s="1" t="s">
        <v>1891</v>
      </c>
      <c r="F3017" s="1" t="s">
        <v>1892</v>
      </c>
      <c r="G3017" s="1" t="s">
        <v>1893</v>
      </c>
      <c r="H3017" s="1" t="s">
        <v>1892</v>
      </c>
      <c r="I3017" s="1" t="s">
        <v>7299</v>
      </c>
      <c r="J3017" s="1" t="s">
        <v>1894</v>
      </c>
      <c r="K3017" s="1">
        <v>11</v>
      </c>
      <c r="L3017" s="1" t="s">
        <v>4227</v>
      </c>
      <c r="M3017" s="1">
        <v>14</v>
      </c>
      <c r="N3017" s="1" t="s">
        <v>4220</v>
      </c>
    </row>
    <row r="3018" spans="1:14" x14ac:dyDescent="0.15">
      <c r="A3018" s="1">
        <v>485</v>
      </c>
      <c r="B3018" s="1" t="s">
        <v>1873</v>
      </c>
      <c r="C3018" s="1" t="s">
        <v>1891</v>
      </c>
      <c r="D3018" s="1" t="s">
        <v>1892</v>
      </c>
      <c r="E3018" s="1" t="s">
        <v>1891</v>
      </c>
      <c r="F3018" s="1" t="s">
        <v>1892</v>
      </c>
      <c r="G3018" s="1" t="s">
        <v>1893</v>
      </c>
      <c r="H3018" s="1" t="s">
        <v>1892</v>
      </c>
      <c r="I3018" s="1" t="s">
        <v>9589</v>
      </c>
      <c r="J3018" s="1" t="s">
        <v>17533</v>
      </c>
      <c r="K3018" s="1">
        <v>11</v>
      </c>
      <c r="L3018" s="1" t="s">
        <v>4227</v>
      </c>
      <c r="M3018" s="1">
        <v>14</v>
      </c>
      <c r="N3018" s="1" t="s">
        <v>4220</v>
      </c>
    </row>
    <row r="3019" spans="1:14" x14ac:dyDescent="0.15">
      <c r="A3019" s="1">
        <v>485</v>
      </c>
      <c r="B3019" s="1" t="s">
        <v>1873</v>
      </c>
      <c r="C3019" s="1" t="s">
        <v>1891</v>
      </c>
      <c r="D3019" s="1" t="s">
        <v>1892</v>
      </c>
      <c r="E3019" s="1" t="s">
        <v>1891</v>
      </c>
      <c r="F3019" s="1" t="s">
        <v>1892</v>
      </c>
      <c r="G3019" s="1" t="s">
        <v>1893</v>
      </c>
      <c r="H3019" s="1" t="s">
        <v>1892</v>
      </c>
      <c r="I3019" s="1" t="s">
        <v>7696</v>
      </c>
      <c r="J3019" s="1" t="s">
        <v>6710</v>
      </c>
      <c r="K3019" s="1">
        <v>11</v>
      </c>
      <c r="L3019" s="1" t="s">
        <v>4227</v>
      </c>
      <c r="M3019" s="1">
        <v>14</v>
      </c>
      <c r="N3019" s="1" t="s">
        <v>4220</v>
      </c>
    </row>
    <row r="3020" spans="1:14" x14ac:dyDescent="0.15">
      <c r="A3020" s="1">
        <v>485</v>
      </c>
      <c r="B3020" s="1" t="s">
        <v>1873</v>
      </c>
      <c r="C3020" s="1" t="s">
        <v>1891</v>
      </c>
      <c r="D3020" s="1" t="s">
        <v>1892</v>
      </c>
      <c r="E3020" s="1" t="s">
        <v>1891</v>
      </c>
      <c r="F3020" s="1" t="s">
        <v>1892</v>
      </c>
      <c r="G3020" s="1" t="s">
        <v>1893</v>
      </c>
      <c r="H3020" s="1" t="s">
        <v>1892</v>
      </c>
      <c r="I3020" s="1" t="s">
        <v>7293</v>
      </c>
      <c r="J3020" s="1" t="s">
        <v>1832</v>
      </c>
      <c r="K3020" s="1">
        <v>11</v>
      </c>
      <c r="L3020" s="1" t="s">
        <v>4227</v>
      </c>
      <c r="M3020" s="1">
        <v>14</v>
      </c>
      <c r="N3020" s="1" t="s">
        <v>4220</v>
      </c>
    </row>
    <row r="3021" spans="1:14" x14ac:dyDescent="0.15">
      <c r="A3021" s="1">
        <v>485</v>
      </c>
      <c r="B3021" s="1" t="s">
        <v>1873</v>
      </c>
      <c r="C3021" s="1" t="s">
        <v>1891</v>
      </c>
      <c r="D3021" s="1" t="s">
        <v>1892</v>
      </c>
      <c r="E3021" s="1" t="s">
        <v>1891</v>
      </c>
      <c r="F3021" s="1" t="s">
        <v>1892</v>
      </c>
      <c r="G3021" s="1" t="s">
        <v>1893</v>
      </c>
      <c r="H3021" s="1" t="s">
        <v>1892</v>
      </c>
      <c r="I3021" s="1" t="s">
        <v>11827</v>
      </c>
      <c r="J3021" s="1" t="s">
        <v>4449</v>
      </c>
      <c r="K3021" s="1">
        <v>11</v>
      </c>
      <c r="L3021" s="1" t="s">
        <v>4227</v>
      </c>
      <c r="M3021" s="1">
        <v>14</v>
      </c>
      <c r="N3021" s="1" t="s">
        <v>4220</v>
      </c>
    </row>
    <row r="3022" spans="1:14" x14ac:dyDescent="0.15">
      <c r="A3022" s="1">
        <v>490</v>
      </c>
      <c r="B3022" s="1" t="s">
        <v>1895</v>
      </c>
      <c r="C3022" s="1" t="s">
        <v>1896</v>
      </c>
      <c r="D3022" s="1" t="s">
        <v>1895</v>
      </c>
      <c r="E3022" s="1" t="s">
        <v>1896</v>
      </c>
      <c r="F3022" s="1" t="s">
        <v>1895</v>
      </c>
      <c r="G3022" s="1" t="s">
        <v>1897</v>
      </c>
      <c r="H3022" s="1" t="s">
        <v>1895</v>
      </c>
      <c r="I3022" s="1" t="s">
        <v>11879</v>
      </c>
      <c r="J3022" s="1" t="s">
        <v>4278</v>
      </c>
      <c r="K3022" s="1">
        <v>11</v>
      </c>
      <c r="L3022" s="1" t="s">
        <v>4227</v>
      </c>
      <c r="M3022" s="1">
        <v>14</v>
      </c>
      <c r="N3022" s="1" t="s">
        <v>4220</v>
      </c>
    </row>
    <row r="3023" spans="1:14" x14ac:dyDescent="0.15">
      <c r="A3023" s="1">
        <v>490</v>
      </c>
      <c r="B3023" s="1" t="s">
        <v>1895</v>
      </c>
      <c r="C3023" s="1" t="s">
        <v>1898</v>
      </c>
      <c r="D3023" s="1" t="s">
        <v>1899</v>
      </c>
      <c r="E3023" s="1" t="s">
        <v>1898</v>
      </c>
      <c r="F3023" s="1" t="s">
        <v>1899</v>
      </c>
      <c r="G3023" s="1" t="s">
        <v>1900</v>
      </c>
      <c r="H3023" s="1" t="s">
        <v>1899</v>
      </c>
      <c r="I3023" s="1" t="s">
        <v>9995</v>
      </c>
      <c r="J3023" s="1" t="s">
        <v>1831</v>
      </c>
      <c r="K3023" s="1">
        <v>11</v>
      </c>
      <c r="L3023" s="1" t="s">
        <v>4227</v>
      </c>
      <c r="M3023" s="1">
        <v>14</v>
      </c>
      <c r="N3023" s="1" t="s">
        <v>4220</v>
      </c>
    </row>
    <row r="3024" spans="1:14" x14ac:dyDescent="0.15">
      <c r="A3024" s="1">
        <v>490</v>
      </c>
      <c r="B3024" s="1" t="s">
        <v>1895</v>
      </c>
      <c r="C3024" s="1" t="s">
        <v>1901</v>
      </c>
      <c r="D3024" s="1" t="s">
        <v>1902</v>
      </c>
      <c r="E3024" s="1" t="s">
        <v>1901</v>
      </c>
      <c r="F3024" s="1" t="s">
        <v>1902</v>
      </c>
      <c r="G3024" s="1" t="s">
        <v>1903</v>
      </c>
      <c r="H3024" s="1" t="s">
        <v>1902</v>
      </c>
      <c r="I3024" s="1" t="s">
        <v>7693</v>
      </c>
      <c r="J3024" s="1" t="s">
        <v>17537</v>
      </c>
      <c r="K3024" s="1">
        <v>11</v>
      </c>
      <c r="L3024" s="1" t="s">
        <v>4227</v>
      </c>
      <c r="M3024" s="1">
        <v>14</v>
      </c>
      <c r="N3024" s="1" t="s">
        <v>4220</v>
      </c>
    </row>
    <row r="3025" spans="1:14" x14ac:dyDescent="0.15">
      <c r="A3025" s="1">
        <v>492</v>
      </c>
      <c r="B3025" s="1" t="s">
        <v>1904</v>
      </c>
      <c r="C3025" s="1" t="s">
        <v>1905</v>
      </c>
      <c r="D3025" s="1" t="s">
        <v>1904</v>
      </c>
      <c r="E3025" s="1" t="s">
        <v>1905</v>
      </c>
      <c r="F3025" s="1" t="s">
        <v>1904</v>
      </c>
      <c r="G3025" s="1" t="s">
        <v>1906</v>
      </c>
      <c r="H3025" s="1" t="s">
        <v>1904</v>
      </c>
      <c r="I3025" s="1" t="s">
        <v>11879</v>
      </c>
      <c r="J3025" s="1" t="s">
        <v>4278</v>
      </c>
      <c r="K3025" s="1">
        <v>11</v>
      </c>
      <c r="L3025" s="1" t="s">
        <v>4227</v>
      </c>
      <c r="M3025" s="1">
        <v>14</v>
      </c>
      <c r="N3025" s="1" t="s">
        <v>4220</v>
      </c>
    </row>
    <row r="3026" spans="1:14" x14ac:dyDescent="0.15">
      <c r="A3026" s="1">
        <v>492</v>
      </c>
      <c r="B3026" s="1" t="s">
        <v>1904</v>
      </c>
      <c r="C3026" s="1" t="s">
        <v>1907</v>
      </c>
      <c r="D3026" s="1" t="s">
        <v>1908</v>
      </c>
      <c r="E3026" s="1" t="s">
        <v>1907</v>
      </c>
      <c r="F3026" s="1" t="s">
        <v>1908</v>
      </c>
      <c r="G3026" s="1" t="s">
        <v>1909</v>
      </c>
      <c r="H3026" s="1" t="s">
        <v>1908</v>
      </c>
      <c r="I3026" s="1" t="s">
        <v>11813</v>
      </c>
      <c r="J3026" s="1" t="s">
        <v>11810</v>
      </c>
      <c r="K3026" s="1">
        <v>11</v>
      </c>
      <c r="L3026" s="1" t="s">
        <v>4227</v>
      </c>
      <c r="M3026" s="1">
        <v>14</v>
      </c>
      <c r="N3026" s="1" t="s">
        <v>4220</v>
      </c>
    </row>
    <row r="3027" spans="1:14" x14ac:dyDescent="0.15">
      <c r="A3027" s="1">
        <v>492</v>
      </c>
      <c r="B3027" s="1" t="s">
        <v>1904</v>
      </c>
      <c r="C3027" s="1" t="s">
        <v>1910</v>
      </c>
      <c r="D3027" s="1" t="s">
        <v>1911</v>
      </c>
      <c r="E3027" s="1" t="s">
        <v>1910</v>
      </c>
      <c r="F3027" s="1" t="s">
        <v>1911</v>
      </c>
      <c r="G3027" s="1" t="s">
        <v>1912</v>
      </c>
      <c r="H3027" s="1" t="s">
        <v>1911</v>
      </c>
      <c r="I3027" s="1" t="s">
        <v>11813</v>
      </c>
      <c r="J3027" s="1" t="s">
        <v>11810</v>
      </c>
      <c r="K3027" s="1">
        <v>11</v>
      </c>
      <c r="L3027" s="1" t="s">
        <v>4227</v>
      </c>
      <c r="M3027" s="1">
        <v>14</v>
      </c>
      <c r="N3027" s="1" t="s">
        <v>4220</v>
      </c>
    </row>
    <row r="3028" spans="1:14" x14ac:dyDescent="0.15">
      <c r="A3028" s="1">
        <v>493</v>
      </c>
      <c r="B3028" s="1" t="s">
        <v>1913</v>
      </c>
      <c r="C3028" s="1" t="s">
        <v>1914</v>
      </c>
      <c r="D3028" s="1" t="s">
        <v>1913</v>
      </c>
      <c r="E3028" s="1" t="s">
        <v>1914</v>
      </c>
      <c r="F3028" s="1" t="s">
        <v>1913</v>
      </c>
      <c r="G3028" s="1" t="s">
        <v>1915</v>
      </c>
      <c r="H3028" s="1" t="s">
        <v>1913</v>
      </c>
      <c r="I3028" s="1" t="s">
        <v>7680</v>
      </c>
      <c r="J3028" s="1" t="s">
        <v>4396</v>
      </c>
      <c r="K3028" s="1">
        <v>11</v>
      </c>
      <c r="L3028" s="1" t="s">
        <v>4227</v>
      </c>
      <c r="M3028" s="1">
        <v>14</v>
      </c>
      <c r="N3028" s="1" t="s">
        <v>4220</v>
      </c>
    </row>
    <row r="3029" spans="1:14" x14ac:dyDescent="0.15">
      <c r="A3029" s="1">
        <v>494</v>
      </c>
      <c r="B3029" s="1" t="s">
        <v>1916</v>
      </c>
      <c r="C3029" s="1" t="s">
        <v>1917</v>
      </c>
      <c r="D3029" s="1" t="s">
        <v>1916</v>
      </c>
      <c r="E3029" s="1" t="s">
        <v>1917</v>
      </c>
      <c r="F3029" s="1" t="s">
        <v>1916</v>
      </c>
      <c r="G3029" s="1" t="s">
        <v>1918</v>
      </c>
      <c r="H3029" s="1" t="s">
        <v>1916</v>
      </c>
      <c r="I3029" s="1" t="s">
        <v>7669</v>
      </c>
      <c r="J3029" s="1" t="s">
        <v>4471</v>
      </c>
      <c r="K3029" s="1">
        <v>11</v>
      </c>
      <c r="L3029" s="1" t="s">
        <v>4227</v>
      </c>
      <c r="M3029" s="1">
        <v>14</v>
      </c>
      <c r="N3029" s="1" t="s">
        <v>4220</v>
      </c>
    </row>
    <row r="3030" spans="1:14" x14ac:dyDescent="0.15">
      <c r="A3030" s="1">
        <v>494</v>
      </c>
      <c r="B3030" s="1" t="s">
        <v>1916</v>
      </c>
      <c r="C3030" s="1" t="s">
        <v>1917</v>
      </c>
      <c r="D3030" s="1" t="s">
        <v>1916</v>
      </c>
      <c r="E3030" s="1" t="s">
        <v>1917</v>
      </c>
      <c r="F3030" s="1" t="s">
        <v>1916</v>
      </c>
      <c r="G3030" s="1" t="s">
        <v>1918</v>
      </c>
      <c r="H3030" s="1" t="s">
        <v>1916</v>
      </c>
      <c r="I3030" s="1" t="s">
        <v>9994</v>
      </c>
      <c r="J3030" s="1" t="s">
        <v>4472</v>
      </c>
      <c r="K3030" s="1">
        <v>11</v>
      </c>
      <c r="L3030" s="1" t="s">
        <v>4227</v>
      </c>
      <c r="M3030" s="1">
        <v>14</v>
      </c>
      <c r="N3030" s="1" t="s">
        <v>4220</v>
      </c>
    </row>
    <row r="3031" spans="1:14" x14ac:dyDescent="0.15">
      <c r="A3031" s="1">
        <v>494</v>
      </c>
      <c r="B3031" s="1" t="s">
        <v>1916</v>
      </c>
      <c r="C3031" s="1" t="s">
        <v>1917</v>
      </c>
      <c r="D3031" s="1" t="s">
        <v>1916</v>
      </c>
      <c r="E3031" s="1" t="s">
        <v>1917</v>
      </c>
      <c r="F3031" s="1" t="s">
        <v>1916</v>
      </c>
      <c r="G3031" s="1" t="s">
        <v>1918</v>
      </c>
      <c r="H3031" s="1" t="s">
        <v>1916</v>
      </c>
      <c r="I3031" s="1" t="s">
        <v>7680</v>
      </c>
      <c r="J3031" s="1" t="s">
        <v>4396</v>
      </c>
      <c r="K3031" s="1">
        <v>11</v>
      </c>
      <c r="L3031" s="1" t="s">
        <v>4227</v>
      </c>
      <c r="M3031" s="1">
        <v>14</v>
      </c>
      <c r="N3031" s="1" t="s">
        <v>4220</v>
      </c>
    </row>
    <row r="3032" spans="1:14" x14ac:dyDescent="0.15">
      <c r="A3032" s="1">
        <v>495</v>
      </c>
      <c r="B3032" s="1" t="s">
        <v>1919</v>
      </c>
      <c r="C3032" s="1" t="s">
        <v>1920</v>
      </c>
      <c r="D3032" s="1" t="s">
        <v>1919</v>
      </c>
      <c r="E3032" s="1" t="s">
        <v>1920</v>
      </c>
      <c r="F3032" s="1" t="s">
        <v>1919</v>
      </c>
      <c r="G3032" s="1" t="s">
        <v>1921</v>
      </c>
      <c r="H3032" s="1" t="s">
        <v>1919</v>
      </c>
      <c r="I3032" s="1" t="s">
        <v>7680</v>
      </c>
      <c r="J3032" s="1" t="s">
        <v>4396</v>
      </c>
      <c r="K3032" s="1">
        <v>11</v>
      </c>
      <c r="L3032" s="1" t="s">
        <v>4227</v>
      </c>
      <c r="M3032" s="1">
        <v>14</v>
      </c>
      <c r="N3032" s="1" t="s">
        <v>4220</v>
      </c>
    </row>
    <row r="3033" spans="1:14" x14ac:dyDescent="0.15">
      <c r="A3033" s="1">
        <v>496</v>
      </c>
      <c r="B3033" s="1" t="s">
        <v>1922</v>
      </c>
      <c r="C3033" s="1" t="s">
        <v>1923</v>
      </c>
      <c r="D3033" s="1" t="s">
        <v>1922</v>
      </c>
      <c r="E3033" s="1" t="s">
        <v>1923</v>
      </c>
      <c r="F3033" s="1" t="s">
        <v>1922</v>
      </c>
      <c r="G3033" s="1" t="s">
        <v>1924</v>
      </c>
      <c r="H3033" s="1" t="s">
        <v>1922</v>
      </c>
      <c r="I3033" s="1" t="s">
        <v>9995</v>
      </c>
      <c r="J3033" s="1" t="s">
        <v>1831</v>
      </c>
      <c r="K3033" s="1">
        <v>11</v>
      </c>
      <c r="L3033" s="1" t="s">
        <v>4227</v>
      </c>
      <c r="M3033" s="1">
        <v>14</v>
      </c>
      <c r="N3033" s="1" t="s">
        <v>4220</v>
      </c>
    </row>
    <row r="3034" spans="1:14" x14ac:dyDescent="0.15">
      <c r="A3034" s="1">
        <v>496</v>
      </c>
      <c r="B3034" s="1" t="s">
        <v>1922</v>
      </c>
      <c r="C3034" s="1" t="s">
        <v>1923</v>
      </c>
      <c r="D3034" s="1" t="s">
        <v>1922</v>
      </c>
      <c r="E3034" s="1" t="s">
        <v>1923</v>
      </c>
      <c r="F3034" s="1" t="s">
        <v>1922</v>
      </c>
      <c r="G3034" s="1" t="s">
        <v>1924</v>
      </c>
      <c r="H3034" s="1" t="s">
        <v>1922</v>
      </c>
      <c r="I3034" s="1" t="s">
        <v>7680</v>
      </c>
      <c r="J3034" s="1" t="s">
        <v>4396</v>
      </c>
      <c r="K3034" s="1">
        <v>11</v>
      </c>
      <c r="L3034" s="1" t="s">
        <v>4227</v>
      </c>
      <c r="M3034" s="1">
        <v>14</v>
      </c>
      <c r="N3034" s="1" t="s">
        <v>4220</v>
      </c>
    </row>
    <row r="3035" spans="1:14" x14ac:dyDescent="0.15">
      <c r="A3035" s="1">
        <v>496</v>
      </c>
      <c r="B3035" s="1" t="s">
        <v>1922</v>
      </c>
      <c r="C3035" s="1" t="s">
        <v>1923</v>
      </c>
      <c r="D3035" s="1" t="s">
        <v>1922</v>
      </c>
      <c r="E3035" s="1" t="s">
        <v>1923</v>
      </c>
      <c r="F3035" s="1" t="s">
        <v>1922</v>
      </c>
      <c r="G3035" s="1" t="s">
        <v>1924</v>
      </c>
      <c r="H3035" s="1" t="s">
        <v>1922</v>
      </c>
      <c r="I3035" s="1" t="s">
        <v>7683</v>
      </c>
      <c r="J3035" s="1" t="s">
        <v>1837</v>
      </c>
      <c r="K3035" s="1">
        <v>11</v>
      </c>
      <c r="L3035" s="1" t="s">
        <v>4227</v>
      </c>
      <c r="M3035" s="1">
        <v>14</v>
      </c>
      <c r="N3035" s="1" t="s">
        <v>4220</v>
      </c>
    </row>
    <row r="3036" spans="1:14" x14ac:dyDescent="0.15">
      <c r="A3036" s="1">
        <v>496</v>
      </c>
      <c r="B3036" s="1" t="s">
        <v>1922</v>
      </c>
      <c r="C3036" s="1" t="s">
        <v>1923</v>
      </c>
      <c r="D3036" s="1" t="s">
        <v>1922</v>
      </c>
      <c r="E3036" s="1" t="s">
        <v>1923</v>
      </c>
      <c r="F3036" s="1" t="s">
        <v>1922</v>
      </c>
      <c r="G3036" s="1" t="s">
        <v>1924</v>
      </c>
      <c r="H3036" s="1" t="s">
        <v>1922</v>
      </c>
      <c r="I3036" s="1" t="s">
        <v>7689</v>
      </c>
      <c r="J3036" s="1" t="s">
        <v>17593</v>
      </c>
      <c r="K3036" s="1">
        <v>11</v>
      </c>
      <c r="L3036" s="1" t="s">
        <v>4227</v>
      </c>
      <c r="M3036" s="1">
        <v>14</v>
      </c>
      <c r="N3036" s="1" t="s">
        <v>4220</v>
      </c>
    </row>
    <row r="3037" spans="1:14" x14ac:dyDescent="0.15">
      <c r="A3037" s="1">
        <v>496</v>
      </c>
      <c r="B3037" s="1" t="s">
        <v>1922</v>
      </c>
      <c r="C3037" s="1" t="s">
        <v>1923</v>
      </c>
      <c r="D3037" s="1" t="s">
        <v>1922</v>
      </c>
      <c r="E3037" s="1" t="s">
        <v>1923</v>
      </c>
      <c r="F3037" s="1" t="s">
        <v>1922</v>
      </c>
      <c r="G3037" s="1" t="s">
        <v>1924</v>
      </c>
      <c r="H3037" s="1" t="s">
        <v>1922</v>
      </c>
      <c r="I3037" s="1" t="s">
        <v>7293</v>
      </c>
      <c r="J3037" s="1" t="s">
        <v>1832</v>
      </c>
      <c r="K3037" s="1">
        <v>11</v>
      </c>
      <c r="L3037" s="1" t="s">
        <v>4227</v>
      </c>
      <c r="M3037" s="1">
        <v>14</v>
      </c>
      <c r="N3037" s="1" t="s">
        <v>4220</v>
      </c>
    </row>
    <row r="3038" spans="1:14" x14ac:dyDescent="0.15">
      <c r="A3038" s="1">
        <v>496</v>
      </c>
      <c r="B3038" s="1" t="s">
        <v>1922</v>
      </c>
      <c r="C3038" s="1" t="s">
        <v>1923</v>
      </c>
      <c r="D3038" s="1" t="s">
        <v>1922</v>
      </c>
      <c r="E3038" s="1" t="s">
        <v>1923</v>
      </c>
      <c r="F3038" s="1" t="s">
        <v>1922</v>
      </c>
      <c r="G3038" s="1" t="s">
        <v>1924</v>
      </c>
      <c r="H3038" s="1" t="s">
        <v>1922</v>
      </c>
      <c r="I3038" s="1" t="s">
        <v>7299</v>
      </c>
      <c r="J3038" s="1" t="s">
        <v>1833</v>
      </c>
      <c r="K3038" s="1">
        <v>11</v>
      </c>
      <c r="L3038" s="1" t="s">
        <v>4227</v>
      </c>
      <c r="M3038" s="1">
        <v>14</v>
      </c>
      <c r="N3038" s="1" t="s">
        <v>4220</v>
      </c>
    </row>
    <row r="3039" spans="1:14" x14ac:dyDescent="0.15">
      <c r="A3039" s="1">
        <v>496</v>
      </c>
      <c r="B3039" s="1" t="s">
        <v>1922</v>
      </c>
      <c r="C3039" s="1" t="s">
        <v>1923</v>
      </c>
      <c r="D3039" s="1" t="s">
        <v>1922</v>
      </c>
      <c r="E3039" s="1" t="s">
        <v>1923</v>
      </c>
      <c r="F3039" s="1" t="s">
        <v>1922</v>
      </c>
      <c r="G3039" s="1" t="s">
        <v>1924</v>
      </c>
      <c r="H3039" s="1" t="s">
        <v>1922</v>
      </c>
      <c r="I3039" s="1" t="s">
        <v>11827</v>
      </c>
      <c r="J3039" s="1" t="s">
        <v>4449</v>
      </c>
      <c r="K3039" s="1">
        <v>11</v>
      </c>
      <c r="L3039" s="1" t="s">
        <v>4227</v>
      </c>
      <c r="M3039" s="1">
        <v>14</v>
      </c>
      <c r="N3039" s="1" t="s">
        <v>4220</v>
      </c>
    </row>
    <row r="3040" spans="1:14" x14ac:dyDescent="0.15">
      <c r="A3040" s="1">
        <v>500</v>
      </c>
      <c r="B3040" s="1" t="s">
        <v>1925</v>
      </c>
      <c r="C3040" s="1" t="s">
        <v>1926</v>
      </c>
      <c r="D3040" s="1" t="s">
        <v>1925</v>
      </c>
      <c r="E3040" s="1" t="s">
        <v>1926</v>
      </c>
      <c r="F3040" s="1" t="s">
        <v>1925</v>
      </c>
      <c r="G3040" s="1" t="s">
        <v>1927</v>
      </c>
      <c r="H3040" s="1" t="s">
        <v>1925</v>
      </c>
      <c r="I3040" s="1" t="s">
        <v>11605</v>
      </c>
      <c r="J3040" s="1" t="s">
        <v>4635</v>
      </c>
      <c r="K3040" s="1">
        <v>2</v>
      </c>
      <c r="L3040" s="1" t="s">
        <v>4193</v>
      </c>
      <c r="M3040" s="1">
        <v>4</v>
      </c>
      <c r="N3040" s="1" t="s">
        <v>4194</v>
      </c>
    </row>
    <row r="3041" spans="1:14" x14ac:dyDescent="0.15">
      <c r="A3041" s="1">
        <v>500</v>
      </c>
      <c r="B3041" s="1" t="s">
        <v>1925</v>
      </c>
      <c r="C3041" s="1" t="s">
        <v>1926</v>
      </c>
      <c r="D3041" s="1" t="s">
        <v>1925</v>
      </c>
      <c r="E3041" s="1" t="s">
        <v>1926</v>
      </c>
      <c r="F3041" s="1" t="s">
        <v>1925</v>
      </c>
      <c r="G3041" s="1" t="s">
        <v>1927</v>
      </c>
      <c r="H3041" s="1" t="s">
        <v>1925</v>
      </c>
      <c r="I3041" s="1" t="s">
        <v>8243</v>
      </c>
      <c r="J3041" s="1" t="s">
        <v>4248</v>
      </c>
      <c r="K3041" s="1">
        <v>2</v>
      </c>
      <c r="L3041" s="1" t="s">
        <v>4193</v>
      </c>
      <c r="M3041" s="1">
        <v>4</v>
      </c>
      <c r="N3041" s="1" t="s">
        <v>4194</v>
      </c>
    </row>
    <row r="3042" spans="1:14" x14ac:dyDescent="0.15">
      <c r="A3042" s="1">
        <v>500</v>
      </c>
      <c r="B3042" s="1" t="s">
        <v>1925</v>
      </c>
      <c r="C3042" s="1" t="s">
        <v>1926</v>
      </c>
      <c r="D3042" s="1" t="s">
        <v>1925</v>
      </c>
      <c r="E3042" s="1" t="s">
        <v>1926</v>
      </c>
      <c r="F3042" s="1" t="s">
        <v>1925</v>
      </c>
      <c r="G3042" s="1" t="s">
        <v>1927</v>
      </c>
      <c r="H3042" s="1" t="s">
        <v>1925</v>
      </c>
      <c r="I3042" s="1" t="s">
        <v>8259</v>
      </c>
      <c r="J3042" s="1" t="s">
        <v>1928</v>
      </c>
      <c r="K3042" s="1">
        <v>2</v>
      </c>
      <c r="L3042" s="1" t="s">
        <v>4193</v>
      </c>
      <c r="M3042" s="1">
        <v>4</v>
      </c>
      <c r="N3042" s="1" t="s">
        <v>4194</v>
      </c>
    </row>
    <row r="3043" spans="1:14" x14ac:dyDescent="0.15">
      <c r="A3043" s="1">
        <v>500</v>
      </c>
      <c r="B3043" s="1" t="s">
        <v>1925</v>
      </c>
      <c r="C3043" s="1" t="s">
        <v>1926</v>
      </c>
      <c r="D3043" s="1" t="s">
        <v>1925</v>
      </c>
      <c r="E3043" s="1" t="s">
        <v>1926</v>
      </c>
      <c r="F3043" s="1" t="s">
        <v>1925</v>
      </c>
      <c r="G3043" s="1" t="s">
        <v>1927</v>
      </c>
      <c r="H3043" s="1" t="s">
        <v>1925</v>
      </c>
      <c r="I3043" s="1" t="s">
        <v>12742</v>
      </c>
      <c r="J3043" s="1" t="s">
        <v>1929</v>
      </c>
      <c r="K3043" s="1">
        <v>2</v>
      </c>
      <c r="L3043" s="1" t="s">
        <v>4193</v>
      </c>
      <c r="M3043" s="1">
        <v>4</v>
      </c>
      <c r="N3043" s="1" t="s">
        <v>4194</v>
      </c>
    </row>
    <row r="3044" spans="1:14" x14ac:dyDescent="0.15">
      <c r="A3044" s="1">
        <v>500</v>
      </c>
      <c r="B3044" s="1" t="s">
        <v>1925</v>
      </c>
      <c r="C3044" s="1" t="s">
        <v>1926</v>
      </c>
      <c r="D3044" s="1" t="s">
        <v>1925</v>
      </c>
      <c r="E3044" s="1" t="s">
        <v>1926</v>
      </c>
      <c r="F3044" s="1" t="s">
        <v>1925</v>
      </c>
      <c r="G3044" s="1" t="s">
        <v>1927</v>
      </c>
      <c r="H3044" s="1" t="s">
        <v>1925</v>
      </c>
      <c r="I3044" s="1" t="s">
        <v>10806</v>
      </c>
      <c r="J3044" s="1" t="s">
        <v>1930</v>
      </c>
      <c r="K3044" s="1">
        <v>2</v>
      </c>
      <c r="L3044" s="1" t="s">
        <v>4193</v>
      </c>
      <c r="M3044" s="1">
        <v>4</v>
      </c>
      <c r="N3044" s="1" t="s">
        <v>4194</v>
      </c>
    </row>
    <row r="3045" spans="1:14" x14ac:dyDescent="0.15">
      <c r="A3045" s="1">
        <v>500</v>
      </c>
      <c r="B3045" s="1" t="s">
        <v>1925</v>
      </c>
      <c r="C3045" s="1" t="s">
        <v>1926</v>
      </c>
      <c r="D3045" s="1" t="s">
        <v>1925</v>
      </c>
      <c r="E3045" s="1" t="s">
        <v>1926</v>
      </c>
      <c r="F3045" s="1" t="s">
        <v>1925</v>
      </c>
      <c r="G3045" s="1" t="s">
        <v>1931</v>
      </c>
      <c r="H3045" s="1" t="s">
        <v>1932</v>
      </c>
      <c r="I3045" s="1" t="s">
        <v>10806</v>
      </c>
      <c r="J3045" s="1" t="s">
        <v>1930</v>
      </c>
      <c r="K3045" s="1">
        <v>2</v>
      </c>
      <c r="L3045" s="1" t="s">
        <v>4193</v>
      </c>
      <c r="M3045" s="1">
        <v>4</v>
      </c>
      <c r="N3045" s="1" t="s">
        <v>4194</v>
      </c>
    </row>
    <row r="3046" spans="1:14" x14ac:dyDescent="0.15">
      <c r="A3046" s="1">
        <v>500</v>
      </c>
      <c r="B3046" s="1" t="s">
        <v>1925</v>
      </c>
      <c r="C3046" s="1" t="s">
        <v>1926</v>
      </c>
      <c r="D3046" s="1" t="s">
        <v>1925</v>
      </c>
      <c r="E3046" s="1" t="s">
        <v>1926</v>
      </c>
      <c r="F3046" s="1" t="s">
        <v>1925</v>
      </c>
      <c r="G3046" s="1" t="s">
        <v>1933</v>
      </c>
      <c r="H3046" s="1" t="s">
        <v>1934</v>
      </c>
      <c r="I3046" s="1" t="s">
        <v>11605</v>
      </c>
      <c r="J3046" s="1" t="s">
        <v>4635</v>
      </c>
      <c r="K3046" s="1">
        <v>2</v>
      </c>
      <c r="L3046" s="1" t="s">
        <v>4193</v>
      </c>
      <c r="M3046" s="1">
        <v>4</v>
      </c>
      <c r="N3046" s="1" t="s">
        <v>4194</v>
      </c>
    </row>
    <row r="3047" spans="1:14" x14ac:dyDescent="0.15">
      <c r="A3047" s="1">
        <v>500</v>
      </c>
      <c r="B3047" s="1" t="s">
        <v>1925</v>
      </c>
      <c r="C3047" s="1" t="s">
        <v>1926</v>
      </c>
      <c r="D3047" s="1" t="s">
        <v>1925</v>
      </c>
      <c r="E3047" s="1" t="s">
        <v>1926</v>
      </c>
      <c r="F3047" s="1" t="s">
        <v>1925</v>
      </c>
      <c r="G3047" s="1" t="s">
        <v>1933</v>
      </c>
      <c r="H3047" s="1" t="s">
        <v>1934</v>
      </c>
      <c r="I3047" s="1" t="s">
        <v>12742</v>
      </c>
      <c r="J3047" s="1" t="s">
        <v>1929</v>
      </c>
      <c r="K3047" s="1">
        <v>2</v>
      </c>
      <c r="L3047" s="1" t="s">
        <v>4193</v>
      </c>
      <c r="M3047" s="1">
        <v>4</v>
      </c>
      <c r="N3047" s="1" t="s">
        <v>4194</v>
      </c>
    </row>
    <row r="3048" spans="1:14" x14ac:dyDescent="0.15">
      <c r="A3048" s="1">
        <v>500</v>
      </c>
      <c r="B3048" s="1" t="s">
        <v>1925</v>
      </c>
      <c r="C3048" s="1" t="s">
        <v>1926</v>
      </c>
      <c r="D3048" s="1" t="s">
        <v>1925</v>
      </c>
      <c r="E3048" s="1" t="s">
        <v>1926</v>
      </c>
      <c r="F3048" s="1" t="s">
        <v>1925</v>
      </c>
      <c r="G3048" s="1" t="s">
        <v>1933</v>
      </c>
      <c r="H3048" s="1" t="s">
        <v>1934</v>
      </c>
      <c r="I3048" s="1" t="s">
        <v>8243</v>
      </c>
      <c r="J3048" s="1" t="s">
        <v>4248</v>
      </c>
      <c r="K3048" s="1">
        <v>2</v>
      </c>
      <c r="L3048" s="1" t="s">
        <v>4193</v>
      </c>
      <c r="M3048" s="1">
        <v>4</v>
      </c>
      <c r="N3048" s="1" t="s">
        <v>4194</v>
      </c>
    </row>
    <row r="3049" spans="1:14" x14ac:dyDescent="0.15">
      <c r="A3049" s="1">
        <v>500</v>
      </c>
      <c r="B3049" s="1" t="s">
        <v>1925</v>
      </c>
      <c r="C3049" s="1" t="s">
        <v>1926</v>
      </c>
      <c r="D3049" s="1" t="s">
        <v>1925</v>
      </c>
      <c r="E3049" s="1" t="s">
        <v>1926</v>
      </c>
      <c r="F3049" s="1" t="s">
        <v>1925</v>
      </c>
      <c r="G3049" s="1" t="s">
        <v>1933</v>
      </c>
      <c r="H3049" s="1" t="s">
        <v>1934</v>
      </c>
      <c r="I3049" s="1" t="s">
        <v>8259</v>
      </c>
      <c r="J3049" s="1" t="s">
        <v>1928</v>
      </c>
      <c r="K3049" s="1">
        <v>2</v>
      </c>
      <c r="L3049" s="1" t="s">
        <v>4193</v>
      </c>
      <c r="M3049" s="1">
        <v>4</v>
      </c>
      <c r="N3049" s="1" t="s">
        <v>4194</v>
      </c>
    </row>
    <row r="3050" spans="1:14" x14ac:dyDescent="0.15">
      <c r="A3050" s="1">
        <v>501</v>
      </c>
      <c r="B3050" s="1" t="s">
        <v>1935</v>
      </c>
      <c r="C3050" s="1" t="s">
        <v>1936</v>
      </c>
      <c r="D3050" s="1" t="s">
        <v>1935</v>
      </c>
      <c r="E3050" s="1" t="s">
        <v>1936</v>
      </c>
      <c r="F3050" s="1" t="s">
        <v>1935</v>
      </c>
      <c r="G3050" s="1" t="s">
        <v>1937</v>
      </c>
      <c r="H3050" s="1" t="s">
        <v>1935</v>
      </c>
      <c r="I3050" s="1" t="s">
        <v>12797</v>
      </c>
      <c r="J3050" s="1" t="s">
        <v>12798</v>
      </c>
      <c r="K3050" s="1">
        <v>2</v>
      </c>
      <c r="L3050" s="1" t="s">
        <v>4193</v>
      </c>
      <c r="M3050" s="1">
        <v>4</v>
      </c>
      <c r="N3050" s="1" t="s">
        <v>4194</v>
      </c>
    </row>
    <row r="3051" spans="1:14" x14ac:dyDescent="0.15">
      <c r="A3051" s="1">
        <v>502</v>
      </c>
      <c r="B3051" s="1" t="s">
        <v>1938</v>
      </c>
      <c r="C3051" s="1" t="s">
        <v>1939</v>
      </c>
      <c r="D3051" s="1" t="s">
        <v>1938</v>
      </c>
      <c r="E3051" s="1" t="s">
        <v>1939</v>
      </c>
      <c r="F3051" s="1" t="s">
        <v>1938</v>
      </c>
      <c r="G3051" s="1" t="s">
        <v>1940</v>
      </c>
      <c r="H3051" s="1" t="s">
        <v>1938</v>
      </c>
      <c r="I3051" s="1" t="s">
        <v>12797</v>
      </c>
      <c r="J3051" s="1" t="s">
        <v>12798</v>
      </c>
      <c r="K3051" s="1">
        <v>13</v>
      </c>
      <c r="L3051" s="1" t="s">
        <v>4219</v>
      </c>
      <c r="M3051" s="1">
        <v>3</v>
      </c>
      <c r="N3051" s="1" t="s">
        <v>3241</v>
      </c>
    </row>
    <row r="3052" spans="1:14" x14ac:dyDescent="0.15">
      <c r="A3052" s="1">
        <v>502</v>
      </c>
      <c r="B3052" s="1" t="s">
        <v>1938</v>
      </c>
      <c r="C3052" s="1" t="s">
        <v>1939</v>
      </c>
      <c r="D3052" s="1" t="s">
        <v>1938</v>
      </c>
      <c r="E3052" s="1" t="s">
        <v>1939</v>
      </c>
      <c r="F3052" s="1" t="s">
        <v>1938</v>
      </c>
      <c r="G3052" s="1" t="s">
        <v>1940</v>
      </c>
      <c r="H3052" s="1" t="s">
        <v>1938</v>
      </c>
      <c r="I3052" s="1" t="s">
        <v>7541</v>
      </c>
      <c r="J3052" s="1" t="s">
        <v>1941</v>
      </c>
      <c r="K3052" s="1">
        <v>13</v>
      </c>
      <c r="L3052" s="1" t="s">
        <v>4219</v>
      </c>
      <c r="M3052" s="1">
        <v>3</v>
      </c>
      <c r="N3052" s="1" t="s">
        <v>3241</v>
      </c>
    </row>
    <row r="3053" spans="1:14" x14ac:dyDescent="0.15">
      <c r="A3053" s="1">
        <v>502</v>
      </c>
      <c r="B3053" s="1" t="s">
        <v>1938</v>
      </c>
      <c r="C3053" s="1" t="s">
        <v>1939</v>
      </c>
      <c r="D3053" s="1" t="s">
        <v>1938</v>
      </c>
      <c r="E3053" s="1" t="s">
        <v>1939</v>
      </c>
      <c r="F3053" s="1" t="s">
        <v>1938</v>
      </c>
      <c r="G3053" s="1" t="s">
        <v>1942</v>
      </c>
      <c r="H3053" s="1" t="s">
        <v>1943</v>
      </c>
      <c r="I3053" s="1" t="s">
        <v>7541</v>
      </c>
      <c r="J3053" s="1" t="s">
        <v>1941</v>
      </c>
      <c r="K3053" s="1">
        <v>13</v>
      </c>
      <c r="L3053" s="1" t="s">
        <v>4219</v>
      </c>
      <c r="M3053" s="1">
        <v>3</v>
      </c>
      <c r="N3053" s="1" t="s">
        <v>3241</v>
      </c>
    </row>
    <row r="3054" spans="1:14" x14ac:dyDescent="0.15">
      <c r="A3054" s="1">
        <v>502</v>
      </c>
      <c r="B3054" s="1" t="s">
        <v>1938</v>
      </c>
      <c r="C3054" s="1" t="s">
        <v>1939</v>
      </c>
      <c r="D3054" s="1" t="s">
        <v>1938</v>
      </c>
      <c r="E3054" s="1" t="s">
        <v>1939</v>
      </c>
      <c r="F3054" s="1" t="s">
        <v>1938</v>
      </c>
      <c r="G3054" s="1" t="s">
        <v>1944</v>
      </c>
      <c r="H3054" s="1" t="s">
        <v>1945</v>
      </c>
      <c r="I3054" s="1" t="s">
        <v>7541</v>
      </c>
      <c r="J3054" s="1" t="s">
        <v>1941</v>
      </c>
      <c r="K3054" s="1">
        <v>13</v>
      </c>
      <c r="L3054" s="1" t="s">
        <v>4219</v>
      </c>
      <c r="M3054" s="1">
        <v>3</v>
      </c>
      <c r="N3054" s="1" t="s">
        <v>3241</v>
      </c>
    </row>
    <row r="3055" spans="1:14" x14ac:dyDescent="0.15">
      <c r="A3055" s="1">
        <v>503</v>
      </c>
      <c r="B3055" s="1" t="s">
        <v>1946</v>
      </c>
      <c r="C3055" s="1" t="s">
        <v>1947</v>
      </c>
      <c r="D3055" s="1" t="s">
        <v>1946</v>
      </c>
      <c r="E3055" s="1" t="s">
        <v>1947</v>
      </c>
      <c r="F3055" s="1" t="s">
        <v>1946</v>
      </c>
      <c r="G3055" s="1" t="s">
        <v>1948</v>
      </c>
      <c r="H3055" s="1" t="s">
        <v>1946</v>
      </c>
      <c r="I3055" s="1" t="s">
        <v>14292</v>
      </c>
      <c r="J3055" s="1" t="s">
        <v>3489</v>
      </c>
      <c r="K3055" s="1">
        <v>13</v>
      </c>
      <c r="L3055" s="1" t="s">
        <v>4219</v>
      </c>
      <c r="M3055" s="1">
        <v>3</v>
      </c>
      <c r="N3055" s="1" t="s">
        <v>3241</v>
      </c>
    </row>
    <row r="3056" spans="1:14" x14ac:dyDescent="0.15">
      <c r="A3056" s="1">
        <v>510</v>
      </c>
      <c r="B3056" s="1" t="s">
        <v>1949</v>
      </c>
      <c r="C3056" s="1" t="s">
        <v>1950</v>
      </c>
      <c r="D3056" s="1" t="s">
        <v>1949</v>
      </c>
      <c r="E3056" s="1" t="s">
        <v>1950</v>
      </c>
      <c r="F3056" s="1" t="s">
        <v>1949</v>
      </c>
      <c r="G3056" s="1" t="s">
        <v>1951</v>
      </c>
      <c r="H3056" s="1" t="s">
        <v>1949</v>
      </c>
      <c r="I3056" s="1" t="s">
        <v>12855</v>
      </c>
      <c r="J3056" s="1" t="s">
        <v>12856</v>
      </c>
      <c r="K3056" s="1">
        <v>5</v>
      </c>
      <c r="L3056" s="1" t="s">
        <v>4206</v>
      </c>
      <c r="M3056" s="1">
        <v>6</v>
      </c>
      <c r="N3056" s="1" t="s">
        <v>4207</v>
      </c>
    </row>
    <row r="3057" spans="1:14" x14ac:dyDescent="0.15">
      <c r="A3057" s="1">
        <v>511</v>
      </c>
      <c r="B3057" s="1" t="s">
        <v>1952</v>
      </c>
      <c r="C3057" s="1" t="s">
        <v>1953</v>
      </c>
      <c r="D3057" s="1" t="s">
        <v>1952</v>
      </c>
      <c r="E3057" s="1" t="s">
        <v>1953</v>
      </c>
      <c r="F3057" s="1" t="s">
        <v>1952</v>
      </c>
      <c r="G3057" s="1" t="s">
        <v>1954</v>
      </c>
      <c r="H3057" s="1" t="s">
        <v>1952</v>
      </c>
      <c r="I3057" s="1" t="s">
        <v>12765</v>
      </c>
      <c r="J3057" s="1" t="s">
        <v>4596</v>
      </c>
      <c r="K3057" s="1">
        <v>2</v>
      </c>
      <c r="L3057" s="1" t="s">
        <v>4193</v>
      </c>
      <c r="M3057" s="1">
        <v>4</v>
      </c>
      <c r="N3057" s="1" t="s">
        <v>4194</v>
      </c>
    </row>
    <row r="3058" spans="1:14" x14ac:dyDescent="0.15">
      <c r="A3058" s="1">
        <v>511</v>
      </c>
      <c r="B3058" s="1" t="s">
        <v>1952</v>
      </c>
      <c r="C3058" s="1" t="s">
        <v>1953</v>
      </c>
      <c r="D3058" s="1" t="s">
        <v>1952</v>
      </c>
      <c r="E3058" s="1" t="s">
        <v>1953</v>
      </c>
      <c r="F3058" s="1" t="s">
        <v>1952</v>
      </c>
      <c r="G3058" s="1" t="s">
        <v>1955</v>
      </c>
      <c r="H3058" s="1" t="s">
        <v>1956</v>
      </c>
      <c r="I3058" s="1" t="s">
        <v>12765</v>
      </c>
      <c r="J3058" s="1" t="s">
        <v>4596</v>
      </c>
      <c r="K3058" s="1">
        <v>2</v>
      </c>
      <c r="L3058" s="1" t="s">
        <v>4193</v>
      </c>
      <c r="M3058" s="1">
        <v>4</v>
      </c>
      <c r="N3058" s="1" t="s">
        <v>4194</v>
      </c>
    </row>
    <row r="3059" spans="1:14" x14ac:dyDescent="0.15">
      <c r="A3059" s="1">
        <v>511</v>
      </c>
      <c r="B3059" s="1" t="s">
        <v>1952</v>
      </c>
      <c r="C3059" s="1" t="s">
        <v>1953</v>
      </c>
      <c r="D3059" s="1" t="s">
        <v>1952</v>
      </c>
      <c r="E3059" s="1" t="s">
        <v>1953</v>
      </c>
      <c r="F3059" s="1" t="s">
        <v>1952</v>
      </c>
      <c r="G3059" s="1" t="s">
        <v>1957</v>
      </c>
      <c r="H3059" s="1" t="s">
        <v>1958</v>
      </c>
      <c r="I3059" s="1" t="s">
        <v>12765</v>
      </c>
      <c r="J3059" s="1" t="s">
        <v>4596</v>
      </c>
      <c r="K3059" s="1">
        <v>2</v>
      </c>
      <c r="L3059" s="1" t="s">
        <v>4193</v>
      </c>
      <c r="M3059" s="1">
        <v>4</v>
      </c>
      <c r="N3059" s="1" t="s">
        <v>4194</v>
      </c>
    </row>
    <row r="3060" spans="1:14" x14ac:dyDescent="0.15">
      <c r="A3060" s="1">
        <v>511</v>
      </c>
      <c r="B3060" s="1" t="s">
        <v>1952</v>
      </c>
      <c r="C3060" s="1" t="s">
        <v>1953</v>
      </c>
      <c r="D3060" s="1" t="s">
        <v>1952</v>
      </c>
      <c r="E3060" s="1" t="s">
        <v>1953</v>
      </c>
      <c r="F3060" s="1" t="s">
        <v>1952</v>
      </c>
      <c r="G3060" s="1" t="s">
        <v>1959</v>
      </c>
      <c r="H3060" s="1" t="s">
        <v>1960</v>
      </c>
      <c r="I3060" s="1" t="s">
        <v>12765</v>
      </c>
      <c r="J3060" s="1" t="s">
        <v>4596</v>
      </c>
      <c r="K3060" s="1">
        <v>2</v>
      </c>
      <c r="L3060" s="1" t="s">
        <v>4193</v>
      </c>
      <c r="M3060" s="1">
        <v>4</v>
      </c>
      <c r="N3060" s="1" t="s">
        <v>4194</v>
      </c>
    </row>
    <row r="3061" spans="1:14" x14ac:dyDescent="0.15">
      <c r="A3061" s="1">
        <v>512</v>
      </c>
      <c r="B3061" s="1" t="s">
        <v>1961</v>
      </c>
      <c r="C3061" s="1" t="s">
        <v>1962</v>
      </c>
      <c r="D3061" s="1" t="s">
        <v>1961</v>
      </c>
      <c r="E3061" s="1" t="s">
        <v>1962</v>
      </c>
      <c r="F3061" s="1" t="s">
        <v>1961</v>
      </c>
      <c r="G3061" s="1" t="s">
        <v>1963</v>
      </c>
      <c r="H3061" s="1" t="s">
        <v>1961</v>
      </c>
      <c r="I3061" s="1" t="s">
        <v>12765</v>
      </c>
      <c r="J3061" s="1" t="s">
        <v>4596</v>
      </c>
      <c r="K3061" s="1">
        <v>2</v>
      </c>
      <c r="L3061" s="1" t="s">
        <v>4193</v>
      </c>
      <c r="M3061" s="1">
        <v>6</v>
      </c>
      <c r="N3061" s="1" t="s">
        <v>4207</v>
      </c>
    </row>
    <row r="3062" spans="1:14" x14ac:dyDescent="0.15">
      <c r="A3062" s="1">
        <v>512</v>
      </c>
      <c r="B3062" s="1" t="s">
        <v>1961</v>
      </c>
      <c r="C3062" s="1" t="s">
        <v>1962</v>
      </c>
      <c r="D3062" s="1" t="s">
        <v>1961</v>
      </c>
      <c r="E3062" s="1" t="s">
        <v>1962</v>
      </c>
      <c r="F3062" s="1" t="s">
        <v>1961</v>
      </c>
      <c r="G3062" s="1" t="s">
        <v>1963</v>
      </c>
      <c r="H3062" s="1" t="s">
        <v>1961</v>
      </c>
      <c r="I3062" s="1" t="s">
        <v>12769</v>
      </c>
      <c r="J3062" s="1" t="s">
        <v>1964</v>
      </c>
      <c r="K3062" s="1">
        <v>2</v>
      </c>
      <c r="L3062" s="1" t="s">
        <v>4193</v>
      </c>
      <c r="M3062" s="1">
        <v>6</v>
      </c>
      <c r="N3062" s="1" t="s">
        <v>4207</v>
      </c>
    </row>
    <row r="3063" spans="1:14" x14ac:dyDescent="0.15">
      <c r="A3063" s="1">
        <v>513</v>
      </c>
      <c r="B3063" s="1" t="s">
        <v>1965</v>
      </c>
      <c r="C3063" s="1" t="s">
        <v>1966</v>
      </c>
      <c r="D3063" s="1" t="s">
        <v>1965</v>
      </c>
      <c r="E3063" s="1" t="s">
        <v>1966</v>
      </c>
      <c r="F3063" s="1" t="s">
        <v>1965</v>
      </c>
      <c r="G3063" s="1" t="s">
        <v>1967</v>
      </c>
      <c r="H3063" s="1" t="s">
        <v>1965</v>
      </c>
      <c r="I3063" s="1" t="s">
        <v>12765</v>
      </c>
      <c r="J3063" s="1" t="s">
        <v>4596</v>
      </c>
      <c r="K3063" s="1">
        <v>10</v>
      </c>
      <c r="L3063" s="1" t="s">
        <v>4380</v>
      </c>
      <c r="M3063" s="1">
        <v>4</v>
      </c>
      <c r="N3063" s="1" t="s">
        <v>4381</v>
      </c>
    </row>
    <row r="3064" spans="1:14" x14ac:dyDescent="0.15">
      <c r="A3064" s="1">
        <v>514</v>
      </c>
      <c r="B3064" s="1" t="s">
        <v>1968</v>
      </c>
      <c r="C3064" s="1" t="s">
        <v>1969</v>
      </c>
      <c r="D3064" s="1" t="s">
        <v>1968</v>
      </c>
      <c r="E3064" s="1" t="s">
        <v>1969</v>
      </c>
      <c r="F3064" s="1" t="s">
        <v>1968</v>
      </c>
      <c r="G3064" s="1" t="s">
        <v>1970</v>
      </c>
      <c r="H3064" s="1" t="s">
        <v>1968</v>
      </c>
      <c r="I3064" s="1" t="s">
        <v>12765</v>
      </c>
      <c r="J3064" s="1" t="s">
        <v>4596</v>
      </c>
      <c r="K3064" s="1">
        <v>2</v>
      </c>
      <c r="L3064" s="1" t="s">
        <v>4193</v>
      </c>
      <c r="M3064" s="1">
        <v>6</v>
      </c>
      <c r="N3064" s="1" t="s">
        <v>4207</v>
      </c>
    </row>
    <row r="3065" spans="1:14" x14ac:dyDescent="0.15">
      <c r="A3065" s="1">
        <v>515</v>
      </c>
      <c r="B3065" s="1" t="s">
        <v>1971</v>
      </c>
      <c r="C3065" s="1" t="s">
        <v>1972</v>
      </c>
      <c r="D3065" s="1" t="s">
        <v>1971</v>
      </c>
      <c r="E3065" s="1" t="s">
        <v>1972</v>
      </c>
      <c r="F3065" s="1" t="s">
        <v>1971</v>
      </c>
      <c r="G3065" s="1" t="s">
        <v>1973</v>
      </c>
      <c r="H3065" s="1" t="s">
        <v>1971</v>
      </c>
      <c r="I3065" s="1" t="s">
        <v>12805</v>
      </c>
      <c r="J3065" s="1" t="s">
        <v>1974</v>
      </c>
      <c r="K3065" s="1">
        <v>2</v>
      </c>
      <c r="L3065" s="1" t="s">
        <v>4193</v>
      </c>
      <c r="M3065" s="1">
        <v>6</v>
      </c>
      <c r="N3065" s="1" t="s">
        <v>4207</v>
      </c>
    </row>
    <row r="3066" spans="1:14" x14ac:dyDescent="0.15">
      <c r="A3066" s="1">
        <v>516</v>
      </c>
      <c r="B3066" s="1" t="s">
        <v>1975</v>
      </c>
      <c r="C3066" s="1" t="s">
        <v>1976</v>
      </c>
      <c r="D3066" s="1" t="s">
        <v>1975</v>
      </c>
      <c r="E3066" s="1" t="s">
        <v>1976</v>
      </c>
      <c r="F3066" s="1" t="s">
        <v>1975</v>
      </c>
      <c r="G3066" s="1" t="s">
        <v>1977</v>
      </c>
      <c r="H3066" s="1" t="s">
        <v>1975</v>
      </c>
      <c r="I3066" s="1" t="s">
        <v>12855</v>
      </c>
      <c r="J3066" s="1" t="s">
        <v>12856</v>
      </c>
      <c r="K3066" s="1">
        <v>5</v>
      </c>
      <c r="L3066" s="1" t="s">
        <v>4206</v>
      </c>
      <c r="M3066" s="1">
        <v>6</v>
      </c>
      <c r="N3066" s="1" t="s">
        <v>4207</v>
      </c>
    </row>
    <row r="3067" spans="1:14" x14ac:dyDescent="0.15">
      <c r="A3067" s="1">
        <v>520</v>
      </c>
      <c r="B3067" s="1" t="s">
        <v>1978</v>
      </c>
      <c r="C3067" s="1" t="s">
        <v>1979</v>
      </c>
      <c r="D3067" s="1" t="s">
        <v>1978</v>
      </c>
      <c r="E3067" s="1" t="s">
        <v>1979</v>
      </c>
      <c r="F3067" s="1" t="s">
        <v>1978</v>
      </c>
      <c r="G3067" s="1" t="s">
        <v>1980</v>
      </c>
      <c r="H3067" s="1" t="s">
        <v>1978</v>
      </c>
      <c r="I3067" s="1" t="s">
        <v>12765</v>
      </c>
      <c r="J3067" s="1" t="s">
        <v>4596</v>
      </c>
      <c r="K3067" s="1">
        <v>5</v>
      </c>
      <c r="L3067" s="1" t="s">
        <v>4206</v>
      </c>
      <c r="M3067" s="1">
        <v>6</v>
      </c>
      <c r="N3067" s="1" t="s">
        <v>4207</v>
      </c>
    </row>
    <row r="3068" spans="1:14" x14ac:dyDescent="0.15">
      <c r="A3068" s="1">
        <v>521</v>
      </c>
      <c r="B3068" s="1" t="s">
        <v>1981</v>
      </c>
      <c r="C3068" s="1" t="s">
        <v>1982</v>
      </c>
      <c r="D3068" s="1" t="s">
        <v>1981</v>
      </c>
      <c r="E3068" s="1" t="s">
        <v>1982</v>
      </c>
      <c r="F3068" s="1" t="s">
        <v>1981</v>
      </c>
      <c r="G3068" s="1" t="s">
        <v>1983</v>
      </c>
      <c r="H3068" s="1" t="s">
        <v>1981</v>
      </c>
      <c r="I3068" s="1" t="s">
        <v>12805</v>
      </c>
      <c r="J3068" s="1" t="s">
        <v>1974</v>
      </c>
      <c r="K3068" s="1">
        <v>2</v>
      </c>
      <c r="L3068" s="1" t="s">
        <v>4193</v>
      </c>
      <c r="M3068" s="1">
        <v>4</v>
      </c>
      <c r="N3068" s="1" t="s">
        <v>4194</v>
      </c>
    </row>
    <row r="3069" spans="1:14" x14ac:dyDescent="0.15">
      <c r="A3069" s="1">
        <v>522</v>
      </c>
      <c r="B3069" s="1" t="s">
        <v>1984</v>
      </c>
      <c r="C3069" s="1" t="s">
        <v>1985</v>
      </c>
      <c r="D3069" s="1" t="s">
        <v>1984</v>
      </c>
      <c r="E3069" s="1" t="s">
        <v>1985</v>
      </c>
      <c r="F3069" s="1" t="s">
        <v>1984</v>
      </c>
      <c r="G3069" s="1" t="s">
        <v>1986</v>
      </c>
      <c r="H3069" s="1" t="s">
        <v>1984</v>
      </c>
      <c r="I3069" s="1" t="s">
        <v>12805</v>
      </c>
      <c r="J3069" s="1" t="s">
        <v>1974</v>
      </c>
      <c r="K3069" s="1">
        <v>9</v>
      </c>
      <c r="L3069" s="1" t="s">
        <v>4199</v>
      </c>
      <c r="M3069" s="1">
        <v>7</v>
      </c>
      <c r="N3069" s="1" t="s">
        <v>4200</v>
      </c>
    </row>
    <row r="3070" spans="1:14" x14ac:dyDescent="0.15">
      <c r="A3070" s="1">
        <v>522</v>
      </c>
      <c r="B3070" s="1" t="s">
        <v>1984</v>
      </c>
      <c r="C3070" s="1" t="s">
        <v>1985</v>
      </c>
      <c r="D3070" s="1" t="s">
        <v>1984</v>
      </c>
      <c r="E3070" s="1" t="s">
        <v>1985</v>
      </c>
      <c r="F3070" s="1" t="s">
        <v>1984</v>
      </c>
      <c r="G3070" s="1" t="s">
        <v>1987</v>
      </c>
      <c r="H3070" s="1" t="s">
        <v>1988</v>
      </c>
      <c r="I3070" s="1" t="s">
        <v>12805</v>
      </c>
      <c r="J3070" s="1" t="s">
        <v>1974</v>
      </c>
      <c r="K3070" s="1">
        <v>9</v>
      </c>
      <c r="L3070" s="1" t="s">
        <v>4199</v>
      </c>
      <c r="M3070" s="1">
        <v>12</v>
      </c>
      <c r="N3070" s="1" t="s">
        <v>2841</v>
      </c>
    </row>
    <row r="3071" spans="1:14" x14ac:dyDescent="0.15">
      <c r="A3071" s="1">
        <v>522</v>
      </c>
      <c r="B3071" s="1" t="s">
        <v>1984</v>
      </c>
      <c r="C3071" s="1" t="s">
        <v>1985</v>
      </c>
      <c r="D3071" s="1" t="s">
        <v>1984</v>
      </c>
      <c r="E3071" s="1" t="s">
        <v>1985</v>
      </c>
      <c r="F3071" s="1" t="s">
        <v>1984</v>
      </c>
      <c r="G3071" s="1" t="s">
        <v>1989</v>
      </c>
      <c r="H3071" s="1" t="s">
        <v>1990</v>
      </c>
      <c r="I3071" s="1" t="s">
        <v>12805</v>
      </c>
      <c r="J3071" s="1" t="s">
        <v>1974</v>
      </c>
      <c r="K3071" s="1">
        <v>9</v>
      </c>
      <c r="L3071" s="1" t="s">
        <v>4199</v>
      </c>
      <c r="M3071" s="1">
        <v>7</v>
      </c>
      <c r="N3071" s="1" t="s">
        <v>4200</v>
      </c>
    </row>
    <row r="3072" spans="1:14" x14ac:dyDescent="0.15">
      <c r="A3072" s="1">
        <v>522</v>
      </c>
      <c r="B3072" s="1" t="s">
        <v>1984</v>
      </c>
      <c r="C3072" s="1" t="s">
        <v>1985</v>
      </c>
      <c r="D3072" s="1" t="s">
        <v>1984</v>
      </c>
      <c r="E3072" s="1" t="s">
        <v>1985</v>
      </c>
      <c r="F3072" s="1" t="s">
        <v>1984</v>
      </c>
      <c r="G3072" s="1" t="s">
        <v>1991</v>
      </c>
      <c r="H3072" s="1" t="s">
        <v>1992</v>
      </c>
      <c r="I3072" s="1" t="s">
        <v>12805</v>
      </c>
      <c r="J3072" s="1" t="s">
        <v>1974</v>
      </c>
      <c r="K3072" s="1">
        <v>9</v>
      </c>
      <c r="L3072" s="1" t="s">
        <v>4199</v>
      </c>
      <c r="M3072" s="1">
        <v>7</v>
      </c>
      <c r="N3072" s="1" t="s">
        <v>4200</v>
      </c>
    </row>
    <row r="3073" spans="1:14" x14ac:dyDescent="0.15">
      <c r="A3073" s="1">
        <v>523</v>
      </c>
      <c r="B3073" s="1" t="s">
        <v>1993</v>
      </c>
      <c r="C3073" s="1" t="s">
        <v>1994</v>
      </c>
      <c r="D3073" s="1" t="s">
        <v>1993</v>
      </c>
      <c r="E3073" s="1" t="s">
        <v>1994</v>
      </c>
      <c r="F3073" s="1" t="s">
        <v>1993</v>
      </c>
      <c r="G3073" s="1" t="s">
        <v>1995</v>
      </c>
      <c r="H3073" s="1" t="s">
        <v>1993</v>
      </c>
      <c r="I3073" s="1" t="s">
        <v>12855</v>
      </c>
      <c r="J3073" s="1" t="s">
        <v>12856</v>
      </c>
      <c r="K3073" s="1">
        <v>5</v>
      </c>
      <c r="L3073" s="1" t="s">
        <v>4206</v>
      </c>
      <c r="M3073" s="1">
        <v>6</v>
      </c>
      <c r="N3073" s="1" t="s">
        <v>4207</v>
      </c>
    </row>
    <row r="3074" spans="1:14" x14ac:dyDescent="0.15">
      <c r="A3074" s="1">
        <v>523</v>
      </c>
      <c r="B3074" s="1" t="s">
        <v>1993</v>
      </c>
      <c r="C3074" s="1" t="s">
        <v>1994</v>
      </c>
      <c r="D3074" s="1" t="s">
        <v>1993</v>
      </c>
      <c r="E3074" s="1" t="s">
        <v>1994</v>
      </c>
      <c r="F3074" s="1" t="s">
        <v>1993</v>
      </c>
      <c r="G3074" s="1" t="s">
        <v>1996</v>
      </c>
      <c r="H3074" s="1" t="s">
        <v>1997</v>
      </c>
      <c r="I3074" s="1" t="s">
        <v>12855</v>
      </c>
      <c r="J3074" s="1" t="s">
        <v>12856</v>
      </c>
      <c r="K3074" s="1">
        <v>5</v>
      </c>
      <c r="L3074" s="1" t="s">
        <v>4206</v>
      </c>
      <c r="M3074" s="1">
        <v>6</v>
      </c>
      <c r="N3074" s="1" t="s">
        <v>4207</v>
      </c>
    </row>
    <row r="3075" spans="1:14" x14ac:dyDescent="0.15">
      <c r="A3075" s="1">
        <v>523</v>
      </c>
      <c r="B3075" s="1" t="s">
        <v>1993</v>
      </c>
      <c r="C3075" s="1" t="s">
        <v>1994</v>
      </c>
      <c r="D3075" s="1" t="s">
        <v>1993</v>
      </c>
      <c r="E3075" s="1" t="s">
        <v>1994</v>
      </c>
      <c r="F3075" s="1" t="s">
        <v>1993</v>
      </c>
      <c r="G3075" s="1" t="s">
        <v>1998</v>
      </c>
      <c r="H3075" s="1" t="s">
        <v>1999</v>
      </c>
      <c r="I3075" s="1" t="s">
        <v>12855</v>
      </c>
      <c r="J3075" s="1" t="s">
        <v>12856</v>
      </c>
      <c r="K3075" s="1">
        <v>5</v>
      </c>
      <c r="L3075" s="1" t="s">
        <v>4206</v>
      </c>
      <c r="M3075" s="1">
        <v>6</v>
      </c>
      <c r="N3075" s="1" t="s">
        <v>4207</v>
      </c>
    </row>
    <row r="3076" spans="1:14" x14ac:dyDescent="0.15">
      <c r="A3076" s="1">
        <v>524</v>
      </c>
      <c r="B3076" s="1" t="s">
        <v>2000</v>
      </c>
      <c r="C3076" s="1" t="s">
        <v>2001</v>
      </c>
      <c r="D3076" s="1" t="s">
        <v>2000</v>
      </c>
      <c r="E3076" s="1" t="s">
        <v>2001</v>
      </c>
      <c r="F3076" s="1" t="s">
        <v>2000</v>
      </c>
      <c r="G3076" s="1" t="s">
        <v>2002</v>
      </c>
      <c r="H3076" s="1" t="s">
        <v>2000</v>
      </c>
      <c r="I3076" s="1" t="s">
        <v>12797</v>
      </c>
      <c r="J3076" s="1" t="s">
        <v>12798</v>
      </c>
      <c r="K3076" s="1">
        <v>2</v>
      </c>
      <c r="L3076" s="1" t="s">
        <v>4193</v>
      </c>
      <c r="M3076" s="1">
        <v>4</v>
      </c>
      <c r="N3076" s="1" t="s">
        <v>4194</v>
      </c>
    </row>
    <row r="3077" spans="1:14" x14ac:dyDescent="0.15">
      <c r="A3077" s="1">
        <v>524</v>
      </c>
      <c r="B3077" s="1" t="s">
        <v>2000</v>
      </c>
      <c r="C3077" s="1" t="s">
        <v>2001</v>
      </c>
      <c r="D3077" s="1" t="s">
        <v>2000</v>
      </c>
      <c r="E3077" s="1" t="s">
        <v>2001</v>
      </c>
      <c r="F3077" s="1" t="s">
        <v>2000</v>
      </c>
      <c r="G3077" s="1" t="s">
        <v>2002</v>
      </c>
      <c r="H3077" s="1" t="s">
        <v>2000</v>
      </c>
      <c r="I3077" s="1" t="s">
        <v>7541</v>
      </c>
      <c r="J3077" s="1" t="s">
        <v>1941</v>
      </c>
      <c r="K3077" s="1">
        <v>2</v>
      </c>
      <c r="L3077" s="1" t="s">
        <v>4193</v>
      </c>
      <c r="M3077" s="1">
        <v>4</v>
      </c>
      <c r="N3077" s="1" t="s">
        <v>4194</v>
      </c>
    </row>
    <row r="3078" spans="1:14" x14ac:dyDescent="0.15">
      <c r="A3078" s="1">
        <v>524</v>
      </c>
      <c r="B3078" s="1" t="s">
        <v>2000</v>
      </c>
      <c r="C3078" s="1" t="s">
        <v>2001</v>
      </c>
      <c r="D3078" s="1" t="s">
        <v>2000</v>
      </c>
      <c r="E3078" s="1" t="s">
        <v>2001</v>
      </c>
      <c r="F3078" s="1" t="s">
        <v>2000</v>
      </c>
      <c r="G3078" s="1" t="s">
        <v>2003</v>
      </c>
      <c r="H3078" s="1" t="s">
        <v>2004</v>
      </c>
      <c r="I3078" s="1" t="s">
        <v>12797</v>
      </c>
      <c r="J3078" s="1" t="s">
        <v>12798</v>
      </c>
      <c r="K3078" s="1">
        <v>2</v>
      </c>
      <c r="L3078" s="1" t="s">
        <v>4193</v>
      </c>
      <c r="M3078" s="1">
        <v>4</v>
      </c>
      <c r="N3078" s="1" t="s">
        <v>4194</v>
      </c>
    </row>
    <row r="3079" spans="1:14" x14ac:dyDescent="0.15">
      <c r="A3079" s="1">
        <v>524</v>
      </c>
      <c r="B3079" s="1" t="s">
        <v>2000</v>
      </c>
      <c r="C3079" s="1" t="s">
        <v>2001</v>
      </c>
      <c r="D3079" s="1" t="s">
        <v>2000</v>
      </c>
      <c r="E3079" s="1" t="s">
        <v>2001</v>
      </c>
      <c r="F3079" s="1" t="s">
        <v>2000</v>
      </c>
      <c r="G3079" s="1" t="s">
        <v>2003</v>
      </c>
      <c r="H3079" s="1" t="s">
        <v>2004</v>
      </c>
      <c r="I3079" s="1" t="s">
        <v>7541</v>
      </c>
      <c r="J3079" s="1" t="s">
        <v>1941</v>
      </c>
      <c r="K3079" s="1">
        <v>2</v>
      </c>
      <c r="L3079" s="1" t="s">
        <v>4193</v>
      </c>
      <c r="M3079" s="1">
        <v>4</v>
      </c>
      <c r="N3079" s="1" t="s">
        <v>4194</v>
      </c>
    </row>
    <row r="3080" spans="1:14" x14ac:dyDescent="0.15">
      <c r="A3080" s="1">
        <v>524</v>
      </c>
      <c r="B3080" s="1" t="s">
        <v>2000</v>
      </c>
      <c r="C3080" s="1" t="s">
        <v>2001</v>
      </c>
      <c r="D3080" s="1" t="s">
        <v>2000</v>
      </c>
      <c r="E3080" s="1" t="s">
        <v>2001</v>
      </c>
      <c r="F3080" s="1" t="s">
        <v>2000</v>
      </c>
      <c r="G3080" s="1" t="s">
        <v>2005</v>
      </c>
      <c r="H3080" s="1" t="s">
        <v>2006</v>
      </c>
      <c r="I3080" s="1" t="s">
        <v>12797</v>
      </c>
      <c r="J3080" s="1" t="s">
        <v>12798</v>
      </c>
      <c r="K3080" s="1">
        <v>2</v>
      </c>
      <c r="L3080" s="1" t="s">
        <v>4193</v>
      </c>
      <c r="M3080" s="1">
        <v>4</v>
      </c>
      <c r="N3080" s="1" t="s">
        <v>4194</v>
      </c>
    </row>
    <row r="3081" spans="1:14" x14ac:dyDescent="0.15">
      <c r="A3081" s="1">
        <v>524</v>
      </c>
      <c r="B3081" s="1" t="s">
        <v>2000</v>
      </c>
      <c r="C3081" s="1" t="s">
        <v>2001</v>
      </c>
      <c r="D3081" s="1" t="s">
        <v>2000</v>
      </c>
      <c r="E3081" s="1" t="s">
        <v>2001</v>
      </c>
      <c r="F3081" s="1" t="s">
        <v>2000</v>
      </c>
      <c r="G3081" s="1" t="s">
        <v>2005</v>
      </c>
      <c r="H3081" s="1" t="s">
        <v>2006</v>
      </c>
      <c r="I3081" s="1" t="s">
        <v>7541</v>
      </c>
      <c r="J3081" s="1" t="s">
        <v>1941</v>
      </c>
      <c r="K3081" s="1">
        <v>2</v>
      </c>
      <c r="L3081" s="1" t="s">
        <v>4193</v>
      </c>
      <c r="M3081" s="1">
        <v>4</v>
      </c>
      <c r="N3081" s="1" t="s">
        <v>4194</v>
      </c>
    </row>
    <row r="3082" spans="1:14" x14ac:dyDescent="0.15">
      <c r="A3082" s="1">
        <v>525</v>
      </c>
      <c r="B3082" s="1" t="s">
        <v>2007</v>
      </c>
      <c r="C3082" s="1" t="s">
        <v>2008</v>
      </c>
      <c r="D3082" s="1" t="s">
        <v>2007</v>
      </c>
      <c r="E3082" s="1" t="s">
        <v>2008</v>
      </c>
      <c r="F3082" s="1" t="s">
        <v>2007</v>
      </c>
      <c r="G3082" s="1" t="s">
        <v>2009</v>
      </c>
      <c r="H3082" s="1" t="s">
        <v>2007</v>
      </c>
      <c r="I3082" s="1" t="s">
        <v>14650</v>
      </c>
      <c r="J3082" s="1" t="s">
        <v>4447</v>
      </c>
      <c r="K3082" s="1">
        <v>9</v>
      </c>
      <c r="L3082" s="1" t="s">
        <v>4199</v>
      </c>
      <c r="M3082" s="1">
        <v>10</v>
      </c>
      <c r="N3082" s="1" t="s">
        <v>4237</v>
      </c>
    </row>
    <row r="3083" spans="1:14" x14ac:dyDescent="0.15">
      <c r="A3083" s="1">
        <v>525</v>
      </c>
      <c r="B3083" s="1" t="s">
        <v>2007</v>
      </c>
      <c r="C3083" s="1" t="s">
        <v>2008</v>
      </c>
      <c r="D3083" s="1" t="s">
        <v>2007</v>
      </c>
      <c r="E3083" s="1" t="s">
        <v>2008</v>
      </c>
      <c r="F3083" s="1" t="s">
        <v>2007</v>
      </c>
      <c r="G3083" s="1" t="s">
        <v>2010</v>
      </c>
      <c r="H3083" s="1" t="s">
        <v>2011</v>
      </c>
      <c r="I3083" s="1" t="s">
        <v>14650</v>
      </c>
      <c r="J3083" s="1" t="s">
        <v>4447</v>
      </c>
      <c r="K3083" s="1">
        <v>9</v>
      </c>
      <c r="L3083" s="1" t="s">
        <v>4199</v>
      </c>
      <c r="M3083" s="1">
        <v>10</v>
      </c>
      <c r="N3083" s="1" t="s">
        <v>4237</v>
      </c>
    </row>
    <row r="3084" spans="1:14" x14ac:dyDescent="0.15">
      <c r="A3084" s="1">
        <v>525</v>
      </c>
      <c r="B3084" s="1" t="s">
        <v>2007</v>
      </c>
      <c r="C3084" s="1" t="s">
        <v>2008</v>
      </c>
      <c r="D3084" s="1" t="s">
        <v>2007</v>
      </c>
      <c r="E3084" s="1" t="s">
        <v>2008</v>
      </c>
      <c r="F3084" s="1" t="s">
        <v>2007</v>
      </c>
      <c r="G3084" s="1" t="s">
        <v>2012</v>
      </c>
      <c r="H3084" s="1" t="s">
        <v>2013</v>
      </c>
      <c r="I3084" s="1" t="s">
        <v>14650</v>
      </c>
      <c r="J3084" s="1" t="s">
        <v>4447</v>
      </c>
      <c r="K3084" s="1">
        <v>9</v>
      </c>
      <c r="L3084" s="1" t="s">
        <v>4199</v>
      </c>
      <c r="M3084" s="1">
        <v>10</v>
      </c>
      <c r="N3084" s="1" t="s">
        <v>4237</v>
      </c>
    </row>
    <row r="3085" spans="1:14" x14ac:dyDescent="0.15">
      <c r="A3085" s="1">
        <v>526</v>
      </c>
      <c r="B3085" s="1" t="s">
        <v>2014</v>
      </c>
      <c r="C3085" s="1" t="s">
        <v>2015</v>
      </c>
      <c r="D3085" s="1" t="s">
        <v>2014</v>
      </c>
      <c r="E3085" s="1" t="s">
        <v>2015</v>
      </c>
      <c r="F3085" s="1" t="s">
        <v>2014</v>
      </c>
      <c r="G3085" s="1" t="s">
        <v>2016</v>
      </c>
      <c r="H3085" s="1" t="s">
        <v>2014</v>
      </c>
      <c r="I3085" s="1" t="s">
        <v>12805</v>
      </c>
      <c r="J3085" s="1" t="s">
        <v>1974</v>
      </c>
      <c r="K3085" s="1">
        <v>2</v>
      </c>
      <c r="L3085" s="1" t="s">
        <v>4193</v>
      </c>
      <c r="M3085" s="1">
        <v>4</v>
      </c>
      <c r="N3085" s="1" t="s">
        <v>4194</v>
      </c>
    </row>
    <row r="3086" spans="1:14" x14ac:dyDescent="0.15">
      <c r="A3086" s="1">
        <v>530</v>
      </c>
      <c r="B3086" s="1" t="s">
        <v>2017</v>
      </c>
      <c r="C3086" s="1" t="s">
        <v>2018</v>
      </c>
      <c r="D3086" s="1" t="s">
        <v>2017</v>
      </c>
      <c r="E3086" s="1" t="s">
        <v>2018</v>
      </c>
      <c r="F3086" s="1" t="s">
        <v>2017</v>
      </c>
      <c r="G3086" s="1" t="s">
        <v>2019</v>
      </c>
      <c r="H3086" s="1" t="s">
        <v>2017</v>
      </c>
      <c r="I3086" s="1" t="s">
        <v>7680</v>
      </c>
      <c r="J3086" s="1" t="s">
        <v>4396</v>
      </c>
      <c r="K3086" s="1">
        <v>10</v>
      </c>
      <c r="L3086" s="1" t="s">
        <v>4380</v>
      </c>
      <c r="M3086" s="1">
        <v>9</v>
      </c>
      <c r="N3086" s="1" t="s">
        <v>4381</v>
      </c>
    </row>
    <row r="3087" spans="1:14" x14ac:dyDescent="0.15">
      <c r="A3087" s="1">
        <v>531</v>
      </c>
      <c r="B3087" s="1" t="s">
        <v>2020</v>
      </c>
      <c r="C3087" s="1" t="s">
        <v>2021</v>
      </c>
      <c r="D3087" s="1" t="s">
        <v>2020</v>
      </c>
      <c r="E3087" s="1" t="s">
        <v>2021</v>
      </c>
      <c r="F3087" s="1" t="s">
        <v>2020</v>
      </c>
      <c r="G3087" s="1" t="s">
        <v>2022</v>
      </c>
      <c r="H3087" s="1" t="s">
        <v>2020</v>
      </c>
      <c r="I3087" s="1" t="s">
        <v>12797</v>
      </c>
      <c r="J3087" s="1" t="s">
        <v>12798</v>
      </c>
      <c r="K3087" s="1">
        <v>2</v>
      </c>
      <c r="L3087" s="1" t="s">
        <v>4193</v>
      </c>
      <c r="M3087" s="1">
        <v>4</v>
      </c>
      <c r="N3087" s="1" t="s">
        <v>4194</v>
      </c>
    </row>
    <row r="3088" spans="1:14" x14ac:dyDescent="0.15">
      <c r="A3088" s="1">
        <v>532</v>
      </c>
      <c r="B3088" s="1" t="s">
        <v>2023</v>
      </c>
      <c r="C3088" s="1" t="s">
        <v>2024</v>
      </c>
      <c r="D3088" s="1" t="s">
        <v>2023</v>
      </c>
      <c r="E3088" s="1" t="s">
        <v>2024</v>
      </c>
      <c r="F3088" s="1" t="s">
        <v>2023</v>
      </c>
      <c r="G3088" s="1" t="s">
        <v>2025</v>
      </c>
      <c r="H3088" s="1" t="s">
        <v>2023</v>
      </c>
      <c r="I3088" s="1" t="s">
        <v>15794</v>
      </c>
      <c r="J3088" s="1" t="s">
        <v>15791</v>
      </c>
      <c r="K3088" s="1">
        <v>13</v>
      </c>
      <c r="L3088" s="1" t="s">
        <v>4219</v>
      </c>
      <c r="M3088" s="1">
        <v>5</v>
      </c>
      <c r="N3088" s="1" t="s">
        <v>4342</v>
      </c>
    </row>
    <row r="3089" spans="1:14" x14ac:dyDescent="0.15">
      <c r="A3089" s="1">
        <v>533</v>
      </c>
      <c r="B3089" s="1" t="s">
        <v>2026</v>
      </c>
      <c r="C3089" s="1" t="s">
        <v>2027</v>
      </c>
      <c r="D3089" s="1" t="s">
        <v>2026</v>
      </c>
      <c r="E3089" s="1" t="s">
        <v>2027</v>
      </c>
      <c r="F3089" s="1" t="s">
        <v>2026</v>
      </c>
      <c r="G3089" s="1" t="s">
        <v>2028</v>
      </c>
      <c r="H3089" s="1" t="s">
        <v>2026</v>
      </c>
      <c r="I3089" s="1" t="s">
        <v>12855</v>
      </c>
      <c r="J3089" s="1" t="s">
        <v>12856</v>
      </c>
      <c r="K3089" s="1">
        <v>5</v>
      </c>
      <c r="L3089" s="1" t="s">
        <v>4206</v>
      </c>
      <c r="M3089" s="1">
        <v>6</v>
      </c>
      <c r="N3089" s="1" t="s">
        <v>4207</v>
      </c>
    </row>
    <row r="3090" spans="1:14" x14ac:dyDescent="0.15">
      <c r="A3090" s="1">
        <v>534</v>
      </c>
      <c r="B3090" s="1" t="s">
        <v>2029</v>
      </c>
      <c r="C3090" s="1" t="s">
        <v>2030</v>
      </c>
      <c r="D3090" s="1" t="s">
        <v>2029</v>
      </c>
      <c r="E3090" s="1" t="s">
        <v>2030</v>
      </c>
      <c r="F3090" s="1" t="s">
        <v>2029</v>
      </c>
      <c r="G3090" s="1" t="s">
        <v>2031</v>
      </c>
      <c r="H3090" s="1" t="s">
        <v>2029</v>
      </c>
      <c r="I3090" s="1" t="s">
        <v>12855</v>
      </c>
      <c r="J3090" s="1" t="s">
        <v>12856</v>
      </c>
      <c r="K3090" s="1">
        <v>5</v>
      </c>
      <c r="L3090" s="1" t="s">
        <v>4206</v>
      </c>
      <c r="M3090" s="1">
        <v>6</v>
      </c>
      <c r="N3090" s="1" t="s">
        <v>4207</v>
      </c>
    </row>
    <row r="3091" spans="1:14" x14ac:dyDescent="0.15">
      <c r="A3091" s="1">
        <v>535</v>
      </c>
      <c r="B3091" s="1" t="s">
        <v>2032</v>
      </c>
      <c r="C3091" s="1" t="s">
        <v>2033</v>
      </c>
      <c r="D3091" s="1" t="s">
        <v>2032</v>
      </c>
      <c r="E3091" s="1" t="s">
        <v>2033</v>
      </c>
      <c r="F3091" s="1" t="s">
        <v>2032</v>
      </c>
      <c r="G3091" s="1" t="s">
        <v>2034</v>
      </c>
      <c r="H3091" s="1" t="s">
        <v>2032</v>
      </c>
      <c r="I3091" s="1" t="s">
        <v>12805</v>
      </c>
      <c r="J3091" s="1" t="s">
        <v>1974</v>
      </c>
      <c r="K3091" s="1">
        <v>2</v>
      </c>
      <c r="L3091" s="1" t="s">
        <v>4193</v>
      </c>
      <c r="M3091" s="1">
        <v>4</v>
      </c>
      <c r="N3091" s="1" t="s">
        <v>4194</v>
      </c>
    </row>
    <row r="3092" spans="1:14" x14ac:dyDescent="0.15">
      <c r="A3092" s="1">
        <v>536</v>
      </c>
      <c r="B3092" s="1" t="s">
        <v>2035</v>
      </c>
      <c r="C3092" s="1" t="s">
        <v>2036</v>
      </c>
      <c r="D3092" s="1" t="s">
        <v>2035</v>
      </c>
      <c r="E3092" s="1" t="s">
        <v>2036</v>
      </c>
      <c r="F3092" s="1" t="s">
        <v>2035</v>
      </c>
      <c r="G3092" s="1" t="s">
        <v>2037</v>
      </c>
      <c r="H3092" s="1" t="s">
        <v>2035</v>
      </c>
      <c r="I3092" s="1" t="s">
        <v>12805</v>
      </c>
      <c r="J3092" s="1" t="s">
        <v>1974</v>
      </c>
      <c r="K3092" s="1">
        <v>2</v>
      </c>
      <c r="L3092" s="1" t="s">
        <v>4193</v>
      </c>
      <c r="M3092" s="1">
        <v>4</v>
      </c>
      <c r="N3092" s="1" t="s">
        <v>4194</v>
      </c>
    </row>
    <row r="3093" spans="1:14" x14ac:dyDescent="0.15">
      <c r="A3093" s="1">
        <v>540</v>
      </c>
      <c r="B3093" s="1" t="s">
        <v>2038</v>
      </c>
      <c r="C3093" s="1" t="s">
        <v>2039</v>
      </c>
      <c r="D3093" s="1" t="s">
        <v>2038</v>
      </c>
      <c r="E3093" s="1" t="s">
        <v>2039</v>
      </c>
      <c r="F3093" s="1" t="s">
        <v>2038</v>
      </c>
      <c r="G3093" s="1" t="s">
        <v>2040</v>
      </c>
      <c r="H3093" s="1" t="s">
        <v>2038</v>
      </c>
      <c r="I3093" s="1" t="s">
        <v>13670</v>
      </c>
      <c r="J3093" s="1" t="s">
        <v>13671</v>
      </c>
      <c r="K3093" s="1">
        <v>2</v>
      </c>
      <c r="L3093" s="1" t="s">
        <v>4193</v>
      </c>
      <c r="M3093" s="1">
        <v>4</v>
      </c>
      <c r="N3093" s="1" t="s">
        <v>4194</v>
      </c>
    </row>
    <row r="3094" spans="1:14" x14ac:dyDescent="0.15">
      <c r="A3094" s="1">
        <v>540</v>
      </c>
      <c r="B3094" s="1" t="s">
        <v>2038</v>
      </c>
      <c r="C3094" s="1" t="s">
        <v>2039</v>
      </c>
      <c r="D3094" s="1" t="s">
        <v>2038</v>
      </c>
      <c r="E3094" s="1" t="s">
        <v>2039</v>
      </c>
      <c r="F3094" s="1" t="s">
        <v>2038</v>
      </c>
      <c r="G3094" s="1" t="s">
        <v>2040</v>
      </c>
      <c r="H3094" s="1" t="s">
        <v>2038</v>
      </c>
      <c r="I3094" s="1" t="s">
        <v>8246</v>
      </c>
      <c r="J3094" s="1" t="s">
        <v>1449</v>
      </c>
      <c r="K3094" s="1">
        <v>2</v>
      </c>
      <c r="L3094" s="1" t="s">
        <v>4193</v>
      </c>
      <c r="M3094" s="1">
        <v>9</v>
      </c>
      <c r="N3094" s="1" t="s">
        <v>4381</v>
      </c>
    </row>
    <row r="3095" spans="1:14" x14ac:dyDescent="0.15">
      <c r="A3095" s="1">
        <v>540</v>
      </c>
      <c r="B3095" s="1" t="s">
        <v>2038</v>
      </c>
      <c r="C3095" s="1" t="s">
        <v>2039</v>
      </c>
      <c r="D3095" s="1" t="s">
        <v>2038</v>
      </c>
      <c r="E3095" s="1" t="s">
        <v>2039</v>
      </c>
      <c r="F3095" s="1" t="s">
        <v>2038</v>
      </c>
      <c r="G3095" s="1" t="s">
        <v>2040</v>
      </c>
      <c r="H3095" s="1" t="s">
        <v>2038</v>
      </c>
      <c r="I3095" s="1" t="s">
        <v>12797</v>
      </c>
      <c r="J3095" s="1" t="s">
        <v>12798</v>
      </c>
      <c r="K3095" s="1">
        <v>2</v>
      </c>
      <c r="L3095" s="1" t="s">
        <v>4193</v>
      </c>
      <c r="M3095" s="1">
        <v>9</v>
      </c>
      <c r="N3095" s="1" t="s">
        <v>4381</v>
      </c>
    </row>
    <row r="3096" spans="1:14" x14ac:dyDescent="0.15">
      <c r="A3096" s="1">
        <v>540</v>
      </c>
      <c r="B3096" s="1" t="s">
        <v>2038</v>
      </c>
      <c r="C3096" s="1" t="s">
        <v>2039</v>
      </c>
      <c r="D3096" s="1" t="s">
        <v>2038</v>
      </c>
      <c r="E3096" s="1" t="s">
        <v>2039</v>
      </c>
      <c r="F3096" s="1" t="s">
        <v>2038</v>
      </c>
      <c r="G3096" s="1" t="s">
        <v>2040</v>
      </c>
      <c r="H3096" s="1" t="s">
        <v>2038</v>
      </c>
      <c r="I3096" s="1" t="s">
        <v>12805</v>
      </c>
      <c r="J3096" s="1" t="s">
        <v>1974</v>
      </c>
      <c r="K3096" s="1">
        <v>2</v>
      </c>
      <c r="L3096" s="1" t="s">
        <v>4193</v>
      </c>
      <c r="M3096" s="1">
        <v>9</v>
      </c>
      <c r="N3096" s="1" t="s">
        <v>4381</v>
      </c>
    </row>
    <row r="3097" spans="1:14" x14ac:dyDescent="0.15">
      <c r="A3097" s="1">
        <v>541</v>
      </c>
      <c r="B3097" s="1" t="s">
        <v>2041</v>
      </c>
      <c r="C3097" s="1" t="s">
        <v>2042</v>
      </c>
      <c r="D3097" s="1" t="s">
        <v>2041</v>
      </c>
      <c r="E3097" s="1" t="s">
        <v>2042</v>
      </c>
      <c r="F3097" s="1" t="s">
        <v>2041</v>
      </c>
      <c r="G3097" s="1" t="s">
        <v>2043</v>
      </c>
      <c r="H3097" s="1" t="s">
        <v>2041</v>
      </c>
      <c r="I3097" s="1" t="s">
        <v>7680</v>
      </c>
      <c r="J3097" s="1" t="s">
        <v>4396</v>
      </c>
      <c r="K3097" s="1">
        <v>14</v>
      </c>
      <c r="L3097" s="1" t="s">
        <v>4307</v>
      </c>
      <c r="M3097" s="1">
        <v>9</v>
      </c>
      <c r="N3097" s="1" t="s">
        <v>4381</v>
      </c>
    </row>
    <row r="3098" spans="1:14" x14ac:dyDescent="0.15">
      <c r="A3098" s="1">
        <v>541</v>
      </c>
      <c r="B3098" s="1" t="s">
        <v>2041</v>
      </c>
      <c r="C3098" s="1" t="s">
        <v>2042</v>
      </c>
      <c r="D3098" s="1" t="s">
        <v>2041</v>
      </c>
      <c r="E3098" s="1" t="s">
        <v>2042</v>
      </c>
      <c r="F3098" s="1" t="s">
        <v>2041</v>
      </c>
      <c r="G3098" s="1" t="s">
        <v>2043</v>
      </c>
      <c r="H3098" s="1" t="s">
        <v>2041</v>
      </c>
      <c r="I3098" s="1" t="s">
        <v>7698</v>
      </c>
      <c r="J3098" s="1" t="s">
        <v>6740</v>
      </c>
      <c r="K3098" s="1">
        <v>14</v>
      </c>
      <c r="L3098" s="1" t="s">
        <v>4307</v>
      </c>
      <c r="M3098" s="1">
        <v>9</v>
      </c>
      <c r="N3098" s="1" t="s">
        <v>4381</v>
      </c>
    </row>
    <row r="3099" spans="1:14" x14ac:dyDescent="0.15">
      <c r="A3099" s="1">
        <v>541</v>
      </c>
      <c r="B3099" s="1" t="s">
        <v>2041</v>
      </c>
      <c r="C3099" s="1" t="s">
        <v>2042</v>
      </c>
      <c r="D3099" s="1" t="s">
        <v>2041</v>
      </c>
      <c r="E3099" s="1" t="s">
        <v>2042</v>
      </c>
      <c r="F3099" s="1" t="s">
        <v>2041</v>
      </c>
      <c r="G3099" s="1" t="s">
        <v>2043</v>
      </c>
      <c r="H3099" s="1" t="s">
        <v>2041</v>
      </c>
      <c r="I3099" s="1" t="s">
        <v>7284</v>
      </c>
      <c r="J3099" s="1" t="s">
        <v>17672</v>
      </c>
      <c r="K3099" s="1">
        <v>14</v>
      </c>
      <c r="L3099" s="1" t="s">
        <v>4307</v>
      </c>
      <c r="M3099" s="1">
        <v>9</v>
      </c>
      <c r="N3099" s="1" t="s">
        <v>4381</v>
      </c>
    </row>
    <row r="3100" spans="1:14" x14ac:dyDescent="0.15">
      <c r="A3100" s="1">
        <v>541</v>
      </c>
      <c r="B3100" s="1" t="s">
        <v>2041</v>
      </c>
      <c r="C3100" s="1" t="s">
        <v>2042</v>
      </c>
      <c r="D3100" s="1" t="s">
        <v>2041</v>
      </c>
      <c r="E3100" s="1" t="s">
        <v>2042</v>
      </c>
      <c r="F3100" s="1" t="s">
        <v>2041</v>
      </c>
      <c r="G3100" s="1" t="s">
        <v>2044</v>
      </c>
      <c r="H3100" s="1" t="s">
        <v>2045</v>
      </c>
      <c r="I3100" s="1" t="s">
        <v>7680</v>
      </c>
      <c r="J3100" s="1" t="s">
        <v>4396</v>
      </c>
      <c r="K3100" s="1">
        <v>14</v>
      </c>
      <c r="L3100" s="1" t="s">
        <v>4307</v>
      </c>
      <c r="M3100" s="1">
        <v>9</v>
      </c>
      <c r="N3100" s="1" t="s">
        <v>4381</v>
      </c>
    </row>
    <row r="3101" spans="1:14" x14ac:dyDescent="0.15">
      <c r="A3101" s="1">
        <v>541</v>
      </c>
      <c r="B3101" s="1" t="s">
        <v>2041</v>
      </c>
      <c r="C3101" s="1" t="s">
        <v>2042</v>
      </c>
      <c r="D3101" s="1" t="s">
        <v>2041</v>
      </c>
      <c r="E3101" s="1" t="s">
        <v>2042</v>
      </c>
      <c r="F3101" s="1" t="s">
        <v>2041</v>
      </c>
      <c r="G3101" s="1" t="s">
        <v>2044</v>
      </c>
      <c r="H3101" s="1" t="s">
        <v>2045</v>
      </c>
      <c r="I3101" s="1" t="s">
        <v>7698</v>
      </c>
      <c r="J3101" s="1" t="s">
        <v>6740</v>
      </c>
      <c r="K3101" s="1">
        <v>14</v>
      </c>
      <c r="L3101" s="1" t="s">
        <v>4307</v>
      </c>
      <c r="M3101" s="1">
        <v>9</v>
      </c>
      <c r="N3101" s="1" t="s">
        <v>4381</v>
      </c>
    </row>
    <row r="3102" spans="1:14" x14ac:dyDescent="0.15">
      <c r="A3102" s="1">
        <v>541</v>
      </c>
      <c r="B3102" s="1" t="s">
        <v>2041</v>
      </c>
      <c r="C3102" s="1" t="s">
        <v>2042</v>
      </c>
      <c r="D3102" s="1" t="s">
        <v>2041</v>
      </c>
      <c r="E3102" s="1" t="s">
        <v>2042</v>
      </c>
      <c r="F3102" s="1" t="s">
        <v>2041</v>
      </c>
      <c r="G3102" s="1" t="s">
        <v>2044</v>
      </c>
      <c r="H3102" s="1" t="s">
        <v>2045</v>
      </c>
      <c r="I3102" s="1" t="s">
        <v>7284</v>
      </c>
      <c r="J3102" s="1" t="s">
        <v>17672</v>
      </c>
      <c r="K3102" s="1">
        <v>14</v>
      </c>
      <c r="L3102" s="1" t="s">
        <v>4307</v>
      </c>
      <c r="M3102" s="1">
        <v>9</v>
      </c>
      <c r="N3102" s="1" t="s">
        <v>4381</v>
      </c>
    </row>
    <row r="3103" spans="1:14" x14ac:dyDescent="0.15">
      <c r="A3103" s="1">
        <v>541</v>
      </c>
      <c r="B3103" s="1" t="s">
        <v>2041</v>
      </c>
      <c r="C3103" s="1" t="s">
        <v>2042</v>
      </c>
      <c r="D3103" s="1" t="s">
        <v>2041</v>
      </c>
      <c r="E3103" s="1" t="s">
        <v>2042</v>
      </c>
      <c r="F3103" s="1" t="s">
        <v>2041</v>
      </c>
      <c r="G3103" s="1" t="s">
        <v>2046</v>
      </c>
      <c r="H3103" s="1" t="s">
        <v>2047</v>
      </c>
      <c r="I3103" s="1" t="s">
        <v>7680</v>
      </c>
      <c r="J3103" s="1" t="s">
        <v>2048</v>
      </c>
      <c r="K3103" s="1">
        <v>14</v>
      </c>
      <c r="L3103" s="1" t="s">
        <v>4307</v>
      </c>
      <c r="M3103" s="1">
        <v>9</v>
      </c>
      <c r="N3103" s="1" t="s">
        <v>4381</v>
      </c>
    </row>
    <row r="3104" spans="1:14" x14ac:dyDescent="0.15">
      <c r="A3104" s="1">
        <v>496</v>
      </c>
      <c r="B3104" s="1" t="s">
        <v>1922</v>
      </c>
      <c r="C3104" s="1" t="s">
        <v>2049</v>
      </c>
      <c r="D3104" s="1" t="s">
        <v>2050</v>
      </c>
      <c r="E3104" s="1" t="s">
        <v>2049</v>
      </c>
      <c r="F3104" s="1" t="s">
        <v>2050</v>
      </c>
      <c r="G3104" s="1" t="s">
        <v>2049</v>
      </c>
      <c r="H3104" s="1" t="s">
        <v>2050</v>
      </c>
      <c r="I3104" s="1" t="s">
        <v>7689</v>
      </c>
      <c r="J3104" s="1" t="s">
        <v>17593</v>
      </c>
      <c r="K3104" s="1">
        <v>11</v>
      </c>
      <c r="L3104" s="1" t="s">
        <v>4227</v>
      </c>
      <c r="M3104" s="1">
        <v>14</v>
      </c>
      <c r="N3104" s="1" t="s">
        <v>4220</v>
      </c>
    </row>
    <row r="3105" spans="1:14" x14ac:dyDescent="0.15">
      <c r="A3105" s="1">
        <v>541</v>
      </c>
      <c r="B3105" s="1" t="s">
        <v>2041</v>
      </c>
      <c r="C3105" s="1" t="s">
        <v>2042</v>
      </c>
      <c r="D3105" s="1" t="s">
        <v>2041</v>
      </c>
      <c r="E3105" s="1" t="s">
        <v>2042</v>
      </c>
      <c r="F3105" s="1" t="s">
        <v>2041</v>
      </c>
      <c r="G3105" s="1" t="s">
        <v>2046</v>
      </c>
      <c r="H3105" s="1" t="s">
        <v>2047</v>
      </c>
      <c r="I3105" s="1" t="s">
        <v>7698</v>
      </c>
      <c r="J3105" s="1" t="s">
        <v>6740</v>
      </c>
      <c r="K3105" s="1">
        <v>14</v>
      </c>
      <c r="L3105" s="1" t="s">
        <v>4307</v>
      </c>
      <c r="M3105" s="1">
        <v>9</v>
      </c>
      <c r="N3105" s="1" t="s">
        <v>4381</v>
      </c>
    </row>
    <row r="3106" spans="1:14" x14ac:dyDescent="0.15">
      <c r="A3106" s="1">
        <v>541</v>
      </c>
      <c r="B3106" s="1" t="s">
        <v>2041</v>
      </c>
      <c r="C3106" s="1" t="s">
        <v>2042</v>
      </c>
      <c r="D3106" s="1" t="s">
        <v>2041</v>
      </c>
      <c r="E3106" s="1" t="s">
        <v>2042</v>
      </c>
      <c r="F3106" s="1" t="s">
        <v>2041</v>
      </c>
      <c r="G3106" s="1" t="s">
        <v>2046</v>
      </c>
      <c r="H3106" s="1" t="s">
        <v>2047</v>
      </c>
      <c r="I3106" s="1" t="s">
        <v>7284</v>
      </c>
      <c r="J3106" s="1" t="s">
        <v>17672</v>
      </c>
      <c r="K3106" s="1">
        <v>14</v>
      </c>
      <c r="L3106" s="1" t="s">
        <v>4307</v>
      </c>
      <c r="M3106" s="1">
        <v>9</v>
      </c>
      <c r="N3106" s="1" t="s">
        <v>4381</v>
      </c>
    </row>
    <row r="3107" spans="1:14" x14ac:dyDescent="0.15">
      <c r="A3107" s="1">
        <v>542</v>
      </c>
      <c r="B3107" s="1" t="s">
        <v>2051</v>
      </c>
      <c r="C3107" s="1" t="s">
        <v>2052</v>
      </c>
      <c r="D3107" s="1" t="s">
        <v>2053</v>
      </c>
      <c r="E3107" s="1" t="s">
        <v>2052</v>
      </c>
      <c r="F3107" s="1" t="s">
        <v>2053</v>
      </c>
      <c r="G3107" s="1" t="s">
        <v>2054</v>
      </c>
      <c r="H3107" s="1" t="s">
        <v>2051</v>
      </c>
      <c r="I3107" s="1" t="s">
        <v>12805</v>
      </c>
      <c r="J3107" s="1" t="s">
        <v>1974</v>
      </c>
      <c r="K3107" s="1">
        <v>2</v>
      </c>
      <c r="L3107" s="1" t="s">
        <v>4193</v>
      </c>
      <c r="M3107" s="1">
        <v>4</v>
      </c>
      <c r="N3107" s="1" t="s">
        <v>4194</v>
      </c>
    </row>
    <row r="3108" spans="1:14" x14ac:dyDescent="0.15">
      <c r="A3108" s="1">
        <v>550</v>
      </c>
      <c r="B3108" s="1" t="s">
        <v>2055</v>
      </c>
      <c r="C3108" s="1" t="s">
        <v>2056</v>
      </c>
      <c r="D3108" s="1" t="s">
        <v>2055</v>
      </c>
      <c r="E3108" s="1" t="s">
        <v>2056</v>
      </c>
      <c r="F3108" s="1" t="s">
        <v>2055</v>
      </c>
      <c r="G3108" s="1" t="s">
        <v>2057</v>
      </c>
      <c r="H3108" s="1" t="s">
        <v>2055</v>
      </c>
      <c r="I3108" s="1" t="s">
        <v>12805</v>
      </c>
      <c r="J3108" s="1" t="s">
        <v>1974</v>
      </c>
      <c r="K3108" s="1">
        <v>14</v>
      </c>
      <c r="L3108" s="1" t="s">
        <v>4307</v>
      </c>
      <c r="M3108" s="1">
        <v>16</v>
      </c>
      <c r="N3108" s="1" t="s">
        <v>4308</v>
      </c>
    </row>
    <row r="3109" spans="1:14" x14ac:dyDescent="0.15">
      <c r="A3109" s="1">
        <v>551</v>
      </c>
      <c r="B3109" s="1" t="s">
        <v>2058</v>
      </c>
      <c r="C3109" s="1" t="s">
        <v>2059</v>
      </c>
      <c r="D3109" s="1" t="s">
        <v>2058</v>
      </c>
      <c r="E3109" s="1" t="s">
        <v>2059</v>
      </c>
      <c r="F3109" s="1" t="s">
        <v>2058</v>
      </c>
      <c r="G3109" s="1" t="s">
        <v>2060</v>
      </c>
      <c r="H3109" s="1" t="s">
        <v>2058</v>
      </c>
      <c r="I3109" s="1" t="s">
        <v>4494</v>
      </c>
      <c r="J3109" s="1" t="s">
        <v>4495</v>
      </c>
      <c r="K3109" s="1">
        <v>2</v>
      </c>
      <c r="L3109" s="1" t="s">
        <v>4193</v>
      </c>
      <c r="M3109" s="1">
        <v>4</v>
      </c>
      <c r="N3109" s="1" t="s">
        <v>4194</v>
      </c>
    </row>
    <row r="3110" spans="1:14" x14ac:dyDescent="0.15">
      <c r="A3110" s="1">
        <v>552</v>
      </c>
      <c r="B3110" s="1" t="s">
        <v>2061</v>
      </c>
      <c r="C3110" s="1" t="s">
        <v>2062</v>
      </c>
      <c r="D3110" s="1" t="s">
        <v>2061</v>
      </c>
      <c r="E3110" s="1" t="s">
        <v>2062</v>
      </c>
      <c r="F3110" s="1" t="s">
        <v>2061</v>
      </c>
      <c r="G3110" s="1" t="s">
        <v>2063</v>
      </c>
      <c r="H3110" s="1" t="s">
        <v>2061</v>
      </c>
      <c r="I3110" s="1" t="s">
        <v>11879</v>
      </c>
      <c r="J3110" s="1" t="s">
        <v>4278</v>
      </c>
      <c r="K3110" s="1">
        <v>99</v>
      </c>
      <c r="L3110" s="1" t="s">
        <v>3321</v>
      </c>
      <c r="M3110" s="1">
        <v>99</v>
      </c>
      <c r="N3110" s="1" t="s">
        <v>3321</v>
      </c>
    </row>
    <row r="3111" spans="1:14" x14ac:dyDescent="0.15">
      <c r="A3111" s="1">
        <v>552</v>
      </c>
      <c r="B3111" s="1" t="s">
        <v>2061</v>
      </c>
      <c r="C3111" s="1" t="s">
        <v>2064</v>
      </c>
      <c r="D3111" s="1" t="s">
        <v>2065</v>
      </c>
      <c r="E3111" s="1" t="s">
        <v>2064</v>
      </c>
      <c r="F3111" s="1" t="s">
        <v>2065</v>
      </c>
      <c r="G3111" s="1" t="s">
        <v>2066</v>
      </c>
      <c r="H3111" s="1" t="s">
        <v>2065</v>
      </c>
      <c r="I3111" s="1" t="s">
        <v>4494</v>
      </c>
      <c r="J3111" s="1" t="s">
        <v>4495</v>
      </c>
      <c r="K3111" s="1">
        <v>9</v>
      </c>
      <c r="L3111" s="1" t="s">
        <v>4199</v>
      </c>
      <c r="M3111" s="1">
        <v>12</v>
      </c>
      <c r="N3111" s="1" t="s">
        <v>2841</v>
      </c>
    </row>
    <row r="3112" spans="1:14" x14ac:dyDescent="0.15">
      <c r="A3112" s="1">
        <v>552</v>
      </c>
      <c r="B3112" s="1" t="s">
        <v>2061</v>
      </c>
      <c r="C3112" s="1" t="s">
        <v>2067</v>
      </c>
      <c r="D3112" s="1" t="s">
        <v>2068</v>
      </c>
      <c r="E3112" s="1" t="s">
        <v>2067</v>
      </c>
      <c r="F3112" s="1" t="s">
        <v>2068</v>
      </c>
      <c r="G3112" s="1" t="s">
        <v>2069</v>
      </c>
      <c r="H3112" s="1" t="s">
        <v>2068</v>
      </c>
      <c r="I3112" s="1" t="s">
        <v>4494</v>
      </c>
      <c r="J3112" s="1" t="s">
        <v>4495</v>
      </c>
      <c r="K3112" s="1">
        <v>14</v>
      </c>
      <c r="L3112" s="1" t="s">
        <v>4307</v>
      </c>
      <c r="M3112" s="1">
        <v>16</v>
      </c>
      <c r="N3112" s="1" t="s">
        <v>4308</v>
      </c>
    </row>
    <row r="3113" spans="1:14" x14ac:dyDescent="0.15">
      <c r="A3113" s="1">
        <v>553</v>
      </c>
      <c r="B3113" s="1" t="s">
        <v>2070</v>
      </c>
      <c r="C3113" s="1" t="s">
        <v>2071</v>
      </c>
      <c r="D3113" s="1" t="s">
        <v>2070</v>
      </c>
      <c r="E3113" s="1" t="s">
        <v>2071</v>
      </c>
      <c r="F3113" s="1" t="s">
        <v>2070</v>
      </c>
      <c r="G3113" s="1" t="s">
        <v>2072</v>
      </c>
      <c r="H3113" s="1" t="s">
        <v>2070</v>
      </c>
      <c r="I3113" s="1" t="s">
        <v>4494</v>
      </c>
      <c r="J3113" s="1" t="s">
        <v>4495</v>
      </c>
      <c r="K3113" s="1">
        <v>15</v>
      </c>
      <c r="L3113" s="1" t="s">
        <v>2073</v>
      </c>
      <c r="M3113" s="1">
        <v>2</v>
      </c>
      <c r="N3113" s="1" t="s">
        <v>4283</v>
      </c>
    </row>
    <row r="3114" spans="1:14" x14ac:dyDescent="0.15">
      <c r="A3114" s="1">
        <v>554</v>
      </c>
      <c r="B3114" s="1" t="s">
        <v>2074</v>
      </c>
      <c r="C3114" s="1" t="s">
        <v>2075</v>
      </c>
      <c r="D3114" s="1" t="s">
        <v>2074</v>
      </c>
      <c r="E3114" s="1" t="s">
        <v>2075</v>
      </c>
      <c r="F3114" s="1" t="s">
        <v>2074</v>
      </c>
      <c r="G3114" s="1" t="s">
        <v>2076</v>
      </c>
      <c r="H3114" s="1" t="s">
        <v>2074</v>
      </c>
      <c r="I3114" s="1" t="s">
        <v>12805</v>
      </c>
      <c r="J3114" s="1" t="s">
        <v>1974</v>
      </c>
      <c r="K3114" s="1">
        <v>14</v>
      </c>
      <c r="L3114" s="1" t="s">
        <v>4307</v>
      </c>
      <c r="M3114" s="1">
        <v>16</v>
      </c>
      <c r="N3114" s="1" t="s">
        <v>4308</v>
      </c>
    </row>
    <row r="3115" spans="1:14" x14ac:dyDescent="0.15">
      <c r="A3115" s="1">
        <v>555</v>
      </c>
      <c r="B3115" s="1" t="s">
        <v>2077</v>
      </c>
      <c r="C3115" s="1" t="s">
        <v>2078</v>
      </c>
      <c r="D3115" s="1" t="s">
        <v>2077</v>
      </c>
      <c r="E3115" s="1" t="s">
        <v>2078</v>
      </c>
      <c r="F3115" s="1" t="s">
        <v>2077</v>
      </c>
      <c r="G3115" s="1" t="s">
        <v>2079</v>
      </c>
      <c r="H3115" s="1" t="s">
        <v>2077</v>
      </c>
      <c r="I3115" s="1" t="s">
        <v>12805</v>
      </c>
      <c r="J3115" s="1" t="s">
        <v>1974</v>
      </c>
      <c r="K3115" s="1">
        <v>14</v>
      </c>
      <c r="L3115" s="1" t="s">
        <v>4307</v>
      </c>
      <c r="M3115" s="1">
        <v>16</v>
      </c>
      <c r="N3115" s="1" t="s">
        <v>4308</v>
      </c>
    </row>
    <row r="3116" spans="1:14" x14ac:dyDescent="0.15">
      <c r="A3116" s="1">
        <v>556</v>
      </c>
      <c r="B3116" s="1" t="s">
        <v>2080</v>
      </c>
      <c r="C3116" s="1" t="s">
        <v>2081</v>
      </c>
      <c r="D3116" s="1" t="s">
        <v>2080</v>
      </c>
      <c r="E3116" s="1" t="s">
        <v>2081</v>
      </c>
      <c r="F3116" s="1" t="s">
        <v>2080</v>
      </c>
      <c r="G3116" s="1" t="s">
        <v>2082</v>
      </c>
      <c r="H3116" s="1" t="s">
        <v>2080</v>
      </c>
      <c r="I3116" s="1" t="s">
        <v>12805</v>
      </c>
      <c r="J3116" s="1" t="s">
        <v>1974</v>
      </c>
      <c r="K3116" s="1">
        <v>14</v>
      </c>
      <c r="L3116" s="1" t="s">
        <v>4307</v>
      </c>
      <c r="M3116" s="1">
        <v>16</v>
      </c>
      <c r="N3116" s="1" t="s">
        <v>4308</v>
      </c>
    </row>
    <row r="3117" spans="1:14" x14ac:dyDescent="0.15">
      <c r="A3117" s="1">
        <v>560</v>
      </c>
      <c r="B3117" s="1" t="s">
        <v>2083</v>
      </c>
      <c r="C3117" s="1" t="s">
        <v>2084</v>
      </c>
      <c r="D3117" s="1" t="s">
        <v>2083</v>
      </c>
      <c r="E3117" s="1" t="s">
        <v>2084</v>
      </c>
      <c r="F3117" s="1" t="s">
        <v>2083</v>
      </c>
      <c r="G3117" s="1" t="s">
        <v>2085</v>
      </c>
      <c r="H3117" s="1" t="s">
        <v>2083</v>
      </c>
      <c r="I3117" s="1" t="s">
        <v>7535</v>
      </c>
      <c r="J3117" s="1" t="s">
        <v>2086</v>
      </c>
      <c r="K3117" s="1">
        <v>7</v>
      </c>
      <c r="L3117" s="1" t="s">
        <v>4299</v>
      </c>
      <c r="M3117" s="1">
        <v>16</v>
      </c>
      <c r="N3117" s="1" t="s">
        <v>4308</v>
      </c>
    </row>
    <row r="3118" spans="1:14" x14ac:dyDescent="0.15">
      <c r="A3118" s="1">
        <v>561</v>
      </c>
      <c r="B3118" s="1" t="s">
        <v>2087</v>
      </c>
      <c r="C3118" s="1" t="s">
        <v>2088</v>
      </c>
      <c r="D3118" s="1" t="s">
        <v>2087</v>
      </c>
      <c r="E3118" s="1" t="s">
        <v>2088</v>
      </c>
      <c r="F3118" s="1" t="s">
        <v>2087</v>
      </c>
      <c r="G3118" s="1" t="s">
        <v>2089</v>
      </c>
      <c r="H3118" s="1" t="s">
        <v>2087</v>
      </c>
      <c r="I3118" s="1" t="s">
        <v>12805</v>
      </c>
      <c r="J3118" s="1" t="s">
        <v>1974</v>
      </c>
      <c r="K3118" s="1">
        <v>2</v>
      </c>
      <c r="L3118" s="1" t="s">
        <v>4193</v>
      </c>
      <c r="M3118" s="1">
        <v>4</v>
      </c>
      <c r="N3118" s="1" t="s">
        <v>4194</v>
      </c>
    </row>
    <row r="3119" spans="1:14" x14ac:dyDescent="0.15">
      <c r="A3119" s="1">
        <v>561</v>
      </c>
      <c r="B3119" s="1" t="s">
        <v>2087</v>
      </c>
      <c r="C3119" s="1" t="s">
        <v>2088</v>
      </c>
      <c r="D3119" s="1" t="s">
        <v>2087</v>
      </c>
      <c r="E3119" s="1" t="s">
        <v>2088</v>
      </c>
      <c r="F3119" s="1" t="s">
        <v>2087</v>
      </c>
      <c r="G3119" s="1" t="s">
        <v>2089</v>
      </c>
      <c r="H3119" s="1" t="s">
        <v>2087</v>
      </c>
      <c r="I3119" s="1" t="s">
        <v>7538</v>
      </c>
      <c r="J3119" s="1" t="s">
        <v>2090</v>
      </c>
      <c r="K3119" s="1">
        <v>2</v>
      </c>
      <c r="L3119" s="1" t="s">
        <v>4193</v>
      </c>
      <c r="M3119" s="1">
        <v>4</v>
      </c>
      <c r="N3119" s="1" t="s">
        <v>4194</v>
      </c>
    </row>
    <row r="3120" spans="1:14" x14ac:dyDescent="0.15">
      <c r="A3120" s="1">
        <v>562</v>
      </c>
      <c r="B3120" s="1" t="s">
        <v>2091</v>
      </c>
      <c r="C3120" s="1" t="s">
        <v>2092</v>
      </c>
      <c r="D3120" s="1" t="s">
        <v>2091</v>
      </c>
      <c r="E3120" s="1" t="s">
        <v>2092</v>
      </c>
      <c r="F3120" s="1" t="s">
        <v>2091</v>
      </c>
      <c r="G3120" s="1" t="s">
        <v>2093</v>
      </c>
      <c r="H3120" s="1" t="s">
        <v>2091</v>
      </c>
      <c r="I3120" s="1" t="s">
        <v>9995</v>
      </c>
      <c r="J3120" s="1" t="s">
        <v>1831</v>
      </c>
      <c r="K3120" s="1">
        <v>11</v>
      </c>
      <c r="L3120" s="1" t="s">
        <v>4227</v>
      </c>
      <c r="M3120" s="1">
        <v>14</v>
      </c>
      <c r="N3120" s="1" t="s">
        <v>4220</v>
      </c>
    </row>
    <row r="3121" spans="1:14" x14ac:dyDescent="0.15">
      <c r="A3121" s="1">
        <v>562</v>
      </c>
      <c r="B3121" s="1" t="s">
        <v>2091</v>
      </c>
      <c r="C3121" s="1" t="s">
        <v>2092</v>
      </c>
      <c r="D3121" s="1" t="s">
        <v>2091</v>
      </c>
      <c r="E3121" s="1" t="s">
        <v>2092</v>
      </c>
      <c r="F3121" s="1" t="s">
        <v>2091</v>
      </c>
      <c r="G3121" s="1" t="s">
        <v>2094</v>
      </c>
      <c r="H3121" s="1" t="s">
        <v>2095</v>
      </c>
      <c r="I3121" s="1" t="s">
        <v>9995</v>
      </c>
      <c r="J3121" s="1" t="s">
        <v>1831</v>
      </c>
      <c r="K3121" s="1">
        <v>11</v>
      </c>
      <c r="L3121" s="1" t="s">
        <v>4227</v>
      </c>
      <c r="M3121" s="1">
        <v>14</v>
      </c>
      <c r="N3121" s="1" t="s">
        <v>4220</v>
      </c>
    </row>
    <row r="3122" spans="1:14" x14ac:dyDescent="0.15">
      <c r="A3122" s="1">
        <v>562</v>
      </c>
      <c r="B3122" s="1" t="s">
        <v>2091</v>
      </c>
      <c r="C3122" s="1" t="s">
        <v>2092</v>
      </c>
      <c r="D3122" s="1" t="s">
        <v>2091</v>
      </c>
      <c r="E3122" s="1" t="s">
        <v>2092</v>
      </c>
      <c r="F3122" s="1" t="s">
        <v>2091</v>
      </c>
      <c r="G3122" s="1" t="s">
        <v>2096</v>
      </c>
      <c r="H3122" s="1" t="s">
        <v>2097</v>
      </c>
      <c r="I3122" s="1" t="s">
        <v>9995</v>
      </c>
      <c r="J3122" s="1" t="s">
        <v>1831</v>
      </c>
      <c r="K3122" s="1">
        <v>11</v>
      </c>
      <c r="L3122" s="1" t="s">
        <v>4227</v>
      </c>
      <c r="M3122" s="1">
        <v>14</v>
      </c>
      <c r="N3122" s="1" t="s">
        <v>4220</v>
      </c>
    </row>
    <row r="3123" spans="1:14" x14ac:dyDescent="0.15">
      <c r="A3123" s="1">
        <v>562</v>
      </c>
      <c r="B3123" s="1" t="s">
        <v>2091</v>
      </c>
      <c r="C3123" s="1" t="s">
        <v>2092</v>
      </c>
      <c r="D3123" s="1" t="s">
        <v>2091</v>
      </c>
      <c r="E3123" s="1" t="s">
        <v>2092</v>
      </c>
      <c r="F3123" s="1" t="s">
        <v>2091</v>
      </c>
      <c r="G3123" s="1" t="s">
        <v>2098</v>
      </c>
      <c r="H3123" s="1" t="s">
        <v>2099</v>
      </c>
      <c r="I3123" s="1" t="s">
        <v>9995</v>
      </c>
      <c r="J3123" s="1" t="s">
        <v>1831</v>
      </c>
      <c r="K3123" s="1">
        <v>11</v>
      </c>
      <c r="L3123" s="1" t="s">
        <v>4227</v>
      </c>
      <c r="M3123" s="1">
        <v>14</v>
      </c>
      <c r="N3123" s="1" t="s">
        <v>4220</v>
      </c>
    </row>
    <row r="3124" spans="1:14" x14ac:dyDescent="0.15">
      <c r="A3124" s="1">
        <v>562</v>
      </c>
      <c r="B3124" s="1" t="s">
        <v>2091</v>
      </c>
      <c r="C3124" s="1" t="s">
        <v>2092</v>
      </c>
      <c r="D3124" s="1" t="s">
        <v>2091</v>
      </c>
      <c r="E3124" s="1" t="s">
        <v>2092</v>
      </c>
      <c r="F3124" s="1" t="s">
        <v>2091</v>
      </c>
      <c r="G3124" s="1" t="s">
        <v>2100</v>
      </c>
      <c r="H3124" s="1" t="s">
        <v>2101</v>
      </c>
      <c r="I3124" s="1" t="s">
        <v>9995</v>
      </c>
      <c r="J3124" s="1" t="s">
        <v>1831</v>
      </c>
      <c r="K3124" s="1">
        <v>11</v>
      </c>
      <c r="L3124" s="1" t="s">
        <v>4227</v>
      </c>
      <c r="M3124" s="1">
        <v>14</v>
      </c>
      <c r="N3124" s="1" t="s">
        <v>4220</v>
      </c>
    </row>
    <row r="3125" spans="1:14" x14ac:dyDescent="0.15">
      <c r="A3125" s="1">
        <v>563</v>
      </c>
      <c r="B3125" s="1" t="s">
        <v>2102</v>
      </c>
      <c r="C3125" s="1" t="s">
        <v>2103</v>
      </c>
      <c r="D3125" s="1" t="s">
        <v>2102</v>
      </c>
      <c r="E3125" s="1" t="s">
        <v>2103</v>
      </c>
      <c r="F3125" s="1" t="s">
        <v>2102</v>
      </c>
      <c r="G3125" s="1" t="s">
        <v>2104</v>
      </c>
      <c r="H3125" s="1" t="s">
        <v>2102</v>
      </c>
      <c r="I3125" s="1" t="s">
        <v>12805</v>
      </c>
      <c r="J3125" s="1" t="s">
        <v>1974</v>
      </c>
      <c r="K3125" s="1">
        <v>7</v>
      </c>
      <c r="L3125" s="1" t="s">
        <v>4299</v>
      </c>
      <c r="M3125" s="1">
        <v>15</v>
      </c>
      <c r="N3125" s="1" t="s">
        <v>4365</v>
      </c>
    </row>
    <row r="3126" spans="1:14" x14ac:dyDescent="0.15">
      <c r="A3126" s="1">
        <v>570</v>
      </c>
      <c r="B3126" s="1" t="s">
        <v>2105</v>
      </c>
      <c r="C3126" s="1" t="s">
        <v>2106</v>
      </c>
      <c r="D3126" s="1" t="s">
        <v>2105</v>
      </c>
      <c r="E3126" s="1" t="s">
        <v>2106</v>
      </c>
      <c r="F3126" s="1" t="s">
        <v>2105</v>
      </c>
      <c r="G3126" s="1" t="s">
        <v>2107</v>
      </c>
      <c r="H3126" s="1" t="s">
        <v>2105</v>
      </c>
      <c r="I3126" s="1" t="s">
        <v>11879</v>
      </c>
      <c r="J3126" s="1" t="s">
        <v>4278</v>
      </c>
      <c r="K3126" s="1">
        <v>2</v>
      </c>
      <c r="L3126" s="1" t="s">
        <v>4193</v>
      </c>
      <c r="M3126" s="1">
        <v>4</v>
      </c>
      <c r="N3126" s="1" t="s">
        <v>4194</v>
      </c>
    </row>
    <row r="3127" spans="1:14" x14ac:dyDescent="0.15">
      <c r="A3127" s="1">
        <v>570</v>
      </c>
      <c r="B3127" s="1" t="s">
        <v>2105</v>
      </c>
      <c r="C3127" s="1" t="s">
        <v>2108</v>
      </c>
      <c r="D3127" s="1" t="s">
        <v>2109</v>
      </c>
      <c r="E3127" s="1" t="s">
        <v>2108</v>
      </c>
      <c r="F3127" s="1" t="s">
        <v>2109</v>
      </c>
      <c r="G3127" s="1" t="s">
        <v>2110</v>
      </c>
      <c r="H3127" s="1" t="s">
        <v>2109</v>
      </c>
      <c r="I3127" s="1" t="s">
        <v>8256</v>
      </c>
      <c r="J3127" s="1" t="s">
        <v>1450</v>
      </c>
      <c r="K3127" s="1">
        <v>2</v>
      </c>
      <c r="L3127" s="1" t="s">
        <v>4193</v>
      </c>
      <c r="M3127" s="1">
        <v>4</v>
      </c>
      <c r="N3127" s="1" t="s">
        <v>4194</v>
      </c>
    </row>
    <row r="3128" spans="1:14" x14ac:dyDescent="0.15">
      <c r="A3128" s="1">
        <v>570</v>
      </c>
      <c r="B3128" s="1" t="s">
        <v>2105</v>
      </c>
      <c r="C3128" s="1" t="s">
        <v>2108</v>
      </c>
      <c r="D3128" s="1" t="s">
        <v>2109</v>
      </c>
      <c r="E3128" s="1" t="s">
        <v>2108</v>
      </c>
      <c r="F3128" s="1" t="s">
        <v>2109</v>
      </c>
      <c r="G3128" s="1" t="s">
        <v>2110</v>
      </c>
      <c r="H3128" s="1" t="s">
        <v>2109</v>
      </c>
      <c r="I3128" s="1" t="s">
        <v>12777</v>
      </c>
      <c r="J3128" s="1" t="s">
        <v>2111</v>
      </c>
      <c r="K3128" s="1">
        <v>2</v>
      </c>
      <c r="L3128" s="1" t="s">
        <v>4193</v>
      </c>
      <c r="M3128" s="1">
        <v>4</v>
      </c>
      <c r="N3128" s="1" t="s">
        <v>4194</v>
      </c>
    </row>
    <row r="3129" spans="1:14" x14ac:dyDescent="0.15">
      <c r="A3129" s="1">
        <v>570</v>
      </c>
      <c r="B3129" s="1" t="s">
        <v>2105</v>
      </c>
      <c r="C3129" s="1" t="s">
        <v>2108</v>
      </c>
      <c r="D3129" s="1" t="s">
        <v>2109</v>
      </c>
      <c r="E3129" s="1" t="s">
        <v>2108</v>
      </c>
      <c r="F3129" s="1" t="s">
        <v>2109</v>
      </c>
      <c r="G3129" s="1" t="s">
        <v>2110</v>
      </c>
      <c r="H3129" s="1" t="s">
        <v>2109</v>
      </c>
      <c r="I3129" s="1" t="s">
        <v>12781</v>
      </c>
      <c r="J3129" s="1" t="s">
        <v>5253</v>
      </c>
      <c r="K3129" s="1">
        <v>2</v>
      </c>
      <c r="L3129" s="1" t="s">
        <v>4193</v>
      </c>
      <c r="M3129" s="1">
        <v>4</v>
      </c>
      <c r="N3129" s="1" t="s">
        <v>4194</v>
      </c>
    </row>
    <row r="3130" spans="1:14" x14ac:dyDescent="0.15">
      <c r="A3130" s="1">
        <v>570</v>
      </c>
      <c r="B3130" s="1" t="s">
        <v>2105</v>
      </c>
      <c r="C3130" s="1" t="s">
        <v>2112</v>
      </c>
      <c r="D3130" s="1" t="s">
        <v>2113</v>
      </c>
      <c r="E3130" s="1" t="s">
        <v>2112</v>
      </c>
      <c r="F3130" s="1" t="s">
        <v>2113</v>
      </c>
      <c r="G3130" s="1" t="s">
        <v>2114</v>
      </c>
      <c r="H3130" s="1" t="s">
        <v>2113</v>
      </c>
      <c r="I3130" s="1" t="s">
        <v>9670</v>
      </c>
      <c r="J3130" s="1" t="s">
        <v>12786</v>
      </c>
      <c r="K3130" s="1">
        <v>2</v>
      </c>
      <c r="L3130" s="1" t="s">
        <v>4193</v>
      </c>
      <c r="M3130" s="1">
        <v>4</v>
      </c>
      <c r="N3130" s="1" t="s">
        <v>4194</v>
      </c>
    </row>
    <row r="3131" spans="1:14" x14ac:dyDescent="0.15">
      <c r="A3131" s="1">
        <v>570</v>
      </c>
      <c r="B3131" s="1" t="s">
        <v>2105</v>
      </c>
      <c r="C3131" s="1" t="s">
        <v>2115</v>
      </c>
      <c r="D3131" s="1" t="s">
        <v>2116</v>
      </c>
      <c r="E3131" s="1" t="s">
        <v>2115</v>
      </c>
      <c r="F3131" s="1" t="s">
        <v>2116</v>
      </c>
      <c r="G3131" s="1" t="s">
        <v>2117</v>
      </c>
      <c r="H3131" s="1" t="s">
        <v>2116</v>
      </c>
      <c r="I3131" s="1" t="s">
        <v>8240</v>
      </c>
      <c r="J3131" s="1" t="s">
        <v>1448</v>
      </c>
      <c r="K3131" s="1">
        <v>2</v>
      </c>
      <c r="L3131" s="1" t="s">
        <v>4193</v>
      </c>
      <c r="M3131" s="1">
        <v>4</v>
      </c>
      <c r="N3131" s="1" t="s">
        <v>4194</v>
      </c>
    </row>
    <row r="3132" spans="1:14" x14ac:dyDescent="0.15">
      <c r="A3132" s="1">
        <v>570</v>
      </c>
      <c r="B3132" s="1" t="s">
        <v>2105</v>
      </c>
      <c r="C3132" s="1" t="s">
        <v>2115</v>
      </c>
      <c r="D3132" s="1" t="s">
        <v>2116</v>
      </c>
      <c r="E3132" s="1" t="s">
        <v>2115</v>
      </c>
      <c r="F3132" s="1" t="s">
        <v>2116</v>
      </c>
      <c r="G3132" s="1" t="s">
        <v>2117</v>
      </c>
      <c r="H3132" s="1" t="s">
        <v>2116</v>
      </c>
      <c r="I3132" s="1" t="s">
        <v>8250</v>
      </c>
      <c r="J3132" s="1" t="s">
        <v>2118</v>
      </c>
      <c r="K3132" s="1">
        <v>2</v>
      </c>
      <c r="L3132" s="1" t="s">
        <v>4193</v>
      </c>
      <c r="M3132" s="1">
        <v>4</v>
      </c>
      <c r="N3132" s="1" t="s">
        <v>4194</v>
      </c>
    </row>
    <row r="3133" spans="1:14" x14ac:dyDescent="0.15">
      <c r="A3133" s="1">
        <v>570</v>
      </c>
      <c r="B3133" s="1" t="s">
        <v>2105</v>
      </c>
      <c r="C3133" s="1" t="s">
        <v>2115</v>
      </c>
      <c r="D3133" s="1" t="s">
        <v>2116</v>
      </c>
      <c r="E3133" s="1" t="s">
        <v>2115</v>
      </c>
      <c r="F3133" s="1" t="s">
        <v>2116</v>
      </c>
      <c r="G3133" s="1" t="s">
        <v>2117</v>
      </c>
      <c r="H3133" s="1" t="s">
        <v>2116</v>
      </c>
      <c r="I3133" s="1" t="s">
        <v>8256</v>
      </c>
      <c r="J3133" s="1" t="s">
        <v>1450</v>
      </c>
      <c r="K3133" s="1">
        <v>2</v>
      </c>
      <c r="L3133" s="1" t="s">
        <v>4193</v>
      </c>
      <c r="M3133" s="1">
        <v>4</v>
      </c>
      <c r="N3133" s="1" t="s">
        <v>4194</v>
      </c>
    </row>
    <row r="3134" spans="1:14" x14ac:dyDescent="0.15">
      <c r="A3134" s="1">
        <v>570</v>
      </c>
      <c r="B3134" s="1" t="s">
        <v>2105</v>
      </c>
      <c r="C3134" s="1" t="s">
        <v>2119</v>
      </c>
      <c r="D3134" s="1" t="s">
        <v>2120</v>
      </c>
      <c r="E3134" s="1" t="s">
        <v>2119</v>
      </c>
      <c r="F3134" s="1" t="s">
        <v>2120</v>
      </c>
      <c r="G3134" s="1" t="s">
        <v>2121</v>
      </c>
      <c r="H3134" s="1" t="s">
        <v>2120</v>
      </c>
      <c r="I3134" s="1" t="s">
        <v>12777</v>
      </c>
      <c r="J3134" s="1" t="s">
        <v>2111</v>
      </c>
      <c r="K3134" s="1">
        <v>2</v>
      </c>
      <c r="L3134" s="1" t="s">
        <v>4193</v>
      </c>
      <c r="M3134" s="1">
        <v>4</v>
      </c>
      <c r="N3134" s="1" t="s">
        <v>4194</v>
      </c>
    </row>
    <row r="3135" spans="1:14" x14ac:dyDescent="0.15">
      <c r="A3135" s="1">
        <v>570</v>
      </c>
      <c r="B3135" s="1" t="s">
        <v>2105</v>
      </c>
      <c r="C3135" s="1" t="s">
        <v>2119</v>
      </c>
      <c r="D3135" s="1" t="s">
        <v>2120</v>
      </c>
      <c r="E3135" s="1" t="s">
        <v>2119</v>
      </c>
      <c r="F3135" s="1" t="s">
        <v>2120</v>
      </c>
      <c r="G3135" s="1" t="s">
        <v>2121</v>
      </c>
      <c r="H3135" s="1" t="s">
        <v>2120</v>
      </c>
      <c r="I3135" s="1" t="s">
        <v>12781</v>
      </c>
      <c r="J3135" s="1" t="s">
        <v>5253</v>
      </c>
      <c r="K3135" s="1">
        <v>2</v>
      </c>
      <c r="L3135" s="1" t="s">
        <v>4193</v>
      </c>
      <c r="M3135" s="1">
        <v>4</v>
      </c>
      <c r="N3135" s="1" t="s">
        <v>4194</v>
      </c>
    </row>
    <row r="3136" spans="1:14" x14ac:dyDescent="0.15">
      <c r="A3136" s="1">
        <v>580</v>
      </c>
      <c r="B3136" s="1" t="s">
        <v>2122</v>
      </c>
      <c r="C3136" s="1" t="s">
        <v>2123</v>
      </c>
      <c r="D3136" s="1" t="s">
        <v>2122</v>
      </c>
      <c r="E3136" s="1" t="s">
        <v>2123</v>
      </c>
      <c r="F3136" s="1" t="s">
        <v>2122</v>
      </c>
      <c r="G3136" s="1" t="s">
        <v>2124</v>
      </c>
      <c r="H3136" s="1" t="s">
        <v>2122</v>
      </c>
      <c r="I3136" s="1" t="s">
        <v>17822</v>
      </c>
      <c r="J3136" s="1" t="s">
        <v>4636</v>
      </c>
      <c r="K3136" s="1">
        <v>13</v>
      </c>
      <c r="L3136" s="1" t="s">
        <v>4219</v>
      </c>
      <c r="M3136" s="1">
        <v>11</v>
      </c>
      <c r="N3136" s="1" t="s">
        <v>4265</v>
      </c>
    </row>
    <row r="3137" spans="1:14" x14ac:dyDescent="0.15">
      <c r="A3137" s="1">
        <v>581</v>
      </c>
      <c r="B3137" s="1" t="s">
        <v>2125</v>
      </c>
      <c r="C3137" s="1" t="s">
        <v>2126</v>
      </c>
      <c r="D3137" s="1" t="s">
        <v>2125</v>
      </c>
      <c r="E3137" s="1" t="s">
        <v>2126</v>
      </c>
      <c r="F3137" s="1" t="s">
        <v>2125</v>
      </c>
      <c r="G3137" s="1" t="s">
        <v>2127</v>
      </c>
      <c r="H3137" s="1" t="s">
        <v>2125</v>
      </c>
      <c r="I3137" s="1" t="s">
        <v>11122</v>
      </c>
      <c r="J3137" s="1" t="s">
        <v>2128</v>
      </c>
      <c r="K3137" s="1">
        <v>2</v>
      </c>
      <c r="L3137" s="1" t="s">
        <v>4193</v>
      </c>
      <c r="M3137" s="1">
        <v>4</v>
      </c>
      <c r="N3137" s="1" t="s">
        <v>4194</v>
      </c>
    </row>
    <row r="3138" spans="1:14" x14ac:dyDescent="0.15">
      <c r="A3138" s="1">
        <v>581</v>
      </c>
      <c r="B3138" s="1" t="s">
        <v>2125</v>
      </c>
      <c r="C3138" s="1" t="s">
        <v>2126</v>
      </c>
      <c r="D3138" s="1" t="s">
        <v>2125</v>
      </c>
      <c r="E3138" s="1" t="s">
        <v>2126</v>
      </c>
      <c r="F3138" s="1" t="s">
        <v>2125</v>
      </c>
      <c r="G3138" s="1" t="s">
        <v>2127</v>
      </c>
      <c r="H3138" s="1" t="s">
        <v>2125</v>
      </c>
      <c r="I3138" s="1" t="s">
        <v>11204</v>
      </c>
      <c r="J3138" s="1" t="s">
        <v>2129</v>
      </c>
      <c r="K3138" s="1">
        <v>2</v>
      </c>
      <c r="L3138" s="1" t="s">
        <v>4193</v>
      </c>
      <c r="M3138" s="1">
        <v>4</v>
      </c>
      <c r="N3138" s="1" t="s">
        <v>4194</v>
      </c>
    </row>
    <row r="3139" spans="1:14" x14ac:dyDescent="0.15">
      <c r="A3139" s="1">
        <v>581</v>
      </c>
      <c r="B3139" s="1" t="s">
        <v>2125</v>
      </c>
      <c r="C3139" s="1" t="s">
        <v>2126</v>
      </c>
      <c r="D3139" s="1" t="s">
        <v>2125</v>
      </c>
      <c r="E3139" s="1" t="s">
        <v>2126</v>
      </c>
      <c r="F3139" s="1" t="s">
        <v>2125</v>
      </c>
      <c r="G3139" s="1" t="s">
        <v>2127</v>
      </c>
      <c r="H3139" s="1" t="s">
        <v>2125</v>
      </c>
      <c r="I3139" s="1" t="s">
        <v>12801</v>
      </c>
      <c r="J3139" s="1" t="s">
        <v>5259</v>
      </c>
      <c r="K3139" s="1">
        <v>2</v>
      </c>
      <c r="L3139" s="1" t="s">
        <v>4193</v>
      </c>
      <c r="M3139" s="1">
        <v>4</v>
      </c>
      <c r="N3139" s="1" t="s">
        <v>4194</v>
      </c>
    </row>
    <row r="3140" spans="1:14" x14ac:dyDescent="0.15">
      <c r="A3140" s="1">
        <v>582</v>
      </c>
      <c r="B3140" s="1" t="s">
        <v>2130</v>
      </c>
      <c r="C3140" s="1" t="s">
        <v>2131</v>
      </c>
      <c r="D3140" s="1" t="s">
        <v>2130</v>
      </c>
      <c r="E3140" s="1" t="s">
        <v>2131</v>
      </c>
      <c r="F3140" s="1" t="s">
        <v>2130</v>
      </c>
      <c r="G3140" s="1" t="s">
        <v>2132</v>
      </c>
      <c r="H3140" s="1" t="s">
        <v>2130</v>
      </c>
      <c r="I3140" s="1" t="s">
        <v>11209</v>
      </c>
      <c r="J3140" s="1" t="s">
        <v>2133</v>
      </c>
      <c r="K3140" s="1">
        <v>2</v>
      </c>
      <c r="L3140" s="1" t="s">
        <v>4193</v>
      </c>
      <c r="M3140" s="1">
        <v>4</v>
      </c>
      <c r="N3140" s="1" t="s">
        <v>4194</v>
      </c>
    </row>
    <row r="3141" spans="1:14" x14ac:dyDescent="0.15">
      <c r="A3141" s="1">
        <v>582</v>
      </c>
      <c r="B3141" s="1" t="s">
        <v>2130</v>
      </c>
      <c r="C3141" s="1" t="s">
        <v>2131</v>
      </c>
      <c r="D3141" s="1" t="s">
        <v>2130</v>
      </c>
      <c r="E3141" s="1" t="s">
        <v>2131</v>
      </c>
      <c r="F3141" s="1" t="s">
        <v>2130</v>
      </c>
      <c r="G3141" s="1" t="s">
        <v>2132</v>
      </c>
      <c r="H3141" s="1" t="s">
        <v>2130</v>
      </c>
      <c r="I3141" s="1" t="s">
        <v>12805</v>
      </c>
      <c r="J3141" s="1" t="s">
        <v>1974</v>
      </c>
      <c r="K3141" s="1">
        <v>2</v>
      </c>
      <c r="L3141" s="1" t="s">
        <v>4193</v>
      </c>
      <c r="M3141" s="1">
        <v>4</v>
      </c>
      <c r="N3141" s="1" t="s">
        <v>4194</v>
      </c>
    </row>
    <row r="3142" spans="1:14" x14ac:dyDescent="0.15">
      <c r="A3142" s="1">
        <v>583</v>
      </c>
      <c r="B3142" s="1" t="s">
        <v>2134</v>
      </c>
      <c r="C3142" s="1" t="s">
        <v>2135</v>
      </c>
      <c r="D3142" s="1" t="s">
        <v>2134</v>
      </c>
      <c r="E3142" s="1" t="s">
        <v>2135</v>
      </c>
      <c r="F3142" s="1" t="s">
        <v>2134</v>
      </c>
      <c r="G3142" s="1" t="s">
        <v>2136</v>
      </c>
      <c r="H3142" s="1" t="s">
        <v>2134</v>
      </c>
      <c r="I3142" s="1" t="s">
        <v>11060</v>
      </c>
      <c r="J3142" s="1" t="s">
        <v>2137</v>
      </c>
      <c r="K3142" s="1">
        <v>7</v>
      </c>
      <c r="L3142" s="1" t="s">
        <v>4299</v>
      </c>
      <c r="M3142" s="1">
        <v>3</v>
      </c>
      <c r="N3142" s="1" t="s">
        <v>3241</v>
      </c>
    </row>
    <row r="3143" spans="1:14" x14ac:dyDescent="0.15">
      <c r="A3143" s="1">
        <v>584</v>
      </c>
      <c r="B3143" s="1" t="s">
        <v>2138</v>
      </c>
      <c r="C3143" s="1" t="s">
        <v>2139</v>
      </c>
      <c r="D3143" s="1" t="s">
        <v>2138</v>
      </c>
      <c r="E3143" s="1" t="s">
        <v>2139</v>
      </c>
      <c r="F3143" s="1" t="s">
        <v>2138</v>
      </c>
      <c r="G3143" s="1" t="s">
        <v>2140</v>
      </c>
      <c r="H3143" s="1" t="s">
        <v>2138</v>
      </c>
      <c r="I3143" s="1" t="s">
        <v>12805</v>
      </c>
      <c r="J3143" s="1" t="s">
        <v>1974</v>
      </c>
      <c r="K3143" s="1">
        <v>5</v>
      </c>
      <c r="L3143" s="1" t="s">
        <v>4206</v>
      </c>
      <c r="M3143" s="1">
        <v>6</v>
      </c>
      <c r="N3143" s="1" t="s">
        <v>4207</v>
      </c>
    </row>
    <row r="3144" spans="1:14" x14ac:dyDescent="0.15">
      <c r="A3144" s="1">
        <v>584</v>
      </c>
      <c r="B3144" s="1" t="s">
        <v>2138</v>
      </c>
      <c r="C3144" s="1" t="s">
        <v>2139</v>
      </c>
      <c r="D3144" s="1" t="s">
        <v>2138</v>
      </c>
      <c r="E3144" s="1" t="s">
        <v>2139</v>
      </c>
      <c r="F3144" s="1" t="s">
        <v>2138</v>
      </c>
      <c r="G3144" s="1" t="s">
        <v>2141</v>
      </c>
      <c r="H3144" s="1" t="s">
        <v>2138</v>
      </c>
      <c r="I3144" s="1" t="s">
        <v>12805</v>
      </c>
      <c r="J3144" s="1" t="s">
        <v>1974</v>
      </c>
      <c r="K3144" s="1">
        <v>5</v>
      </c>
      <c r="L3144" s="1" t="s">
        <v>4206</v>
      </c>
      <c r="M3144" s="1">
        <v>6</v>
      </c>
      <c r="N3144" s="1" t="s">
        <v>4207</v>
      </c>
    </row>
    <row r="3145" spans="1:14" x14ac:dyDescent="0.15">
      <c r="A3145" s="1">
        <v>584</v>
      </c>
      <c r="B3145" s="1" t="s">
        <v>2138</v>
      </c>
      <c r="C3145" s="1" t="s">
        <v>2139</v>
      </c>
      <c r="D3145" s="1" t="s">
        <v>2138</v>
      </c>
      <c r="E3145" s="1" t="s">
        <v>2139</v>
      </c>
      <c r="F3145" s="1" t="s">
        <v>2138</v>
      </c>
      <c r="G3145" s="1" t="s">
        <v>2142</v>
      </c>
      <c r="H3145" s="1" t="s">
        <v>2143</v>
      </c>
      <c r="I3145" s="1" t="s">
        <v>12805</v>
      </c>
      <c r="J3145" s="1" t="s">
        <v>1974</v>
      </c>
      <c r="K3145" s="1">
        <v>5</v>
      </c>
      <c r="L3145" s="1" t="s">
        <v>4206</v>
      </c>
      <c r="M3145" s="1">
        <v>6</v>
      </c>
      <c r="N3145" s="1" t="s">
        <v>4207</v>
      </c>
    </row>
    <row r="3146" spans="1:14" x14ac:dyDescent="0.15">
      <c r="A3146" s="1">
        <v>585</v>
      </c>
      <c r="B3146" s="1" t="s">
        <v>2144</v>
      </c>
      <c r="C3146" s="1" t="s">
        <v>2145</v>
      </c>
      <c r="D3146" s="1" t="s">
        <v>2144</v>
      </c>
      <c r="E3146" s="1" t="s">
        <v>2145</v>
      </c>
      <c r="F3146" s="1" t="s">
        <v>2144</v>
      </c>
      <c r="G3146" s="1" t="s">
        <v>2146</v>
      </c>
      <c r="H3146" s="1" t="s">
        <v>2144</v>
      </c>
      <c r="I3146" s="1" t="s">
        <v>12805</v>
      </c>
      <c r="J3146" s="1" t="s">
        <v>1974</v>
      </c>
      <c r="K3146" s="1">
        <v>2</v>
      </c>
      <c r="L3146" s="1" t="s">
        <v>4193</v>
      </c>
      <c r="M3146" s="1">
        <v>4</v>
      </c>
      <c r="N3146" s="1" t="s">
        <v>4194</v>
      </c>
    </row>
    <row r="3147" spans="1:14" x14ac:dyDescent="0.15">
      <c r="A3147" s="1">
        <v>585</v>
      </c>
      <c r="B3147" s="1" t="s">
        <v>2144</v>
      </c>
      <c r="C3147" s="1" t="s">
        <v>2145</v>
      </c>
      <c r="D3147" s="1" t="s">
        <v>2144</v>
      </c>
      <c r="E3147" s="1" t="s">
        <v>2145</v>
      </c>
      <c r="F3147" s="1" t="s">
        <v>2144</v>
      </c>
      <c r="G3147" s="1" t="s">
        <v>2147</v>
      </c>
      <c r="H3147" s="1" t="s">
        <v>2148</v>
      </c>
      <c r="I3147" s="1" t="s">
        <v>12805</v>
      </c>
      <c r="J3147" s="1" t="s">
        <v>1974</v>
      </c>
      <c r="K3147" s="1">
        <v>2</v>
      </c>
      <c r="L3147" s="1" t="s">
        <v>4193</v>
      </c>
      <c r="M3147" s="1">
        <v>4</v>
      </c>
      <c r="N3147" s="1" t="s">
        <v>4194</v>
      </c>
    </row>
    <row r="3148" spans="1:14" x14ac:dyDescent="0.15">
      <c r="A3148" s="1">
        <v>585</v>
      </c>
      <c r="B3148" s="1" t="s">
        <v>2144</v>
      </c>
      <c r="C3148" s="1" t="s">
        <v>2145</v>
      </c>
      <c r="D3148" s="1" t="s">
        <v>2144</v>
      </c>
      <c r="E3148" s="1" t="s">
        <v>2145</v>
      </c>
      <c r="F3148" s="1" t="s">
        <v>2144</v>
      </c>
      <c r="G3148" s="1" t="s">
        <v>2149</v>
      </c>
      <c r="H3148" s="1" t="s">
        <v>2150</v>
      </c>
      <c r="I3148" s="1" t="s">
        <v>12805</v>
      </c>
      <c r="J3148" s="1" t="s">
        <v>1974</v>
      </c>
      <c r="K3148" s="1">
        <v>2</v>
      </c>
      <c r="L3148" s="1" t="s">
        <v>4193</v>
      </c>
      <c r="M3148" s="1">
        <v>4</v>
      </c>
      <c r="N3148" s="1" t="s">
        <v>4194</v>
      </c>
    </row>
    <row r="3149" spans="1:14" x14ac:dyDescent="0.15">
      <c r="A3149" s="1">
        <v>586</v>
      </c>
      <c r="B3149" s="1" t="s">
        <v>2151</v>
      </c>
      <c r="C3149" s="1" t="s">
        <v>2152</v>
      </c>
      <c r="D3149" s="1" t="s">
        <v>2151</v>
      </c>
      <c r="E3149" s="1" t="s">
        <v>2152</v>
      </c>
      <c r="F3149" s="1" t="s">
        <v>2151</v>
      </c>
      <c r="G3149" s="1" t="s">
        <v>2153</v>
      </c>
      <c r="H3149" s="1" t="s">
        <v>2151</v>
      </c>
      <c r="I3149" s="1" t="s">
        <v>12805</v>
      </c>
      <c r="J3149" s="1" t="s">
        <v>1974</v>
      </c>
      <c r="K3149" s="1">
        <v>2</v>
      </c>
      <c r="L3149" s="1" t="s">
        <v>4193</v>
      </c>
      <c r="M3149" s="1">
        <v>4</v>
      </c>
      <c r="N3149" s="1" t="s">
        <v>4194</v>
      </c>
    </row>
    <row r="3150" spans="1:14" x14ac:dyDescent="0.15">
      <c r="A3150" s="1">
        <v>590</v>
      </c>
      <c r="B3150" s="1" t="s">
        <v>2154</v>
      </c>
      <c r="C3150" s="1" t="s">
        <v>2155</v>
      </c>
      <c r="D3150" s="1" t="s">
        <v>2154</v>
      </c>
      <c r="E3150" s="1" t="s">
        <v>2155</v>
      </c>
      <c r="F3150" s="1" t="s">
        <v>2154</v>
      </c>
      <c r="G3150" s="1" t="s">
        <v>2156</v>
      </c>
      <c r="H3150" s="1" t="s">
        <v>2154</v>
      </c>
      <c r="I3150" s="1" t="s">
        <v>11605</v>
      </c>
      <c r="J3150" s="1" t="s">
        <v>4635</v>
      </c>
      <c r="K3150" s="1">
        <v>2</v>
      </c>
      <c r="L3150" s="1" t="s">
        <v>4193</v>
      </c>
      <c r="M3150" s="1">
        <v>4</v>
      </c>
      <c r="N3150" s="1" t="s">
        <v>4194</v>
      </c>
    </row>
    <row r="3151" spans="1:14" x14ac:dyDescent="0.15">
      <c r="A3151" s="1">
        <v>590</v>
      </c>
      <c r="B3151" s="1" t="s">
        <v>2154</v>
      </c>
      <c r="C3151" s="1" t="s">
        <v>2155</v>
      </c>
      <c r="D3151" s="1" t="s">
        <v>2154</v>
      </c>
      <c r="E3151" s="1" t="s">
        <v>2155</v>
      </c>
      <c r="F3151" s="1" t="s">
        <v>2154</v>
      </c>
      <c r="G3151" s="1" t="s">
        <v>2156</v>
      </c>
      <c r="H3151" s="1" t="s">
        <v>2154</v>
      </c>
      <c r="I3151" s="1" t="s">
        <v>12805</v>
      </c>
      <c r="J3151" s="1" t="s">
        <v>1974</v>
      </c>
      <c r="K3151" s="1">
        <v>2</v>
      </c>
      <c r="L3151" s="1" t="s">
        <v>4193</v>
      </c>
      <c r="M3151" s="1">
        <v>4</v>
      </c>
      <c r="N3151" s="1" t="s">
        <v>4194</v>
      </c>
    </row>
    <row r="3152" spans="1:14" x14ac:dyDescent="0.15">
      <c r="A3152" s="1">
        <v>591</v>
      </c>
      <c r="B3152" s="1" t="s">
        <v>2157</v>
      </c>
      <c r="C3152" s="1" t="s">
        <v>2158</v>
      </c>
      <c r="D3152" s="1" t="s">
        <v>2157</v>
      </c>
      <c r="E3152" s="1" t="s">
        <v>2158</v>
      </c>
      <c r="F3152" s="1" t="s">
        <v>2157</v>
      </c>
      <c r="G3152" s="1" t="s">
        <v>2159</v>
      </c>
      <c r="H3152" s="1" t="s">
        <v>2157</v>
      </c>
      <c r="I3152" s="1" t="s">
        <v>11122</v>
      </c>
      <c r="J3152" s="1" t="s">
        <v>2128</v>
      </c>
      <c r="K3152" s="1">
        <v>2</v>
      </c>
      <c r="L3152" s="1" t="s">
        <v>4193</v>
      </c>
      <c r="M3152" s="1">
        <v>4</v>
      </c>
      <c r="N3152" s="1" t="s">
        <v>4194</v>
      </c>
    </row>
    <row r="3153" spans="1:14" x14ac:dyDescent="0.15">
      <c r="A3153" s="1">
        <v>592</v>
      </c>
      <c r="B3153" s="1" t="s">
        <v>2160</v>
      </c>
      <c r="C3153" s="1" t="s">
        <v>2161</v>
      </c>
      <c r="D3153" s="1" t="s">
        <v>2160</v>
      </c>
      <c r="E3153" s="1" t="s">
        <v>2161</v>
      </c>
      <c r="F3153" s="1" t="s">
        <v>2160</v>
      </c>
      <c r="G3153" s="1" t="s">
        <v>2162</v>
      </c>
      <c r="H3153" s="1" t="s">
        <v>2160</v>
      </c>
      <c r="I3153" s="1" t="s">
        <v>12765</v>
      </c>
      <c r="J3153" s="1" t="s">
        <v>4596</v>
      </c>
      <c r="K3153" s="1">
        <v>2</v>
      </c>
      <c r="L3153" s="1" t="s">
        <v>4193</v>
      </c>
      <c r="M3153" s="1">
        <v>4</v>
      </c>
      <c r="N3153" s="1" t="s">
        <v>4194</v>
      </c>
    </row>
    <row r="3154" spans="1:14" x14ac:dyDescent="0.15">
      <c r="A3154" s="1">
        <v>593</v>
      </c>
      <c r="B3154" s="1" t="s">
        <v>2163</v>
      </c>
      <c r="C3154" s="1" t="s">
        <v>2164</v>
      </c>
      <c r="D3154" s="1" t="s">
        <v>2163</v>
      </c>
      <c r="E3154" s="1" t="s">
        <v>2164</v>
      </c>
      <c r="F3154" s="1" t="s">
        <v>2163</v>
      </c>
      <c r="G3154" s="1" t="s">
        <v>2165</v>
      </c>
      <c r="H3154" s="1" t="s">
        <v>2163</v>
      </c>
      <c r="I3154" s="1" t="s">
        <v>12805</v>
      </c>
      <c r="J3154" s="1" t="s">
        <v>1974</v>
      </c>
      <c r="K3154" s="1">
        <v>2</v>
      </c>
      <c r="L3154" s="1" t="s">
        <v>4193</v>
      </c>
      <c r="M3154" s="1">
        <v>4</v>
      </c>
      <c r="N3154" s="1" t="s">
        <v>4194</v>
      </c>
    </row>
    <row r="3155" spans="1:14" x14ac:dyDescent="0.15">
      <c r="A3155" s="1">
        <v>593</v>
      </c>
      <c r="B3155" s="1" t="s">
        <v>2163</v>
      </c>
      <c r="C3155" s="1" t="s">
        <v>2164</v>
      </c>
      <c r="D3155" s="1" t="s">
        <v>2163</v>
      </c>
      <c r="E3155" s="1" t="s">
        <v>2164</v>
      </c>
      <c r="F3155" s="1" t="s">
        <v>2163</v>
      </c>
      <c r="G3155" s="1" t="s">
        <v>2165</v>
      </c>
      <c r="H3155" s="1" t="s">
        <v>2163</v>
      </c>
      <c r="I3155" s="1" t="s">
        <v>12809</v>
      </c>
      <c r="J3155" s="1" t="s">
        <v>2166</v>
      </c>
      <c r="K3155" s="1">
        <v>2</v>
      </c>
      <c r="L3155" s="1" t="s">
        <v>4193</v>
      </c>
      <c r="M3155" s="1">
        <v>4</v>
      </c>
      <c r="N3155" s="1" t="s">
        <v>4194</v>
      </c>
    </row>
    <row r="3156" spans="1:14" x14ac:dyDescent="0.15">
      <c r="A3156" s="1">
        <v>600</v>
      </c>
      <c r="B3156" s="1" t="s">
        <v>2167</v>
      </c>
      <c r="C3156" s="1" t="s">
        <v>2168</v>
      </c>
      <c r="D3156" s="1" t="s">
        <v>2167</v>
      </c>
      <c r="E3156" s="1" t="s">
        <v>2168</v>
      </c>
      <c r="F3156" s="1" t="s">
        <v>2167</v>
      </c>
      <c r="G3156" s="1" t="s">
        <v>2169</v>
      </c>
      <c r="H3156" s="1" t="s">
        <v>2167</v>
      </c>
      <c r="I3156" s="1" t="s">
        <v>11879</v>
      </c>
      <c r="J3156" s="1" t="s">
        <v>4278</v>
      </c>
      <c r="K3156" s="1">
        <v>1</v>
      </c>
      <c r="L3156" s="1" t="s">
        <v>4259</v>
      </c>
      <c r="M3156" s="1">
        <v>1</v>
      </c>
      <c r="N3156" s="1" t="s">
        <v>4318</v>
      </c>
    </row>
    <row r="3157" spans="1:14" x14ac:dyDescent="0.15">
      <c r="A3157" s="1">
        <v>600</v>
      </c>
      <c r="B3157" s="1" t="s">
        <v>2167</v>
      </c>
      <c r="C3157" s="1" t="s">
        <v>2170</v>
      </c>
      <c r="D3157" s="1" t="s">
        <v>2167</v>
      </c>
      <c r="E3157" s="1" t="s">
        <v>2170</v>
      </c>
      <c r="F3157" s="1" t="s">
        <v>2167</v>
      </c>
      <c r="G3157" s="1" t="s">
        <v>2171</v>
      </c>
      <c r="H3157" s="1" t="s">
        <v>2167</v>
      </c>
      <c r="I3157" s="1" t="s">
        <v>17868</v>
      </c>
      <c r="J3157" s="1" t="s">
        <v>4319</v>
      </c>
      <c r="K3157" s="1">
        <v>1</v>
      </c>
      <c r="L3157" s="1" t="s">
        <v>4259</v>
      </c>
      <c r="M3157" s="1">
        <v>1</v>
      </c>
      <c r="N3157" s="1" t="s">
        <v>4318</v>
      </c>
    </row>
    <row r="3158" spans="1:14" x14ac:dyDescent="0.15">
      <c r="A3158" s="1">
        <v>600</v>
      </c>
      <c r="B3158" s="1" t="s">
        <v>2167</v>
      </c>
      <c r="C3158" s="1" t="s">
        <v>2170</v>
      </c>
      <c r="D3158" s="1" t="s">
        <v>2167</v>
      </c>
      <c r="E3158" s="1" t="s">
        <v>2170</v>
      </c>
      <c r="F3158" s="1" t="s">
        <v>2167</v>
      </c>
      <c r="G3158" s="1" t="s">
        <v>2171</v>
      </c>
      <c r="H3158" s="1" t="s">
        <v>2167</v>
      </c>
      <c r="I3158" s="1" t="s">
        <v>17872</v>
      </c>
      <c r="J3158" s="1" t="s">
        <v>17873</v>
      </c>
      <c r="K3158" s="1">
        <v>1</v>
      </c>
      <c r="L3158" s="1" t="s">
        <v>4259</v>
      </c>
      <c r="M3158" s="1">
        <v>1</v>
      </c>
      <c r="N3158" s="1" t="s">
        <v>4318</v>
      </c>
    </row>
    <row r="3159" spans="1:14" x14ac:dyDescent="0.15">
      <c r="A3159" s="1">
        <v>600</v>
      </c>
      <c r="B3159" s="1" t="s">
        <v>2167</v>
      </c>
      <c r="C3159" s="1" t="s">
        <v>2170</v>
      </c>
      <c r="D3159" s="1" t="s">
        <v>2167</v>
      </c>
      <c r="E3159" s="1" t="s">
        <v>2170</v>
      </c>
      <c r="F3159" s="1" t="s">
        <v>2167</v>
      </c>
      <c r="G3159" s="1" t="s">
        <v>2171</v>
      </c>
      <c r="H3159" s="1" t="s">
        <v>2167</v>
      </c>
      <c r="I3159" s="1" t="s">
        <v>17896</v>
      </c>
      <c r="J3159" s="1" t="s">
        <v>6533</v>
      </c>
      <c r="K3159" s="1">
        <v>1</v>
      </c>
      <c r="L3159" s="1" t="s">
        <v>4259</v>
      </c>
      <c r="M3159" s="1">
        <v>1</v>
      </c>
      <c r="N3159" s="1" t="s">
        <v>4318</v>
      </c>
    </row>
    <row r="3160" spans="1:14" x14ac:dyDescent="0.15">
      <c r="A3160" s="1">
        <v>600</v>
      </c>
      <c r="B3160" s="1" t="s">
        <v>2167</v>
      </c>
      <c r="C3160" s="1" t="s">
        <v>2170</v>
      </c>
      <c r="D3160" s="1" t="s">
        <v>2167</v>
      </c>
      <c r="E3160" s="1" t="s">
        <v>2170</v>
      </c>
      <c r="F3160" s="1" t="s">
        <v>2167</v>
      </c>
      <c r="G3160" s="1" t="s">
        <v>2171</v>
      </c>
      <c r="H3160" s="1" t="s">
        <v>2167</v>
      </c>
      <c r="I3160" s="1" t="s">
        <v>17900</v>
      </c>
      <c r="J3160" s="1" t="s">
        <v>4320</v>
      </c>
      <c r="K3160" s="1">
        <v>1</v>
      </c>
      <c r="L3160" s="1" t="s">
        <v>4259</v>
      </c>
      <c r="M3160" s="1">
        <v>1</v>
      </c>
      <c r="N3160" s="1" t="s">
        <v>4318</v>
      </c>
    </row>
    <row r="3161" spans="1:14" x14ac:dyDescent="0.15">
      <c r="A3161" s="1">
        <v>600</v>
      </c>
      <c r="B3161" s="1" t="s">
        <v>2167</v>
      </c>
      <c r="C3161" s="1" t="s">
        <v>2170</v>
      </c>
      <c r="D3161" s="1" t="s">
        <v>2167</v>
      </c>
      <c r="E3161" s="1" t="s">
        <v>2170</v>
      </c>
      <c r="F3161" s="1" t="s">
        <v>2167</v>
      </c>
      <c r="G3161" s="1" t="s">
        <v>2171</v>
      </c>
      <c r="H3161" s="1" t="s">
        <v>2167</v>
      </c>
      <c r="I3161" s="1" t="s">
        <v>17904</v>
      </c>
      <c r="J3161" s="1" t="s">
        <v>6537</v>
      </c>
      <c r="K3161" s="1">
        <v>1</v>
      </c>
      <c r="L3161" s="1" t="s">
        <v>4259</v>
      </c>
      <c r="M3161" s="1">
        <v>1</v>
      </c>
      <c r="N3161" s="1" t="s">
        <v>4318</v>
      </c>
    </row>
    <row r="3162" spans="1:14" x14ac:dyDescent="0.15">
      <c r="A3162" s="1">
        <v>600</v>
      </c>
      <c r="B3162" s="1" t="s">
        <v>2167</v>
      </c>
      <c r="C3162" s="1" t="s">
        <v>2170</v>
      </c>
      <c r="D3162" s="1" t="s">
        <v>2167</v>
      </c>
      <c r="E3162" s="1" t="s">
        <v>2170</v>
      </c>
      <c r="F3162" s="1" t="s">
        <v>2167</v>
      </c>
      <c r="G3162" s="1" t="s">
        <v>2171</v>
      </c>
      <c r="H3162" s="1" t="s">
        <v>2167</v>
      </c>
      <c r="I3162" s="1" t="s">
        <v>17908</v>
      </c>
      <c r="J3162" s="1" t="s">
        <v>6539</v>
      </c>
      <c r="K3162" s="1">
        <v>1</v>
      </c>
      <c r="L3162" s="1" t="s">
        <v>4259</v>
      </c>
      <c r="M3162" s="1">
        <v>1</v>
      </c>
      <c r="N3162" s="1" t="s">
        <v>4318</v>
      </c>
    </row>
    <row r="3163" spans="1:14" x14ac:dyDescent="0.15">
      <c r="A3163" s="1">
        <v>600</v>
      </c>
      <c r="B3163" s="1" t="s">
        <v>2167</v>
      </c>
      <c r="C3163" s="1" t="s">
        <v>2170</v>
      </c>
      <c r="D3163" s="1" t="s">
        <v>2167</v>
      </c>
      <c r="E3163" s="1" t="s">
        <v>2170</v>
      </c>
      <c r="F3163" s="1" t="s">
        <v>2167</v>
      </c>
      <c r="G3163" s="1" t="s">
        <v>2171</v>
      </c>
      <c r="H3163" s="1" t="s">
        <v>2167</v>
      </c>
      <c r="I3163" s="1" t="s">
        <v>11636</v>
      </c>
      <c r="J3163" s="1" t="s">
        <v>4321</v>
      </c>
      <c r="K3163" s="1">
        <v>1</v>
      </c>
      <c r="L3163" s="1" t="s">
        <v>4259</v>
      </c>
      <c r="M3163" s="1">
        <v>1</v>
      </c>
      <c r="N3163" s="1" t="s">
        <v>4318</v>
      </c>
    </row>
    <row r="3164" spans="1:14" x14ac:dyDescent="0.15">
      <c r="A3164" s="1">
        <v>600</v>
      </c>
      <c r="B3164" s="1" t="s">
        <v>2167</v>
      </c>
      <c r="C3164" s="1" t="s">
        <v>2170</v>
      </c>
      <c r="D3164" s="1" t="s">
        <v>2167</v>
      </c>
      <c r="E3164" s="1" t="s">
        <v>2170</v>
      </c>
      <c r="F3164" s="1" t="s">
        <v>2167</v>
      </c>
      <c r="G3164" s="1" t="s">
        <v>2171</v>
      </c>
      <c r="H3164" s="1" t="s">
        <v>2167</v>
      </c>
      <c r="I3164" s="1" t="s">
        <v>11639</v>
      </c>
      <c r="J3164" s="1" t="s">
        <v>4322</v>
      </c>
      <c r="K3164" s="1">
        <v>1</v>
      </c>
      <c r="L3164" s="1" t="s">
        <v>4259</v>
      </c>
      <c r="M3164" s="1">
        <v>1</v>
      </c>
      <c r="N3164" s="1" t="s">
        <v>4318</v>
      </c>
    </row>
    <row r="3165" spans="1:14" x14ac:dyDescent="0.15">
      <c r="A3165" s="1">
        <v>600</v>
      </c>
      <c r="B3165" s="1" t="s">
        <v>2167</v>
      </c>
      <c r="C3165" s="1" t="s">
        <v>2170</v>
      </c>
      <c r="D3165" s="1" t="s">
        <v>2167</v>
      </c>
      <c r="E3165" s="1" t="s">
        <v>2170</v>
      </c>
      <c r="F3165" s="1" t="s">
        <v>2167</v>
      </c>
      <c r="G3165" s="1" t="s">
        <v>2171</v>
      </c>
      <c r="H3165" s="1" t="s">
        <v>2167</v>
      </c>
      <c r="I3165" s="1" t="s">
        <v>17912</v>
      </c>
      <c r="J3165" s="1" t="s">
        <v>6546</v>
      </c>
      <c r="K3165" s="1">
        <v>1</v>
      </c>
      <c r="L3165" s="1" t="s">
        <v>4259</v>
      </c>
      <c r="M3165" s="1">
        <v>1</v>
      </c>
      <c r="N3165" s="1" t="s">
        <v>4318</v>
      </c>
    </row>
    <row r="3166" spans="1:14" x14ac:dyDescent="0.15">
      <c r="A3166" s="1">
        <v>600</v>
      </c>
      <c r="B3166" s="1" t="s">
        <v>2167</v>
      </c>
      <c r="C3166" s="1" t="s">
        <v>2170</v>
      </c>
      <c r="D3166" s="1" t="s">
        <v>2167</v>
      </c>
      <c r="E3166" s="1" t="s">
        <v>2170</v>
      </c>
      <c r="F3166" s="1" t="s">
        <v>2167</v>
      </c>
      <c r="G3166" s="1" t="s">
        <v>2171</v>
      </c>
      <c r="H3166" s="1" t="s">
        <v>2167</v>
      </c>
      <c r="I3166" s="1" t="s">
        <v>11710</v>
      </c>
      <c r="J3166" s="1" t="s">
        <v>18011</v>
      </c>
      <c r="K3166" s="1">
        <v>1</v>
      </c>
      <c r="L3166" s="1" t="s">
        <v>4259</v>
      </c>
      <c r="M3166" s="1">
        <v>1</v>
      </c>
      <c r="N3166" s="1" t="s">
        <v>4318</v>
      </c>
    </row>
    <row r="3167" spans="1:14" x14ac:dyDescent="0.15">
      <c r="A3167" s="1">
        <v>600</v>
      </c>
      <c r="B3167" s="1" t="s">
        <v>2167</v>
      </c>
      <c r="C3167" s="1" t="s">
        <v>2170</v>
      </c>
      <c r="D3167" s="1" t="s">
        <v>2167</v>
      </c>
      <c r="E3167" s="1" t="s">
        <v>2170</v>
      </c>
      <c r="F3167" s="1" t="s">
        <v>2167</v>
      </c>
      <c r="G3167" s="1" t="s">
        <v>2171</v>
      </c>
      <c r="H3167" s="1" t="s">
        <v>2167</v>
      </c>
      <c r="I3167" s="1" t="s">
        <v>11722</v>
      </c>
      <c r="J3167" s="1" t="s">
        <v>6593</v>
      </c>
      <c r="K3167" s="1">
        <v>1</v>
      </c>
      <c r="L3167" s="1" t="s">
        <v>4259</v>
      </c>
      <c r="M3167" s="1">
        <v>1</v>
      </c>
      <c r="N3167" s="1" t="s">
        <v>4318</v>
      </c>
    </row>
    <row r="3168" spans="1:14" x14ac:dyDescent="0.15">
      <c r="A3168" s="1">
        <v>600</v>
      </c>
      <c r="B3168" s="1" t="s">
        <v>2167</v>
      </c>
      <c r="C3168" s="1" t="s">
        <v>2170</v>
      </c>
      <c r="D3168" s="1" t="s">
        <v>2167</v>
      </c>
      <c r="E3168" s="1" t="s">
        <v>2170</v>
      </c>
      <c r="F3168" s="1" t="s">
        <v>2167</v>
      </c>
      <c r="G3168" s="1" t="s">
        <v>2171</v>
      </c>
      <c r="H3168" s="1" t="s">
        <v>2167</v>
      </c>
      <c r="I3168" s="1" t="s">
        <v>11739</v>
      </c>
      <c r="J3168" s="1" t="s">
        <v>6595</v>
      </c>
      <c r="K3168" s="1">
        <v>1</v>
      </c>
      <c r="L3168" s="1" t="s">
        <v>4259</v>
      </c>
      <c r="M3168" s="1">
        <v>1</v>
      </c>
      <c r="N3168" s="1" t="s">
        <v>4318</v>
      </c>
    </row>
    <row r="3169" spans="1:14" x14ac:dyDescent="0.15">
      <c r="A3169" s="1">
        <v>600</v>
      </c>
      <c r="B3169" s="1" t="s">
        <v>2167</v>
      </c>
      <c r="C3169" s="1" t="s">
        <v>2170</v>
      </c>
      <c r="D3169" s="1" t="s">
        <v>2167</v>
      </c>
      <c r="E3169" s="1" t="s">
        <v>2170</v>
      </c>
      <c r="F3169" s="1" t="s">
        <v>2167</v>
      </c>
      <c r="G3169" s="1" t="s">
        <v>2171</v>
      </c>
      <c r="H3169" s="1" t="s">
        <v>2167</v>
      </c>
      <c r="I3169" s="1" t="s">
        <v>11748</v>
      </c>
      <c r="J3169" s="1" t="s">
        <v>18031</v>
      </c>
      <c r="K3169" s="1">
        <v>1</v>
      </c>
      <c r="L3169" s="1" t="s">
        <v>4259</v>
      </c>
      <c r="M3169" s="1">
        <v>1</v>
      </c>
      <c r="N3169" s="1" t="s">
        <v>4318</v>
      </c>
    </row>
    <row r="3170" spans="1:14" x14ac:dyDescent="0.15">
      <c r="A3170" s="1">
        <v>600</v>
      </c>
      <c r="B3170" s="1" t="s">
        <v>2167</v>
      </c>
      <c r="C3170" s="1" t="s">
        <v>2170</v>
      </c>
      <c r="D3170" s="1" t="s">
        <v>2167</v>
      </c>
      <c r="E3170" s="1" t="s">
        <v>2170</v>
      </c>
      <c r="F3170" s="1" t="s">
        <v>2167</v>
      </c>
      <c r="G3170" s="1" t="s">
        <v>2171</v>
      </c>
      <c r="H3170" s="1" t="s">
        <v>2167</v>
      </c>
      <c r="I3170" s="1" t="s">
        <v>11751</v>
      </c>
      <c r="J3170" s="1" t="s">
        <v>4324</v>
      </c>
      <c r="K3170" s="1">
        <v>1</v>
      </c>
      <c r="L3170" s="1" t="s">
        <v>4259</v>
      </c>
      <c r="M3170" s="1">
        <v>1</v>
      </c>
      <c r="N3170" s="1" t="s">
        <v>4318</v>
      </c>
    </row>
    <row r="3171" spans="1:14" x14ac:dyDescent="0.15">
      <c r="A3171" s="1">
        <v>600</v>
      </c>
      <c r="B3171" s="1" t="s">
        <v>2167</v>
      </c>
      <c r="C3171" s="1" t="s">
        <v>2170</v>
      </c>
      <c r="D3171" s="1" t="s">
        <v>2167</v>
      </c>
      <c r="E3171" s="1" t="s">
        <v>2170</v>
      </c>
      <c r="F3171" s="1" t="s">
        <v>2167</v>
      </c>
      <c r="G3171" s="1" t="s">
        <v>2171</v>
      </c>
      <c r="H3171" s="1" t="s">
        <v>2167</v>
      </c>
      <c r="I3171" s="1" t="s">
        <v>11754</v>
      </c>
      <c r="J3171" s="1" t="s">
        <v>4325</v>
      </c>
      <c r="K3171" s="1">
        <v>1</v>
      </c>
      <c r="L3171" s="1" t="s">
        <v>4259</v>
      </c>
      <c r="M3171" s="1">
        <v>1</v>
      </c>
      <c r="N3171" s="1" t="s">
        <v>4318</v>
      </c>
    </row>
    <row r="3172" spans="1:14" x14ac:dyDescent="0.15">
      <c r="A3172" s="1">
        <v>600</v>
      </c>
      <c r="B3172" s="1" t="s">
        <v>2167</v>
      </c>
      <c r="C3172" s="1" t="s">
        <v>2170</v>
      </c>
      <c r="D3172" s="1" t="s">
        <v>2167</v>
      </c>
      <c r="E3172" s="1" t="s">
        <v>2170</v>
      </c>
      <c r="F3172" s="1" t="s">
        <v>2167</v>
      </c>
      <c r="G3172" s="1" t="s">
        <v>2171</v>
      </c>
      <c r="H3172" s="1" t="s">
        <v>2167</v>
      </c>
      <c r="I3172" s="1" t="s">
        <v>11773</v>
      </c>
      <c r="J3172" s="1" t="s">
        <v>18054</v>
      </c>
      <c r="K3172" s="1">
        <v>1</v>
      </c>
      <c r="L3172" s="1" t="s">
        <v>4259</v>
      </c>
      <c r="M3172" s="1">
        <v>1</v>
      </c>
      <c r="N3172" s="1" t="s">
        <v>4318</v>
      </c>
    </row>
    <row r="3173" spans="1:14" x14ac:dyDescent="0.15">
      <c r="A3173" s="1">
        <v>600</v>
      </c>
      <c r="B3173" s="1" t="s">
        <v>2167</v>
      </c>
      <c r="C3173" s="1" t="s">
        <v>2170</v>
      </c>
      <c r="D3173" s="1" t="s">
        <v>2167</v>
      </c>
      <c r="E3173" s="1" t="s">
        <v>2170</v>
      </c>
      <c r="F3173" s="1" t="s">
        <v>2167</v>
      </c>
      <c r="G3173" s="1" t="s">
        <v>2171</v>
      </c>
      <c r="H3173" s="1" t="s">
        <v>2167</v>
      </c>
      <c r="I3173" s="1" t="s">
        <v>11227</v>
      </c>
      <c r="J3173" s="1" t="s">
        <v>18058</v>
      </c>
      <c r="K3173" s="1">
        <v>1</v>
      </c>
      <c r="L3173" s="1" t="s">
        <v>4259</v>
      </c>
      <c r="M3173" s="1">
        <v>1</v>
      </c>
      <c r="N3173" s="1" t="s">
        <v>4318</v>
      </c>
    </row>
    <row r="3174" spans="1:14" x14ac:dyDescent="0.15">
      <c r="A3174" s="1">
        <v>600</v>
      </c>
      <c r="B3174" s="1" t="s">
        <v>2167</v>
      </c>
      <c r="C3174" s="1" t="s">
        <v>2170</v>
      </c>
      <c r="D3174" s="1" t="s">
        <v>2167</v>
      </c>
      <c r="E3174" s="1" t="s">
        <v>2170</v>
      </c>
      <c r="F3174" s="1" t="s">
        <v>2167</v>
      </c>
      <c r="G3174" s="1" t="s">
        <v>2171</v>
      </c>
      <c r="H3174" s="1" t="s">
        <v>2167</v>
      </c>
      <c r="I3174" s="1" t="s">
        <v>12607</v>
      </c>
      <c r="J3174" s="1" t="s">
        <v>18082</v>
      </c>
      <c r="K3174" s="1">
        <v>1</v>
      </c>
      <c r="L3174" s="1" t="s">
        <v>4259</v>
      </c>
      <c r="M3174" s="1">
        <v>1</v>
      </c>
      <c r="N3174" s="1" t="s">
        <v>4318</v>
      </c>
    </row>
    <row r="3175" spans="1:14" x14ac:dyDescent="0.15">
      <c r="A3175" s="1">
        <v>600</v>
      </c>
      <c r="B3175" s="1" t="s">
        <v>2167</v>
      </c>
      <c r="C3175" s="1" t="s">
        <v>2170</v>
      </c>
      <c r="D3175" s="1" t="s">
        <v>2167</v>
      </c>
      <c r="E3175" s="1" t="s">
        <v>2170</v>
      </c>
      <c r="F3175" s="1" t="s">
        <v>2167</v>
      </c>
      <c r="G3175" s="1" t="s">
        <v>2171</v>
      </c>
      <c r="H3175" s="1" t="s">
        <v>2167</v>
      </c>
      <c r="I3175" s="1" t="s">
        <v>17987</v>
      </c>
      <c r="J3175" s="1" t="s">
        <v>2913</v>
      </c>
      <c r="K3175" s="1">
        <v>1</v>
      </c>
      <c r="L3175" s="1" t="s">
        <v>4259</v>
      </c>
      <c r="M3175" s="1">
        <v>1</v>
      </c>
      <c r="N3175" s="1" t="s">
        <v>4318</v>
      </c>
    </row>
    <row r="3176" spans="1:14" x14ac:dyDescent="0.15">
      <c r="A3176" s="1">
        <v>600</v>
      </c>
      <c r="B3176" s="1" t="s">
        <v>2167</v>
      </c>
      <c r="C3176" s="1" t="s">
        <v>2170</v>
      </c>
      <c r="D3176" s="1" t="s">
        <v>2167</v>
      </c>
      <c r="E3176" s="1" t="s">
        <v>2170</v>
      </c>
      <c r="F3176" s="1" t="s">
        <v>2167</v>
      </c>
      <c r="G3176" s="1" t="s">
        <v>2171</v>
      </c>
      <c r="H3176" s="1" t="s">
        <v>2167</v>
      </c>
      <c r="I3176" s="1" t="s">
        <v>18139</v>
      </c>
      <c r="J3176" s="1" t="s">
        <v>18136</v>
      </c>
      <c r="K3176" s="1">
        <v>1</v>
      </c>
      <c r="L3176" s="1" t="s">
        <v>4259</v>
      </c>
      <c r="M3176" s="1">
        <v>1</v>
      </c>
      <c r="N3176" s="1" t="s">
        <v>4318</v>
      </c>
    </row>
    <row r="3177" spans="1:14" x14ac:dyDescent="0.15">
      <c r="A3177" s="1">
        <v>600</v>
      </c>
      <c r="B3177" s="1" t="s">
        <v>2167</v>
      </c>
      <c r="C3177" s="1" t="s">
        <v>2170</v>
      </c>
      <c r="D3177" s="1" t="s">
        <v>2167</v>
      </c>
      <c r="E3177" s="1" t="s">
        <v>2170</v>
      </c>
      <c r="F3177" s="1" t="s">
        <v>2167</v>
      </c>
      <c r="G3177" s="1" t="s">
        <v>2172</v>
      </c>
      <c r="H3177" s="1" t="s">
        <v>2173</v>
      </c>
      <c r="I3177" s="1" t="s">
        <v>17868</v>
      </c>
      <c r="J3177" s="1" t="s">
        <v>4319</v>
      </c>
      <c r="K3177" s="1">
        <v>1</v>
      </c>
      <c r="L3177" s="1" t="s">
        <v>4259</v>
      </c>
      <c r="M3177" s="1">
        <v>1</v>
      </c>
      <c r="N3177" s="1" t="s">
        <v>4318</v>
      </c>
    </row>
    <row r="3178" spans="1:14" x14ac:dyDescent="0.15">
      <c r="A3178" s="1">
        <v>600</v>
      </c>
      <c r="B3178" s="1" t="s">
        <v>2167</v>
      </c>
      <c r="C3178" s="1" t="s">
        <v>2170</v>
      </c>
      <c r="D3178" s="1" t="s">
        <v>2167</v>
      </c>
      <c r="E3178" s="1" t="s">
        <v>2170</v>
      </c>
      <c r="F3178" s="1" t="s">
        <v>2167</v>
      </c>
      <c r="G3178" s="1" t="s">
        <v>2172</v>
      </c>
      <c r="H3178" s="1" t="s">
        <v>2173</v>
      </c>
      <c r="I3178" s="1" t="s">
        <v>17872</v>
      </c>
      <c r="J3178" s="1" t="s">
        <v>17873</v>
      </c>
      <c r="K3178" s="1">
        <v>1</v>
      </c>
      <c r="L3178" s="1" t="s">
        <v>4259</v>
      </c>
      <c r="M3178" s="1">
        <v>1</v>
      </c>
      <c r="N3178" s="1" t="s">
        <v>4318</v>
      </c>
    </row>
    <row r="3179" spans="1:14" x14ac:dyDescent="0.15">
      <c r="A3179" s="1">
        <v>600</v>
      </c>
      <c r="B3179" s="1" t="s">
        <v>2167</v>
      </c>
      <c r="C3179" s="1" t="s">
        <v>2170</v>
      </c>
      <c r="D3179" s="1" t="s">
        <v>2167</v>
      </c>
      <c r="E3179" s="1" t="s">
        <v>2170</v>
      </c>
      <c r="F3179" s="1" t="s">
        <v>2167</v>
      </c>
      <c r="G3179" s="1" t="s">
        <v>2172</v>
      </c>
      <c r="H3179" s="1" t="s">
        <v>2173</v>
      </c>
      <c r="I3179" s="1" t="s">
        <v>17896</v>
      </c>
      <c r="J3179" s="1" t="s">
        <v>6533</v>
      </c>
      <c r="K3179" s="1">
        <v>1</v>
      </c>
      <c r="L3179" s="1" t="s">
        <v>2174</v>
      </c>
      <c r="M3179" s="1">
        <v>1</v>
      </c>
      <c r="N3179" s="1" t="s">
        <v>4318</v>
      </c>
    </row>
    <row r="3180" spans="1:14" x14ac:dyDescent="0.15">
      <c r="A3180" s="1">
        <v>600</v>
      </c>
      <c r="B3180" s="1" t="s">
        <v>2167</v>
      </c>
      <c r="C3180" s="1" t="s">
        <v>2170</v>
      </c>
      <c r="D3180" s="1" t="s">
        <v>2167</v>
      </c>
      <c r="E3180" s="1" t="s">
        <v>2170</v>
      </c>
      <c r="F3180" s="1" t="s">
        <v>2167</v>
      </c>
      <c r="G3180" s="1" t="s">
        <v>2172</v>
      </c>
      <c r="H3180" s="1" t="s">
        <v>2173</v>
      </c>
      <c r="I3180" s="1" t="s">
        <v>17908</v>
      </c>
      <c r="J3180" s="1" t="s">
        <v>6539</v>
      </c>
      <c r="K3180" s="1">
        <v>1</v>
      </c>
      <c r="L3180" s="1" t="s">
        <v>4259</v>
      </c>
      <c r="M3180" s="1">
        <v>1</v>
      </c>
      <c r="N3180" s="1" t="s">
        <v>4318</v>
      </c>
    </row>
    <row r="3181" spans="1:14" x14ac:dyDescent="0.15">
      <c r="A3181" s="1">
        <v>600</v>
      </c>
      <c r="B3181" s="1" t="s">
        <v>2167</v>
      </c>
      <c r="C3181" s="1" t="s">
        <v>2170</v>
      </c>
      <c r="D3181" s="1" t="s">
        <v>2167</v>
      </c>
      <c r="E3181" s="1" t="s">
        <v>2170</v>
      </c>
      <c r="F3181" s="1" t="s">
        <v>2167</v>
      </c>
      <c r="G3181" s="1" t="s">
        <v>2172</v>
      </c>
      <c r="H3181" s="1" t="s">
        <v>2173</v>
      </c>
      <c r="I3181" s="1" t="s">
        <v>17912</v>
      </c>
      <c r="J3181" s="1" t="s">
        <v>6546</v>
      </c>
      <c r="K3181" s="1">
        <v>1</v>
      </c>
      <c r="L3181" s="1" t="s">
        <v>4259</v>
      </c>
      <c r="M3181" s="1">
        <v>1</v>
      </c>
      <c r="N3181" s="1" t="s">
        <v>4318</v>
      </c>
    </row>
    <row r="3182" spans="1:14" x14ac:dyDescent="0.15">
      <c r="A3182" s="1">
        <v>600</v>
      </c>
      <c r="B3182" s="1" t="s">
        <v>2167</v>
      </c>
      <c r="C3182" s="1" t="s">
        <v>2170</v>
      </c>
      <c r="D3182" s="1" t="s">
        <v>2167</v>
      </c>
      <c r="E3182" s="1" t="s">
        <v>2170</v>
      </c>
      <c r="F3182" s="1" t="s">
        <v>2167</v>
      </c>
      <c r="G3182" s="1" t="s">
        <v>2172</v>
      </c>
      <c r="H3182" s="1" t="s">
        <v>2173</v>
      </c>
      <c r="I3182" s="1" t="s">
        <v>11773</v>
      </c>
      <c r="J3182" s="1" t="s">
        <v>18054</v>
      </c>
      <c r="K3182" s="1">
        <v>1</v>
      </c>
      <c r="L3182" s="1" t="s">
        <v>4259</v>
      </c>
      <c r="M3182" s="1">
        <v>1</v>
      </c>
      <c r="N3182" s="1" t="s">
        <v>4318</v>
      </c>
    </row>
    <row r="3183" spans="1:14" x14ac:dyDescent="0.15">
      <c r="A3183" s="1">
        <v>600</v>
      </c>
      <c r="B3183" s="1" t="s">
        <v>2167</v>
      </c>
      <c r="C3183" s="1" t="s">
        <v>2170</v>
      </c>
      <c r="D3183" s="1" t="s">
        <v>2167</v>
      </c>
      <c r="E3183" s="1" t="s">
        <v>2170</v>
      </c>
      <c r="F3183" s="1" t="s">
        <v>2167</v>
      </c>
      <c r="G3183" s="1" t="s">
        <v>2172</v>
      </c>
      <c r="H3183" s="1" t="s">
        <v>2173</v>
      </c>
      <c r="I3183" s="1" t="s">
        <v>11227</v>
      </c>
      <c r="J3183" s="1" t="s">
        <v>18058</v>
      </c>
      <c r="K3183" s="1">
        <v>1</v>
      </c>
      <c r="L3183" s="1" t="s">
        <v>4259</v>
      </c>
      <c r="M3183" s="1">
        <v>1</v>
      </c>
      <c r="N3183" s="1" t="s">
        <v>4318</v>
      </c>
    </row>
    <row r="3184" spans="1:14" x14ac:dyDescent="0.15">
      <c r="A3184" s="1">
        <v>600</v>
      </c>
      <c r="B3184" s="1" t="s">
        <v>2167</v>
      </c>
      <c r="C3184" s="1" t="s">
        <v>2170</v>
      </c>
      <c r="D3184" s="1" t="s">
        <v>2167</v>
      </c>
      <c r="E3184" s="1" t="s">
        <v>2170</v>
      </c>
      <c r="F3184" s="1" t="s">
        <v>2167</v>
      </c>
      <c r="G3184" s="1" t="s">
        <v>2172</v>
      </c>
      <c r="H3184" s="1" t="s">
        <v>2173</v>
      </c>
      <c r="I3184" s="1" t="s">
        <v>17987</v>
      </c>
      <c r="J3184" s="1" t="s">
        <v>2913</v>
      </c>
      <c r="K3184" s="1">
        <v>1</v>
      </c>
      <c r="L3184" s="1" t="s">
        <v>4259</v>
      </c>
      <c r="M3184" s="1">
        <v>1</v>
      </c>
      <c r="N3184" s="1" t="s">
        <v>4318</v>
      </c>
    </row>
    <row r="3185" spans="1:14" x14ac:dyDescent="0.15">
      <c r="A3185" s="1">
        <v>600</v>
      </c>
      <c r="B3185" s="1" t="s">
        <v>2167</v>
      </c>
      <c r="C3185" s="1" t="s">
        <v>2170</v>
      </c>
      <c r="D3185" s="1" t="s">
        <v>2167</v>
      </c>
      <c r="E3185" s="1" t="s">
        <v>2170</v>
      </c>
      <c r="F3185" s="1" t="s">
        <v>2167</v>
      </c>
      <c r="G3185" s="1" t="s">
        <v>2175</v>
      </c>
      <c r="H3185" s="1" t="s">
        <v>2176</v>
      </c>
      <c r="I3185" s="1" t="s">
        <v>11710</v>
      </c>
      <c r="J3185" s="1" t="s">
        <v>18011</v>
      </c>
      <c r="K3185" s="1">
        <v>1</v>
      </c>
      <c r="L3185" s="1" t="s">
        <v>4259</v>
      </c>
      <c r="M3185" s="1">
        <v>1</v>
      </c>
      <c r="N3185" s="1" t="s">
        <v>4318</v>
      </c>
    </row>
    <row r="3186" spans="1:14" x14ac:dyDescent="0.15">
      <c r="A3186" s="1">
        <v>600</v>
      </c>
      <c r="B3186" s="1" t="s">
        <v>2167</v>
      </c>
      <c r="C3186" s="1" t="s">
        <v>2170</v>
      </c>
      <c r="D3186" s="1" t="s">
        <v>2167</v>
      </c>
      <c r="E3186" s="1" t="s">
        <v>2170</v>
      </c>
      <c r="F3186" s="1" t="s">
        <v>2167</v>
      </c>
      <c r="G3186" s="1" t="s">
        <v>2175</v>
      </c>
      <c r="H3186" s="1" t="s">
        <v>2176</v>
      </c>
      <c r="I3186" s="1" t="s">
        <v>11722</v>
      </c>
      <c r="J3186" s="1" t="s">
        <v>6593</v>
      </c>
      <c r="K3186" s="1">
        <v>1</v>
      </c>
      <c r="L3186" s="1" t="s">
        <v>4259</v>
      </c>
      <c r="M3186" s="1">
        <v>1</v>
      </c>
      <c r="N3186" s="1" t="s">
        <v>4318</v>
      </c>
    </row>
    <row r="3187" spans="1:14" x14ac:dyDescent="0.15">
      <c r="A3187" s="1">
        <v>600</v>
      </c>
      <c r="B3187" s="1" t="s">
        <v>2167</v>
      </c>
      <c r="C3187" s="1" t="s">
        <v>2170</v>
      </c>
      <c r="D3187" s="1" t="s">
        <v>2167</v>
      </c>
      <c r="E3187" s="1" t="s">
        <v>2170</v>
      </c>
      <c r="F3187" s="1" t="s">
        <v>2167</v>
      </c>
      <c r="G3187" s="1" t="s">
        <v>2175</v>
      </c>
      <c r="H3187" s="1" t="s">
        <v>2176</v>
      </c>
      <c r="I3187" s="1" t="s">
        <v>11739</v>
      </c>
      <c r="J3187" s="1" t="s">
        <v>6595</v>
      </c>
      <c r="K3187" s="1">
        <v>1</v>
      </c>
      <c r="L3187" s="1" t="s">
        <v>4259</v>
      </c>
      <c r="M3187" s="1">
        <v>1</v>
      </c>
      <c r="N3187" s="1" t="s">
        <v>4318</v>
      </c>
    </row>
    <row r="3188" spans="1:14" x14ac:dyDescent="0.15">
      <c r="A3188" s="1">
        <v>600</v>
      </c>
      <c r="B3188" s="1" t="s">
        <v>2167</v>
      </c>
      <c r="C3188" s="1" t="s">
        <v>2170</v>
      </c>
      <c r="D3188" s="1" t="s">
        <v>2167</v>
      </c>
      <c r="E3188" s="1" t="s">
        <v>2170</v>
      </c>
      <c r="F3188" s="1" t="s">
        <v>2167</v>
      </c>
      <c r="G3188" s="1" t="s">
        <v>2175</v>
      </c>
      <c r="H3188" s="1" t="s">
        <v>2176</v>
      </c>
      <c r="I3188" s="1" t="s">
        <v>11751</v>
      </c>
      <c r="J3188" s="1" t="s">
        <v>4324</v>
      </c>
      <c r="K3188" s="1">
        <v>1</v>
      </c>
      <c r="L3188" s="1" t="s">
        <v>4259</v>
      </c>
      <c r="M3188" s="1">
        <v>1</v>
      </c>
      <c r="N3188" s="1" t="s">
        <v>4318</v>
      </c>
    </row>
    <row r="3189" spans="1:14" x14ac:dyDescent="0.15">
      <c r="A3189" s="1">
        <v>600</v>
      </c>
      <c r="B3189" s="1" t="s">
        <v>2167</v>
      </c>
      <c r="C3189" s="1" t="s">
        <v>2170</v>
      </c>
      <c r="D3189" s="1" t="s">
        <v>2167</v>
      </c>
      <c r="E3189" s="1" t="s">
        <v>2170</v>
      </c>
      <c r="F3189" s="1" t="s">
        <v>2167</v>
      </c>
      <c r="G3189" s="1" t="s">
        <v>2175</v>
      </c>
      <c r="H3189" s="1" t="s">
        <v>2176</v>
      </c>
      <c r="I3189" s="1" t="s">
        <v>11754</v>
      </c>
      <c r="J3189" s="1" t="s">
        <v>4325</v>
      </c>
      <c r="K3189" s="1">
        <v>1</v>
      </c>
      <c r="L3189" s="1" t="s">
        <v>4259</v>
      </c>
      <c r="M3189" s="1">
        <v>1</v>
      </c>
      <c r="N3189" s="1" t="s">
        <v>4318</v>
      </c>
    </row>
    <row r="3190" spans="1:14" x14ac:dyDescent="0.15">
      <c r="A3190" s="1">
        <v>600</v>
      </c>
      <c r="B3190" s="1" t="s">
        <v>2167</v>
      </c>
      <c r="C3190" s="1" t="s">
        <v>2170</v>
      </c>
      <c r="D3190" s="1" t="s">
        <v>2167</v>
      </c>
      <c r="E3190" s="1" t="s">
        <v>2170</v>
      </c>
      <c r="F3190" s="1" t="s">
        <v>2167</v>
      </c>
      <c r="G3190" s="1" t="s">
        <v>2175</v>
      </c>
      <c r="H3190" s="1" t="s">
        <v>2176</v>
      </c>
      <c r="I3190" s="1" t="s">
        <v>17987</v>
      </c>
      <c r="J3190" s="1" t="s">
        <v>2913</v>
      </c>
      <c r="K3190" s="1">
        <v>1</v>
      </c>
      <c r="L3190" s="1" t="s">
        <v>4259</v>
      </c>
      <c r="M3190" s="1">
        <v>1</v>
      </c>
      <c r="N3190" s="1" t="s">
        <v>4318</v>
      </c>
    </row>
    <row r="3191" spans="1:14" x14ac:dyDescent="0.15">
      <c r="A3191" s="1">
        <v>600</v>
      </c>
      <c r="B3191" s="1" t="s">
        <v>2167</v>
      </c>
      <c r="C3191" s="1" t="s">
        <v>2170</v>
      </c>
      <c r="D3191" s="1" t="s">
        <v>2167</v>
      </c>
      <c r="E3191" s="1" t="s">
        <v>2170</v>
      </c>
      <c r="F3191" s="1" t="s">
        <v>2167</v>
      </c>
      <c r="G3191" s="1" t="s">
        <v>2177</v>
      </c>
      <c r="H3191" s="1" t="s">
        <v>2178</v>
      </c>
      <c r="I3191" s="1" t="s">
        <v>11754</v>
      </c>
      <c r="J3191" s="1" t="s">
        <v>4325</v>
      </c>
      <c r="K3191" s="1">
        <v>1</v>
      </c>
      <c r="L3191" s="1" t="s">
        <v>4259</v>
      </c>
      <c r="M3191" s="1">
        <v>1</v>
      </c>
      <c r="N3191" s="1" t="s">
        <v>4318</v>
      </c>
    </row>
    <row r="3192" spans="1:14" x14ac:dyDescent="0.15">
      <c r="A3192" s="1">
        <v>600</v>
      </c>
      <c r="B3192" s="1" t="s">
        <v>2167</v>
      </c>
      <c r="C3192" s="1" t="s">
        <v>2170</v>
      </c>
      <c r="D3192" s="1" t="s">
        <v>2167</v>
      </c>
      <c r="E3192" s="1" t="s">
        <v>2170</v>
      </c>
      <c r="F3192" s="1" t="s">
        <v>2167</v>
      </c>
      <c r="G3192" s="1" t="s">
        <v>2179</v>
      </c>
      <c r="H3192" s="1" t="s">
        <v>2180</v>
      </c>
      <c r="I3192" s="1" t="s">
        <v>17872</v>
      </c>
      <c r="J3192" s="1" t="s">
        <v>17873</v>
      </c>
      <c r="K3192" s="1">
        <v>1</v>
      </c>
      <c r="L3192" s="1" t="s">
        <v>4259</v>
      </c>
      <c r="M3192" s="1">
        <v>1</v>
      </c>
      <c r="N3192" s="1" t="s">
        <v>4318</v>
      </c>
    </row>
    <row r="3193" spans="1:14" x14ac:dyDescent="0.15">
      <c r="A3193" s="1">
        <v>600</v>
      </c>
      <c r="B3193" s="1" t="s">
        <v>2167</v>
      </c>
      <c r="C3193" s="1" t="s">
        <v>2170</v>
      </c>
      <c r="D3193" s="1" t="s">
        <v>2167</v>
      </c>
      <c r="E3193" s="1" t="s">
        <v>2170</v>
      </c>
      <c r="F3193" s="1" t="s">
        <v>2167</v>
      </c>
      <c r="G3193" s="1" t="s">
        <v>2179</v>
      </c>
      <c r="H3193" s="1" t="s">
        <v>2180</v>
      </c>
      <c r="I3193" s="1" t="s">
        <v>17896</v>
      </c>
      <c r="J3193" s="1" t="s">
        <v>6533</v>
      </c>
      <c r="K3193" s="1">
        <v>1</v>
      </c>
      <c r="L3193" s="1" t="s">
        <v>4259</v>
      </c>
      <c r="M3193" s="1">
        <v>1</v>
      </c>
      <c r="N3193" s="1" t="s">
        <v>4318</v>
      </c>
    </row>
    <row r="3194" spans="1:14" x14ac:dyDescent="0.15">
      <c r="A3194" s="1">
        <v>600</v>
      </c>
      <c r="B3194" s="1" t="s">
        <v>2167</v>
      </c>
      <c r="C3194" s="1" t="s">
        <v>2170</v>
      </c>
      <c r="D3194" s="1" t="s">
        <v>2167</v>
      </c>
      <c r="E3194" s="1" t="s">
        <v>2170</v>
      </c>
      <c r="F3194" s="1" t="s">
        <v>2167</v>
      </c>
      <c r="G3194" s="1" t="s">
        <v>2179</v>
      </c>
      <c r="H3194" s="1" t="s">
        <v>2180</v>
      </c>
      <c r="I3194" s="1" t="s">
        <v>17912</v>
      </c>
      <c r="J3194" s="1" t="s">
        <v>6546</v>
      </c>
      <c r="K3194" s="1">
        <v>1</v>
      </c>
      <c r="L3194" s="1" t="s">
        <v>4259</v>
      </c>
      <c r="M3194" s="1">
        <v>1</v>
      </c>
      <c r="N3194" s="1" t="s">
        <v>4318</v>
      </c>
    </row>
    <row r="3195" spans="1:14" x14ac:dyDescent="0.15">
      <c r="A3195" s="1">
        <v>600</v>
      </c>
      <c r="B3195" s="1" t="s">
        <v>2167</v>
      </c>
      <c r="C3195" s="1" t="s">
        <v>2170</v>
      </c>
      <c r="D3195" s="1" t="s">
        <v>2167</v>
      </c>
      <c r="E3195" s="1" t="s">
        <v>2170</v>
      </c>
      <c r="F3195" s="1" t="s">
        <v>2167</v>
      </c>
      <c r="G3195" s="1" t="s">
        <v>2179</v>
      </c>
      <c r="H3195" s="1" t="s">
        <v>2180</v>
      </c>
      <c r="I3195" s="1" t="s">
        <v>11773</v>
      </c>
      <c r="J3195" s="1" t="s">
        <v>18054</v>
      </c>
      <c r="K3195" s="1">
        <v>1</v>
      </c>
      <c r="L3195" s="1" t="s">
        <v>4259</v>
      </c>
      <c r="M3195" s="1">
        <v>1</v>
      </c>
      <c r="N3195" s="1" t="s">
        <v>4318</v>
      </c>
    </row>
    <row r="3196" spans="1:14" x14ac:dyDescent="0.15">
      <c r="A3196" s="1">
        <v>600</v>
      </c>
      <c r="B3196" s="1" t="s">
        <v>2167</v>
      </c>
      <c r="C3196" s="1" t="s">
        <v>2170</v>
      </c>
      <c r="D3196" s="1" t="s">
        <v>2167</v>
      </c>
      <c r="E3196" s="1" t="s">
        <v>2170</v>
      </c>
      <c r="F3196" s="1" t="s">
        <v>2167</v>
      </c>
      <c r="G3196" s="1" t="s">
        <v>2181</v>
      </c>
      <c r="H3196" s="1" t="s">
        <v>2182</v>
      </c>
      <c r="I3196" s="1" t="s">
        <v>17868</v>
      </c>
      <c r="J3196" s="1" t="s">
        <v>4319</v>
      </c>
      <c r="K3196" s="1">
        <v>1</v>
      </c>
      <c r="L3196" s="1" t="s">
        <v>4259</v>
      </c>
      <c r="M3196" s="1">
        <v>1</v>
      </c>
      <c r="N3196" s="1" t="s">
        <v>4318</v>
      </c>
    </row>
    <row r="3197" spans="1:14" x14ac:dyDescent="0.15">
      <c r="A3197" s="1">
        <v>600</v>
      </c>
      <c r="B3197" s="1" t="s">
        <v>2167</v>
      </c>
      <c r="C3197" s="1" t="s">
        <v>2170</v>
      </c>
      <c r="D3197" s="1" t="s">
        <v>2167</v>
      </c>
      <c r="E3197" s="1" t="s">
        <v>2170</v>
      </c>
      <c r="F3197" s="1" t="s">
        <v>2167</v>
      </c>
      <c r="G3197" s="1" t="s">
        <v>2181</v>
      </c>
      <c r="H3197" s="1" t="s">
        <v>2182</v>
      </c>
      <c r="I3197" s="1" t="s">
        <v>17872</v>
      </c>
      <c r="J3197" s="1" t="s">
        <v>17873</v>
      </c>
      <c r="K3197" s="1">
        <v>1</v>
      </c>
      <c r="L3197" s="1" t="s">
        <v>4259</v>
      </c>
      <c r="M3197" s="1">
        <v>1</v>
      </c>
      <c r="N3197" s="1" t="s">
        <v>4318</v>
      </c>
    </row>
    <row r="3198" spans="1:14" x14ac:dyDescent="0.15">
      <c r="A3198" s="1">
        <v>600</v>
      </c>
      <c r="B3198" s="1" t="s">
        <v>2167</v>
      </c>
      <c r="C3198" s="1" t="s">
        <v>2170</v>
      </c>
      <c r="D3198" s="1" t="s">
        <v>2167</v>
      </c>
      <c r="E3198" s="1" t="s">
        <v>2170</v>
      </c>
      <c r="F3198" s="1" t="s">
        <v>2167</v>
      </c>
      <c r="G3198" s="1" t="s">
        <v>2183</v>
      </c>
      <c r="H3198" s="1" t="s">
        <v>2184</v>
      </c>
      <c r="I3198" s="1" t="s">
        <v>17872</v>
      </c>
      <c r="J3198" s="1" t="s">
        <v>17873</v>
      </c>
      <c r="K3198" s="1">
        <v>1</v>
      </c>
      <c r="L3198" s="1" t="s">
        <v>4259</v>
      </c>
      <c r="M3198" s="1">
        <v>1</v>
      </c>
      <c r="N3198" s="1" t="s">
        <v>4318</v>
      </c>
    </row>
    <row r="3199" spans="1:14" x14ac:dyDescent="0.15">
      <c r="A3199" s="1">
        <v>600</v>
      </c>
      <c r="B3199" s="1" t="s">
        <v>2167</v>
      </c>
      <c r="C3199" s="1" t="s">
        <v>2170</v>
      </c>
      <c r="D3199" s="1" t="s">
        <v>2167</v>
      </c>
      <c r="E3199" s="1" t="s">
        <v>2170</v>
      </c>
      <c r="F3199" s="1" t="s">
        <v>2167</v>
      </c>
      <c r="G3199" s="1" t="s">
        <v>2183</v>
      </c>
      <c r="H3199" s="1" t="s">
        <v>2184</v>
      </c>
      <c r="I3199" s="1" t="s">
        <v>17904</v>
      </c>
      <c r="J3199" s="1" t="s">
        <v>6537</v>
      </c>
      <c r="K3199" s="1">
        <v>1</v>
      </c>
      <c r="L3199" s="1" t="s">
        <v>4259</v>
      </c>
      <c r="M3199" s="1">
        <v>1</v>
      </c>
      <c r="N3199" s="1" t="s">
        <v>4318</v>
      </c>
    </row>
    <row r="3200" spans="1:14" x14ac:dyDescent="0.15">
      <c r="A3200" s="1">
        <v>600</v>
      </c>
      <c r="B3200" s="1" t="s">
        <v>2167</v>
      </c>
      <c r="C3200" s="1" t="s">
        <v>2170</v>
      </c>
      <c r="D3200" s="1" t="s">
        <v>2167</v>
      </c>
      <c r="E3200" s="1" t="s">
        <v>2170</v>
      </c>
      <c r="F3200" s="1" t="s">
        <v>2167</v>
      </c>
      <c r="G3200" s="1" t="s">
        <v>2183</v>
      </c>
      <c r="H3200" s="1" t="s">
        <v>2184</v>
      </c>
      <c r="I3200" s="1" t="s">
        <v>18139</v>
      </c>
      <c r="J3200" s="1" t="s">
        <v>18136</v>
      </c>
      <c r="K3200" s="1">
        <v>1</v>
      </c>
      <c r="L3200" s="1" t="s">
        <v>4259</v>
      </c>
      <c r="M3200" s="1">
        <v>1</v>
      </c>
      <c r="N3200" s="1" t="s">
        <v>4318</v>
      </c>
    </row>
    <row r="3201" spans="1:14" x14ac:dyDescent="0.15">
      <c r="A3201" s="1">
        <v>601</v>
      </c>
      <c r="B3201" s="1" t="s">
        <v>2185</v>
      </c>
      <c r="C3201" s="1" t="s">
        <v>2186</v>
      </c>
      <c r="D3201" s="1" t="s">
        <v>2185</v>
      </c>
      <c r="E3201" s="1" t="s">
        <v>2186</v>
      </c>
      <c r="F3201" s="1" t="s">
        <v>2185</v>
      </c>
      <c r="G3201" s="1" t="s">
        <v>2187</v>
      </c>
      <c r="H3201" s="1" t="s">
        <v>2185</v>
      </c>
      <c r="I3201" s="1" t="s">
        <v>17920</v>
      </c>
      <c r="J3201" s="1" t="s">
        <v>2908</v>
      </c>
      <c r="K3201" s="1">
        <v>9</v>
      </c>
      <c r="L3201" s="1" t="s">
        <v>4199</v>
      </c>
      <c r="M3201" s="1">
        <v>1</v>
      </c>
      <c r="N3201" s="1" t="s">
        <v>4318</v>
      </c>
    </row>
    <row r="3202" spans="1:14" x14ac:dyDescent="0.15">
      <c r="A3202" s="1">
        <v>602</v>
      </c>
      <c r="B3202" s="1" t="s">
        <v>2188</v>
      </c>
      <c r="C3202" s="1" t="s">
        <v>2189</v>
      </c>
      <c r="D3202" s="1" t="s">
        <v>2188</v>
      </c>
      <c r="E3202" s="1" t="s">
        <v>2189</v>
      </c>
      <c r="F3202" s="1" t="s">
        <v>2188</v>
      </c>
      <c r="G3202" s="1" t="s">
        <v>2190</v>
      </c>
      <c r="H3202" s="1" t="s">
        <v>2188</v>
      </c>
      <c r="I3202" s="1" t="s">
        <v>17900</v>
      </c>
      <c r="J3202" s="1" t="s">
        <v>4320</v>
      </c>
      <c r="K3202" s="1">
        <v>1</v>
      </c>
      <c r="L3202" s="1" t="s">
        <v>4259</v>
      </c>
      <c r="M3202" s="1">
        <v>1</v>
      </c>
      <c r="N3202" s="1" t="s">
        <v>4318</v>
      </c>
    </row>
    <row r="3203" spans="1:14" x14ac:dyDescent="0.15">
      <c r="A3203" s="1">
        <v>602</v>
      </c>
      <c r="B3203" s="1" t="s">
        <v>2188</v>
      </c>
      <c r="C3203" s="1" t="s">
        <v>2189</v>
      </c>
      <c r="D3203" s="1" t="s">
        <v>2188</v>
      </c>
      <c r="E3203" s="1" t="s">
        <v>2189</v>
      </c>
      <c r="F3203" s="1" t="s">
        <v>2188</v>
      </c>
      <c r="G3203" s="1" t="s">
        <v>2190</v>
      </c>
      <c r="H3203" s="1" t="s">
        <v>2188</v>
      </c>
      <c r="I3203" s="1" t="s">
        <v>11639</v>
      </c>
      <c r="J3203" s="1" t="s">
        <v>4322</v>
      </c>
      <c r="K3203" s="1">
        <v>1</v>
      </c>
      <c r="L3203" s="1" t="s">
        <v>4259</v>
      </c>
      <c r="M3203" s="1">
        <v>1</v>
      </c>
      <c r="N3203" s="1" t="s">
        <v>4318</v>
      </c>
    </row>
    <row r="3204" spans="1:14" x14ac:dyDescent="0.15">
      <c r="A3204" s="1">
        <v>99</v>
      </c>
      <c r="B3204" s="1" t="s">
        <v>1688</v>
      </c>
      <c r="C3204" s="1" t="s">
        <v>2191</v>
      </c>
      <c r="D3204" s="1" t="s">
        <v>2192</v>
      </c>
      <c r="E3204" s="1" t="s">
        <v>2191</v>
      </c>
      <c r="F3204" s="1" t="s">
        <v>2192</v>
      </c>
      <c r="G3204" s="1" t="s">
        <v>2193</v>
      </c>
      <c r="H3204" s="1" t="s">
        <v>2192</v>
      </c>
      <c r="I3204" s="1" t="s">
        <v>17940</v>
      </c>
      <c r="J3204" s="1" t="s">
        <v>2909</v>
      </c>
      <c r="K3204" s="1">
        <v>1</v>
      </c>
      <c r="L3204" s="1" t="s">
        <v>4259</v>
      </c>
      <c r="M3204" s="1">
        <v>1</v>
      </c>
      <c r="N3204" s="1" t="s">
        <v>4318</v>
      </c>
    </row>
    <row r="3205" spans="1:14" x14ac:dyDescent="0.15">
      <c r="A3205" s="1">
        <v>604</v>
      </c>
      <c r="B3205" s="1" t="s">
        <v>2194</v>
      </c>
      <c r="C3205" s="1" t="s">
        <v>2195</v>
      </c>
      <c r="D3205" s="1" t="s">
        <v>2194</v>
      </c>
      <c r="E3205" s="1" t="s">
        <v>2195</v>
      </c>
      <c r="F3205" s="1" t="s">
        <v>2194</v>
      </c>
      <c r="G3205" s="1" t="s">
        <v>2196</v>
      </c>
      <c r="H3205" s="1" t="s">
        <v>2194</v>
      </c>
      <c r="I3205" s="1" t="s">
        <v>11602</v>
      </c>
      <c r="J3205" s="1" t="s">
        <v>4467</v>
      </c>
      <c r="K3205" s="1">
        <v>1</v>
      </c>
      <c r="L3205" s="1" t="s">
        <v>4259</v>
      </c>
      <c r="M3205" s="1">
        <v>1</v>
      </c>
      <c r="N3205" s="1" t="s">
        <v>4318</v>
      </c>
    </row>
    <row r="3206" spans="1:14" x14ac:dyDescent="0.15">
      <c r="A3206" s="1">
        <v>605</v>
      </c>
      <c r="B3206" s="1" t="s">
        <v>2197</v>
      </c>
      <c r="C3206" s="1" t="s">
        <v>2198</v>
      </c>
      <c r="D3206" s="1" t="s">
        <v>2197</v>
      </c>
      <c r="E3206" s="1" t="s">
        <v>2198</v>
      </c>
      <c r="F3206" s="1" t="s">
        <v>2197</v>
      </c>
      <c r="G3206" s="1" t="s">
        <v>2199</v>
      </c>
      <c r="H3206" s="1" t="s">
        <v>2197</v>
      </c>
      <c r="I3206" s="1" t="s">
        <v>11879</v>
      </c>
      <c r="J3206" s="1" t="s">
        <v>4278</v>
      </c>
      <c r="K3206" s="1">
        <v>1</v>
      </c>
      <c r="L3206" s="1" t="s">
        <v>4259</v>
      </c>
      <c r="M3206" s="1">
        <v>1</v>
      </c>
      <c r="N3206" s="1" t="s">
        <v>4318</v>
      </c>
    </row>
    <row r="3207" spans="1:14" x14ac:dyDescent="0.15">
      <c r="A3207" s="1">
        <v>605</v>
      </c>
      <c r="B3207" s="1" t="s">
        <v>2197</v>
      </c>
      <c r="C3207" s="1" t="s">
        <v>2200</v>
      </c>
      <c r="D3207" s="1" t="s">
        <v>2201</v>
      </c>
      <c r="E3207" s="1" t="s">
        <v>2200</v>
      </c>
      <c r="F3207" s="1" t="s">
        <v>2201</v>
      </c>
      <c r="G3207" s="1" t="s">
        <v>2202</v>
      </c>
      <c r="H3207" s="1" t="s">
        <v>2201</v>
      </c>
      <c r="I3207" s="1" t="s">
        <v>17884</v>
      </c>
      <c r="J3207" s="1" t="s">
        <v>6528</v>
      </c>
      <c r="K3207" s="1">
        <v>1</v>
      </c>
      <c r="L3207" s="1" t="s">
        <v>4259</v>
      </c>
      <c r="M3207" s="1">
        <v>1</v>
      </c>
      <c r="N3207" s="1" t="s">
        <v>4318</v>
      </c>
    </row>
    <row r="3208" spans="1:14" x14ac:dyDescent="0.15">
      <c r="A3208" s="1">
        <v>605</v>
      </c>
      <c r="B3208" s="1" t="s">
        <v>2197</v>
      </c>
      <c r="C3208" s="1" t="s">
        <v>2203</v>
      </c>
      <c r="D3208" s="1" t="s">
        <v>2204</v>
      </c>
      <c r="E3208" s="1" t="s">
        <v>2203</v>
      </c>
      <c r="F3208" s="1" t="s">
        <v>2204</v>
      </c>
      <c r="G3208" s="1" t="s">
        <v>2205</v>
      </c>
      <c r="H3208" s="1" t="s">
        <v>2204</v>
      </c>
      <c r="I3208" s="1" t="s">
        <v>17896</v>
      </c>
      <c r="J3208" s="1" t="s">
        <v>6533</v>
      </c>
      <c r="K3208" s="1">
        <v>1</v>
      </c>
      <c r="L3208" s="1" t="s">
        <v>4259</v>
      </c>
      <c r="M3208" s="1">
        <v>1</v>
      </c>
      <c r="N3208" s="1" t="s">
        <v>4318</v>
      </c>
    </row>
    <row r="3209" spans="1:14" x14ac:dyDescent="0.15">
      <c r="A3209" s="1">
        <v>605</v>
      </c>
      <c r="B3209" s="1" t="s">
        <v>2197</v>
      </c>
      <c r="C3209" s="1" t="s">
        <v>2203</v>
      </c>
      <c r="D3209" s="1" t="s">
        <v>2204</v>
      </c>
      <c r="E3209" s="1" t="s">
        <v>2203</v>
      </c>
      <c r="F3209" s="1" t="s">
        <v>2204</v>
      </c>
      <c r="G3209" s="1" t="s">
        <v>2206</v>
      </c>
      <c r="H3209" s="1" t="s">
        <v>2207</v>
      </c>
      <c r="I3209" s="1" t="s">
        <v>17896</v>
      </c>
      <c r="J3209" s="1" t="s">
        <v>6533</v>
      </c>
      <c r="K3209" s="1">
        <v>1</v>
      </c>
      <c r="L3209" s="1" t="s">
        <v>4259</v>
      </c>
      <c r="M3209" s="1">
        <v>1</v>
      </c>
      <c r="N3209" s="1" t="s">
        <v>4318</v>
      </c>
    </row>
    <row r="3210" spans="1:14" x14ac:dyDescent="0.15">
      <c r="A3210" s="1">
        <v>605</v>
      </c>
      <c r="B3210" s="1" t="s">
        <v>2197</v>
      </c>
      <c r="C3210" s="1" t="s">
        <v>2203</v>
      </c>
      <c r="D3210" s="1" t="s">
        <v>2204</v>
      </c>
      <c r="E3210" s="1" t="s">
        <v>2203</v>
      </c>
      <c r="F3210" s="1" t="s">
        <v>2204</v>
      </c>
      <c r="G3210" s="1" t="s">
        <v>2208</v>
      </c>
      <c r="H3210" s="1" t="s">
        <v>2209</v>
      </c>
      <c r="I3210" s="1" t="s">
        <v>17908</v>
      </c>
      <c r="J3210" s="1" t="s">
        <v>6539</v>
      </c>
      <c r="K3210" s="1">
        <v>1</v>
      </c>
      <c r="L3210" s="1" t="s">
        <v>4259</v>
      </c>
      <c r="M3210" s="1">
        <v>1</v>
      </c>
      <c r="N3210" s="1" t="s">
        <v>4318</v>
      </c>
    </row>
    <row r="3211" spans="1:14" x14ac:dyDescent="0.15">
      <c r="A3211" s="1">
        <v>605</v>
      </c>
      <c r="B3211" s="1" t="s">
        <v>2197</v>
      </c>
      <c r="C3211" s="1" t="s">
        <v>2210</v>
      </c>
      <c r="D3211" s="1" t="s">
        <v>2211</v>
      </c>
      <c r="E3211" s="1" t="s">
        <v>2210</v>
      </c>
      <c r="F3211" s="1" t="s">
        <v>2211</v>
      </c>
      <c r="G3211" s="1" t="s">
        <v>2212</v>
      </c>
      <c r="H3211" s="1" t="s">
        <v>2211</v>
      </c>
      <c r="I3211" s="1" t="s">
        <v>17900</v>
      </c>
      <c r="J3211" s="1" t="s">
        <v>4320</v>
      </c>
      <c r="K3211" s="1">
        <v>1</v>
      </c>
      <c r="L3211" s="1" t="s">
        <v>4259</v>
      </c>
      <c r="M3211" s="1">
        <v>1</v>
      </c>
      <c r="N3211" s="1" t="s">
        <v>4318</v>
      </c>
    </row>
    <row r="3212" spans="1:14" x14ac:dyDescent="0.15">
      <c r="A3212" s="1">
        <v>605</v>
      </c>
      <c r="B3212" s="1" t="s">
        <v>2197</v>
      </c>
      <c r="C3212" s="1" t="s">
        <v>2210</v>
      </c>
      <c r="D3212" s="1" t="s">
        <v>2211</v>
      </c>
      <c r="E3212" s="1" t="s">
        <v>2210</v>
      </c>
      <c r="F3212" s="1" t="s">
        <v>2211</v>
      </c>
      <c r="G3212" s="1" t="s">
        <v>2212</v>
      </c>
      <c r="H3212" s="1" t="s">
        <v>2211</v>
      </c>
      <c r="I3212" s="1" t="s">
        <v>17904</v>
      </c>
      <c r="J3212" s="1" t="s">
        <v>6537</v>
      </c>
      <c r="K3212" s="1">
        <v>1</v>
      </c>
      <c r="L3212" s="1" t="s">
        <v>4259</v>
      </c>
      <c r="M3212" s="1">
        <v>1</v>
      </c>
      <c r="N3212" s="1" t="s">
        <v>4318</v>
      </c>
    </row>
    <row r="3213" spans="1:14" x14ac:dyDescent="0.15">
      <c r="A3213" s="1">
        <v>605</v>
      </c>
      <c r="B3213" s="1" t="s">
        <v>2197</v>
      </c>
      <c r="C3213" s="1" t="s">
        <v>2210</v>
      </c>
      <c r="D3213" s="1" t="s">
        <v>2211</v>
      </c>
      <c r="E3213" s="1" t="s">
        <v>2210</v>
      </c>
      <c r="F3213" s="1" t="s">
        <v>2211</v>
      </c>
      <c r="G3213" s="1" t="s">
        <v>2212</v>
      </c>
      <c r="H3213" s="1" t="s">
        <v>2211</v>
      </c>
      <c r="I3213" s="1" t="s">
        <v>17952</v>
      </c>
      <c r="J3213" s="1" t="s">
        <v>6566</v>
      </c>
      <c r="K3213" s="1">
        <v>1</v>
      </c>
      <c r="L3213" s="1" t="s">
        <v>4259</v>
      </c>
      <c r="M3213" s="1">
        <v>1</v>
      </c>
      <c r="N3213" s="1" t="s">
        <v>4318</v>
      </c>
    </row>
    <row r="3214" spans="1:14" x14ac:dyDescent="0.15">
      <c r="A3214" s="1">
        <v>605</v>
      </c>
      <c r="B3214" s="1" t="s">
        <v>2197</v>
      </c>
      <c r="C3214" s="1" t="s">
        <v>2210</v>
      </c>
      <c r="D3214" s="1" t="s">
        <v>2211</v>
      </c>
      <c r="E3214" s="1" t="s">
        <v>2210</v>
      </c>
      <c r="F3214" s="1" t="s">
        <v>2211</v>
      </c>
      <c r="G3214" s="1" t="s">
        <v>2212</v>
      </c>
      <c r="H3214" s="1" t="s">
        <v>2211</v>
      </c>
      <c r="I3214" s="1" t="s">
        <v>17956</v>
      </c>
      <c r="J3214" s="1" t="s">
        <v>17957</v>
      </c>
      <c r="K3214" s="1">
        <v>1</v>
      </c>
      <c r="L3214" s="1" t="s">
        <v>4259</v>
      </c>
      <c r="M3214" s="1">
        <v>1</v>
      </c>
      <c r="N3214" s="1" t="s">
        <v>4318</v>
      </c>
    </row>
    <row r="3215" spans="1:14" x14ac:dyDescent="0.15">
      <c r="A3215" s="1">
        <v>605</v>
      </c>
      <c r="B3215" s="1" t="s">
        <v>2197</v>
      </c>
      <c r="C3215" s="1" t="s">
        <v>2210</v>
      </c>
      <c r="D3215" s="1" t="s">
        <v>2211</v>
      </c>
      <c r="E3215" s="1" t="s">
        <v>2210</v>
      </c>
      <c r="F3215" s="1" t="s">
        <v>2211</v>
      </c>
      <c r="G3215" s="1" t="s">
        <v>2212</v>
      </c>
      <c r="H3215" s="1" t="s">
        <v>2211</v>
      </c>
      <c r="I3215" s="1" t="s">
        <v>17964</v>
      </c>
      <c r="J3215" s="1" t="s">
        <v>4323</v>
      </c>
      <c r="K3215" s="1">
        <v>1</v>
      </c>
      <c r="L3215" s="1" t="s">
        <v>4259</v>
      </c>
      <c r="M3215" s="1">
        <v>1</v>
      </c>
      <c r="N3215" s="1" t="s">
        <v>4318</v>
      </c>
    </row>
    <row r="3216" spans="1:14" x14ac:dyDescent="0.15">
      <c r="A3216" s="1">
        <v>610</v>
      </c>
      <c r="B3216" s="1" t="s">
        <v>2213</v>
      </c>
      <c r="C3216" s="1" t="s">
        <v>2214</v>
      </c>
      <c r="D3216" s="1" t="s">
        <v>2213</v>
      </c>
      <c r="E3216" s="1" t="s">
        <v>2214</v>
      </c>
      <c r="F3216" s="1" t="s">
        <v>2213</v>
      </c>
      <c r="G3216" s="1" t="s">
        <v>2215</v>
      </c>
      <c r="H3216" s="1" t="s">
        <v>2213</v>
      </c>
      <c r="I3216" s="1" t="s">
        <v>18139</v>
      </c>
      <c r="J3216" s="1" t="s">
        <v>18136</v>
      </c>
      <c r="K3216" s="1">
        <v>1</v>
      </c>
      <c r="L3216" s="1" t="s">
        <v>4259</v>
      </c>
      <c r="M3216" s="1">
        <v>1</v>
      </c>
      <c r="N3216" s="1" t="s">
        <v>4318</v>
      </c>
    </row>
    <row r="3217" spans="1:14" x14ac:dyDescent="0.15">
      <c r="A3217" s="1">
        <v>612</v>
      </c>
      <c r="B3217" s="1" t="s">
        <v>2216</v>
      </c>
      <c r="C3217" s="1" t="s">
        <v>2217</v>
      </c>
      <c r="D3217" s="1" t="s">
        <v>2216</v>
      </c>
      <c r="E3217" s="1" t="s">
        <v>2217</v>
      </c>
      <c r="F3217" s="1" t="s">
        <v>2216</v>
      </c>
      <c r="G3217" s="1" t="s">
        <v>2218</v>
      </c>
      <c r="H3217" s="1" t="s">
        <v>2216</v>
      </c>
      <c r="I3217" s="1" t="s">
        <v>18111</v>
      </c>
      <c r="J3217" s="1" t="s">
        <v>6619</v>
      </c>
      <c r="K3217" s="1">
        <v>1</v>
      </c>
      <c r="L3217" s="1" t="s">
        <v>4259</v>
      </c>
      <c r="M3217" s="1">
        <v>1</v>
      </c>
      <c r="N3217" s="1" t="s">
        <v>4318</v>
      </c>
    </row>
    <row r="3218" spans="1:14" x14ac:dyDescent="0.15">
      <c r="A3218" s="1">
        <v>612</v>
      </c>
      <c r="B3218" s="1" t="s">
        <v>2216</v>
      </c>
      <c r="C3218" s="1" t="s">
        <v>2217</v>
      </c>
      <c r="D3218" s="1" t="s">
        <v>2216</v>
      </c>
      <c r="E3218" s="1" t="s">
        <v>2217</v>
      </c>
      <c r="F3218" s="1" t="s">
        <v>2216</v>
      </c>
      <c r="G3218" s="1" t="s">
        <v>2218</v>
      </c>
      <c r="H3218" s="1" t="s">
        <v>2216</v>
      </c>
      <c r="I3218" s="1" t="s">
        <v>18131</v>
      </c>
      <c r="J3218" s="1" t="s">
        <v>2537</v>
      </c>
      <c r="K3218" s="1">
        <v>1</v>
      </c>
      <c r="L3218" s="1" t="s">
        <v>4259</v>
      </c>
      <c r="M3218" s="1">
        <v>1</v>
      </c>
      <c r="N3218" s="1" t="s">
        <v>4318</v>
      </c>
    </row>
    <row r="3219" spans="1:14" x14ac:dyDescent="0.15">
      <c r="A3219" s="1">
        <v>612</v>
      </c>
      <c r="B3219" s="1" t="s">
        <v>2216</v>
      </c>
      <c r="C3219" s="1" t="s">
        <v>2217</v>
      </c>
      <c r="D3219" s="1" t="s">
        <v>2216</v>
      </c>
      <c r="E3219" s="1" t="s">
        <v>2217</v>
      </c>
      <c r="F3219" s="1" t="s">
        <v>2216</v>
      </c>
      <c r="G3219" s="1" t="s">
        <v>2218</v>
      </c>
      <c r="H3219" s="1" t="s">
        <v>2216</v>
      </c>
      <c r="I3219" s="1" t="s">
        <v>18166</v>
      </c>
      <c r="J3219" s="1" t="s">
        <v>18167</v>
      </c>
      <c r="K3219" s="1">
        <v>1</v>
      </c>
      <c r="L3219" s="1" t="s">
        <v>4259</v>
      </c>
      <c r="M3219" s="1">
        <v>1</v>
      </c>
      <c r="N3219" s="1" t="s">
        <v>4318</v>
      </c>
    </row>
    <row r="3220" spans="1:14" x14ac:dyDescent="0.15">
      <c r="A3220" s="1">
        <v>612</v>
      </c>
      <c r="B3220" s="1" t="s">
        <v>2216</v>
      </c>
      <c r="C3220" s="1" t="s">
        <v>2217</v>
      </c>
      <c r="D3220" s="1" t="s">
        <v>2216</v>
      </c>
      <c r="E3220" s="1" t="s">
        <v>2217</v>
      </c>
      <c r="F3220" s="1" t="s">
        <v>2216</v>
      </c>
      <c r="G3220" s="1" t="s">
        <v>2218</v>
      </c>
      <c r="H3220" s="1" t="s">
        <v>2216</v>
      </c>
      <c r="I3220" s="1" t="s">
        <v>18170</v>
      </c>
      <c r="J3220" s="1" t="s">
        <v>2538</v>
      </c>
      <c r="K3220" s="1">
        <v>1</v>
      </c>
      <c r="L3220" s="1" t="s">
        <v>4259</v>
      </c>
      <c r="M3220" s="1">
        <v>1</v>
      </c>
      <c r="N3220" s="1" t="s">
        <v>4318</v>
      </c>
    </row>
    <row r="3221" spans="1:14" x14ac:dyDescent="0.15">
      <c r="A3221" s="1">
        <v>612</v>
      </c>
      <c r="B3221" s="1" t="s">
        <v>2216</v>
      </c>
      <c r="C3221" s="1" t="s">
        <v>2217</v>
      </c>
      <c r="D3221" s="1" t="s">
        <v>2216</v>
      </c>
      <c r="E3221" s="1" t="s">
        <v>2217</v>
      </c>
      <c r="F3221" s="1" t="s">
        <v>2216</v>
      </c>
      <c r="G3221" s="1" t="s">
        <v>2218</v>
      </c>
      <c r="H3221" s="1" t="s">
        <v>2216</v>
      </c>
      <c r="I3221" s="1" t="s">
        <v>18174</v>
      </c>
      <c r="J3221" s="1" t="s">
        <v>6649</v>
      </c>
      <c r="K3221" s="1">
        <v>1</v>
      </c>
      <c r="L3221" s="1" t="s">
        <v>4259</v>
      </c>
      <c r="M3221" s="1">
        <v>1</v>
      </c>
      <c r="N3221" s="1" t="s">
        <v>4318</v>
      </c>
    </row>
    <row r="3222" spans="1:14" x14ac:dyDescent="0.15">
      <c r="A3222" s="1">
        <v>612</v>
      </c>
      <c r="B3222" s="1" t="s">
        <v>2216</v>
      </c>
      <c r="C3222" s="1" t="s">
        <v>2217</v>
      </c>
      <c r="D3222" s="1" t="s">
        <v>2216</v>
      </c>
      <c r="E3222" s="1" t="s">
        <v>2217</v>
      </c>
      <c r="F3222" s="1" t="s">
        <v>2216</v>
      </c>
      <c r="G3222" s="1" t="s">
        <v>2218</v>
      </c>
      <c r="H3222" s="1" t="s">
        <v>2216</v>
      </c>
      <c r="I3222" s="1" t="s">
        <v>12624</v>
      </c>
      <c r="J3222" s="1" t="s">
        <v>2549</v>
      </c>
      <c r="K3222" s="1">
        <v>1</v>
      </c>
      <c r="L3222" s="1" t="s">
        <v>4259</v>
      </c>
      <c r="M3222" s="1">
        <v>1</v>
      </c>
      <c r="N3222" s="1" t="s">
        <v>4318</v>
      </c>
    </row>
    <row r="3223" spans="1:14" x14ac:dyDescent="0.15">
      <c r="A3223" s="1">
        <v>612</v>
      </c>
      <c r="B3223" s="1" t="s">
        <v>2216</v>
      </c>
      <c r="C3223" s="1" t="s">
        <v>2217</v>
      </c>
      <c r="D3223" s="1" t="s">
        <v>2216</v>
      </c>
      <c r="E3223" s="1" t="s">
        <v>2217</v>
      </c>
      <c r="F3223" s="1" t="s">
        <v>2216</v>
      </c>
      <c r="G3223" s="1" t="s">
        <v>2218</v>
      </c>
      <c r="H3223" s="1" t="s">
        <v>2216</v>
      </c>
      <c r="I3223" s="1" t="s">
        <v>18178</v>
      </c>
      <c r="J3223" s="1" t="s">
        <v>2550</v>
      </c>
      <c r="K3223" s="1">
        <v>1</v>
      </c>
      <c r="L3223" s="1" t="s">
        <v>4259</v>
      </c>
      <c r="M3223" s="1">
        <v>1</v>
      </c>
      <c r="N3223" s="1" t="s">
        <v>4318</v>
      </c>
    </row>
    <row r="3224" spans="1:14" x14ac:dyDescent="0.15">
      <c r="A3224" s="1">
        <v>612</v>
      </c>
      <c r="B3224" s="1" t="s">
        <v>2216</v>
      </c>
      <c r="C3224" s="1" t="s">
        <v>2217</v>
      </c>
      <c r="D3224" s="1" t="s">
        <v>2216</v>
      </c>
      <c r="E3224" s="1" t="s">
        <v>2217</v>
      </c>
      <c r="F3224" s="1" t="s">
        <v>2216</v>
      </c>
      <c r="G3224" s="1" t="s">
        <v>2218</v>
      </c>
      <c r="H3224" s="1" t="s">
        <v>2216</v>
      </c>
      <c r="I3224" s="1" t="s">
        <v>12632</v>
      </c>
      <c r="J3224" s="1" t="s">
        <v>2551</v>
      </c>
      <c r="K3224" s="1">
        <v>1</v>
      </c>
      <c r="L3224" s="1" t="s">
        <v>4259</v>
      </c>
      <c r="M3224" s="1">
        <v>1</v>
      </c>
      <c r="N3224" s="1" t="s">
        <v>4318</v>
      </c>
    </row>
    <row r="3225" spans="1:14" x14ac:dyDescent="0.15">
      <c r="A3225" s="1">
        <v>612</v>
      </c>
      <c r="B3225" s="1" t="s">
        <v>2216</v>
      </c>
      <c r="C3225" s="1" t="s">
        <v>2217</v>
      </c>
      <c r="D3225" s="1" t="s">
        <v>2216</v>
      </c>
      <c r="E3225" s="1" t="s">
        <v>2217</v>
      </c>
      <c r="F3225" s="1" t="s">
        <v>2216</v>
      </c>
      <c r="G3225" s="1" t="s">
        <v>2218</v>
      </c>
      <c r="H3225" s="1" t="s">
        <v>2216</v>
      </c>
      <c r="I3225" s="1" t="s">
        <v>18182</v>
      </c>
      <c r="J3225" s="1" t="s">
        <v>6644</v>
      </c>
      <c r="K3225" s="1">
        <v>1</v>
      </c>
      <c r="L3225" s="1" t="s">
        <v>4259</v>
      </c>
      <c r="M3225" s="1">
        <v>1</v>
      </c>
      <c r="N3225" s="1" t="s">
        <v>4318</v>
      </c>
    </row>
    <row r="3226" spans="1:14" x14ac:dyDescent="0.15">
      <c r="A3226" s="1">
        <v>612</v>
      </c>
      <c r="B3226" s="1" t="s">
        <v>2216</v>
      </c>
      <c r="C3226" s="1" t="s">
        <v>2217</v>
      </c>
      <c r="D3226" s="1" t="s">
        <v>2216</v>
      </c>
      <c r="E3226" s="1" t="s">
        <v>2217</v>
      </c>
      <c r="F3226" s="1" t="s">
        <v>2216</v>
      </c>
      <c r="G3226" s="1" t="s">
        <v>2218</v>
      </c>
      <c r="H3226" s="1" t="s">
        <v>2216</v>
      </c>
      <c r="I3226" s="1" t="s">
        <v>18197</v>
      </c>
      <c r="J3226" s="1" t="s">
        <v>2539</v>
      </c>
      <c r="K3226" s="1">
        <v>1</v>
      </c>
      <c r="L3226" s="1" t="s">
        <v>4259</v>
      </c>
      <c r="M3226" s="1">
        <v>1</v>
      </c>
      <c r="N3226" s="1" t="s">
        <v>4318</v>
      </c>
    </row>
    <row r="3227" spans="1:14" x14ac:dyDescent="0.15">
      <c r="A3227" s="1">
        <v>613</v>
      </c>
      <c r="B3227" s="1" t="s">
        <v>2219</v>
      </c>
      <c r="C3227" s="1" t="s">
        <v>2220</v>
      </c>
      <c r="D3227" s="1" t="s">
        <v>2219</v>
      </c>
      <c r="E3227" s="1" t="s">
        <v>2220</v>
      </c>
      <c r="F3227" s="1" t="s">
        <v>2219</v>
      </c>
      <c r="G3227" s="1" t="s">
        <v>2220</v>
      </c>
      <c r="H3227" s="1" t="s">
        <v>2219</v>
      </c>
      <c r="I3227" s="1" t="s">
        <v>12632</v>
      </c>
      <c r="J3227" s="1" t="s">
        <v>2551</v>
      </c>
      <c r="K3227" s="1">
        <v>1</v>
      </c>
      <c r="L3227" s="1" t="s">
        <v>4259</v>
      </c>
      <c r="M3227" s="1">
        <v>1</v>
      </c>
      <c r="N3227" s="1" t="s">
        <v>4318</v>
      </c>
    </row>
    <row r="3228" spans="1:14" x14ac:dyDescent="0.15">
      <c r="A3228" s="1">
        <v>613</v>
      </c>
      <c r="B3228" s="1" t="s">
        <v>2219</v>
      </c>
      <c r="C3228" s="1" t="s">
        <v>2221</v>
      </c>
      <c r="D3228" s="1" t="s">
        <v>2222</v>
      </c>
      <c r="E3228" s="1" t="s">
        <v>2221</v>
      </c>
      <c r="F3228" s="1" t="s">
        <v>2222</v>
      </c>
      <c r="G3228" s="1" t="s">
        <v>2223</v>
      </c>
      <c r="H3228" s="1" t="s">
        <v>2222</v>
      </c>
      <c r="I3228" s="1" t="s">
        <v>12632</v>
      </c>
      <c r="J3228" s="1" t="s">
        <v>2551</v>
      </c>
      <c r="K3228" s="1">
        <v>1</v>
      </c>
      <c r="L3228" s="1" t="s">
        <v>4259</v>
      </c>
      <c r="M3228" s="1">
        <v>1</v>
      </c>
      <c r="N3228" s="1" t="s">
        <v>4318</v>
      </c>
    </row>
    <row r="3229" spans="1:14" x14ac:dyDescent="0.15">
      <c r="A3229" s="1">
        <v>613</v>
      </c>
      <c r="B3229" s="1" t="s">
        <v>2219</v>
      </c>
      <c r="C3229" s="1" t="s">
        <v>2224</v>
      </c>
      <c r="D3229" s="1" t="s">
        <v>2225</v>
      </c>
      <c r="E3229" s="1" t="s">
        <v>2224</v>
      </c>
      <c r="F3229" s="1" t="s">
        <v>2225</v>
      </c>
      <c r="G3229" s="1" t="s">
        <v>2226</v>
      </c>
      <c r="H3229" s="1" t="s">
        <v>2225</v>
      </c>
      <c r="I3229" s="1" t="s">
        <v>12632</v>
      </c>
      <c r="J3229" s="1" t="s">
        <v>2551</v>
      </c>
      <c r="K3229" s="1">
        <v>1</v>
      </c>
      <c r="L3229" s="1" t="s">
        <v>4259</v>
      </c>
      <c r="M3229" s="1">
        <v>1</v>
      </c>
      <c r="N3229" s="1" t="s">
        <v>4318</v>
      </c>
    </row>
    <row r="3230" spans="1:14" x14ac:dyDescent="0.15">
      <c r="A3230" s="1">
        <v>613</v>
      </c>
      <c r="B3230" s="1" t="s">
        <v>2219</v>
      </c>
      <c r="C3230" s="1" t="s">
        <v>2224</v>
      </c>
      <c r="D3230" s="1" t="s">
        <v>2225</v>
      </c>
      <c r="E3230" s="1" t="s">
        <v>2224</v>
      </c>
      <c r="F3230" s="1" t="s">
        <v>2225</v>
      </c>
      <c r="G3230" s="1" t="s">
        <v>2227</v>
      </c>
      <c r="H3230" s="1" t="s">
        <v>2228</v>
      </c>
      <c r="I3230" s="1" t="s">
        <v>12632</v>
      </c>
      <c r="J3230" s="1" t="s">
        <v>2551</v>
      </c>
      <c r="K3230" s="1">
        <v>1</v>
      </c>
      <c r="L3230" s="1" t="s">
        <v>4259</v>
      </c>
      <c r="M3230" s="1">
        <v>1</v>
      </c>
      <c r="N3230" s="1" t="s">
        <v>4318</v>
      </c>
    </row>
    <row r="3231" spans="1:14" x14ac:dyDescent="0.15">
      <c r="A3231" s="1">
        <v>613</v>
      </c>
      <c r="B3231" s="1" t="s">
        <v>2219</v>
      </c>
      <c r="C3231" s="1" t="s">
        <v>2229</v>
      </c>
      <c r="D3231" s="1" t="s">
        <v>2230</v>
      </c>
      <c r="E3231" s="1" t="s">
        <v>2229</v>
      </c>
      <c r="F3231" s="1" t="s">
        <v>2230</v>
      </c>
      <c r="G3231" s="1" t="s">
        <v>2231</v>
      </c>
      <c r="H3231" s="1" t="s">
        <v>2230</v>
      </c>
      <c r="I3231" s="1" t="s">
        <v>12632</v>
      </c>
      <c r="J3231" s="1" t="s">
        <v>2551</v>
      </c>
      <c r="K3231" s="1">
        <v>1</v>
      </c>
      <c r="L3231" s="1" t="s">
        <v>4259</v>
      </c>
      <c r="M3231" s="1">
        <v>1</v>
      </c>
      <c r="N3231" s="1" t="s">
        <v>4318</v>
      </c>
    </row>
    <row r="3232" spans="1:14" x14ac:dyDescent="0.15">
      <c r="A3232" s="1">
        <v>620</v>
      </c>
      <c r="B3232" s="1" t="s">
        <v>2232</v>
      </c>
      <c r="C3232" s="1" t="s">
        <v>2233</v>
      </c>
      <c r="D3232" s="1" t="s">
        <v>2232</v>
      </c>
      <c r="E3232" s="1" t="s">
        <v>2233</v>
      </c>
      <c r="F3232" s="1" t="s">
        <v>2232</v>
      </c>
      <c r="G3232" s="1" t="s">
        <v>2234</v>
      </c>
      <c r="H3232" s="1" t="s">
        <v>2232</v>
      </c>
      <c r="I3232" s="1" t="s">
        <v>11879</v>
      </c>
      <c r="J3232" s="1" t="s">
        <v>4278</v>
      </c>
      <c r="L3232" s="1" t="s">
        <v>1604</v>
      </c>
      <c r="N3232" s="1" t="s">
        <v>1604</v>
      </c>
    </row>
    <row r="3233" spans="1:14" x14ac:dyDescent="0.15">
      <c r="A3233" s="1">
        <v>620</v>
      </c>
      <c r="B3233" s="1" t="s">
        <v>2232</v>
      </c>
      <c r="C3233" s="1" t="s">
        <v>2235</v>
      </c>
      <c r="D3233" s="1" t="s">
        <v>2232</v>
      </c>
      <c r="E3233" s="1" t="s">
        <v>2235</v>
      </c>
      <c r="F3233" s="1" t="s">
        <v>2232</v>
      </c>
      <c r="G3233" s="1" t="s">
        <v>2236</v>
      </c>
      <c r="H3233" s="1" t="s">
        <v>2232</v>
      </c>
      <c r="I3233" s="1" t="s">
        <v>14842</v>
      </c>
      <c r="J3233" s="1" t="s">
        <v>2237</v>
      </c>
      <c r="K3233" s="1">
        <v>3</v>
      </c>
      <c r="L3233" s="1" t="s">
        <v>4282</v>
      </c>
      <c r="M3233" s="1">
        <v>2</v>
      </c>
      <c r="N3233" s="1" t="s">
        <v>4283</v>
      </c>
    </row>
    <row r="3234" spans="1:14" x14ac:dyDescent="0.15">
      <c r="A3234" s="1">
        <v>620</v>
      </c>
      <c r="B3234" s="1" t="s">
        <v>2232</v>
      </c>
      <c r="C3234" s="1" t="s">
        <v>2235</v>
      </c>
      <c r="D3234" s="1" t="s">
        <v>2232</v>
      </c>
      <c r="E3234" s="1" t="s">
        <v>2235</v>
      </c>
      <c r="F3234" s="1" t="s">
        <v>2232</v>
      </c>
      <c r="G3234" s="1" t="s">
        <v>2236</v>
      </c>
      <c r="H3234" s="1" t="s">
        <v>2232</v>
      </c>
      <c r="I3234" s="1" t="s">
        <v>14217</v>
      </c>
      <c r="J3234" s="1" t="s">
        <v>6305</v>
      </c>
      <c r="K3234" s="1">
        <v>3</v>
      </c>
      <c r="L3234" s="1" t="s">
        <v>4282</v>
      </c>
      <c r="M3234" s="1">
        <v>2</v>
      </c>
      <c r="N3234" s="1" t="s">
        <v>4283</v>
      </c>
    </row>
    <row r="3235" spans="1:14" x14ac:dyDescent="0.15">
      <c r="A3235" s="1">
        <v>620</v>
      </c>
      <c r="B3235" s="1" t="s">
        <v>2232</v>
      </c>
      <c r="C3235" s="1" t="s">
        <v>2235</v>
      </c>
      <c r="D3235" s="1" t="s">
        <v>2232</v>
      </c>
      <c r="E3235" s="1" t="s">
        <v>2235</v>
      </c>
      <c r="F3235" s="1" t="s">
        <v>2232</v>
      </c>
      <c r="G3235" s="1" t="s">
        <v>2236</v>
      </c>
      <c r="H3235" s="1" t="s">
        <v>2232</v>
      </c>
      <c r="I3235" s="1" t="s">
        <v>14225</v>
      </c>
      <c r="J3235" s="1" t="s">
        <v>2238</v>
      </c>
      <c r="K3235" s="1">
        <v>3</v>
      </c>
      <c r="L3235" s="1" t="s">
        <v>4282</v>
      </c>
      <c r="M3235" s="1">
        <v>2</v>
      </c>
      <c r="N3235" s="1" t="s">
        <v>4283</v>
      </c>
    </row>
    <row r="3236" spans="1:14" x14ac:dyDescent="0.15">
      <c r="A3236" s="1">
        <v>620</v>
      </c>
      <c r="B3236" s="1" t="s">
        <v>2232</v>
      </c>
      <c r="C3236" s="1" t="s">
        <v>2235</v>
      </c>
      <c r="D3236" s="1" t="s">
        <v>2232</v>
      </c>
      <c r="E3236" s="1" t="s">
        <v>2235</v>
      </c>
      <c r="F3236" s="1" t="s">
        <v>2232</v>
      </c>
      <c r="G3236" s="1" t="s">
        <v>2236</v>
      </c>
      <c r="H3236" s="1" t="s">
        <v>2232</v>
      </c>
      <c r="I3236" s="1" t="s">
        <v>14229</v>
      </c>
      <c r="J3236" s="1" t="s">
        <v>14230</v>
      </c>
      <c r="K3236" s="1">
        <v>3</v>
      </c>
      <c r="L3236" s="1" t="s">
        <v>4282</v>
      </c>
      <c r="M3236" s="1">
        <v>2</v>
      </c>
      <c r="N3236" s="1" t="s">
        <v>4283</v>
      </c>
    </row>
    <row r="3237" spans="1:14" x14ac:dyDescent="0.15">
      <c r="A3237" s="1">
        <v>620</v>
      </c>
      <c r="B3237" s="1" t="s">
        <v>2232</v>
      </c>
      <c r="C3237" s="1" t="s">
        <v>2235</v>
      </c>
      <c r="D3237" s="1" t="s">
        <v>2232</v>
      </c>
      <c r="E3237" s="1" t="s">
        <v>2235</v>
      </c>
      <c r="F3237" s="1" t="s">
        <v>2232</v>
      </c>
      <c r="G3237" s="1" t="s">
        <v>2236</v>
      </c>
      <c r="H3237" s="1" t="s">
        <v>2232</v>
      </c>
      <c r="I3237" s="1" t="s">
        <v>14233</v>
      </c>
      <c r="J3237" s="1" t="s">
        <v>14234</v>
      </c>
      <c r="K3237" s="1">
        <v>3</v>
      </c>
      <c r="L3237" s="1" t="s">
        <v>4282</v>
      </c>
      <c r="M3237" s="1">
        <v>2</v>
      </c>
      <c r="N3237" s="1" t="s">
        <v>4283</v>
      </c>
    </row>
    <row r="3238" spans="1:14" x14ac:dyDescent="0.15">
      <c r="A3238" s="1">
        <v>620</v>
      </c>
      <c r="B3238" s="1" t="s">
        <v>2232</v>
      </c>
      <c r="C3238" s="1" t="s">
        <v>2235</v>
      </c>
      <c r="D3238" s="1" t="s">
        <v>2232</v>
      </c>
      <c r="E3238" s="1" t="s">
        <v>2235</v>
      </c>
      <c r="F3238" s="1" t="s">
        <v>2232</v>
      </c>
      <c r="G3238" s="1" t="s">
        <v>2236</v>
      </c>
      <c r="H3238" s="1" t="s">
        <v>2232</v>
      </c>
      <c r="I3238" s="1" t="s">
        <v>14237</v>
      </c>
      <c r="J3238" s="1" t="s">
        <v>14238</v>
      </c>
      <c r="K3238" s="1">
        <v>3</v>
      </c>
      <c r="L3238" s="1" t="s">
        <v>4282</v>
      </c>
      <c r="M3238" s="1">
        <v>2</v>
      </c>
      <c r="N3238" s="1" t="s">
        <v>4283</v>
      </c>
    </row>
    <row r="3239" spans="1:14" x14ac:dyDescent="0.15">
      <c r="A3239" s="1">
        <v>620</v>
      </c>
      <c r="B3239" s="1" t="s">
        <v>2232</v>
      </c>
      <c r="C3239" s="1" t="s">
        <v>2235</v>
      </c>
      <c r="D3239" s="1" t="s">
        <v>2232</v>
      </c>
      <c r="E3239" s="1" t="s">
        <v>2235</v>
      </c>
      <c r="F3239" s="1" t="s">
        <v>2232</v>
      </c>
      <c r="G3239" s="1" t="s">
        <v>2236</v>
      </c>
      <c r="H3239" s="1" t="s">
        <v>2232</v>
      </c>
      <c r="I3239" s="1" t="s">
        <v>8949</v>
      </c>
      <c r="J3239" s="1" t="s">
        <v>2239</v>
      </c>
      <c r="K3239" s="1">
        <v>3</v>
      </c>
      <c r="L3239" s="1" t="s">
        <v>4282</v>
      </c>
      <c r="M3239" s="1">
        <v>2</v>
      </c>
      <c r="N3239" s="1" t="s">
        <v>4283</v>
      </c>
    </row>
    <row r="3240" spans="1:14" x14ac:dyDescent="0.15">
      <c r="A3240" s="1">
        <v>620</v>
      </c>
      <c r="B3240" s="1" t="s">
        <v>2232</v>
      </c>
      <c r="C3240" s="1" t="s">
        <v>2235</v>
      </c>
      <c r="D3240" s="1" t="s">
        <v>2232</v>
      </c>
      <c r="E3240" s="1" t="s">
        <v>2235</v>
      </c>
      <c r="F3240" s="1" t="s">
        <v>2232</v>
      </c>
      <c r="G3240" s="1" t="s">
        <v>2236</v>
      </c>
      <c r="H3240" s="1" t="s">
        <v>2232</v>
      </c>
      <c r="I3240" s="1" t="s">
        <v>8930</v>
      </c>
      <c r="J3240" s="1" t="s">
        <v>2240</v>
      </c>
      <c r="K3240" s="1">
        <v>3</v>
      </c>
      <c r="L3240" s="1" t="s">
        <v>4282</v>
      </c>
      <c r="M3240" s="1">
        <v>2</v>
      </c>
      <c r="N3240" s="1" t="s">
        <v>4283</v>
      </c>
    </row>
    <row r="3241" spans="1:14" x14ac:dyDescent="0.15">
      <c r="A3241" s="1">
        <v>620</v>
      </c>
      <c r="B3241" s="1" t="s">
        <v>2232</v>
      </c>
      <c r="C3241" s="1" t="s">
        <v>2235</v>
      </c>
      <c r="D3241" s="1" t="s">
        <v>2232</v>
      </c>
      <c r="E3241" s="1" t="s">
        <v>2235</v>
      </c>
      <c r="F3241" s="1" t="s">
        <v>2232</v>
      </c>
      <c r="G3241" s="1" t="s">
        <v>2236</v>
      </c>
      <c r="H3241" s="1" t="s">
        <v>2232</v>
      </c>
      <c r="I3241" s="1" t="s">
        <v>14249</v>
      </c>
      <c r="J3241" s="1" t="s">
        <v>6308</v>
      </c>
      <c r="K3241" s="1">
        <v>3</v>
      </c>
      <c r="L3241" s="1" t="s">
        <v>4282</v>
      </c>
      <c r="M3241" s="1">
        <v>2</v>
      </c>
      <c r="N3241" s="1" t="s">
        <v>4283</v>
      </c>
    </row>
    <row r="3242" spans="1:14" x14ac:dyDescent="0.15">
      <c r="A3242" s="1">
        <v>620</v>
      </c>
      <c r="B3242" s="1" t="s">
        <v>2232</v>
      </c>
      <c r="C3242" s="1" t="s">
        <v>2235</v>
      </c>
      <c r="D3242" s="1" t="s">
        <v>2232</v>
      </c>
      <c r="E3242" s="1" t="s">
        <v>2235</v>
      </c>
      <c r="F3242" s="1" t="s">
        <v>2232</v>
      </c>
      <c r="G3242" s="1" t="s">
        <v>2236</v>
      </c>
      <c r="H3242" s="1" t="s">
        <v>2232</v>
      </c>
      <c r="I3242" s="1" t="s">
        <v>8935</v>
      </c>
      <c r="J3242" s="1" t="s">
        <v>2241</v>
      </c>
      <c r="K3242" s="1">
        <v>3</v>
      </c>
      <c r="L3242" s="1" t="s">
        <v>4282</v>
      </c>
      <c r="M3242" s="1">
        <v>2</v>
      </c>
      <c r="N3242" s="1" t="s">
        <v>4283</v>
      </c>
    </row>
    <row r="3243" spans="1:14" x14ac:dyDescent="0.15">
      <c r="A3243" s="1">
        <v>620</v>
      </c>
      <c r="B3243" s="1" t="s">
        <v>2232</v>
      </c>
      <c r="C3243" s="1" t="s">
        <v>2235</v>
      </c>
      <c r="D3243" s="1" t="s">
        <v>2232</v>
      </c>
      <c r="E3243" s="1" t="s">
        <v>2235</v>
      </c>
      <c r="F3243" s="1" t="s">
        <v>2232</v>
      </c>
      <c r="G3243" s="1" t="s">
        <v>2236</v>
      </c>
      <c r="H3243" s="1" t="s">
        <v>2232</v>
      </c>
      <c r="I3243" s="1" t="s">
        <v>8938</v>
      </c>
      <c r="J3243" s="1" t="s">
        <v>2242</v>
      </c>
      <c r="K3243" s="1">
        <v>3</v>
      </c>
      <c r="L3243" s="1" t="s">
        <v>4282</v>
      </c>
      <c r="M3243" s="1">
        <v>2</v>
      </c>
      <c r="N3243" s="1" t="s">
        <v>4283</v>
      </c>
    </row>
    <row r="3244" spans="1:14" x14ac:dyDescent="0.15">
      <c r="A3244" s="1">
        <v>620</v>
      </c>
      <c r="B3244" s="1" t="s">
        <v>2232</v>
      </c>
      <c r="C3244" s="1" t="s">
        <v>2235</v>
      </c>
      <c r="D3244" s="1" t="s">
        <v>2232</v>
      </c>
      <c r="E3244" s="1" t="s">
        <v>2235</v>
      </c>
      <c r="F3244" s="1" t="s">
        <v>2232</v>
      </c>
      <c r="G3244" s="1" t="s">
        <v>2236</v>
      </c>
      <c r="H3244" s="1" t="s">
        <v>2232</v>
      </c>
      <c r="I3244" s="1" t="s">
        <v>14253</v>
      </c>
      <c r="J3244" s="1" t="s">
        <v>2243</v>
      </c>
      <c r="K3244" s="1">
        <v>3</v>
      </c>
      <c r="L3244" s="1" t="s">
        <v>4282</v>
      </c>
      <c r="M3244" s="1">
        <v>2</v>
      </c>
      <c r="N3244" s="1" t="s">
        <v>4283</v>
      </c>
    </row>
    <row r="3245" spans="1:14" x14ac:dyDescent="0.15">
      <c r="A3245" s="1">
        <v>620</v>
      </c>
      <c r="B3245" s="1" t="s">
        <v>2232</v>
      </c>
      <c r="C3245" s="1" t="s">
        <v>2235</v>
      </c>
      <c r="D3245" s="1" t="s">
        <v>2232</v>
      </c>
      <c r="E3245" s="1" t="s">
        <v>2235</v>
      </c>
      <c r="F3245" s="1" t="s">
        <v>2232</v>
      </c>
      <c r="G3245" s="1" t="s">
        <v>2236</v>
      </c>
      <c r="H3245" s="1" t="s">
        <v>2232</v>
      </c>
      <c r="I3245" s="1" t="s">
        <v>8943</v>
      </c>
      <c r="J3245" s="1" t="s">
        <v>2244</v>
      </c>
      <c r="K3245" s="1">
        <v>3</v>
      </c>
      <c r="L3245" s="1" t="s">
        <v>4282</v>
      </c>
      <c r="M3245" s="1">
        <v>2</v>
      </c>
      <c r="N3245" s="1" t="s">
        <v>4283</v>
      </c>
    </row>
    <row r="3246" spans="1:14" x14ac:dyDescent="0.15">
      <c r="A3246" s="1">
        <v>620</v>
      </c>
      <c r="B3246" s="1" t="s">
        <v>2232</v>
      </c>
      <c r="C3246" s="1" t="s">
        <v>2235</v>
      </c>
      <c r="D3246" s="1" t="s">
        <v>2232</v>
      </c>
      <c r="E3246" s="1" t="s">
        <v>2235</v>
      </c>
      <c r="F3246" s="1" t="s">
        <v>2232</v>
      </c>
      <c r="G3246" s="1" t="s">
        <v>2236</v>
      </c>
      <c r="H3246" s="1" t="s">
        <v>2232</v>
      </c>
      <c r="I3246" s="1" t="s">
        <v>14245</v>
      </c>
      <c r="J3246" s="1" t="s">
        <v>2245</v>
      </c>
      <c r="K3246" s="1">
        <v>3</v>
      </c>
      <c r="L3246" s="1" t="s">
        <v>4282</v>
      </c>
      <c r="M3246" s="1">
        <v>2</v>
      </c>
      <c r="N3246" s="1" t="s">
        <v>4283</v>
      </c>
    </row>
    <row r="3247" spans="1:14" x14ac:dyDescent="0.15">
      <c r="A3247" s="1">
        <v>620</v>
      </c>
      <c r="B3247" s="1" t="s">
        <v>2232</v>
      </c>
      <c r="C3247" s="1" t="s">
        <v>2235</v>
      </c>
      <c r="D3247" s="1" t="s">
        <v>2232</v>
      </c>
      <c r="E3247" s="1" t="s">
        <v>2235</v>
      </c>
      <c r="F3247" s="1" t="s">
        <v>2232</v>
      </c>
      <c r="G3247" s="1" t="s">
        <v>2236</v>
      </c>
      <c r="H3247" s="1" t="s">
        <v>2232</v>
      </c>
      <c r="I3247" s="1" t="s">
        <v>14257</v>
      </c>
      <c r="J3247" s="1" t="s">
        <v>2246</v>
      </c>
      <c r="K3247" s="1">
        <v>3</v>
      </c>
      <c r="L3247" s="1" t="s">
        <v>4282</v>
      </c>
      <c r="M3247" s="1">
        <v>2</v>
      </c>
      <c r="N3247" s="1" t="s">
        <v>4283</v>
      </c>
    </row>
    <row r="3248" spans="1:14" x14ac:dyDescent="0.15">
      <c r="A3248" s="1">
        <v>620</v>
      </c>
      <c r="B3248" s="1" t="s">
        <v>2232</v>
      </c>
      <c r="C3248" s="1" t="s">
        <v>2235</v>
      </c>
      <c r="D3248" s="1" t="s">
        <v>2232</v>
      </c>
      <c r="E3248" s="1" t="s">
        <v>2235</v>
      </c>
      <c r="F3248" s="1" t="s">
        <v>2232</v>
      </c>
      <c r="G3248" s="1" t="s">
        <v>2236</v>
      </c>
      <c r="H3248" s="1" t="s">
        <v>2232</v>
      </c>
      <c r="I3248" s="1" t="s">
        <v>8507</v>
      </c>
      <c r="J3248" s="1" t="s">
        <v>2247</v>
      </c>
      <c r="K3248" s="1">
        <v>3</v>
      </c>
      <c r="L3248" s="1" t="s">
        <v>4282</v>
      </c>
      <c r="M3248" s="1">
        <v>2</v>
      </c>
      <c r="N3248" s="1" t="s">
        <v>4283</v>
      </c>
    </row>
    <row r="3249" spans="1:14" x14ac:dyDescent="0.15">
      <c r="A3249" s="1">
        <v>620</v>
      </c>
      <c r="B3249" s="1" t="s">
        <v>2232</v>
      </c>
      <c r="C3249" s="1" t="s">
        <v>2235</v>
      </c>
      <c r="D3249" s="1" t="s">
        <v>2232</v>
      </c>
      <c r="E3249" s="1" t="s">
        <v>2235</v>
      </c>
      <c r="F3249" s="1" t="s">
        <v>2232</v>
      </c>
      <c r="G3249" s="1" t="s">
        <v>2236</v>
      </c>
      <c r="H3249" s="1" t="s">
        <v>2232</v>
      </c>
      <c r="I3249" s="1" t="s">
        <v>8510</v>
      </c>
      <c r="J3249" s="1" t="s">
        <v>2248</v>
      </c>
      <c r="K3249" s="1">
        <v>3</v>
      </c>
      <c r="L3249" s="1" t="s">
        <v>4282</v>
      </c>
      <c r="M3249" s="1">
        <v>2</v>
      </c>
      <c r="N3249" s="1" t="s">
        <v>4283</v>
      </c>
    </row>
    <row r="3250" spans="1:14" x14ac:dyDescent="0.15">
      <c r="A3250" s="1">
        <v>620</v>
      </c>
      <c r="B3250" s="1" t="s">
        <v>2232</v>
      </c>
      <c r="C3250" s="1" t="s">
        <v>2235</v>
      </c>
      <c r="D3250" s="1" t="s">
        <v>2232</v>
      </c>
      <c r="E3250" s="1" t="s">
        <v>2235</v>
      </c>
      <c r="F3250" s="1" t="s">
        <v>2232</v>
      </c>
      <c r="G3250" s="1" t="s">
        <v>2236</v>
      </c>
      <c r="H3250" s="1" t="s">
        <v>2232</v>
      </c>
      <c r="I3250" s="1" t="s">
        <v>8513</v>
      </c>
      <c r="J3250" s="1" t="s">
        <v>2249</v>
      </c>
      <c r="K3250" s="1">
        <v>3</v>
      </c>
      <c r="L3250" s="1" t="s">
        <v>4282</v>
      </c>
      <c r="M3250" s="1">
        <v>2</v>
      </c>
      <c r="N3250" s="1" t="s">
        <v>4283</v>
      </c>
    </row>
    <row r="3251" spans="1:14" x14ac:dyDescent="0.15">
      <c r="A3251" s="1">
        <v>620</v>
      </c>
      <c r="B3251" s="1" t="s">
        <v>2232</v>
      </c>
      <c r="C3251" s="1" t="s">
        <v>2235</v>
      </c>
      <c r="D3251" s="1" t="s">
        <v>2232</v>
      </c>
      <c r="E3251" s="1" t="s">
        <v>2235</v>
      </c>
      <c r="F3251" s="1" t="s">
        <v>2232</v>
      </c>
      <c r="G3251" s="1" t="s">
        <v>2236</v>
      </c>
      <c r="H3251" s="1" t="s">
        <v>2232</v>
      </c>
      <c r="I3251" s="1" t="s">
        <v>14273</v>
      </c>
      <c r="J3251" s="1" t="s">
        <v>2250</v>
      </c>
      <c r="K3251" s="1">
        <v>3</v>
      </c>
      <c r="L3251" s="1" t="s">
        <v>4282</v>
      </c>
      <c r="M3251" s="1">
        <v>2</v>
      </c>
      <c r="N3251" s="1" t="s">
        <v>4283</v>
      </c>
    </row>
    <row r="3252" spans="1:14" x14ac:dyDescent="0.15">
      <c r="A3252" s="1">
        <v>620</v>
      </c>
      <c r="B3252" s="1" t="s">
        <v>2232</v>
      </c>
      <c r="C3252" s="1" t="s">
        <v>2235</v>
      </c>
      <c r="D3252" s="1" t="s">
        <v>2232</v>
      </c>
      <c r="E3252" s="1" t="s">
        <v>2235</v>
      </c>
      <c r="F3252" s="1" t="s">
        <v>2232</v>
      </c>
      <c r="G3252" s="1" t="s">
        <v>2251</v>
      </c>
      <c r="H3252" s="1" t="s">
        <v>2252</v>
      </c>
      <c r="I3252" s="1" t="s">
        <v>14842</v>
      </c>
      <c r="J3252" s="1" t="s">
        <v>2237</v>
      </c>
      <c r="K3252" s="1">
        <v>3</v>
      </c>
      <c r="L3252" s="1" t="s">
        <v>4282</v>
      </c>
      <c r="M3252" s="1">
        <v>2</v>
      </c>
      <c r="N3252" s="1" t="s">
        <v>4283</v>
      </c>
    </row>
    <row r="3253" spans="1:14" x14ac:dyDescent="0.15">
      <c r="A3253" s="1">
        <v>620</v>
      </c>
      <c r="B3253" s="1" t="s">
        <v>2232</v>
      </c>
      <c r="C3253" s="1" t="s">
        <v>2235</v>
      </c>
      <c r="D3253" s="1" t="s">
        <v>2232</v>
      </c>
      <c r="E3253" s="1" t="s">
        <v>2235</v>
      </c>
      <c r="F3253" s="1" t="s">
        <v>2232</v>
      </c>
      <c r="G3253" s="1" t="s">
        <v>2251</v>
      </c>
      <c r="H3253" s="1" t="s">
        <v>2252</v>
      </c>
      <c r="I3253" s="1" t="s">
        <v>14217</v>
      </c>
      <c r="J3253" s="1" t="s">
        <v>6305</v>
      </c>
      <c r="K3253" s="1">
        <v>3</v>
      </c>
      <c r="L3253" s="1" t="s">
        <v>4282</v>
      </c>
      <c r="M3253" s="1">
        <v>2</v>
      </c>
      <c r="N3253" s="1" t="s">
        <v>4283</v>
      </c>
    </row>
    <row r="3254" spans="1:14" x14ac:dyDescent="0.15">
      <c r="A3254" s="1">
        <v>620</v>
      </c>
      <c r="B3254" s="1" t="s">
        <v>2232</v>
      </c>
      <c r="C3254" s="1" t="s">
        <v>2235</v>
      </c>
      <c r="D3254" s="1" t="s">
        <v>2232</v>
      </c>
      <c r="E3254" s="1" t="s">
        <v>2235</v>
      </c>
      <c r="F3254" s="1" t="s">
        <v>2232</v>
      </c>
      <c r="G3254" s="1" t="s">
        <v>2251</v>
      </c>
      <c r="H3254" s="1" t="s">
        <v>2252</v>
      </c>
      <c r="I3254" s="1" t="s">
        <v>14225</v>
      </c>
      <c r="J3254" s="1" t="s">
        <v>2238</v>
      </c>
      <c r="K3254" s="1">
        <v>3</v>
      </c>
      <c r="L3254" s="1" t="s">
        <v>4282</v>
      </c>
      <c r="M3254" s="1">
        <v>2</v>
      </c>
      <c r="N3254" s="1" t="s">
        <v>4283</v>
      </c>
    </row>
    <row r="3255" spans="1:14" x14ac:dyDescent="0.15">
      <c r="A3255" s="1">
        <v>620</v>
      </c>
      <c r="B3255" s="1" t="s">
        <v>2232</v>
      </c>
      <c r="C3255" s="1" t="s">
        <v>2235</v>
      </c>
      <c r="D3255" s="1" t="s">
        <v>2232</v>
      </c>
      <c r="E3255" s="1" t="s">
        <v>2235</v>
      </c>
      <c r="F3255" s="1" t="s">
        <v>2232</v>
      </c>
      <c r="G3255" s="1" t="s">
        <v>2251</v>
      </c>
      <c r="H3255" s="1" t="s">
        <v>2252</v>
      </c>
      <c r="I3255" s="1" t="s">
        <v>14229</v>
      </c>
      <c r="J3255" s="1" t="s">
        <v>14230</v>
      </c>
      <c r="K3255" s="1">
        <v>3</v>
      </c>
      <c r="L3255" s="1" t="s">
        <v>4282</v>
      </c>
      <c r="M3255" s="1">
        <v>2</v>
      </c>
      <c r="N3255" s="1" t="s">
        <v>4283</v>
      </c>
    </row>
    <row r="3256" spans="1:14" x14ac:dyDescent="0.15">
      <c r="A3256" s="1">
        <v>620</v>
      </c>
      <c r="B3256" s="1" t="s">
        <v>2232</v>
      </c>
      <c r="C3256" s="1" t="s">
        <v>2235</v>
      </c>
      <c r="D3256" s="1" t="s">
        <v>2232</v>
      </c>
      <c r="E3256" s="1" t="s">
        <v>2235</v>
      </c>
      <c r="F3256" s="1" t="s">
        <v>2232</v>
      </c>
      <c r="G3256" s="1" t="s">
        <v>2251</v>
      </c>
      <c r="H3256" s="1" t="s">
        <v>2252</v>
      </c>
      <c r="I3256" s="1" t="s">
        <v>14233</v>
      </c>
      <c r="J3256" s="1" t="s">
        <v>14234</v>
      </c>
      <c r="K3256" s="1">
        <v>3</v>
      </c>
      <c r="L3256" s="1" t="s">
        <v>4282</v>
      </c>
      <c r="M3256" s="1">
        <v>2</v>
      </c>
      <c r="N3256" s="1" t="s">
        <v>4283</v>
      </c>
    </row>
    <row r="3257" spans="1:14" x14ac:dyDescent="0.15">
      <c r="A3257" s="1">
        <v>620</v>
      </c>
      <c r="B3257" s="1" t="s">
        <v>2232</v>
      </c>
      <c r="C3257" s="1" t="s">
        <v>2235</v>
      </c>
      <c r="D3257" s="1" t="s">
        <v>2232</v>
      </c>
      <c r="E3257" s="1" t="s">
        <v>2235</v>
      </c>
      <c r="F3257" s="1" t="s">
        <v>2232</v>
      </c>
      <c r="G3257" s="1" t="s">
        <v>2251</v>
      </c>
      <c r="H3257" s="1" t="s">
        <v>2252</v>
      </c>
      <c r="I3257" s="1" t="s">
        <v>14237</v>
      </c>
      <c r="J3257" s="1" t="s">
        <v>14238</v>
      </c>
      <c r="K3257" s="1">
        <v>3</v>
      </c>
      <c r="L3257" s="1" t="s">
        <v>4282</v>
      </c>
      <c r="M3257" s="1">
        <v>2</v>
      </c>
      <c r="N3257" s="1" t="s">
        <v>4283</v>
      </c>
    </row>
    <row r="3258" spans="1:14" x14ac:dyDescent="0.15">
      <c r="A3258" s="1">
        <v>620</v>
      </c>
      <c r="B3258" s="1" t="s">
        <v>2232</v>
      </c>
      <c r="C3258" s="1" t="s">
        <v>2235</v>
      </c>
      <c r="D3258" s="1" t="s">
        <v>2232</v>
      </c>
      <c r="E3258" s="1" t="s">
        <v>2235</v>
      </c>
      <c r="F3258" s="1" t="s">
        <v>2232</v>
      </c>
      <c r="G3258" s="1" t="s">
        <v>2251</v>
      </c>
      <c r="H3258" s="1" t="s">
        <v>2252</v>
      </c>
      <c r="I3258" s="1" t="s">
        <v>8949</v>
      </c>
      <c r="J3258" s="1" t="s">
        <v>2239</v>
      </c>
      <c r="K3258" s="1">
        <v>3</v>
      </c>
      <c r="L3258" s="1" t="s">
        <v>4282</v>
      </c>
      <c r="M3258" s="1">
        <v>2</v>
      </c>
      <c r="N3258" s="1" t="s">
        <v>4283</v>
      </c>
    </row>
    <row r="3259" spans="1:14" x14ac:dyDescent="0.15">
      <c r="A3259" s="1">
        <v>620</v>
      </c>
      <c r="B3259" s="1" t="s">
        <v>2232</v>
      </c>
      <c r="C3259" s="1" t="s">
        <v>2235</v>
      </c>
      <c r="D3259" s="1" t="s">
        <v>2232</v>
      </c>
      <c r="E3259" s="1" t="s">
        <v>2235</v>
      </c>
      <c r="F3259" s="1" t="s">
        <v>2232</v>
      </c>
      <c r="G3259" s="1" t="s">
        <v>2251</v>
      </c>
      <c r="H3259" s="1" t="s">
        <v>2252</v>
      </c>
      <c r="I3259" s="1" t="s">
        <v>8930</v>
      </c>
      <c r="J3259" s="1" t="s">
        <v>2240</v>
      </c>
      <c r="K3259" s="1">
        <v>3</v>
      </c>
      <c r="L3259" s="1" t="s">
        <v>4282</v>
      </c>
      <c r="M3259" s="1">
        <v>2</v>
      </c>
      <c r="N3259" s="1" t="s">
        <v>4283</v>
      </c>
    </row>
    <row r="3260" spans="1:14" x14ac:dyDescent="0.15">
      <c r="A3260" s="1">
        <v>620</v>
      </c>
      <c r="B3260" s="1" t="s">
        <v>2232</v>
      </c>
      <c r="C3260" s="1" t="s">
        <v>2235</v>
      </c>
      <c r="D3260" s="1" t="s">
        <v>2232</v>
      </c>
      <c r="E3260" s="1" t="s">
        <v>2235</v>
      </c>
      <c r="F3260" s="1" t="s">
        <v>2232</v>
      </c>
      <c r="G3260" s="1" t="s">
        <v>2251</v>
      </c>
      <c r="H3260" s="1" t="s">
        <v>2252</v>
      </c>
      <c r="I3260" s="1" t="s">
        <v>14249</v>
      </c>
      <c r="J3260" s="1" t="s">
        <v>6308</v>
      </c>
      <c r="K3260" s="1">
        <v>3</v>
      </c>
      <c r="L3260" s="1" t="s">
        <v>4282</v>
      </c>
      <c r="M3260" s="1">
        <v>2</v>
      </c>
      <c r="N3260" s="1" t="s">
        <v>4283</v>
      </c>
    </row>
    <row r="3261" spans="1:14" x14ac:dyDescent="0.15">
      <c r="A3261" s="1">
        <v>620</v>
      </c>
      <c r="B3261" s="1" t="s">
        <v>2232</v>
      </c>
      <c r="C3261" s="1" t="s">
        <v>2235</v>
      </c>
      <c r="D3261" s="1" t="s">
        <v>2232</v>
      </c>
      <c r="E3261" s="1" t="s">
        <v>2235</v>
      </c>
      <c r="F3261" s="1" t="s">
        <v>2232</v>
      </c>
      <c r="G3261" s="1" t="s">
        <v>2251</v>
      </c>
      <c r="H3261" s="1" t="s">
        <v>2252</v>
      </c>
      <c r="I3261" s="1" t="s">
        <v>8935</v>
      </c>
      <c r="J3261" s="1" t="s">
        <v>2241</v>
      </c>
      <c r="K3261" s="1">
        <v>3</v>
      </c>
      <c r="L3261" s="1" t="s">
        <v>4282</v>
      </c>
      <c r="M3261" s="1">
        <v>2</v>
      </c>
      <c r="N3261" s="1" t="s">
        <v>4283</v>
      </c>
    </row>
    <row r="3262" spans="1:14" x14ac:dyDescent="0.15">
      <c r="A3262" s="1">
        <v>620</v>
      </c>
      <c r="B3262" s="1" t="s">
        <v>2232</v>
      </c>
      <c r="C3262" s="1" t="s">
        <v>2235</v>
      </c>
      <c r="D3262" s="1" t="s">
        <v>2232</v>
      </c>
      <c r="E3262" s="1" t="s">
        <v>2235</v>
      </c>
      <c r="F3262" s="1" t="s">
        <v>2232</v>
      </c>
      <c r="G3262" s="1" t="s">
        <v>2251</v>
      </c>
      <c r="H3262" s="1" t="s">
        <v>2252</v>
      </c>
      <c r="I3262" s="1" t="s">
        <v>8938</v>
      </c>
      <c r="J3262" s="1" t="s">
        <v>2242</v>
      </c>
      <c r="K3262" s="1">
        <v>3</v>
      </c>
      <c r="L3262" s="1" t="s">
        <v>4282</v>
      </c>
      <c r="M3262" s="1">
        <v>2</v>
      </c>
      <c r="N3262" s="1" t="s">
        <v>4283</v>
      </c>
    </row>
    <row r="3263" spans="1:14" x14ac:dyDescent="0.15">
      <c r="A3263" s="1">
        <v>620</v>
      </c>
      <c r="B3263" s="1" t="s">
        <v>2232</v>
      </c>
      <c r="C3263" s="1" t="s">
        <v>2235</v>
      </c>
      <c r="D3263" s="1" t="s">
        <v>2232</v>
      </c>
      <c r="E3263" s="1" t="s">
        <v>2235</v>
      </c>
      <c r="F3263" s="1" t="s">
        <v>2232</v>
      </c>
      <c r="G3263" s="1" t="s">
        <v>2251</v>
      </c>
      <c r="H3263" s="1" t="s">
        <v>2252</v>
      </c>
      <c r="I3263" s="1" t="s">
        <v>14253</v>
      </c>
      <c r="J3263" s="1" t="s">
        <v>2243</v>
      </c>
      <c r="K3263" s="1">
        <v>3</v>
      </c>
      <c r="L3263" s="1" t="s">
        <v>4282</v>
      </c>
      <c r="M3263" s="1">
        <v>2</v>
      </c>
      <c r="N3263" s="1" t="s">
        <v>4283</v>
      </c>
    </row>
    <row r="3264" spans="1:14" x14ac:dyDescent="0.15">
      <c r="A3264" s="1">
        <v>620</v>
      </c>
      <c r="B3264" s="1" t="s">
        <v>2232</v>
      </c>
      <c r="C3264" s="1" t="s">
        <v>2235</v>
      </c>
      <c r="D3264" s="1" t="s">
        <v>2232</v>
      </c>
      <c r="E3264" s="1" t="s">
        <v>2235</v>
      </c>
      <c r="F3264" s="1" t="s">
        <v>2232</v>
      </c>
      <c r="G3264" s="1" t="s">
        <v>2251</v>
      </c>
      <c r="H3264" s="1" t="s">
        <v>2252</v>
      </c>
      <c r="I3264" s="1" t="s">
        <v>14245</v>
      </c>
      <c r="J3264" s="1" t="s">
        <v>2245</v>
      </c>
      <c r="K3264" s="1">
        <v>3</v>
      </c>
      <c r="L3264" s="1" t="s">
        <v>4282</v>
      </c>
      <c r="M3264" s="1">
        <v>2</v>
      </c>
      <c r="N3264" s="1" t="s">
        <v>4283</v>
      </c>
    </row>
    <row r="3265" spans="1:14" x14ac:dyDescent="0.15">
      <c r="A3265" s="1">
        <v>620</v>
      </c>
      <c r="B3265" s="1" t="s">
        <v>2232</v>
      </c>
      <c r="C3265" s="1" t="s">
        <v>2235</v>
      </c>
      <c r="D3265" s="1" t="s">
        <v>2232</v>
      </c>
      <c r="E3265" s="1" t="s">
        <v>2235</v>
      </c>
      <c r="F3265" s="1" t="s">
        <v>2232</v>
      </c>
      <c r="G3265" s="1" t="s">
        <v>2251</v>
      </c>
      <c r="H3265" s="1" t="s">
        <v>2252</v>
      </c>
      <c r="I3265" s="1" t="s">
        <v>8943</v>
      </c>
      <c r="J3265" s="1" t="s">
        <v>2244</v>
      </c>
      <c r="K3265" s="1">
        <v>3</v>
      </c>
      <c r="L3265" s="1" t="s">
        <v>4282</v>
      </c>
      <c r="M3265" s="1">
        <v>2</v>
      </c>
      <c r="N3265" s="1" t="s">
        <v>4283</v>
      </c>
    </row>
    <row r="3266" spans="1:14" x14ac:dyDescent="0.15">
      <c r="A3266" s="1">
        <v>623</v>
      </c>
      <c r="B3266" s="1" t="s">
        <v>14214</v>
      </c>
      <c r="C3266" s="1" t="s">
        <v>4279</v>
      </c>
      <c r="D3266" s="1" t="s">
        <v>14214</v>
      </c>
      <c r="E3266" s="1" t="s">
        <v>4279</v>
      </c>
      <c r="F3266" s="1" t="s">
        <v>14214</v>
      </c>
      <c r="G3266" s="1" t="s">
        <v>2253</v>
      </c>
      <c r="H3266" s="1" t="s">
        <v>2254</v>
      </c>
      <c r="I3266" s="1" t="s">
        <v>14217</v>
      </c>
      <c r="J3266" s="1" t="s">
        <v>6305</v>
      </c>
      <c r="K3266" s="1">
        <v>3</v>
      </c>
      <c r="L3266" s="1" t="s">
        <v>4282</v>
      </c>
      <c r="M3266" s="1">
        <v>2</v>
      </c>
      <c r="N3266" s="1" t="s">
        <v>4283</v>
      </c>
    </row>
    <row r="3267" spans="1:14" x14ac:dyDescent="0.15">
      <c r="A3267" s="1">
        <v>620</v>
      </c>
      <c r="B3267" s="1" t="s">
        <v>2232</v>
      </c>
      <c r="C3267" s="1" t="s">
        <v>2235</v>
      </c>
      <c r="D3267" s="1" t="s">
        <v>2232</v>
      </c>
      <c r="E3267" s="1" t="s">
        <v>2235</v>
      </c>
      <c r="F3267" s="1" t="s">
        <v>2232</v>
      </c>
      <c r="G3267" s="1" t="s">
        <v>2251</v>
      </c>
      <c r="H3267" s="1" t="s">
        <v>2252</v>
      </c>
      <c r="I3267" s="1" t="s">
        <v>14257</v>
      </c>
      <c r="J3267" s="1" t="s">
        <v>2246</v>
      </c>
      <c r="K3267" s="1">
        <v>3</v>
      </c>
      <c r="L3267" s="1" t="s">
        <v>4282</v>
      </c>
      <c r="M3267" s="1">
        <v>2</v>
      </c>
      <c r="N3267" s="1" t="s">
        <v>4283</v>
      </c>
    </row>
    <row r="3268" spans="1:14" x14ac:dyDescent="0.15">
      <c r="A3268" s="1">
        <v>620</v>
      </c>
      <c r="B3268" s="1" t="s">
        <v>2232</v>
      </c>
      <c r="C3268" s="1" t="s">
        <v>2235</v>
      </c>
      <c r="D3268" s="1" t="s">
        <v>2232</v>
      </c>
      <c r="E3268" s="1" t="s">
        <v>2235</v>
      </c>
      <c r="F3268" s="1" t="s">
        <v>2232</v>
      </c>
      <c r="G3268" s="1" t="s">
        <v>2251</v>
      </c>
      <c r="H3268" s="1" t="s">
        <v>2252</v>
      </c>
      <c r="I3268" s="1" t="s">
        <v>8507</v>
      </c>
      <c r="J3268" s="1" t="s">
        <v>2247</v>
      </c>
      <c r="K3268" s="1">
        <v>3</v>
      </c>
      <c r="L3268" s="1" t="s">
        <v>4282</v>
      </c>
      <c r="M3268" s="1">
        <v>2</v>
      </c>
      <c r="N3268" s="1" t="s">
        <v>4283</v>
      </c>
    </row>
    <row r="3269" spans="1:14" x14ac:dyDescent="0.15">
      <c r="A3269" s="1">
        <v>620</v>
      </c>
      <c r="B3269" s="1" t="s">
        <v>2232</v>
      </c>
      <c r="C3269" s="1" t="s">
        <v>2235</v>
      </c>
      <c r="D3269" s="1" t="s">
        <v>2232</v>
      </c>
      <c r="E3269" s="1" t="s">
        <v>2235</v>
      </c>
      <c r="F3269" s="1" t="s">
        <v>2232</v>
      </c>
      <c r="G3269" s="1" t="s">
        <v>2251</v>
      </c>
      <c r="H3269" s="1" t="s">
        <v>2252</v>
      </c>
      <c r="I3269" s="1" t="s">
        <v>14273</v>
      </c>
      <c r="J3269" s="1" t="s">
        <v>2250</v>
      </c>
      <c r="K3269" s="1">
        <v>3</v>
      </c>
      <c r="L3269" s="1" t="s">
        <v>4282</v>
      </c>
      <c r="M3269" s="1">
        <v>2</v>
      </c>
      <c r="N3269" s="1" t="s">
        <v>4283</v>
      </c>
    </row>
    <row r="3270" spans="1:14" x14ac:dyDescent="0.15">
      <c r="A3270" s="1">
        <v>620</v>
      </c>
      <c r="B3270" s="1" t="s">
        <v>2232</v>
      </c>
      <c r="C3270" s="1" t="s">
        <v>2235</v>
      </c>
      <c r="D3270" s="1" t="s">
        <v>2232</v>
      </c>
      <c r="E3270" s="1" t="s">
        <v>2235</v>
      </c>
      <c r="F3270" s="1" t="s">
        <v>2232</v>
      </c>
      <c r="G3270" s="1" t="s">
        <v>2255</v>
      </c>
      <c r="H3270" s="1" t="s">
        <v>2256</v>
      </c>
      <c r="I3270" s="1" t="s">
        <v>8510</v>
      </c>
      <c r="J3270" s="1" t="s">
        <v>2248</v>
      </c>
      <c r="K3270" s="1">
        <v>8</v>
      </c>
      <c r="L3270" s="1" t="s">
        <v>2257</v>
      </c>
      <c r="M3270" s="1">
        <v>1</v>
      </c>
      <c r="N3270" s="1" t="s">
        <v>4318</v>
      </c>
    </row>
    <row r="3271" spans="1:14" x14ac:dyDescent="0.15">
      <c r="A3271" s="1">
        <v>620</v>
      </c>
      <c r="B3271" s="1" t="s">
        <v>2232</v>
      </c>
      <c r="C3271" s="1" t="s">
        <v>2235</v>
      </c>
      <c r="D3271" s="1" t="s">
        <v>2232</v>
      </c>
      <c r="E3271" s="1" t="s">
        <v>2235</v>
      </c>
      <c r="F3271" s="1" t="s">
        <v>2232</v>
      </c>
      <c r="G3271" s="1" t="s">
        <v>2255</v>
      </c>
      <c r="H3271" s="1" t="s">
        <v>2256</v>
      </c>
      <c r="I3271" s="1" t="s">
        <v>8513</v>
      </c>
      <c r="J3271" s="1" t="s">
        <v>2249</v>
      </c>
      <c r="K3271" s="1">
        <v>8</v>
      </c>
      <c r="L3271" s="1" t="s">
        <v>2257</v>
      </c>
      <c r="M3271" s="1">
        <v>1</v>
      </c>
      <c r="N3271" s="1" t="s">
        <v>4318</v>
      </c>
    </row>
    <row r="3272" spans="1:14" x14ac:dyDescent="0.15">
      <c r="A3272" s="1">
        <v>621</v>
      </c>
      <c r="B3272" s="1" t="s">
        <v>2258</v>
      </c>
      <c r="C3272" s="1" t="s">
        <v>2259</v>
      </c>
      <c r="D3272" s="1" t="s">
        <v>2258</v>
      </c>
      <c r="E3272" s="1" t="s">
        <v>2259</v>
      </c>
      <c r="F3272" s="1" t="s">
        <v>2258</v>
      </c>
      <c r="G3272" s="1" t="s">
        <v>2260</v>
      </c>
      <c r="H3272" s="1" t="s">
        <v>2258</v>
      </c>
      <c r="I3272" s="1" t="s">
        <v>8694</v>
      </c>
      <c r="J3272" s="1" t="s">
        <v>2261</v>
      </c>
      <c r="K3272" s="1">
        <v>7</v>
      </c>
      <c r="L3272" s="1" t="s">
        <v>4299</v>
      </c>
      <c r="M3272" s="1">
        <v>13</v>
      </c>
      <c r="N3272" s="1" t="s">
        <v>4300</v>
      </c>
    </row>
    <row r="3273" spans="1:14" x14ac:dyDescent="0.15">
      <c r="A3273" s="1">
        <v>622</v>
      </c>
      <c r="B3273" s="1" t="s">
        <v>2262</v>
      </c>
      <c r="C3273" s="1" t="s">
        <v>2263</v>
      </c>
      <c r="D3273" s="1" t="s">
        <v>2262</v>
      </c>
      <c r="E3273" s="1" t="s">
        <v>2263</v>
      </c>
      <c r="F3273" s="1" t="s">
        <v>2262</v>
      </c>
      <c r="G3273" s="1" t="s">
        <v>2264</v>
      </c>
      <c r="H3273" s="1" t="s">
        <v>2262</v>
      </c>
      <c r="I3273" s="1" t="s">
        <v>11879</v>
      </c>
      <c r="J3273" s="1" t="s">
        <v>4278</v>
      </c>
      <c r="K3273" s="1">
        <v>3</v>
      </c>
      <c r="L3273" s="1" t="s">
        <v>4282</v>
      </c>
      <c r="M3273" s="1">
        <v>2</v>
      </c>
      <c r="N3273" s="1" t="s">
        <v>4283</v>
      </c>
    </row>
    <row r="3274" spans="1:14" x14ac:dyDescent="0.15">
      <c r="A3274" s="1">
        <v>622</v>
      </c>
      <c r="B3274" s="1" t="s">
        <v>2262</v>
      </c>
      <c r="C3274" s="1" t="s">
        <v>2265</v>
      </c>
      <c r="D3274" s="1" t="s">
        <v>2266</v>
      </c>
      <c r="E3274" s="1" t="s">
        <v>2265</v>
      </c>
      <c r="F3274" s="1" t="s">
        <v>2266</v>
      </c>
      <c r="G3274" s="1" t="s">
        <v>2267</v>
      </c>
      <c r="H3274" s="1" t="s">
        <v>2266</v>
      </c>
      <c r="I3274" s="1" t="s">
        <v>14842</v>
      </c>
      <c r="J3274" s="1" t="s">
        <v>2237</v>
      </c>
      <c r="K3274" s="1">
        <v>3</v>
      </c>
      <c r="L3274" s="1" t="s">
        <v>4282</v>
      </c>
      <c r="M3274" s="1">
        <v>2</v>
      </c>
      <c r="N3274" s="1" t="s">
        <v>4283</v>
      </c>
    </row>
    <row r="3275" spans="1:14" x14ac:dyDescent="0.15">
      <c r="A3275" s="1">
        <v>622</v>
      </c>
      <c r="B3275" s="1" t="s">
        <v>2262</v>
      </c>
      <c r="C3275" s="1" t="s">
        <v>2268</v>
      </c>
      <c r="D3275" s="1" t="s">
        <v>2269</v>
      </c>
      <c r="E3275" s="1" t="s">
        <v>2268</v>
      </c>
      <c r="F3275" s="1" t="s">
        <v>2269</v>
      </c>
      <c r="G3275" s="1" t="s">
        <v>2270</v>
      </c>
      <c r="H3275" s="1" t="s">
        <v>2269</v>
      </c>
      <c r="I3275" s="1" t="s">
        <v>14842</v>
      </c>
      <c r="J3275" s="1" t="s">
        <v>2237</v>
      </c>
      <c r="K3275" s="1">
        <v>3</v>
      </c>
      <c r="L3275" s="1" t="s">
        <v>4282</v>
      </c>
      <c r="M3275" s="1">
        <v>2</v>
      </c>
      <c r="N3275" s="1" t="s">
        <v>4283</v>
      </c>
    </row>
    <row r="3276" spans="1:14" x14ac:dyDescent="0.15">
      <c r="A3276" s="1">
        <v>623</v>
      </c>
      <c r="B3276" s="1" t="s">
        <v>14214</v>
      </c>
      <c r="C3276" s="1" t="s">
        <v>4279</v>
      </c>
      <c r="D3276" s="1" t="s">
        <v>14214</v>
      </c>
      <c r="E3276" s="1" t="s">
        <v>4279</v>
      </c>
      <c r="F3276" s="1" t="s">
        <v>14214</v>
      </c>
      <c r="G3276" s="1" t="s">
        <v>2271</v>
      </c>
      <c r="H3276" s="1" t="s">
        <v>14214</v>
      </c>
      <c r="I3276" s="1" t="s">
        <v>14217</v>
      </c>
      <c r="J3276" s="1" t="s">
        <v>6305</v>
      </c>
      <c r="K3276" s="1">
        <v>3</v>
      </c>
      <c r="L3276" s="1" t="s">
        <v>4282</v>
      </c>
      <c r="M3276" s="1">
        <v>2</v>
      </c>
      <c r="N3276" s="1" t="s">
        <v>4283</v>
      </c>
    </row>
    <row r="3277" spans="1:14" x14ac:dyDescent="0.15">
      <c r="A3277" s="1">
        <v>623</v>
      </c>
      <c r="B3277" s="1" t="s">
        <v>14214</v>
      </c>
      <c r="C3277" s="1" t="s">
        <v>4279</v>
      </c>
      <c r="D3277" s="1" t="s">
        <v>14214</v>
      </c>
      <c r="E3277" s="1" t="s">
        <v>4279</v>
      </c>
      <c r="F3277" s="1" t="s">
        <v>14214</v>
      </c>
      <c r="G3277" s="1" t="s">
        <v>2272</v>
      </c>
      <c r="H3277" s="1" t="s">
        <v>2273</v>
      </c>
      <c r="I3277" s="1" t="s">
        <v>14217</v>
      </c>
      <c r="J3277" s="1" t="s">
        <v>6305</v>
      </c>
      <c r="K3277" s="1">
        <v>3</v>
      </c>
      <c r="L3277" s="1" t="s">
        <v>4282</v>
      </c>
      <c r="M3277" s="1">
        <v>2</v>
      </c>
      <c r="N3277" s="1" t="s">
        <v>4283</v>
      </c>
    </row>
    <row r="3278" spans="1:14" x14ac:dyDescent="0.15">
      <c r="A3278" s="1">
        <v>623</v>
      </c>
      <c r="B3278" s="1" t="s">
        <v>14214</v>
      </c>
      <c r="C3278" s="1" t="s">
        <v>4279</v>
      </c>
      <c r="D3278" s="1" t="s">
        <v>14214</v>
      </c>
      <c r="E3278" s="1" t="s">
        <v>4279</v>
      </c>
      <c r="F3278" s="1" t="s">
        <v>14214</v>
      </c>
      <c r="G3278" s="1" t="s">
        <v>2274</v>
      </c>
      <c r="H3278" s="1" t="s">
        <v>2275</v>
      </c>
      <c r="I3278" s="1" t="s">
        <v>14217</v>
      </c>
      <c r="J3278" s="1" t="s">
        <v>6305</v>
      </c>
      <c r="K3278" s="1">
        <v>3</v>
      </c>
      <c r="L3278" s="1" t="s">
        <v>4282</v>
      </c>
      <c r="M3278" s="1">
        <v>2</v>
      </c>
      <c r="N3278" s="1" t="s">
        <v>4283</v>
      </c>
    </row>
    <row r="3279" spans="1:14" x14ac:dyDescent="0.15">
      <c r="A3279" s="1">
        <v>623</v>
      </c>
      <c r="B3279" s="1" t="s">
        <v>14214</v>
      </c>
      <c r="C3279" s="1" t="s">
        <v>4279</v>
      </c>
      <c r="D3279" s="1" t="s">
        <v>14214</v>
      </c>
      <c r="E3279" s="1" t="s">
        <v>4279</v>
      </c>
      <c r="F3279" s="1" t="s">
        <v>14214</v>
      </c>
      <c r="G3279" s="1" t="s">
        <v>2276</v>
      </c>
      <c r="H3279" s="1" t="s">
        <v>2277</v>
      </c>
      <c r="I3279" s="1" t="s">
        <v>14217</v>
      </c>
      <c r="J3279" s="1" t="s">
        <v>6305</v>
      </c>
      <c r="K3279" s="1">
        <v>3</v>
      </c>
      <c r="L3279" s="1" t="s">
        <v>4282</v>
      </c>
      <c r="M3279" s="1">
        <v>2</v>
      </c>
      <c r="N3279" s="1" t="s">
        <v>4283</v>
      </c>
    </row>
    <row r="3280" spans="1:14" x14ac:dyDescent="0.15">
      <c r="A3280" s="1">
        <v>623</v>
      </c>
      <c r="B3280" s="1" t="s">
        <v>14214</v>
      </c>
      <c r="C3280" s="1" t="s">
        <v>4279</v>
      </c>
      <c r="D3280" s="1" t="s">
        <v>14214</v>
      </c>
      <c r="E3280" s="1" t="s">
        <v>4279</v>
      </c>
      <c r="F3280" s="1" t="s">
        <v>14214</v>
      </c>
      <c r="G3280" s="1" t="s">
        <v>2278</v>
      </c>
      <c r="H3280" s="1" t="s">
        <v>2279</v>
      </c>
      <c r="I3280" s="1" t="s">
        <v>14217</v>
      </c>
      <c r="J3280" s="1" t="s">
        <v>6305</v>
      </c>
      <c r="K3280" s="1">
        <v>3</v>
      </c>
      <c r="L3280" s="1" t="s">
        <v>4282</v>
      </c>
      <c r="M3280" s="1">
        <v>2</v>
      </c>
      <c r="N3280" s="1" t="s">
        <v>4283</v>
      </c>
    </row>
    <row r="3281" spans="1:14" x14ac:dyDescent="0.15">
      <c r="A3281" s="1">
        <v>624</v>
      </c>
      <c r="B3281" s="1" t="s">
        <v>2280</v>
      </c>
      <c r="C3281" s="1" t="s">
        <v>2281</v>
      </c>
      <c r="D3281" s="1" t="s">
        <v>2280</v>
      </c>
      <c r="E3281" s="1" t="s">
        <v>2281</v>
      </c>
      <c r="F3281" s="1" t="s">
        <v>2280</v>
      </c>
      <c r="G3281" s="1" t="s">
        <v>2282</v>
      </c>
      <c r="H3281" s="1" t="s">
        <v>2280</v>
      </c>
      <c r="I3281" s="1" t="s">
        <v>11879</v>
      </c>
      <c r="J3281" s="1" t="s">
        <v>4278</v>
      </c>
      <c r="K3281" s="1">
        <v>3</v>
      </c>
      <c r="L3281" s="1" t="s">
        <v>4282</v>
      </c>
      <c r="M3281" s="1">
        <v>2</v>
      </c>
      <c r="N3281" s="1" t="s">
        <v>4283</v>
      </c>
    </row>
    <row r="3282" spans="1:14" x14ac:dyDescent="0.15">
      <c r="A3282" s="1">
        <v>624</v>
      </c>
      <c r="B3282" s="1" t="s">
        <v>2280</v>
      </c>
      <c r="C3282" s="1" t="s">
        <v>2283</v>
      </c>
      <c r="D3282" s="1" t="s">
        <v>2284</v>
      </c>
      <c r="E3282" s="1" t="s">
        <v>2283</v>
      </c>
      <c r="F3282" s="1" t="s">
        <v>2284</v>
      </c>
      <c r="G3282" s="1" t="s">
        <v>2285</v>
      </c>
      <c r="H3282" s="1" t="s">
        <v>2284</v>
      </c>
      <c r="I3282" s="1" t="s">
        <v>14273</v>
      </c>
      <c r="J3282" s="1" t="s">
        <v>2250</v>
      </c>
      <c r="K3282" s="1">
        <v>7</v>
      </c>
      <c r="L3282" s="1" t="s">
        <v>4299</v>
      </c>
      <c r="M3282" s="1">
        <v>13</v>
      </c>
      <c r="N3282" s="1" t="s">
        <v>4300</v>
      </c>
    </row>
    <row r="3283" spans="1:14" x14ac:dyDescent="0.15">
      <c r="A3283" s="1">
        <v>624</v>
      </c>
      <c r="B3283" s="1" t="s">
        <v>2280</v>
      </c>
      <c r="C3283" s="1" t="s">
        <v>2286</v>
      </c>
      <c r="D3283" s="1" t="s">
        <v>2287</v>
      </c>
      <c r="E3283" s="1" t="s">
        <v>2286</v>
      </c>
      <c r="F3283" s="1" t="s">
        <v>2287</v>
      </c>
      <c r="G3283" s="1" t="s">
        <v>2288</v>
      </c>
      <c r="H3283" s="1" t="s">
        <v>2287</v>
      </c>
      <c r="I3283" s="1" t="s">
        <v>14273</v>
      </c>
      <c r="J3283" s="1" t="s">
        <v>2250</v>
      </c>
      <c r="K3283" s="1">
        <v>3</v>
      </c>
      <c r="L3283" s="1" t="s">
        <v>4282</v>
      </c>
      <c r="M3283" s="1">
        <v>2</v>
      </c>
      <c r="N3283" s="1" t="s">
        <v>4283</v>
      </c>
    </row>
    <row r="3284" spans="1:14" x14ac:dyDescent="0.15">
      <c r="A3284" s="1">
        <v>624</v>
      </c>
      <c r="B3284" s="1" t="s">
        <v>2280</v>
      </c>
      <c r="C3284" s="1" t="s">
        <v>2289</v>
      </c>
      <c r="D3284" s="1" t="s">
        <v>2290</v>
      </c>
      <c r="E3284" s="1" t="s">
        <v>2289</v>
      </c>
      <c r="F3284" s="1" t="s">
        <v>2290</v>
      </c>
      <c r="G3284" s="1" t="s">
        <v>2291</v>
      </c>
      <c r="H3284" s="1" t="s">
        <v>2290</v>
      </c>
      <c r="I3284" s="1" t="s">
        <v>14273</v>
      </c>
      <c r="J3284" s="1" t="s">
        <v>2250</v>
      </c>
      <c r="K3284" s="1">
        <v>3</v>
      </c>
      <c r="L3284" s="1" t="s">
        <v>4282</v>
      </c>
      <c r="M3284" s="1">
        <v>2</v>
      </c>
      <c r="N3284" s="1" t="s">
        <v>4283</v>
      </c>
    </row>
    <row r="3285" spans="1:14" x14ac:dyDescent="0.15">
      <c r="A3285" s="1">
        <v>624</v>
      </c>
      <c r="B3285" s="1" t="s">
        <v>2280</v>
      </c>
      <c r="C3285" s="1" t="s">
        <v>2292</v>
      </c>
      <c r="D3285" s="1" t="s">
        <v>2293</v>
      </c>
      <c r="E3285" s="1" t="s">
        <v>2292</v>
      </c>
      <c r="F3285" s="1" t="s">
        <v>2293</v>
      </c>
      <c r="G3285" s="1" t="s">
        <v>2294</v>
      </c>
      <c r="H3285" s="1" t="s">
        <v>2293</v>
      </c>
      <c r="I3285" s="1" t="s">
        <v>14842</v>
      </c>
      <c r="J3285" s="1" t="s">
        <v>2237</v>
      </c>
      <c r="K3285" s="1">
        <v>3</v>
      </c>
      <c r="L3285" s="1" t="s">
        <v>4282</v>
      </c>
      <c r="M3285" s="1">
        <v>2</v>
      </c>
      <c r="N3285" s="1" t="s">
        <v>4283</v>
      </c>
    </row>
    <row r="3286" spans="1:14" x14ac:dyDescent="0.15">
      <c r="A3286" s="1">
        <v>625</v>
      </c>
      <c r="B3286" s="1" t="s">
        <v>2295</v>
      </c>
      <c r="C3286" s="1" t="s">
        <v>2296</v>
      </c>
      <c r="D3286" s="1" t="s">
        <v>2295</v>
      </c>
      <c r="E3286" s="1" t="s">
        <v>2296</v>
      </c>
      <c r="F3286" s="1" t="s">
        <v>2295</v>
      </c>
      <c r="G3286" s="1" t="s">
        <v>2297</v>
      </c>
      <c r="H3286" s="1" t="s">
        <v>2295</v>
      </c>
      <c r="I3286" s="1" t="s">
        <v>11879</v>
      </c>
      <c r="J3286" s="1" t="s">
        <v>4278</v>
      </c>
      <c r="K3286" s="1">
        <v>3</v>
      </c>
      <c r="L3286" s="1" t="s">
        <v>4282</v>
      </c>
      <c r="M3286" s="1">
        <v>2</v>
      </c>
      <c r="N3286" s="1" t="s">
        <v>4283</v>
      </c>
    </row>
    <row r="3287" spans="1:14" x14ac:dyDescent="0.15">
      <c r="A3287" s="1">
        <v>625</v>
      </c>
      <c r="B3287" s="1" t="s">
        <v>2295</v>
      </c>
      <c r="C3287" s="1" t="s">
        <v>2298</v>
      </c>
      <c r="D3287" s="1" t="s">
        <v>2299</v>
      </c>
      <c r="E3287" s="1" t="s">
        <v>2298</v>
      </c>
      <c r="F3287" s="1" t="s">
        <v>2299</v>
      </c>
      <c r="G3287" s="1" t="s">
        <v>2300</v>
      </c>
      <c r="H3287" s="1" t="s">
        <v>2299</v>
      </c>
      <c r="I3287" s="1" t="s">
        <v>8930</v>
      </c>
      <c r="J3287" s="1" t="s">
        <v>2240</v>
      </c>
      <c r="K3287" s="1">
        <v>3</v>
      </c>
      <c r="L3287" s="1" t="s">
        <v>4282</v>
      </c>
      <c r="M3287" s="1">
        <v>2</v>
      </c>
      <c r="N3287" s="1" t="s">
        <v>4283</v>
      </c>
    </row>
    <row r="3288" spans="1:14" x14ac:dyDescent="0.15">
      <c r="A3288" s="1">
        <v>625</v>
      </c>
      <c r="B3288" s="1" t="s">
        <v>2295</v>
      </c>
      <c r="C3288" s="1" t="s">
        <v>2301</v>
      </c>
      <c r="D3288" s="1" t="s">
        <v>2302</v>
      </c>
      <c r="E3288" s="1" t="s">
        <v>2301</v>
      </c>
      <c r="F3288" s="1" t="s">
        <v>2302</v>
      </c>
      <c r="G3288" s="1" t="s">
        <v>2303</v>
      </c>
      <c r="H3288" s="1" t="s">
        <v>2302</v>
      </c>
      <c r="I3288" s="1" t="s">
        <v>14257</v>
      </c>
      <c r="J3288" s="1" t="s">
        <v>2245</v>
      </c>
      <c r="K3288" s="1">
        <v>3</v>
      </c>
      <c r="L3288" s="1" t="s">
        <v>4282</v>
      </c>
      <c r="M3288" s="1">
        <v>2</v>
      </c>
      <c r="N3288" s="1" t="s">
        <v>4283</v>
      </c>
    </row>
    <row r="3289" spans="1:14" x14ac:dyDescent="0.15">
      <c r="A3289" s="1">
        <v>625</v>
      </c>
      <c r="B3289" s="1" t="s">
        <v>2295</v>
      </c>
      <c r="C3289" s="1" t="s">
        <v>2301</v>
      </c>
      <c r="D3289" s="1" t="s">
        <v>2302</v>
      </c>
      <c r="E3289" s="1" t="s">
        <v>2301</v>
      </c>
      <c r="F3289" s="1" t="s">
        <v>2302</v>
      </c>
      <c r="G3289" s="1" t="s">
        <v>2303</v>
      </c>
      <c r="H3289" s="1" t="s">
        <v>2302</v>
      </c>
      <c r="I3289" s="1" t="s">
        <v>14257</v>
      </c>
      <c r="J3289" s="1" t="s">
        <v>2246</v>
      </c>
      <c r="K3289" s="1">
        <v>3</v>
      </c>
      <c r="L3289" s="1" t="s">
        <v>4282</v>
      </c>
      <c r="M3289" s="1">
        <v>2</v>
      </c>
      <c r="N3289" s="1" t="s">
        <v>4283</v>
      </c>
    </row>
    <row r="3290" spans="1:14" x14ac:dyDescent="0.15">
      <c r="A3290" s="1">
        <v>626</v>
      </c>
      <c r="B3290" s="1" t="s">
        <v>2304</v>
      </c>
      <c r="C3290" s="1" t="s">
        <v>2305</v>
      </c>
      <c r="D3290" s="1" t="s">
        <v>2304</v>
      </c>
      <c r="E3290" s="1" t="s">
        <v>2305</v>
      </c>
      <c r="F3290" s="1" t="s">
        <v>2304</v>
      </c>
      <c r="G3290" s="1" t="s">
        <v>2306</v>
      </c>
      <c r="H3290" s="1" t="s">
        <v>2304</v>
      </c>
      <c r="I3290" s="1" t="s">
        <v>14273</v>
      </c>
      <c r="J3290" s="1" t="s">
        <v>2250</v>
      </c>
      <c r="K3290" s="1">
        <v>3</v>
      </c>
      <c r="L3290" s="1" t="s">
        <v>4282</v>
      </c>
      <c r="M3290" s="1">
        <v>2</v>
      </c>
      <c r="N3290" s="1" t="s">
        <v>4283</v>
      </c>
    </row>
    <row r="3291" spans="1:14" x14ac:dyDescent="0.15">
      <c r="A3291" s="1">
        <v>630</v>
      </c>
      <c r="B3291" s="1" t="s">
        <v>2307</v>
      </c>
      <c r="C3291" s="1" t="s">
        <v>2308</v>
      </c>
      <c r="D3291" s="1" t="s">
        <v>2307</v>
      </c>
      <c r="E3291" s="1" t="s">
        <v>2308</v>
      </c>
      <c r="F3291" s="1" t="s">
        <v>2307</v>
      </c>
      <c r="G3291" s="1" t="s">
        <v>2309</v>
      </c>
      <c r="H3291" s="1" t="s">
        <v>2307</v>
      </c>
      <c r="I3291" s="1" t="s">
        <v>13937</v>
      </c>
      <c r="J3291" s="1" t="s">
        <v>4901</v>
      </c>
      <c r="K3291" s="1">
        <v>3</v>
      </c>
      <c r="L3291" s="1" t="s">
        <v>4282</v>
      </c>
      <c r="M3291" s="1">
        <v>2</v>
      </c>
      <c r="N3291" s="1" t="s">
        <v>4283</v>
      </c>
    </row>
    <row r="3292" spans="1:14" x14ac:dyDescent="0.15">
      <c r="A3292" s="1">
        <v>631</v>
      </c>
      <c r="B3292" s="1" t="s">
        <v>2310</v>
      </c>
      <c r="C3292" s="1" t="s">
        <v>2311</v>
      </c>
      <c r="D3292" s="1" t="s">
        <v>2310</v>
      </c>
      <c r="E3292" s="1" t="s">
        <v>2311</v>
      </c>
      <c r="F3292" s="1" t="s">
        <v>2310</v>
      </c>
      <c r="G3292" s="1" t="s">
        <v>2312</v>
      </c>
      <c r="H3292" s="1" t="s">
        <v>2310</v>
      </c>
      <c r="I3292" s="1" t="s">
        <v>13937</v>
      </c>
      <c r="J3292" s="1" t="s">
        <v>4901</v>
      </c>
      <c r="K3292" s="1">
        <v>3</v>
      </c>
      <c r="L3292" s="1" t="s">
        <v>4282</v>
      </c>
      <c r="M3292" s="1">
        <v>2</v>
      </c>
      <c r="N3292" s="1" t="s">
        <v>4283</v>
      </c>
    </row>
    <row r="3293" spans="1:14" x14ac:dyDescent="0.15">
      <c r="A3293" s="1">
        <v>632</v>
      </c>
      <c r="B3293" s="1" t="s">
        <v>2313</v>
      </c>
      <c r="C3293" s="1" t="s">
        <v>2314</v>
      </c>
      <c r="D3293" s="1" t="s">
        <v>2313</v>
      </c>
      <c r="E3293" s="1" t="s">
        <v>2314</v>
      </c>
      <c r="F3293" s="1" t="s">
        <v>2313</v>
      </c>
      <c r="G3293" s="1" t="s">
        <v>2315</v>
      </c>
      <c r="H3293" s="1" t="s">
        <v>2313</v>
      </c>
      <c r="I3293" s="1" t="s">
        <v>13937</v>
      </c>
      <c r="J3293" s="1" t="s">
        <v>4901</v>
      </c>
      <c r="K3293" s="1">
        <v>3</v>
      </c>
      <c r="L3293" s="1" t="s">
        <v>4282</v>
      </c>
      <c r="M3293" s="1">
        <v>2</v>
      </c>
      <c r="N3293" s="1" t="s">
        <v>4283</v>
      </c>
    </row>
    <row r="3294" spans="1:14" x14ac:dyDescent="0.15">
      <c r="A3294" s="1">
        <v>632</v>
      </c>
      <c r="B3294" s="1" t="s">
        <v>2313</v>
      </c>
      <c r="C3294" s="1" t="s">
        <v>2314</v>
      </c>
      <c r="D3294" s="1" t="s">
        <v>2313</v>
      </c>
      <c r="E3294" s="1" t="s">
        <v>2314</v>
      </c>
      <c r="F3294" s="1" t="s">
        <v>2313</v>
      </c>
      <c r="G3294" s="1" t="s">
        <v>2315</v>
      </c>
      <c r="H3294" s="1" t="s">
        <v>2313</v>
      </c>
      <c r="I3294" s="1" t="s">
        <v>8728</v>
      </c>
      <c r="J3294" s="1" t="s">
        <v>2316</v>
      </c>
      <c r="K3294" s="1">
        <v>3</v>
      </c>
      <c r="L3294" s="1" t="s">
        <v>4282</v>
      </c>
      <c r="M3294" s="1">
        <v>2</v>
      </c>
      <c r="N3294" s="1" t="s">
        <v>4283</v>
      </c>
    </row>
    <row r="3295" spans="1:14" x14ac:dyDescent="0.15">
      <c r="A3295" s="1">
        <v>632</v>
      </c>
      <c r="B3295" s="1" t="s">
        <v>2313</v>
      </c>
      <c r="C3295" s="1" t="s">
        <v>2314</v>
      </c>
      <c r="D3295" s="1" t="s">
        <v>2313</v>
      </c>
      <c r="E3295" s="1" t="s">
        <v>2314</v>
      </c>
      <c r="F3295" s="1" t="s">
        <v>2313</v>
      </c>
      <c r="G3295" s="1" t="s">
        <v>2317</v>
      </c>
      <c r="H3295" s="1" t="s">
        <v>2318</v>
      </c>
      <c r="I3295" s="1" t="s">
        <v>13937</v>
      </c>
      <c r="J3295" s="1" t="s">
        <v>4901</v>
      </c>
      <c r="K3295" s="1">
        <v>3</v>
      </c>
      <c r="L3295" s="1" t="s">
        <v>4282</v>
      </c>
      <c r="M3295" s="1">
        <v>2</v>
      </c>
      <c r="N3295" s="1" t="s">
        <v>4283</v>
      </c>
    </row>
    <row r="3296" spans="1:14" x14ac:dyDescent="0.15">
      <c r="A3296" s="1">
        <v>632</v>
      </c>
      <c r="B3296" s="1" t="s">
        <v>2313</v>
      </c>
      <c r="C3296" s="1" t="s">
        <v>2314</v>
      </c>
      <c r="D3296" s="1" t="s">
        <v>2313</v>
      </c>
      <c r="E3296" s="1" t="s">
        <v>2314</v>
      </c>
      <c r="F3296" s="1" t="s">
        <v>2313</v>
      </c>
      <c r="G3296" s="1" t="s">
        <v>2319</v>
      </c>
      <c r="H3296" s="1" t="s">
        <v>2320</v>
      </c>
      <c r="I3296" s="1" t="s">
        <v>13937</v>
      </c>
      <c r="J3296" s="1" t="s">
        <v>4901</v>
      </c>
      <c r="K3296" s="1">
        <v>3</v>
      </c>
      <c r="L3296" s="1" t="s">
        <v>4282</v>
      </c>
      <c r="M3296" s="1">
        <v>2</v>
      </c>
      <c r="N3296" s="1" t="s">
        <v>4283</v>
      </c>
    </row>
    <row r="3297" spans="1:14" x14ac:dyDescent="0.15">
      <c r="A3297" s="1">
        <v>632</v>
      </c>
      <c r="B3297" s="1" t="s">
        <v>2313</v>
      </c>
      <c r="C3297" s="1" t="s">
        <v>2314</v>
      </c>
      <c r="D3297" s="1" t="s">
        <v>2313</v>
      </c>
      <c r="E3297" s="1" t="s">
        <v>2314</v>
      </c>
      <c r="F3297" s="1" t="s">
        <v>2313</v>
      </c>
      <c r="G3297" s="1" t="s">
        <v>2319</v>
      </c>
      <c r="H3297" s="1" t="s">
        <v>2320</v>
      </c>
      <c r="I3297" s="1" t="s">
        <v>8728</v>
      </c>
      <c r="J3297" s="1" t="s">
        <v>2316</v>
      </c>
      <c r="K3297" s="1">
        <v>3</v>
      </c>
      <c r="L3297" s="1" t="s">
        <v>4282</v>
      </c>
      <c r="M3297" s="1">
        <v>2</v>
      </c>
      <c r="N3297" s="1" t="s">
        <v>4283</v>
      </c>
    </row>
    <row r="3298" spans="1:14" x14ac:dyDescent="0.15">
      <c r="A3298" s="1">
        <v>633</v>
      </c>
      <c r="B3298" s="1" t="s">
        <v>2321</v>
      </c>
      <c r="C3298" s="1" t="s">
        <v>2322</v>
      </c>
      <c r="D3298" s="1" t="s">
        <v>2321</v>
      </c>
      <c r="E3298" s="1" t="s">
        <v>2322</v>
      </c>
      <c r="F3298" s="1" t="s">
        <v>2321</v>
      </c>
      <c r="G3298" s="1" t="s">
        <v>2323</v>
      </c>
      <c r="H3298" s="1" t="s">
        <v>2321</v>
      </c>
      <c r="I3298" s="1" t="s">
        <v>11879</v>
      </c>
      <c r="J3298" s="1" t="s">
        <v>4278</v>
      </c>
      <c r="K3298" s="1">
        <v>3</v>
      </c>
      <c r="L3298" s="1" t="s">
        <v>4282</v>
      </c>
      <c r="M3298" s="1">
        <v>2</v>
      </c>
      <c r="N3298" s="1" t="s">
        <v>4283</v>
      </c>
    </row>
    <row r="3299" spans="1:14" x14ac:dyDescent="0.15">
      <c r="A3299" s="1">
        <v>633</v>
      </c>
      <c r="B3299" s="1" t="s">
        <v>2321</v>
      </c>
      <c r="C3299" s="1" t="s">
        <v>2324</v>
      </c>
      <c r="D3299" s="1" t="s">
        <v>2325</v>
      </c>
      <c r="E3299" s="1" t="s">
        <v>2324</v>
      </c>
      <c r="F3299" s="1" t="s">
        <v>2325</v>
      </c>
      <c r="G3299" s="1" t="s">
        <v>2326</v>
      </c>
      <c r="H3299" s="1" t="s">
        <v>2325</v>
      </c>
      <c r="I3299" s="1" t="s">
        <v>8935</v>
      </c>
      <c r="J3299" s="1" t="s">
        <v>2241</v>
      </c>
      <c r="K3299" s="1">
        <v>3</v>
      </c>
      <c r="L3299" s="1" t="s">
        <v>4282</v>
      </c>
      <c r="M3299" s="1">
        <v>2</v>
      </c>
      <c r="N3299" s="1" t="s">
        <v>4283</v>
      </c>
    </row>
    <row r="3300" spans="1:14" x14ac:dyDescent="0.15">
      <c r="A3300" s="1">
        <v>633</v>
      </c>
      <c r="B3300" s="1" t="s">
        <v>2321</v>
      </c>
      <c r="C3300" s="1" t="s">
        <v>2324</v>
      </c>
      <c r="D3300" s="1" t="s">
        <v>2325</v>
      </c>
      <c r="E3300" s="1" t="s">
        <v>2324</v>
      </c>
      <c r="F3300" s="1" t="s">
        <v>2325</v>
      </c>
      <c r="G3300" s="1" t="s">
        <v>2327</v>
      </c>
      <c r="H3300" s="1" t="s">
        <v>2328</v>
      </c>
      <c r="I3300" s="1" t="s">
        <v>8935</v>
      </c>
      <c r="J3300" s="1" t="s">
        <v>2241</v>
      </c>
      <c r="K3300" s="1">
        <v>3</v>
      </c>
      <c r="L3300" s="1" t="s">
        <v>4282</v>
      </c>
      <c r="M3300" s="1">
        <v>2</v>
      </c>
      <c r="N3300" s="1" t="s">
        <v>4283</v>
      </c>
    </row>
    <row r="3301" spans="1:14" x14ac:dyDescent="0.15">
      <c r="A3301" s="1">
        <v>633</v>
      </c>
      <c r="B3301" s="1" t="s">
        <v>2321</v>
      </c>
      <c r="C3301" s="1" t="s">
        <v>2324</v>
      </c>
      <c r="D3301" s="1" t="s">
        <v>2325</v>
      </c>
      <c r="E3301" s="1" t="s">
        <v>2324</v>
      </c>
      <c r="F3301" s="1" t="s">
        <v>2325</v>
      </c>
      <c r="G3301" s="1" t="s">
        <v>2329</v>
      </c>
      <c r="H3301" s="1" t="s">
        <v>2330</v>
      </c>
      <c r="I3301" s="1" t="s">
        <v>8935</v>
      </c>
      <c r="J3301" s="1" t="s">
        <v>2241</v>
      </c>
      <c r="K3301" s="1">
        <v>3</v>
      </c>
      <c r="L3301" s="1" t="s">
        <v>4282</v>
      </c>
      <c r="M3301" s="1">
        <v>2</v>
      </c>
      <c r="N3301" s="1" t="s">
        <v>4283</v>
      </c>
    </row>
    <row r="3302" spans="1:14" x14ac:dyDescent="0.15">
      <c r="A3302" s="1">
        <v>633</v>
      </c>
      <c r="B3302" s="1" t="s">
        <v>2321</v>
      </c>
      <c r="C3302" s="1" t="s">
        <v>2331</v>
      </c>
      <c r="D3302" s="1" t="s">
        <v>2332</v>
      </c>
      <c r="E3302" s="1" t="s">
        <v>2331</v>
      </c>
      <c r="F3302" s="1" t="s">
        <v>2332</v>
      </c>
      <c r="G3302" s="1" t="s">
        <v>2333</v>
      </c>
      <c r="H3302" s="1" t="s">
        <v>2332</v>
      </c>
      <c r="I3302" s="1" t="s">
        <v>14273</v>
      </c>
      <c r="J3302" s="1" t="s">
        <v>2250</v>
      </c>
      <c r="K3302" s="1">
        <v>3</v>
      </c>
      <c r="L3302" s="1" t="s">
        <v>4282</v>
      </c>
      <c r="M3302" s="1">
        <v>2</v>
      </c>
      <c r="N3302" s="1" t="s">
        <v>4283</v>
      </c>
    </row>
    <row r="3303" spans="1:14" x14ac:dyDescent="0.15">
      <c r="A3303" s="1">
        <v>635</v>
      </c>
      <c r="B3303" s="1" t="s">
        <v>2334</v>
      </c>
      <c r="C3303" s="1" t="s">
        <v>2335</v>
      </c>
      <c r="D3303" s="1" t="s">
        <v>2334</v>
      </c>
      <c r="E3303" s="1" t="s">
        <v>2335</v>
      </c>
      <c r="F3303" s="1" t="s">
        <v>2334</v>
      </c>
      <c r="G3303" s="1" t="s">
        <v>2336</v>
      </c>
      <c r="H3303" s="1" t="s">
        <v>2334</v>
      </c>
      <c r="I3303" s="1" t="s">
        <v>14229</v>
      </c>
      <c r="J3303" s="1" t="s">
        <v>14230</v>
      </c>
      <c r="K3303" s="1">
        <v>3</v>
      </c>
      <c r="L3303" s="1" t="s">
        <v>4282</v>
      </c>
      <c r="M3303" s="1">
        <v>2</v>
      </c>
      <c r="N3303" s="1" t="s">
        <v>4283</v>
      </c>
    </row>
    <row r="3304" spans="1:14" x14ac:dyDescent="0.15">
      <c r="A3304" s="1">
        <v>636</v>
      </c>
      <c r="B3304" s="1" t="s">
        <v>2337</v>
      </c>
      <c r="C3304" s="1" t="s">
        <v>2338</v>
      </c>
      <c r="D3304" s="1" t="s">
        <v>2337</v>
      </c>
      <c r="E3304" s="1" t="s">
        <v>2338</v>
      </c>
      <c r="F3304" s="1" t="s">
        <v>2337</v>
      </c>
      <c r="G3304" s="1" t="s">
        <v>2339</v>
      </c>
      <c r="H3304" s="1" t="s">
        <v>2337</v>
      </c>
      <c r="I3304" s="1" t="s">
        <v>8938</v>
      </c>
      <c r="J3304" s="1" t="s">
        <v>2242</v>
      </c>
      <c r="K3304" s="1">
        <v>3</v>
      </c>
      <c r="L3304" s="1" t="s">
        <v>4282</v>
      </c>
      <c r="M3304" s="1">
        <v>2</v>
      </c>
      <c r="N3304" s="1" t="s">
        <v>4283</v>
      </c>
    </row>
    <row r="3305" spans="1:14" x14ac:dyDescent="0.15">
      <c r="A3305" s="1">
        <v>640</v>
      </c>
      <c r="B3305" s="1" t="s">
        <v>2340</v>
      </c>
      <c r="C3305" s="1" t="s">
        <v>2341</v>
      </c>
      <c r="D3305" s="1" t="s">
        <v>2340</v>
      </c>
      <c r="E3305" s="1" t="s">
        <v>2341</v>
      </c>
      <c r="F3305" s="1" t="s">
        <v>2340</v>
      </c>
      <c r="G3305" s="1" t="s">
        <v>2341</v>
      </c>
      <c r="H3305" s="1" t="s">
        <v>2340</v>
      </c>
      <c r="I3305" s="1" t="s">
        <v>14273</v>
      </c>
      <c r="J3305" s="1" t="s">
        <v>2250</v>
      </c>
      <c r="K3305" s="1">
        <v>3</v>
      </c>
      <c r="L3305" s="1" t="s">
        <v>4282</v>
      </c>
      <c r="M3305" s="1">
        <v>2</v>
      </c>
      <c r="N3305" s="1" t="s">
        <v>4283</v>
      </c>
    </row>
    <row r="3306" spans="1:14" x14ac:dyDescent="0.15">
      <c r="A3306" s="1">
        <v>640</v>
      </c>
      <c r="B3306" s="1" t="s">
        <v>2340</v>
      </c>
      <c r="C3306" s="1" t="s">
        <v>2341</v>
      </c>
      <c r="D3306" s="1" t="s">
        <v>2340</v>
      </c>
      <c r="E3306" s="1" t="s">
        <v>2342</v>
      </c>
      <c r="F3306" s="1" t="s">
        <v>2343</v>
      </c>
      <c r="G3306" s="1" t="s">
        <v>2344</v>
      </c>
      <c r="H3306" s="1" t="s">
        <v>2343</v>
      </c>
      <c r="I3306" s="1" t="s">
        <v>14273</v>
      </c>
      <c r="J3306" s="1" t="s">
        <v>2250</v>
      </c>
      <c r="K3306" s="1">
        <v>3</v>
      </c>
      <c r="L3306" s="1" t="s">
        <v>4282</v>
      </c>
      <c r="M3306" s="1">
        <v>2</v>
      </c>
      <c r="N3306" s="1" t="s">
        <v>4283</v>
      </c>
    </row>
    <row r="3307" spans="1:14" x14ac:dyDescent="0.15">
      <c r="A3307" s="1">
        <v>640</v>
      </c>
      <c r="B3307" s="1" t="s">
        <v>2340</v>
      </c>
      <c r="C3307" s="1" t="s">
        <v>2341</v>
      </c>
      <c r="D3307" s="1" t="s">
        <v>2340</v>
      </c>
      <c r="E3307" s="1" t="s">
        <v>2345</v>
      </c>
      <c r="F3307" s="1" t="s">
        <v>2346</v>
      </c>
      <c r="G3307" s="1" t="s">
        <v>2347</v>
      </c>
      <c r="H3307" s="1" t="s">
        <v>2346</v>
      </c>
      <c r="I3307" s="1" t="s">
        <v>14273</v>
      </c>
      <c r="J3307" s="1" t="s">
        <v>2250</v>
      </c>
      <c r="K3307" s="1">
        <v>3</v>
      </c>
      <c r="L3307" s="1" t="s">
        <v>4282</v>
      </c>
      <c r="M3307" s="1">
        <v>2</v>
      </c>
      <c r="N3307" s="1" t="s">
        <v>4283</v>
      </c>
    </row>
    <row r="3308" spans="1:14" x14ac:dyDescent="0.15">
      <c r="A3308" s="1">
        <v>642</v>
      </c>
      <c r="B3308" s="1" t="s">
        <v>2348</v>
      </c>
      <c r="C3308" s="1" t="s">
        <v>2349</v>
      </c>
      <c r="D3308" s="1" t="s">
        <v>2348</v>
      </c>
      <c r="E3308" s="1" t="s">
        <v>2349</v>
      </c>
      <c r="F3308" s="1" t="s">
        <v>2348</v>
      </c>
      <c r="G3308" s="1" t="s">
        <v>2350</v>
      </c>
      <c r="H3308" s="1" t="s">
        <v>2348</v>
      </c>
      <c r="I3308" s="1" t="s">
        <v>14253</v>
      </c>
      <c r="J3308" s="1" t="s">
        <v>2243</v>
      </c>
      <c r="K3308" s="1">
        <v>3</v>
      </c>
      <c r="L3308" s="1" t="s">
        <v>4282</v>
      </c>
      <c r="M3308" s="1">
        <v>2</v>
      </c>
      <c r="N3308" s="1" t="s">
        <v>4283</v>
      </c>
    </row>
    <row r="3309" spans="1:14" x14ac:dyDescent="0.15">
      <c r="A3309" s="1">
        <v>642</v>
      </c>
      <c r="B3309" s="1" t="s">
        <v>2348</v>
      </c>
      <c r="C3309" s="1" t="s">
        <v>2349</v>
      </c>
      <c r="D3309" s="1" t="s">
        <v>2348</v>
      </c>
      <c r="E3309" s="1" t="s">
        <v>2349</v>
      </c>
      <c r="F3309" s="1" t="s">
        <v>2348</v>
      </c>
      <c r="G3309" s="1" t="s">
        <v>2350</v>
      </c>
      <c r="H3309" s="1" t="s">
        <v>2348</v>
      </c>
      <c r="I3309" s="1" t="s">
        <v>14253</v>
      </c>
      <c r="J3309" s="1" t="s">
        <v>2243</v>
      </c>
      <c r="K3309" s="1">
        <v>3</v>
      </c>
      <c r="L3309" s="1" t="s">
        <v>4282</v>
      </c>
      <c r="M3309" s="1">
        <v>2</v>
      </c>
      <c r="N3309" s="1" t="s">
        <v>4283</v>
      </c>
    </row>
    <row r="3310" spans="1:14" x14ac:dyDescent="0.15">
      <c r="A3310" s="1">
        <v>643</v>
      </c>
      <c r="B3310" s="1" t="s">
        <v>2351</v>
      </c>
      <c r="C3310" s="1" t="s">
        <v>2352</v>
      </c>
      <c r="D3310" s="1" t="s">
        <v>2351</v>
      </c>
      <c r="E3310" s="1" t="s">
        <v>2352</v>
      </c>
      <c r="F3310" s="1" t="s">
        <v>2351</v>
      </c>
      <c r="G3310" s="1" t="s">
        <v>2353</v>
      </c>
      <c r="H3310" s="1" t="s">
        <v>2351</v>
      </c>
      <c r="I3310" s="1" t="s">
        <v>14253</v>
      </c>
      <c r="J3310" s="1" t="s">
        <v>2243</v>
      </c>
      <c r="K3310" s="1">
        <v>3</v>
      </c>
      <c r="L3310" s="1" t="s">
        <v>4282</v>
      </c>
      <c r="M3310" s="1">
        <v>2</v>
      </c>
      <c r="N3310" s="1" t="s">
        <v>4283</v>
      </c>
    </row>
    <row r="3311" spans="1:14" x14ac:dyDescent="0.15">
      <c r="A3311" s="1">
        <v>644</v>
      </c>
      <c r="B3311" s="1" t="s">
        <v>2354</v>
      </c>
      <c r="C3311" s="1" t="s">
        <v>2355</v>
      </c>
      <c r="D3311" s="1" t="s">
        <v>2354</v>
      </c>
      <c r="E3311" s="1" t="s">
        <v>2355</v>
      </c>
      <c r="F3311" s="1" t="s">
        <v>2354</v>
      </c>
      <c r="G3311" s="1" t="s">
        <v>2356</v>
      </c>
      <c r="H3311" s="1" t="s">
        <v>2354</v>
      </c>
      <c r="I3311" s="1" t="s">
        <v>11879</v>
      </c>
      <c r="J3311" s="1" t="s">
        <v>4278</v>
      </c>
      <c r="K3311" s="1">
        <v>3</v>
      </c>
      <c r="L3311" s="1" t="s">
        <v>4282</v>
      </c>
      <c r="M3311" s="1">
        <v>2</v>
      </c>
      <c r="N3311" s="1" t="s">
        <v>4283</v>
      </c>
    </row>
    <row r="3312" spans="1:14" x14ac:dyDescent="0.15">
      <c r="A3312" s="1">
        <v>644</v>
      </c>
      <c r="B3312" s="1" t="s">
        <v>2354</v>
      </c>
      <c r="C3312" s="1" t="s">
        <v>2357</v>
      </c>
      <c r="D3312" s="1" t="s">
        <v>2358</v>
      </c>
      <c r="E3312" s="1" t="s">
        <v>2357</v>
      </c>
      <c r="F3312" s="1" t="s">
        <v>2358</v>
      </c>
      <c r="G3312" s="1" t="s">
        <v>2359</v>
      </c>
      <c r="H3312" s="1" t="s">
        <v>2358</v>
      </c>
      <c r="I3312" s="1" t="s">
        <v>8507</v>
      </c>
      <c r="J3312" s="1" t="s">
        <v>2247</v>
      </c>
      <c r="K3312" s="1">
        <v>3</v>
      </c>
      <c r="L3312" s="1" t="s">
        <v>4282</v>
      </c>
      <c r="M3312" s="1">
        <v>2</v>
      </c>
      <c r="N3312" s="1" t="s">
        <v>4283</v>
      </c>
    </row>
    <row r="3313" spans="1:14" x14ac:dyDescent="0.15">
      <c r="A3313" s="1">
        <v>644</v>
      </c>
      <c r="B3313" s="1" t="s">
        <v>2354</v>
      </c>
      <c r="C3313" s="1" t="s">
        <v>2360</v>
      </c>
      <c r="D3313" s="1" t="s">
        <v>2361</v>
      </c>
      <c r="E3313" s="1" t="s">
        <v>2360</v>
      </c>
      <c r="F3313" s="1" t="s">
        <v>2361</v>
      </c>
      <c r="G3313" s="1" t="s">
        <v>2362</v>
      </c>
      <c r="H3313" s="1" t="s">
        <v>2361</v>
      </c>
      <c r="I3313" s="1" t="s">
        <v>8504</v>
      </c>
      <c r="J3313" s="1" t="s">
        <v>2363</v>
      </c>
      <c r="K3313" s="1">
        <v>3</v>
      </c>
      <c r="L3313" s="1" t="s">
        <v>4282</v>
      </c>
      <c r="M3313" s="1">
        <v>2</v>
      </c>
      <c r="N3313" s="1" t="s">
        <v>4283</v>
      </c>
    </row>
    <row r="3314" spans="1:14" x14ac:dyDescent="0.15">
      <c r="A3314" s="1">
        <v>644</v>
      </c>
      <c r="B3314" s="1" t="s">
        <v>2354</v>
      </c>
      <c r="C3314" s="1" t="s">
        <v>2360</v>
      </c>
      <c r="D3314" s="1" t="s">
        <v>2361</v>
      </c>
      <c r="E3314" s="1" t="s">
        <v>2360</v>
      </c>
      <c r="F3314" s="1" t="s">
        <v>2361</v>
      </c>
      <c r="G3314" s="1" t="s">
        <v>2362</v>
      </c>
      <c r="H3314" s="1" t="s">
        <v>2361</v>
      </c>
      <c r="I3314" s="1" t="s">
        <v>8507</v>
      </c>
      <c r="J3314" s="1" t="s">
        <v>2247</v>
      </c>
      <c r="K3314" s="1">
        <v>3</v>
      </c>
      <c r="L3314" s="1" t="s">
        <v>4282</v>
      </c>
      <c r="M3314" s="1">
        <v>2</v>
      </c>
      <c r="N3314" s="1" t="s">
        <v>4283</v>
      </c>
    </row>
    <row r="3315" spans="1:14" x14ac:dyDescent="0.15">
      <c r="A3315" s="1">
        <v>644</v>
      </c>
      <c r="B3315" s="1" t="s">
        <v>2354</v>
      </c>
      <c r="C3315" s="1" t="s">
        <v>2360</v>
      </c>
      <c r="D3315" s="1" t="s">
        <v>2361</v>
      </c>
      <c r="E3315" s="1" t="s">
        <v>2360</v>
      </c>
      <c r="F3315" s="1" t="s">
        <v>2361</v>
      </c>
      <c r="G3315" s="1" t="s">
        <v>2364</v>
      </c>
      <c r="H3315" s="1" t="s">
        <v>2365</v>
      </c>
      <c r="I3315" s="1" t="s">
        <v>8504</v>
      </c>
      <c r="J3315" s="1" t="s">
        <v>2363</v>
      </c>
      <c r="K3315" s="1">
        <v>3</v>
      </c>
      <c r="L3315" s="1" t="s">
        <v>4282</v>
      </c>
      <c r="M3315" s="1">
        <v>2</v>
      </c>
      <c r="N3315" s="1" t="s">
        <v>4283</v>
      </c>
    </row>
    <row r="3316" spans="1:14" x14ac:dyDescent="0.15">
      <c r="A3316" s="1">
        <v>644</v>
      </c>
      <c r="B3316" s="1" t="s">
        <v>2354</v>
      </c>
      <c r="C3316" s="1" t="s">
        <v>2360</v>
      </c>
      <c r="D3316" s="1" t="s">
        <v>2361</v>
      </c>
      <c r="E3316" s="1" t="s">
        <v>2360</v>
      </c>
      <c r="F3316" s="1" t="s">
        <v>2361</v>
      </c>
      <c r="G3316" s="1" t="s">
        <v>2366</v>
      </c>
      <c r="H3316" s="1" t="s">
        <v>2367</v>
      </c>
      <c r="I3316" s="1" t="s">
        <v>8504</v>
      </c>
      <c r="J3316" s="1" t="s">
        <v>2363</v>
      </c>
      <c r="K3316" s="1">
        <v>3</v>
      </c>
      <c r="L3316" s="1" t="s">
        <v>4282</v>
      </c>
      <c r="M3316" s="1">
        <v>2</v>
      </c>
      <c r="N3316" s="1" t="s">
        <v>4283</v>
      </c>
    </row>
    <row r="3317" spans="1:14" x14ac:dyDescent="0.15">
      <c r="A3317" s="1">
        <v>644</v>
      </c>
      <c r="B3317" s="1" t="s">
        <v>2354</v>
      </c>
      <c r="C3317" s="1" t="s">
        <v>2360</v>
      </c>
      <c r="D3317" s="1" t="s">
        <v>2361</v>
      </c>
      <c r="E3317" s="1" t="s">
        <v>2360</v>
      </c>
      <c r="F3317" s="1" t="s">
        <v>2361</v>
      </c>
      <c r="G3317" s="1" t="s">
        <v>2366</v>
      </c>
      <c r="H3317" s="1" t="s">
        <v>2367</v>
      </c>
      <c r="I3317" s="1" t="s">
        <v>8507</v>
      </c>
      <c r="J3317" s="1" t="s">
        <v>2247</v>
      </c>
      <c r="K3317" s="1">
        <v>3</v>
      </c>
      <c r="L3317" s="1" t="s">
        <v>4282</v>
      </c>
      <c r="M3317" s="1">
        <v>2</v>
      </c>
      <c r="N3317" s="1" t="s">
        <v>4283</v>
      </c>
    </row>
    <row r="3318" spans="1:14" x14ac:dyDescent="0.15">
      <c r="A3318" s="1">
        <v>644</v>
      </c>
      <c r="B3318" s="1" t="s">
        <v>2354</v>
      </c>
      <c r="C3318" s="1" t="s">
        <v>2360</v>
      </c>
      <c r="D3318" s="1" t="s">
        <v>2361</v>
      </c>
      <c r="E3318" s="1" t="s">
        <v>2360</v>
      </c>
      <c r="F3318" s="1" t="s">
        <v>2361</v>
      </c>
      <c r="G3318" s="1" t="s">
        <v>2366</v>
      </c>
      <c r="H3318" s="1" t="s">
        <v>2367</v>
      </c>
      <c r="I3318" s="1" t="s">
        <v>8516</v>
      </c>
      <c r="J3318" s="1" t="s">
        <v>2368</v>
      </c>
      <c r="K3318" s="1">
        <v>3</v>
      </c>
      <c r="L3318" s="1" t="s">
        <v>4282</v>
      </c>
      <c r="M3318" s="1">
        <v>2</v>
      </c>
      <c r="N3318" s="1" t="s">
        <v>4283</v>
      </c>
    </row>
    <row r="3319" spans="1:14" x14ac:dyDescent="0.15">
      <c r="A3319" s="1">
        <v>644</v>
      </c>
      <c r="B3319" s="1" t="s">
        <v>2354</v>
      </c>
      <c r="C3319" s="1" t="s">
        <v>2360</v>
      </c>
      <c r="D3319" s="1" t="s">
        <v>2361</v>
      </c>
      <c r="E3319" s="1" t="s">
        <v>2360</v>
      </c>
      <c r="F3319" s="1" t="s">
        <v>2361</v>
      </c>
      <c r="G3319" s="1" t="s">
        <v>2369</v>
      </c>
      <c r="H3319" s="1" t="s">
        <v>2370</v>
      </c>
      <c r="I3319" s="1" t="s">
        <v>8504</v>
      </c>
      <c r="J3319" s="1" t="s">
        <v>2363</v>
      </c>
      <c r="K3319" s="1">
        <v>3</v>
      </c>
      <c r="L3319" s="1" t="s">
        <v>4282</v>
      </c>
      <c r="M3319" s="1">
        <v>2</v>
      </c>
      <c r="N3319" s="1" t="s">
        <v>4283</v>
      </c>
    </row>
    <row r="3320" spans="1:14" x14ac:dyDescent="0.15">
      <c r="A3320" s="1">
        <v>644</v>
      </c>
      <c r="B3320" s="1" t="s">
        <v>2354</v>
      </c>
      <c r="C3320" s="1" t="s">
        <v>2360</v>
      </c>
      <c r="D3320" s="1" t="s">
        <v>2361</v>
      </c>
      <c r="E3320" s="1" t="s">
        <v>2360</v>
      </c>
      <c r="F3320" s="1" t="s">
        <v>2361</v>
      </c>
      <c r="G3320" s="1" t="s">
        <v>2369</v>
      </c>
      <c r="H3320" s="1" t="s">
        <v>2370</v>
      </c>
      <c r="I3320" s="1" t="s">
        <v>8507</v>
      </c>
      <c r="J3320" s="1" t="s">
        <v>2247</v>
      </c>
      <c r="K3320" s="1">
        <v>3</v>
      </c>
      <c r="L3320" s="1" t="s">
        <v>4282</v>
      </c>
      <c r="M3320" s="1">
        <v>2</v>
      </c>
      <c r="N3320" s="1" t="s">
        <v>4283</v>
      </c>
    </row>
    <row r="3321" spans="1:14" x14ac:dyDescent="0.15">
      <c r="A3321" s="1">
        <v>646</v>
      </c>
      <c r="B3321" s="1" t="s">
        <v>2371</v>
      </c>
      <c r="C3321" s="1" t="s">
        <v>2372</v>
      </c>
      <c r="D3321" s="1" t="s">
        <v>2371</v>
      </c>
      <c r="E3321" s="1" t="s">
        <v>2372</v>
      </c>
      <c r="F3321" s="1" t="s">
        <v>2371</v>
      </c>
      <c r="G3321" s="1" t="s">
        <v>2373</v>
      </c>
      <c r="H3321" s="1" t="s">
        <v>2371</v>
      </c>
      <c r="I3321" s="1" t="s">
        <v>14273</v>
      </c>
      <c r="J3321" s="1" t="s">
        <v>2250</v>
      </c>
      <c r="K3321" s="1">
        <v>3</v>
      </c>
      <c r="L3321" s="1" t="s">
        <v>4282</v>
      </c>
      <c r="M3321" s="1">
        <v>2</v>
      </c>
      <c r="N3321" s="1" t="s">
        <v>4283</v>
      </c>
    </row>
    <row r="3322" spans="1:14" x14ac:dyDescent="0.15">
      <c r="A3322" s="1">
        <v>650</v>
      </c>
      <c r="B3322" s="1" t="s">
        <v>2374</v>
      </c>
      <c r="C3322" s="1" t="s">
        <v>2375</v>
      </c>
      <c r="D3322" s="1" t="s">
        <v>2374</v>
      </c>
      <c r="E3322" s="1" t="s">
        <v>2375</v>
      </c>
      <c r="F3322" s="1" t="s">
        <v>2374</v>
      </c>
      <c r="G3322" s="1" t="s">
        <v>2376</v>
      </c>
      <c r="H3322" s="1" t="s">
        <v>2374</v>
      </c>
      <c r="I3322" s="1" t="s">
        <v>14273</v>
      </c>
      <c r="J3322" s="1" t="s">
        <v>2250</v>
      </c>
      <c r="K3322" s="1">
        <v>3</v>
      </c>
      <c r="L3322" s="1" t="s">
        <v>4282</v>
      </c>
      <c r="M3322" s="1">
        <v>2</v>
      </c>
      <c r="N3322" s="1" t="s">
        <v>4283</v>
      </c>
    </row>
    <row r="3323" spans="1:14" x14ac:dyDescent="0.15">
      <c r="A3323" s="1">
        <v>651</v>
      </c>
      <c r="B3323" s="1" t="s">
        <v>2377</v>
      </c>
      <c r="C3323" s="1" t="s">
        <v>2378</v>
      </c>
      <c r="D3323" s="1" t="s">
        <v>2377</v>
      </c>
      <c r="E3323" s="1" t="s">
        <v>2378</v>
      </c>
      <c r="F3323" s="1" t="s">
        <v>2377</v>
      </c>
      <c r="G3323" s="1" t="s">
        <v>2379</v>
      </c>
      <c r="H3323" s="1" t="s">
        <v>2377</v>
      </c>
      <c r="I3323" s="1" t="s">
        <v>8943</v>
      </c>
      <c r="J3323" s="1" t="s">
        <v>2244</v>
      </c>
      <c r="K3323" s="1">
        <v>3</v>
      </c>
      <c r="L3323" s="1" t="s">
        <v>4282</v>
      </c>
      <c r="M3323" s="1">
        <v>2</v>
      </c>
      <c r="N3323" s="1" t="s">
        <v>4283</v>
      </c>
    </row>
    <row r="3324" spans="1:14" x14ac:dyDescent="0.15">
      <c r="A3324" s="1">
        <v>652</v>
      </c>
      <c r="B3324" s="1" t="s">
        <v>2380</v>
      </c>
      <c r="C3324" s="1" t="s">
        <v>2381</v>
      </c>
      <c r="D3324" s="1" t="s">
        <v>2380</v>
      </c>
      <c r="E3324" s="1" t="s">
        <v>2381</v>
      </c>
      <c r="F3324" s="1" t="s">
        <v>2380</v>
      </c>
      <c r="G3324" s="1" t="s">
        <v>2382</v>
      </c>
      <c r="H3324" s="1" t="s">
        <v>2380</v>
      </c>
      <c r="I3324" s="1" t="s">
        <v>14514</v>
      </c>
      <c r="J3324" s="1" t="s">
        <v>4869</v>
      </c>
      <c r="K3324" s="1">
        <v>3</v>
      </c>
      <c r="L3324" s="1" t="s">
        <v>4282</v>
      </c>
      <c r="M3324" s="1">
        <v>2</v>
      </c>
      <c r="N3324" s="1" t="s">
        <v>4283</v>
      </c>
    </row>
    <row r="3325" spans="1:14" x14ac:dyDescent="0.15">
      <c r="A3325" s="1">
        <v>653</v>
      </c>
      <c r="B3325" s="1" t="s">
        <v>2383</v>
      </c>
      <c r="C3325" s="1" t="s">
        <v>2384</v>
      </c>
      <c r="D3325" s="1" t="s">
        <v>2383</v>
      </c>
      <c r="E3325" s="1" t="s">
        <v>2384</v>
      </c>
      <c r="F3325" s="1" t="s">
        <v>2383</v>
      </c>
      <c r="G3325" s="1" t="s">
        <v>2385</v>
      </c>
      <c r="H3325" s="1" t="s">
        <v>2383</v>
      </c>
      <c r="I3325" s="1" t="s">
        <v>8946</v>
      </c>
      <c r="J3325" s="1" t="s">
        <v>2386</v>
      </c>
      <c r="K3325" s="1">
        <v>3</v>
      </c>
      <c r="L3325" s="1" t="s">
        <v>4282</v>
      </c>
      <c r="M3325" s="1">
        <v>2</v>
      </c>
      <c r="N3325" s="1" t="s">
        <v>4283</v>
      </c>
    </row>
    <row r="3326" spans="1:14" x14ac:dyDescent="0.15">
      <c r="A3326" s="1">
        <v>653</v>
      </c>
      <c r="B3326" s="1" t="s">
        <v>2383</v>
      </c>
      <c r="C3326" s="1" t="s">
        <v>2384</v>
      </c>
      <c r="D3326" s="1" t="s">
        <v>2383</v>
      </c>
      <c r="E3326" s="1" t="s">
        <v>2384</v>
      </c>
      <c r="F3326" s="1" t="s">
        <v>2383</v>
      </c>
      <c r="G3326" s="1" t="s">
        <v>2385</v>
      </c>
      <c r="H3326" s="1" t="s">
        <v>2383</v>
      </c>
      <c r="I3326" s="1" t="s">
        <v>14273</v>
      </c>
      <c r="J3326" s="1" t="s">
        <v>2250</v>
      </c>
      <c r="K3326" s="1">
        <v>3</v>
      </c>
      <c r="L3326" s="1" t="s">
        <v>4282</v>
      </c>
      <c r="M3326" s="1">
        <v>2</v>
      </c>
      <c r="N3326" s="1" t="s">
        <v>4283</v>
      </c>
    </row>
    <row r="3327" spans="1:14" x14ac:dyDescent="0.15">
      <c r="A3327" s="1">
        <v>660</v>
      </c>
      <c r="B3327" s="1" t="s">
        <v>2387</v>
      </c>
      <c r="C3327" s="1" t="s">
        <v>2388</v>
      </c>
      <c r="D3327" s="1" t="s">
        <v>2387</v>
      </c>
      <c r="E3327" s="1" t="s">
        <v>2388</v>
      </c>
      <c r="F3327" s="1" t="s">
        <v>2387</v>
      </c>
      <c r="G3327" s="1" t="s">
        <v>2389</v>
      </c>
      <c r="H3327" s="1" t="s">
        <v>2387</v>
      </c>
      <c r="I3327" s="1" t="s">
        <v>11879</v>
      </c>
      <c r="J3327" s="1" t="s">
        <v>4278</v>
      </c>
      <c r="K3327" s="1">
        <v>3</v>
      </c>
      <c r="L3327" s="1" t="s">
        <v>4282</v>
      </c>
      <c r="M3327" s="1">
        <v>2</v>
      </c>
      <c r="N3327" s="1" t="s">
        <v>4283</v>
      </c>
    </row>
    <row r="3328" spans="1:14" x14ac:dyDescent="0.15">
      <c r="A3328" s="1">
        <v>660</v>
      </c>
      <c r="B3328" s="1" t="s">
        <v>2387</v>
      </c>
      <c r="C3328" s="1" t="s">
        <v>2390</v>
      </c>
      <c r="D3328" s="1" t="s">
        <v>2391</v>
      </c>
      <c r="E3328" s="1" t="s">
        <v>2390</v>
      </c>
      <c r="F3328" s="1" t="s">
        <v>2391</v>
      </c>
      <c r="G3328" s="1" t="s">
        <v>2392</v>
      </c>
      <c r="H3328" s="1" t="s">
        <v>2391</v>
      </c>
      <c r="I3328" s="1" t="s">
        <v>14842</v>
      </c>
      <c r="J3328" s="1" t="s">
        <v>2237</v>
      </c>
      <c r="K3328" s="1">
        <v>3</v>
      </c>
      <c r="L3328" s="1" t="s">
        <v>4282</v>
      </c>
      <c r="M3328" s="1">
        <v>2</v>
      </c>
      <c r="N3328" s="1" t="s">
        <v>4283</v>
      </c>
    </row>
    <row r="3329" spans="1:14" x14ac:dyDescent="0.15">
      <c r="A3329" s="1">
        <v>660</v>
      </c>
      <c r="B3329" s="1" t="s">
        <v>2387</v>
      </c>
      <c r="C3329" s="1" t="s">
        <v>2393</v>
      </c>
      <c r="D3329" s="1" t="s">
        <v>2394</v>
      </c>
      <c r="E3329" s="1" t="s">
        <v>2393</v>
      </c>
      <c r="F3329" s="1" t="s">
        <v>2394</v>
      </c>
      <c r="G3329" s="1" t="s">
        <v>2395</v>
      </c>
      <c r="H3329" s="1" t="s">
        <v>2394</v>
      </c>
      <c r="I3329" s="1" t="s">
        <v>14217</v>
      </c>
      <c r="J3329" s="1" t="s">
        <v>6305</v>
      </c>
      <c r="K3329" s="1">
        <v>3</v>
      </c>
      <c r="L3329" s="1" t="s">
        <v>4282</v>
      </c>
      <c r="M3329" s="1">
        <v>2</v>
      </c>
      <c r="N3329" s="1" t="s">
        <v>4283</v>
      </c>
    </row>
    <row r="3330" spans="1:14" x14ac:dyDescent="0.15">
      <c r="A3330" s="1">
        <v>660</v>
      </c>
      <c r="B3330" s="1" t="s">
        <v>2387</v>
      </c>
      <c r="C3330" s="1" t="s">
        <v>2396</v>
      </c>
      <c r="D3330" s="1" t="s">
        <v>2397</v>
      </c>
      <c r="E3330" s="1" t="s">
        <v>2396</v>
      </c>
      <c r="F3330" s="1" t="s">
        <v>2397</v>
      </c>
      <c r="G3330" s="1" t="s">
        <v>2398</v>
      </c>
      <c r="H3330" s="1" t="s">
        <v>2397</v>
      </c>
      <c r="I3330" s="1" t="s">
        <v>14229</v>
      </c>
      <c r="J3330" s="1" t="s">
        <v>14230</v>
      </c>
      <c r="K3330" s="1">
        <v>3</v>
      </c>
      <c r="L3330" s="1" t="s">
        <v>4282</v>
      </c>
      <c r="M3330" s="1">
        <v>2</v>
      </c>
      <c r="N3330" s="1" t="s">
        <v>4283</v>
      </c>
    </row>
    <row r="3331" spans="1:14" x14ac:dyDescent="0.15">
      <c r="A3331" s="1">
        <v>660</v>
      </c>
      <c r="B3331" s="1" t="s">
        <v>2387</v>
      </c>
      <c r="C3331" s="1" t="s">
        <v>2399</v>
      </c>
      <c r="D3331" s="1" t="s">
        <v>2400</v>
      </c>
      <c r="E3331" s="1" t="s">
        <v>2399</v>
      </c>
      <c r="F3331" s="1" t="s">
        <v>2400</v>
      </c>
      <c r="G3331" s="1" t="s">
        <v>2401</v>
      </c>
      <c r="H3331" s="1" t="s">
        <v>2400</v>
      </c>
      <c r="I3331" s="1" t="s">
        <v>14253</v>
      </c>
      <c r="J3331" s="1" t="s">
        <v>2243</v>
      </c>
      <c r="K3331" s="1">
        <v>3</v>
      </c>
      <c r="L3331" s="1" t="s">
        <v>4282</v>
      </c>
      <c r="M3331" s="1">
        <v>2</v>
      </c>
      <c r="N3331" s="1" t="s">
        <v>4283</v>
      </c>
    </row>
    <row r="3332" spans="1:14" x14ac:dyDescent="0.15">
      <c r="A3332" s="1">
        <v>660</v>
      </c>
      <c r="B3332" s="1" t="s">
        <v>2387</v>
      </c>
      <c r="C3332" s="1" t="s">
        <v>2402</v>
      </c>
      <c r="D3332" s="1" t="s">
        <v>2403</v>
      </c>
      <c r="E3332" s="1" t="s">
        <v>2402</v>
      </c>
      <c r="F3332" s="1" t="s">
        <v>2403</v>
      </c>
      <c r="G3332" s="1" t="s">
        <v>2404</v>
      </c>
      <c r="H3332" s="1" t="s">
        <v>2403</v>
      </c>
      <c r="I3332" s="1" t="s">
        <v>8507</v>
      </c>
      <c r="J3332" s="1" t="s">
        <v>2247</v>
      </c>
      <c r="K3332" s="1">
        <v>3</v>
      </c>
      <c r="L3332" s="1" t="s">
        <v>4282</v>
      </c>
      <c r="M3332" s="1">
        <v>2</v>
      </c>
      <c r="N3332" s="1" t="s">
        <v>4283</v>
      </c>
    </row>
    <row r="3333" spans="1:14" x14ac:dyDescent="0.15">
      <c r="A3333" s="1">
        <v>660</v>
      </c>
      <c r="B3333" s="1" t="s">
        <v>2387</v>
      </c>
      <c r="C3333" s="1" t="s">
        <v>2405</v>
      </c>
      <c r="D3333" s="1" t="s">
        <v>2406</v>
      </c>
      <c r="E3333" s="1" t="s">
        <v>2405</v>
      </c>
      <c r="F3333" s="1" t="s">
        <v>2406</v>
      </c>
      <c r="G3333" s="1" t="s">
        <v>2407</v>
      </c>
      <c r="H3333" s="1" t="s">
        <v>2406</v>
      </c>
      <c r="I3333" s="1" t="s">
        <v>8943</v>
      </c>
      <c r="J3333" s="1" t="s">
        <v>2244</v>
      </c>
      <c r="K3333" s="1">
        <v>3</v>
      </c>
      <c r="L3333" s="1" t="s">
        <v>4282</v>
      </c>
      <c r="M3333" s="1">
        <v>2</v>
      </c>
      <c r="N3333" s="1" t="s">
        <v>4283</v>
      </c>
    </row>
    <row r="3334" spans="1:14" x14ac:dyDescent="0.15">
      <c r="A3334" s="1">
        <v>660</v>
      </c>
      <c r="B3334" s="1" t="s">
        <v>2387</v>
      </c>
      <c r="C3334" s="1" t="s">
        <v>2408</v>
      </c>
      <c r="D3334" s="1" t="s">
        <v>2409</v>
      </c>
      <c r="E3334" s="1" t="s">
        <v>2408</v>
      </c>
      <c r="F3334" s="1" t="s">
        <v>2409</v>
      </c>
      <c r="G3334" s="1" t="s">
        <v>2410</v>
      </c>
      <c r="H3334" s="1" t="s">
        <v>2409</v>
      </c>
      <c r="I3334" s="1" t="s">
        <v>8930</v>
      </c>
      <c r="J3334" s="1" t="s">
        <v>2240</v>
      </c>
      <c r="K3334" s="1">
        <v>3</v>
      </c>
      <c r="L3334" s="1" t="s">
        <v>4282</v>
      </c>
      <c r="M3334" s="1">
        <v>2</v>
      </c>
      <c r="N3334" s="1" t="s">
        <v>4283</v>
      </c>
    </row>
    <row r="3335" spans="1:14" x14ac:dyDescent="0.15">
      <c r="A3335" s="1">
        <v>660</v>
      </c>
      <c r="B3335" s="1" t="s">
        <v>2387</v>
      </c>
      <c r="C3335" s="1" t="s">
        <v>2408</v>
      </c>
      <c r="D3335" s="1" t="s">
        <v>2409</v>
      </c>
      <c r="E3335" s="1" t="s">
        <v>2408</v>
      </c>
      <c r="F3335" s="1" t="s">
        <v>2409</v>
      </c>
      <c r="G3335" s="1" t="s">
        <v>2410</v>
      </c>
      <c r="H3335" s="1" t="s">
        <v>2409</v>
      </c>
      <c r="I3335" s="1" t="s">
        <v>8935</v>
      </c>
      <c r="J3335" s="1" t="s">
        <v>2241</v>
      </c>
      <c r="K3335" s="1">
        <v>3</v>
      </c>
      <c r="L3335" s="1" t="s">
        <v>4282</v>
      </c>
      <c r="M3335" s="1">
        <v>2</v>
      </c>
      <c r="N3335" s="1" t="s">
        <v>4283</v>
      </c>
    </row>
    <row r="3336" spans="1:14" x14ac:dyDescent="0.15">
      <c r="A3336" s="1">
        <v>660</v>
      </c>
      <c r="B3336" s="1" t="s">
        <v>2387</v>
      </c>
      <c r="C3336" s="1" t="s">
        <v>2408</v>
      </c>
      <c r="D3336" s="1" t="s">
        <v>2409</v>
      </c>
      <c r="E3336" s="1" t="s">
        <v>2408</v>
      </c>
      <c r="F3336" s="1" t="s">
        <v>2409</v>
      </c>
      <c r="G3336" s="1" t="s">
        <v>2410</v>
      </c>
      <c r="H3336" s="1" t="s">
        <v>2409</v>
      </c>
      <c r="I3336" s="1" t="s">
        <v>8938</v>
      </c>
      <c r="J3336" s="1" t="s">
        <v>2242</v>
      </c>
      <c r="K3336" s="1">
        <v>3</v>
      </c>
      <c r="L3336" s="1" t="s">
        <v>4282</v>
      </c>
      <c r="M3336" s="1">
        <v>2</v>
      </c>
      <c r="N3336" s="1" t="s">
        <v>4283</v>
      </c>
    </row>
    <row r="3337" spans="1:14" x14ac:dyDescent="0.15">
      <c r="A3337" s="1">
        <v>666</v>
      </c>
      <c r="B3337" s="1" t="s">
        <v>2411</v>
      </c>
      <c r="C3337" s="1" t="s">
        <v>2412</v>
      </c>
      <c r="D3337" s="1" t="s">
        <v>2411</v>
      </c>
      <c r="E3337" s="1" t="s">
        <v>2412</v>
      </c>
      <c r="F3337" s="1" t="s">
        <v>2411</v>
      </c>
      <c r="G3337" s="1" t="s">
        <v>2413</v>
      </c>
      <c r="H3337" s="1" t="s">
        <v>2411</v>
      </c>
      <c r="I3337" s="1" t="s">
        <v>14249</v>
      </c>
      <c r="J3337" s="1" t="s">
        <v>6308</v>
      </c>
      <c r="K3337" s="1">
        <v>3</v>
      </c>
      <c r="L3337" s="1" t="s">
        <v>4282</v>
      </c>
      <c r="M3337" s="1">
        <v>2</v>
      </c>
      <c r="N3337" s="1" t="s">
        <v>4283</v>
      </c>
    </row>
    <row r="3338" spans="1:14" x14ac:dyDescent="0.15">
      <c r="A3338" s="1">
        <v>670</v>
      </c>
      <c r="B3338" s="1" t="s">
        <v>2414</v>
      </c>
      <c r="C3338" s="1" t="s">
        <v>2415</v>
      </c>
      <c r="D3338" s="1" t="s">
        <v>2414</v>
      </c>
      <c r="E3338" s="1" t="s">
        <v>2415</v>
      </c>
      <c r="F3338" s="1" t="s">
        <v>2414</v>
      </c>
      <c r="G3338" s="1" t="s">
        <v>2416</v>
      </c>
      <c r="H3338" s="1" t="s">
        <v>2414</v>
      </c>
      <c r="I3338" s="1" t="s">
        <v>14328</v>
      </c>
      <c r="J3338" s="1" t="s">
        <v>2417</v>
      </c>
      <c r="K3338" s="1">
        <v>3</v>
      </c>
      <c r="L3338" s="1" t="s">
        <v>4282</v>
      </c>
      <c r="M3338" s="1">
        <v>2</v>
      </c>
      <c r="N3338" s="1" t="s">
        <v>4283</v>
      </c>
    </row>
    <row r="3339" spans="1:14" x14ac:dyDescent="0.15">
      <c r="A3339" s="1">
        <v>671</v>
      </c>
      <c r="B3339" s="1" t="s">
        <v>2418</v>
      </c>
      <c r="C3339" s="1" t="s">
        <v>2419</v>
      </c>
      <c r="D3339" s="1" t="s">
        <v>2418</v>
      </c>
      <c r="E3339" s="1" t="s">
        <v>2419</v>
      </c>
      <c r="F3339" s="1" t="s">
        <v>2418</v>
      </c>
      <c r="G3339" s="1" t="s">
        <v>2420</v>
      </c>
      <c r="H3339" s="1" t="s">
        <v>2418</v>
      </c>
      <c r="I3339" s="1" t="s">
        <v>14273</v>
      </c>
      <c r="J3339" s="1" t="s">
        <v>2250</v>
      </c>
      <c r="K3339" s="1">
        <v>3</v>
      </c>
      <c r="L3339" s="1" t="s">
        <v>4282</v>
      </c>
      <c r="M3339" s="1">
        <v>2</v>
      </c>
      <c r="N3339" s="1" t="s">
        <v>4283</v>
      </c>
    </row>
    <row r="3340" spans="1:14" x14ac:dyDescent="0.15">
      <c r="A3340" s="1">
        <v>672</v>
      </c>
      <c r="B3340" s="1" t="s">
        <v>2421</v>
      </c>
      <c r="C3340" s="1" t="s">
        <v>2422</v>
      </c>
      <c r="D3340" s="1" t="s">
        <v>2421</v>
      </c>
      <c r="E3340" s="1" t="s">
        <v>2422</v>
      </c>
      <c r="F3340" s="1" t="s">
        <v>2421</v>
      </c>
      <c r="G3340" s="1" t="s">
        <v>2423</v>
      </c>
      <c r="H3340" s="1" t="s">
        <v>2421</v>
      </c>
      <c r="I3340" s="1" t="s">
        <v>10490</v>
      </c>
      <c r="J3340" s="1" t="s">
        <v>2424</v>
      </c>
      <c r="K3340" s="1">
        <v>7</v>
      </c>
      <c r="L3340" s="1" t="s">
        <v>4299</v>
      </c>
      <c r="M3340" s="1">
        <v>13</v>
      </c>
      <c r="N3340" s="1" t="s">
        <v>4300</v>
      </c>
    </row>
    <row r="3341" spans="1:14" x14ac:dyDescent="0.15">
      <c r="A3341" s="1">
        <v>672</v>
      </c>
      <c r="B3341" s="1" t="s">
        <v>2421</v>
      </c>
      <c r="C3341" s="1" t="s">
        <v>2422</v>
      </c>
      <c r="D3341" s="1" t="s">
        <v>2421</v>
      </c>
      <c r="E3341" s="1" t="s">
        <v>2422</v>
      </c>
      <c r="F3341" s="1" t="s">
        <v>2421</v>
      </c>
      <c r="G3341" s="1" t="s">
        <v>2423</v>
      </c>
      <c r="H3341" s="1" t="s">
        <v>2421</v>
      </c>
      <c r="I3341" s="1" t="s">
        <v>14273</v>
      </c>
      <c r="J3341" s="1" t="s">
        <v>2250</v>
      </c>
      <c r="K3341" s="1">
        <v>7</v>
      </c>
      <c r="L3341" s="1" t="s">
        <v>4299</v>
      </c>
      <c r="M3341" s="1">
        <v>13</v>
      </c>
      <c r="N3341" s="1" t="s">
        <v>4300</v>
      </c>
    </row>
    <row r="3342" spans="1:14" x14ac:dyDescent="0.15">
      <c r="A3342" s="1">
        <v>672</v>
      </c>
      <c r="B3342" s="1" t="s">
        <v>2421</v>
      </c>
      <c r="C3342" s="1" t="s">
        <v>2422</v>
      </c>
      <c r="D3342" s="1" t="s">
        <v>2421</v>
      </c>
      <c r="E3342" s="1" t="s">
        <v>2422</v>
      </c>
      <c r="F3342" s="1" t="s">
        <v>2421</v>
      </c>
      <c r="G3342" s="1" t="s">
        <v>2423</v>
      </c>
      <c r="H3342" s="1" t="s">
        <v>2421</v>
      </c>
      <c r="I3342" s="1" t="s">
        <v>14420</v>
      </c>
      <c r="J3342" s="1" t="s">
        <v>2425</v>
      </c>
      <c r="K3342" s="1">
        <v>7</v>
      </c>
      <c r="L3342" s="1" t="s">
        <v>4299</v>
      </c>
      <c r="M3342" s="1">
        <v>13</v>
      </c>
      <c r="N3342" s="1" t="s">
        <v>4300</v>
      </c>
    </row>
    <row r="3343" spans="1:14" x14ac:dyDescent="0.15">
      <c r="A3343" s="1">
        <v>672</v>
      </c>
      <c r="B3343" s="1" t="s">
        <v>2421</v>
      </c>
      <c r="C3343" s="1" t="s">
        <v>2422</v>
      </c>
      <c r="D3343" s="1" t="s">
        <v>2421</v>
      </c>
      <c r="E3343" s="1" t="s">
        <v>2422</v>
      </c>
      <c r="F3343" s="1" t="s">
        <v>2421</v>
      </c>
      <c r="G3343" s="1" t="s">
        <v>2426</v>
      </c>
      <c r="H3343" s="1" t="s">
        <v>2427</v>
      </c>
      <c r="I3343" s="1" t="s">
        <v>10490</v>
      </c>
      <c r="J3343" s="1" t="s">
        <v>2424</v>
      </c>
      <c r="K3343" s="1">
        <v>3</v>
      </c>
      <c r="L3343" s="1" t="s">
        <v>4282</v>
      </c>
      <c r="M3343" s="1">
        <v>2</v>
      </c>
      <c r="N3343" s="1" t="s">
        <v>4283</v>
      </c>
    </row>
    <row r="3344" spans="1:14" x14ac:dyDescent="0.15">
      <c r="A3344" s="1">
        <v>673</v>
      </c>
      <c r="B3344" s="1" t="s">
        <v>2428</v>
      </c>
      <c r="C3344" s="1" t="s">
        <v>2429</v>
      </c>
      <c r="D3344" s="1" t="s">
        <v>2428</v>
      </c>
      <c r="E3344" s="1" t="s">
        <v>2429</v>
      </c>
      <c r="F3344" s="1" t="s">
        <v>2428</v>
      </c>
      <c r="G3344" s="1" t="s">
        <v>2430</v>
      </c>
      <c r="H3344" s="1" t="s">
        <v>2428</v>
      </c>
      <c r="I3344" s="1" t="s">
        <v>13937</v>
      </c>
      <c r="J3344" s="1" t="s">
        <v>4901</v>
      </c>
      <c r="K3344" s="1">
        <v>3</v>
      </c>
      <c r="L3344" s="1" t="s">
        <v>4282</v>
      </c>
      <c r="M3344" s="1">
        <v>2</v>
      </c>
      <c r="N3344" s="1" t="s">
        <v>4283</v>
      </c>
    </row>
    <row r="3345" spans="1:14" x14ac:dyDescent="0.15">
      <c r="A3345" s="1">
        <v>674</v>
      </c>
      <c r="B3345" s="1" t="s">
        <v>2431</v>
      </c>
      <c r="C3345" s="1" t="s">
        <v>2432</v>
      </c>
      <c r="D3345" s="1" t="s">
        <v>2431</v>
      </c>
      <c r="E3345" s="1" t="s">
        <v>2432</v>
      </c>
      <c r="F3345" s="1" t="s">
        <v>2431</v>
      </c>
      <c r="G3345" s="1" t="s">
        <v>2433</v>
      </c>
      <c r="H3345" s="1" t="s">
        <v>2431</v>
      </c>
      <c r="I3345" s="1" t="s">
        <v>13937</v>
      </c>
      <c r="J3345" s="1" t="s">
        <v>4901</v>
      </c>
      <c r="K3345" s="1">
        <v>3</v>
      </c>
      <c r="L3345" s="1" t="s">
        <v>4282</v>
      </c>
      <c r="M3345" s="1">
        <v>2</v>
      </c>
      <c r="N3345" s="1" t="s">
        <v>4283</v>
      </c>
    </row>
    <row r="3346" spans="1:14" x14ac:dyDescent="0.15">
      <c r="A3346" s="1">
        <v>675</v>
      </c>
      <c r="B3346" s="1" t="s">
        <v>2434</v>
      </c>
      <c r="C3346" s="1" t="s">
        <v>2435</v>
      </c>
      <c r="D3346" s="1" t="s">
        <v>2434</v>
      </c>
      <c r="E3346" s="1" t="s">
        <v>2435</v>
      </c>
      <c r="F3346" s="1" t="s">
        <v>2434</v>
      </c>
      <c r="G3346" s="1" t="s">
        <v>2436</v>
      </c>
      <c r="H3346" s="1" t="s">
        <v>2434</v>
      </c>
      <c r="I3346" s="1" t="s">
        <v>8507</v>
      </c>
      <c r="J3346" s="1" t="s">
        <v>2247</v>
      </c>
      <c r="K3346" s="1">
        <v>3</v>
      </c>
      <c r="L3346" s="1" t="s">
        <v>4282</v>
      </c>
      <c r="M3346" s="1">
        <v>2</v>
      </c>
      <c r="N3346" s="1" t="s">
        <v>4283</v>
      </c>
    </row>
    <row r="3347" spans="1:14" x14ac:dyDescent="0.15">
      <c r="A3347" s="1">
        <v>676</v>
      </c>
      <c r="B3347" s="1" t="s">
        <v>2437</v>
      </c>
      <c r="C3347" s="1" t="s">
        <v>2438</v>
      </c>
      <c r="D3347" s="1" t="s">
        <v>2437</v>
      </c>
      <c r="E3347" s="1" t="s">
        <v>2438</v>
      </c>
      <c r="F3347" s="1" t="s">
        <v>2437</v>
      </c>
      <c r="G3347" s="1" t="s">
        <v>2439</v>
      </c>
      <c r="H3347" s="1" t="s">
        <v>2437</v>
      </c>
      <c r="I3347" s="1" t="s">
        <v>11879</v>
      </c>
      <c r="J3347" s="1" t="s">
        <v>4278</v>
      </c>
      <c r="K3347" s="1">
        <v>3</v>
      </c>
      <c r="L3347" s="1" t="s">
        <v>4282</v>
      </c>
      <c r="M3347" s="1">
        <v>2</v>
      </c>
      <c r="N3347" s="1" t="s">
        <v>4283</v>
      </c>
    </row>
    <row r="3348" spans="1:14" x14ac:dyDescent="0.15">
      <c r="A3348" s="1">
        <v>676</v>
      </c>
      <c r="B3348" s="1" t="s">
        <v>2437</v>
      </c>
      <c r="C3348" s="1" t="s">
        <v>2440</v>
      </c>
      <c r="D3348" s="1" t="s">
        <v>2441</v>
      </c>
      <c r="E3348" s="1" t="s">
        <v>2440</v>
      </c>
      <c r="F3348" s="1" t="s">
        <v>2441</v>
      </c>
      <c r="G3348" s="1" t="s">
        <v>2442</v>
      </c>
      <c r="H3348" s="1" t="s">
        <v>2441</v>
      </c>
      <c r="I3348" s="1" t="s">
        <v>8930</v>
      </c>
      <c r="J3348" s="1" t="s">
        <v>2240</v>
      </c>
      <c r="K3348" s="1">
        <v>3</v>
      </c>
      <c r="L3348" s="1" t="s">
        <v>4282</v>
      </c>
      <c r="M3348" s="1">
        <v>2</v>
      </c>
      <c r="N3348" s="1" t="s">
        <v>4283</v>
      </c>
    </row>
    <row r="3349" spans="1:14" x14ac:dyDescent="0.15">
      <c r="A3349" s="1">
        <v>676</v>
      </c>
      <c r="B3349" s="1" t="s">
        <v>2437</v>
      </c>
      <c r="C3349" s="1" t="s">
        <v>2443</v>
      </c>
      <c r="D3349" s="1" t="s">
        <v>2444</v>
      </c>
      <c r="E3349" s="1" t="s">
        <v>2443</v>
      </c>
      <c r="F3349" s="1" t="s">
        <v>2444</v>
      </c>
      <c r="G3349" s="1" t="s">
        <v>2445</v>
      </c>
      <c r="H3349" s="1" t="s">
        <v>2444</v>
      </c>
      <c r="I3349" s="1" t="s">
        <v>13937</v>
      </c>
      <c r="J3349" s="1" t="s">
        <v>4901</v>
      </c>
      <c r="K3349" s="1">
        <v>3</v>
      </c>
      <c r="L3349" s="1" t="s">
        <v>4282</v>
      </c>
      <c r="M3349" s="1">
        <v>2</v>
      </c>
      <c r="N3349" s="1" t="s">
        <v>4283</v>
      </c>
    </row>
    <row r="3350" spans="1:14" x14ac:dyDescent="0.15">
      <c r="A3350" s="1">
        <v>676</v>
      </c>
      <c r="B3350" s="1" t="s">
        <v>2437</v>
      </c>
      <c r="C3350" s="1" t="s">
        <v>2443</v>
      </c>
      <c r="D3350" s="1" t="s">
        <v>2444</v>
      </c>
      <c r="E3350" s="1" t="s">
        <v>2443</v>
      </c>
      <c r="F3350" s="1" t="s">
        <v>2444</v>
      </c>
      <c r="G3350" s="1" t="s">
        <v>2445</v>
      </c>
      <c r="H3350" s="1" t="s">
        <v>2444</v>
      </c>
      <c r="I3350" s="1" t="s">
        <v>14273</v>
      </c>
      <c r="J3350" s="1" t="s">
        <v>2250</v>
      </c>
      <c r="K3350" s="1">
        <v>3</v>
      </c>
      <c r="L3350" s="1" t="s">
        <v>4282</v>
      </c>
      <c r="M3350" s="1">
        <v>2</v>
      </c>
      <c r="N3350" s="1" t="s">
        <v>4283</v>
      </c>
    </row>
    <row r="3351" spans="1:14" x14ac:dyDescent="0.15">
      <c r="A3351" s="1">
        <v>680</v>
      </c>
      <c r="B3351" s="1" t="s">
        <v>2446</v>
      </c>
      <c r="C3351" s="1" t="s">
        <v>2447</v>
      </c>
      <c r="D3351" s="1" t="s">
        <v>2446</v>
      </c>
      <c r="E3351" s="1" t="s">
        <v>2447</v>
      </c>
      <c r="F3351" s="1" t="s">
        <v>2446</v>
      </c>
      <c r="G3351" s="1" t="s">
        <v>2448</v>
      </c>
      <c r="H3351" s="1" t="s">
        <v>2446</v>
      </c>
      <c r="I3351" s="1" t="s">
        <v>11879</v>
      </c>
      <c r="J3351" s="1" t="s">
        <v>4278</v>
      </c>
      <c r="K3351" s="1">
        <v>8</v>
      </c>
      <c r="L3351" s="1" t="s">
        <v>2257</v>
      </c>
      <c r="M3351" s="1">
        <v>1</v>
      </c>
      <c r="N3351" s="1" t="s">
        <v>4318</v>
      </c>
    </row>
    <row r="3352" spans="1:14" x14ac:dyDescent="0.15">
      <c r="A3352" s="1">
        <v>680</v>
      </c>
      <c r="B3352" s="1" t="s">
        <v>2446</v>
      </c>
      <c r="C3352" s="1" t="s">
        <v>2449</v>
      </c>
      <c r="D3352" s="1" t="s">
        <v>2450</v>
      </c>
      <c r="E3352" s="1" t="s">
        <v>2449</v>
      </c>
      <c r="F3352" s="1" t="s">
        <v>2450</v>
      </c>
      <c r="G3352" s="1" t="s">
        <v>2451</v>
      </c>
      <c r="H3352" s="1" t="s">
        <v>2450</v>
      </c>
      <c r="I3352" s="1" t="s">
        <v>8510</v>
      </c>
      <c r="J3352" s="1" t="s">
        <v>2248</v>
      </c>
      <c r="K3352" s="1">
        <v>8</v>
      </c>
      <c r="L3352" s="1" t="s">
        <v>2257</v>
      </c>
      <c r="M3352" s="1">
        <v>1</v>
      </c>
      <c r="N3352" s="1" t="s">
        <v>4318</v>
      </c>
    </row>
    <row r="3353" spans="1:14" x14ac:dyDescent="0.15">
      <c r="A3353" s="1">
        <v>680</v>
      </c>
      <c r="B3353" s="1" t="s">
        <v>2446</v>
      </c>
      <c r="C3353" s="1" t="s">
        <v>2452</v>
      </c>
      <c r="D3353" s="1" t="s">
        <v>2453</v>
      </c>
      <c r="E3353" s="1" t="s">
        <v>2452</v>
      </c>
      <c r="F3353" s="1" t="s">
        <v>2453</v>
      </c>
      <c r="G3353" s="1" t="s">
        <v>2454</v>
      </c>
      <c r="H3353" s="1" t="s">
        <v>2453</v>
      </c>
      <c r="I3353" s="1" t="s">
        <v>8510</v>
      </c>
      <c r="J3353" s="1" t="s">
        <v>2248</v>
      </c>
      <c r="K3353" s="1">
        <v>8</v>
      </c>
      <c r="L3353" s="1" t="s">
        <v>2257</v>
      </c>
      <c r="M3353" s="1">
        <v>1</v>
      </c>
      <c r="N3353" s="1" t="s">
        <v>4318</v>
      </c>
    </row>
    <row r="3354" spans="1:14" x14ac:dyDescent="0.15">
      <c r="A3354" s="1">
        <v>680</v>
      </c>
      <c r="B3354" s="1" t="s">
        <v>2446</v>
      </c>
      <c r="C3354" s="1" t="s">
        <v>2455</v>
      </c>
      <c r="D3354" s="1" t="s">
        <v>2456</v>
      </c>
      <c r="E3354" s="1" t="s">
        <v>2455</v>
      </c>
      <c r="F3354" s="1" t="s">
        <v>2456</v>
      </c>
      <c r="G3354" s="1" t="s">
        <v>2457</v>
      </c>
      <c r="H3354" s="1" t="s">
        <v>2456</v>
      </c>
      <c r="I3354" s="1" t="s">
        <v>15918</v>
      </c>
      <c r="J3354" s="1" t="s">
        <v>15919</v>
      </c>
      <c r="K3354" s="1">
        <v>8</v>
      </c>
      <c r="L3354" s="1" t="s">
        <v>2257</v>
      </c>
      <c r="M3354" s="1">
        <v>1</v>
      </c>
      <c r="N3354" s="1" t="s">
        <v>4318</v>
      </c>
    </row>
    <row r="3355" spans="1:14" x14ac:dyDescent="0.15">
      <c r="A3355" s="1">
        <v>682</v>
      </c>
      <c r="B3355" s="1" t="s">
        <v>2458</v>
      </c>
      <c r="C3355" s="1" t="s">
        <v>2459</v>
      </c>
      <c r="D3355" s="1" t="s">
        <v>2458</v>
      </c>
      <c r="E3355" s="1" t="s">
        <v>2459</v>
      </c>
      <c r="F3355" s="1" t="s">
        <v>2458</v>
      </c>
      <c r="G3355" s="1" t="s">
        <v>2460</v>
      </c>
      <c r="H3355" s="1" t="s">
        <v>2458</v>
      </c>
      <c r="I3355" s="1" t="s">
        <v>8510</v>
      </c>
      <c r="J3355" s="1" t="s">
        <v>2248</v>
      </c>
      <c r="K3355" s="1">
        <v>8</v>
      </c>
      <c r="L3355" s="1" t="s">
        <v>2257</v>
      </c>
      <c r="M3355" s="1">
        <v>1</v>
      </c>
      <c r="N3355" s="1" t="s">
        <v>4318</v>
      </c>
    </row>
    <row r="3356" spans="1:14" x14ac:dyDescent="0.15">
      <c r="A3356" s="1">
        <v>682</v>
      </c>
      <c r="B3356" s="1" t="s">
        <v>2458</v>
      </c>
      <c r="C3356" s="1" t="s">
        <v>2459</v>
      </c>
      <c r="D3356" s="1" t="s">
        <v>2458</v>
      </c>
      <c r="E3356" s="1" t="s">
        <v>2459</v>
      </c>
      <c r="F3356" s="1" t="s">
        <v>2458</v>
      </c>
      <c r="G3356" s="1" t="s">
        <v>2460</v>
      </c>
      <c r="H3356" s="1" t="s">
        <v>2458</v>
      </c>
      <c r="I3356" s="1" t="s">
        <v>13937</v>
      </c>
      <c r="J3356" s="1" t="s">
        <v>4901</v>
      </c>
      <c r="K3356" s="1">
        <v>8</v>
      </c>
      <c r="L3356" s="1" t="s">
        <v>2257</v>
      </c>
      <c r="M3356" s="1">
        <v>1</v>
      </c>
      <c r="N3356" s="1" t="s">
        <v>4318</v>
      </c>
    </row>
    <row r="3357" spans="1:14" x14ac:dyDescent="0.15">
      <c r="A3357" s="1">
        <v>682</v>
      </c>
      <c r="B3357" s="1" t="s">
        <v>2458</v>
      </c>
      <c r="C3357" s="1" t="s">
        <v>2459</v>
      </c>
      <c r="D3357" s="1" t="s">
        <v>2458</v>
      </c>
      <c r="E3357" s="1" t="s">
        <v>2459</v>
      </c>
      <c r="F3357" s="1" t="s">
        <v>2458</v>
      </c>
      <c r="G3357" s="1" t="s">
        <v>2461</v>
      </c>
      <c r="H3357" s="1" t="s">
        <v>0</v>
      </c>
      <c r="I3357" s="1" t="s">
        <v>13937</v>
      </c>
      <c r="J3357" s="1" t="s">
        <v>4901</v>
      </c>
      <c r="K3357" s="1">
        <v>8</v>
      </c>
      <c r="L3357" s="1" t="s">
        <v>2257</v>
      </c>
      <c r="M3357" s="1">
        <v>1</v>
      </c>
      <c r="N3357" s="1" t="s">
        <v>4318</v>
      </c>
    </row>
    <row r="3358" spans="1:14" x14ac:dyDescent="0.15">
      <c r="A3358" s="1">
        <v>682</v>
      </c>
      <c r="B3358" s="1" t="s">
        <v>2458</v>
      </c>
      <c r="C3358" s="1" t="s">
        <v>2459</v>
      </c>
      <c r="D3358" s="1" t="s">
        <v>2458</v>
      </c>
      <c r="E3358" s="1" t="s">
        <v>2459</v>
      </c>
      <c r="F3358" s="1" t="s">
        <v>2458</v>
      </c>
      <c r="G3358" s="1" t="s">
        <v>1</v>
      </c>
      <c r="H3358" s="1" t="s">
        <v>2</v>
      </c>
      <c r="I3358" s="1" t="s">
        <v>8510</v>
      </c>
      <c r="J3358" s="1" t="s">
        <v>2248</v>
      </c>
      <c r="K3358" s="1">
        <v>8</v>
      </c>
      <c r="L3358" s="1" t="s">
        <v>2257</v>
      </c>
      <c r="M3358" s="1">
        <v>1</v>
      </c>
      <c r="N3358" s="1" t="s">
        <v>4318</v>
      </c>
    </row>
    <row r="3359" spans="1:14" x14ac:dyDescent="0.15">
      <c r="A3359" s="1">
        <v>683</v>
      </c>
      <c r="B3359" s="1" t="s">
        <v>3</v>
      </c>
      <c r="C3359" s="1" t="s">
        <v>4</v>
      </c>
      <c r="D3359" s="1" t="s">
        <v>3</v>
      </c>
      <c r="E3359" s="1" t="s">
        <v>4</v>
      </c>
      <c r="F3359" s="1" t="s">
        <v>3</v>
      </c>
      <c r="G3359" s="1" t="s">
        <v>5</v>
      </c>
      <c r="H3359" s="1" t="s">
        <v>3</v>
      </c>
      <c r="I3359" s="1" t="s">
        <v>8513</v>
      </c>
      <c r="J3359" s="1" t="s">
        <v>2249</v>
      </c>
      <c r="K3359" s="1">
        <v>8</v>
      </c>
      <c r="L3359" s="1" t="s">
        <v>2257</v>
      </c>
      <c r="M3359" s="1">
        <v>1</v>
      </c>
      <c r="N3359" s="1" t="s">
        <v>4318</v>
      </c>
    </row>
    <row r="3360" spans="1:14" x14ac:dyDescent="0.15">
      <c r="A3360" s="1">
        <v>684</v>
      </c>
      <c r="B3360" s="1" t="s">
        <v>6</v>
      </c>
      <c r="C3360" s="1" t="s">
        <v>7</v>
      </c>
      <c r="D3360" s="1" t="s">
        <v>6</v>
      </c>
      <c r="E3360" s="1" t="s">
        <v>7</v>
      </c>
      <c r="F3360" s="1" t="s">
        <v>6</v>
      </c>
      <c r="G3360" s="1" t="s">
        <v>8</v>
      </c>
      <c r="H3360" s="1" t="s">
        <v>6</v>
      </c>
      <c r="I3360" s="1" t="s">
        <v>11879</v>
      </c>
      <c r="J3360" s="1" t="s">
        <v>4278</v>
      </c>
      <c r="K3360" s="1">
        <v>8</v>
      </c>
      <c r="L3360" s="1" t="s">
        <v>2257</v>
      </c>
      <c r="M3360" s="1">
        <v>1</v>
      </c>
      <c r="N3360" s="1" t="s">
        <v>4318</v>
      </c>
    </row>
    <row r="3361" spans="1:14" x14ac:dyDescent="0.15">
      <c r="A3361" s="1">
        <v>684</v>
      </c>
      <c r="B3361" s="1" t="s">
        <v>6</v>
      </c>
      <c r="C3361" s="1" t="s">
        <v>9</v>
      </c>
      <c r="D3361" s="1" t="s">
        <v>10</v>
      </c>
      <c r="E3361" s="1" t="s">
        <v>9</v>
      </c>
      <c r="F3361" s="1" t="s">
        <v>10</v>
      </c>
      <c r="G3361" s="1" t="s">
        <v>11</v>
      </c>
      <c r="H3361" s="1" t="s">
        <v>10</v>
      </c>
      <c r="I3361" s="1" t="s">
        <v>13937</v>
      </c>
      <c r="J3361" s="1" t="s">
        <v>4901</v>
      </c>
      <c r="K3361" s="1">
        <v>8</v>
      </c>
      <c r="L3361" s="1" t="s">
        <v>2257</v>
      </c>
      <c r="M3361" s="1">
        <v>1</v>
      </c>
      <c r="N3361" s="1" t="s">
        <v>4318</v>
      </c>
    </row>
    <row r="3362" spans="1:14" x14ac:dyDescent="0.15">
      <c r="A3362" s="1">
        <v>684</v>
      </c>
      <c r="B3362" s="1" t="s">
        <v>6</v>
      </c>
      <c r="C3362" s="1" t="s">
        <v>12</v>
      </c>
      <c r="D3362" s="1" t="s">
        <v>13</v>
      </c>
      <c r="E3362" s="1" t="s">
        <v>12</v>
      </c>
      <c r="F3362" s="1" t="s">
        <v>13</v>
      </c>
      <c r="G3362" s="1" t="s">
        <v>14</v>
      </c>
      <c r="H3362" s="1" t="s">
        <v>13</v>
      </c>
      <c r="I3362" s="1" t="s">
        <v>13937</v>
      </c>
      <c r="J3362" s="1" t="s">
        <v>4901</v>
      </c>
      <c r="K3362" s="1">
        <v>8</v>
      </c>
      <c r="L3362" s="1" t="s">
        <v>2257</v>
      </c>
      <c r="M3362" s="1">
        <v>1</v>
      </c>
      <c r="N3362" s="1" t="s">
        <v>4318</v>
      </c>
    </row>
    <row r="3363" spans="1:14" x14ac:dyDescent="0.15">
      <c r="A3363" s="1">
        <v>684</v>
      </c>
      <c r="B3363" s="1" t="s">
        <v>6</v>
      </c>
      <c r="C3363" s="1" t="s">
        <v>15</v>
      </c>
      <c r="D3363" s="1" t="s">
        <v>16</v>
      </c>
      <c r="E3363" s="1" t="s">
        <v>15</v>
      </c>
      <c r="F3363" s="1" t="s">
        <v>16</v>
      </c>
      <c r="G3363" s="1" t="s">
        <v>17</v>
      </c>
      <c r="H3363" s="1" t="s">
        <v>16</v>
      </c>
      <c r="I3363" s="1" t="s">
        <v>13937</v>
      </c>
      <c r="J3363" s="1" t="s">
        <v>4901</v>
      </c>
      <c r="K3363" s="1">
        <v>8</v>
      </c>
      <c r="L3363" s="1" t="s">
        <v>2257</v>
      </c>
      <c r="M3363" s="1">
        <v>1</v>
      </c>
      <c r="N3363" s="1" t="s">
        <v>4318</v>
      </c>
    </row>
    <row r="3364" spans="1:14" x14ac:dyDescent="0.15">
      <c r="A3364" s="1">
        <v>684</v>
      </c>
      <c r="B3364" s="1" t="s">
        <v>6</v>
      </c>
      <c r="C3364" s="1" t="s">
        <v>18</v>
      </c>
      <c r="D3364" s="1" t="s">
        <v>19</v>
      </c>
      <c r="E3364" s="1" t="s">
        <v>18</v>
      </c>
      <c r="F3364" s="1" t="s">
        <v>19</v>
      </c>
      <c r="G3364" s="1" t="s">
        <v>20</v>
      </c>
      <c r="H3364" s="1" t="s">
        <v>19</v>
      </c>
      <c r="I3364" s="1" t="s">
        <v>4494</v>
      </c>
      <c r="J3364" s="1" t="s">
        <v>4495</v>
      </c>
      <c r="K3364" s="1">
        <v>8</v>
      </c>
      <c r="L3364" s="1" t="s">
        <v>2257</v>
      </c>
      <c r="M3364" s="1">
        <v>1</v>
      </c>
      <c r="N3364" s="1" t="s">
        <v>4318</v>
      </c>
    </row>
    <row r="3365" spans="1:14" x14ac:dyDescent="0.15">
      <c r="A3365" s="1">
        <v>691</v>
      </c>
      <c r="B3365" s="1" t="s">
        <v>21</v>
      </c>
      <c r="C3365" s="1" t="s">
        <v>22</v>
      </c>
      <c r="D3365" s="1" t="s">
        <v>21</v>
      </c>
      <c r="E3365" s="1" t="s">
        <v>22</v>
      </c>
      <c r="F3365" s="1" t="s">
        <v>21</v>
      </c>
      <c r="G3365" s="1" t="s">
        <v>23</v>
      </c>
      <c r="H3365" s="1" t="s">
        <v>21</v>
      </c>
      <c r="I3365" s="1" t="s">
        <v>4494</v>
      </c>
      <c r="J3365" s="1" t="s">
        <v>4495</v>
      </c>
      <c r="K3365" s="1">
        <v>8</v>
      </c>
      <c r="L3365" s="1" t="s">
        <v>2257</v>
      </c>
      <c r="M3365" s="1">
        <v>1</v>
      </c>
      <c r="N3365" s="1" t="s">
        <v>4318</v>
      </c>
    </row>
    <row r="3366" spans="1:14" x14ac:dyDescent="0.15">
      <c r="A3366" s="1">
        <v>692</v>
      </c>
      <c r="B3366" s="1" t="s">
        <v>24</v>
      </c>
      <c r="C3366" s="1" t="s">
        <v>25</v>
      </c>
      <c r="D3366" s="1" t="s">
        <v>24</v>
      </c>
      <c r="E3366" s="1" t="s">
        <v>25</v>
      </c>
      <c r="F3366" s="1" t="s">
        <v>24</v>
      </c>
      <c r="G3366" s="1" t="s">
        <v>26</v>
      </c>
      <c r="H3366" s="1" t="s">
        <v>24</v>
      </c>
      <c r="I3366" s="1" t="s">
        <v>14332</v>
      </c>
      <c r="J3366" s="1" t="s">
        <v>6370</v>
      </c>
      <c r="K3366" s="1">
        <v>8</v>
      </c>
      <c r="L3366" s="1" t="s">
        <v>2257</v>
      </c>
      <c r="M3366" s="1">
        <v>1</v>
      </c>
      <c r="N3366" s="1" t="s">
        <v>4318</v>
      </c>
    </row>
    <row r="3367" spans="1:14" x14ac:dyDescent="0.15">
      <c r="A3367" s="1">
        <v>693</v>
      </c>
      <c r="B3367" s="1" t="s">
        <v>27</v>
      </c>
      <c r="C3367" s="1" t="s">
        <v>28</v>
      </c>
      <c r="D3367" s="1" t="s">
        <v>27</v>
      </c>
      <c r="E3367" s="1" t="s">
        <v>28</v>
      </c>
      <c r="F3367" s="1" t="s">
        <v>27</v>
      </c>
      <c r="G3367" s="1" t="s">
        <v>29</v>
      </c>
      <c r="H3367" s="1" t="s">
        <v>27</v>
      </c>
      <c r="I3367" s="1" t="s">
        <v>4494</v>
      </c>
      <c r="J3367" s="1" t="s">
        <v>4495</v>
      </c>
      <c r="K3367" s="1">
        <v>8</v>
      </c>
      <c r="L3367" s="1" t="s">
        <v>2257</v>
      </c>
      <c r="M3367" s="1">
        <v>1</v>
      </c>
      <c r="N3367" s="1" t="s">
        <v>4318</v>
      </c>
    </row>
    <row r="3368" spans="1:14" x14ac:dyDescent="0.15">
      <c r="A3368" s="1">
        <v>694</v>
      </c>
      <c r="B3368" s="1" t="s">
        <v>30</v>
      </c>
      <c r="C3368" s="1" t="s">
        <v>31</v>
      </c>
      <c r="D3368" s="1" t="s">
        <v>30</v>
      </c>
      <c r="E3368" s="1" t="s">
        <v>31</v>
      </c>
      <c r="F3368" s="1" t="s">
        <v>32</v>
      </c>
      <c r="G3368" s="1" t="s">
        <v>33</v>
      </c>
      <c r="H3368" s="1" t="s">
        <v>32</v>
      </c>
      <c r="I3368" s="1" t="s">
        <v>13937</v>
      </c>
      <c r="J3368" s="1" t="s">
        <v>4901</v>
      </c>
      <c r="K3368" s="1">
        <v>8</v>
      </c>
      <c r="L3368" s="1" t="s">
        <v>2257</v>
      </c>
      <c r="M3368" s="1">
        <v>1</v>
      </c>
      <c r="N3368" s="1" t="s">
        <v>4318</v>
      </c>
    </row>
    <row r="3369" spans="1:14" x14ac:dyDescent="0.15">
      <c r="A3369" s="1">
        <v>700</v>
      </c>
      <c r="B3369" s="1" t="s">
        <v>34</v>
      </c>
      <c r="C3369" s="1" t="s">
        <v>35</v>
      </c>
      <c r="D3369" s="1" t="s">
        <v>34</v>
      </c>
      <c r="E3369" s="1" t="s">
        <v>35</v>
      </c>
      <c r="F3369" s="1" t="s">
        <v>34</v>
      </c>
      <c r="G3369" s="1" t="s">
        <v>36</v>
      </c>
      <c r="H3369" s="1" t="s">
        <v>34</v>
      </c>
      <c r="I3369" s="1" t="s">
        <v>12746</v>
      </c>
      <c r="J3369" s="1" t="s">
        <v>12747</v>
      </c>
      <c r="K3369" s="1">
        <v>7</v>
      </c>
      <c r="L3369" s="1" t="s">
        <v>4299</v>
      </c>
      <c r="M3369" s="1">
        <v>13</v>
      </c>
      <c r="N3369" s="1" t="s">
        <v>4300</v>
      </c>
    </row>
    <row r="3370" spans="1:14" x14ac:dyDescent="0.15">
      <c r="A3370" s="1">
        <v>701</v>
      </c>
      <c r="B3370" s="1" t="s">
        <v>37</v>
      </c>
      <c r="C3370" s="1" t="s">
        <v>38</v>
      </c>
      <c r="D3370" s="1" t="s">
        <v>37</v>
      </c>
      <c r="E3370" s="1" t="s">
        <v>38</v>
      </c>
      <c r="F3370" s="1" t="s">
        <v>37</v>
      </c>
      <c r="G3370" s="1" t="s">
        <v>39</v>
      </c>
      <c r="H3370" s="1" t="s">
        <v>37</v>
      </c>
      <c r="I3370" s="1" t="s">
        <v>14288</v>
      </c>
      <c r="J3370" s="1" t="s">
        <v>40</v>
      </c>
      <c r="K3370" s="1">
        <v>7</v>
      </c>
      <c r="L3370" s="1" t="s">
        <v>4299</v>
      </c>
      <c r="M3370" s="1">
        <v>11</v>
      </c>
      <c r="N3370" s="1" t="s">
        <v>4265</v>
      </c>
    </row>
    <row r="3371" spans="1:14" x14ac:dyDescent="0.15">
      <c r="A3371" s="1">
        <v>701</v>
      </c>
      <c r="B3371" s="1" t="s">
        <v>37</v>
      </c>
      <c r="C3371" s="1" t="s">
        <v>38</v>
      </c>
      <c r="D3371" s="1" t="s">
        <v>37</v>
      </c>
      <c r="E3371" s="1" t="s">
        <v>38</v>
      </c>
      <c r="F3371" s="1" t="s">
        <v>37</v>
      </c>
      <c r="G3371" s="1" t="s">
        <v>41</v>
      </c>
      <c r="H3371" s="1" t="s">
        <v>42</v>
      </c>
      <c r="I3371" s="1" t="s">
        <v>14288</v>
      </c>
      <c r="J3371" s="1" t="s">
        <v>40</v>
      </c>
      <c r="K3371" s="1">
        <v>7</v>
      </c>
      <c r="L3371" s="1" t="s">
        <v>4299</v>
      </c>
      <c r="M3371" s="1">
        <v>11</v>
      </c>
      <c r="N3371" s="1" t="s">
        <v>4265</v>
      </c>
    </row>
    <row r="3372" spans="1:14" x14ac:dyDescent="0.15">
      <c r="A3372" s="1">
        <v>701</v>
      </c>
      <c r="B3372" s="1" t="s">
        <v>37</v>
      </c>
      <c r="C3372" s="1" t="s">
        <v>38</v>
      </c>
      <c r="D3372" s="1" t="s">
        <v>37</v>
      </c>
      <c r="E3372" s="1" t="s">
        <v>38</v>
      </c>
      <c r="F3372" s="1" t="s">
        <v>37</v>
      </c>
      <c r="G3372" s="1" t="s">
        <v>43</v>
      </c>
      <c r="H3372" s="1" t="s">
        <v>44</v>
      </c>
      <c r="I3372" s="1" t="s">
        <v>14288</v>
      </c>
      <c r="J3372" s="1" t="s">
        <v>40</v>
      </c>
      <c r="K3372" s="1">
        <v>7</v>
      </c>
      <c r="L3372" s="1" t="s">
        <v>4299</v>
      </c>
      <c r="M3372" s="1">
        <v>11</v>
      </c>
      <c r="N3372" s="1" t="s">
        <v>4265</v>
      </c>
    </row>
    <row r="3373" spans="1:14" x14ac:dyDescent="0.15">
      <c r="A3373" s="1">
        <v>701</v>
      </c>
      <c r="B3373" s="1" t="s">
        <v>37</v>
      </c>
      <c r="C3373" s="1" t="s">
        <v>38</v>
      </c>
      <c r="D3373" s="1" t="s">
        <v>37</v>
      </c>
      <c r="E3373" s="1" t="s">
        <v>38</v>
      </c>
      <c r="F3373" s="1" t="s">
        <v>37</v>
      </c>
      <c r="G3373" s="1" t="s">
        <v>45</v>
      </c>
      <c r="H3373" s="1" t="s">
        <v>46</v>
      </c>
      <c r="I3373" s="1" t="s">
        <v>14288</v>
      </c>
      <c r="J3373" s="1" t="s">
        <v>40</v>
      </c>
      <c r="K3373" s="1">
        <v>7</v>
      </c>
      <c r="L3373" s="1" t="s">
        <v>4299</v>
      </c>
      <c r="M3373" s="1">
        <v>11</v>
      </c>
      <c r="N3373" s="1" t="s">
        <v>4265</v>
      </c>
    </row>
    <row r="3374" spans="1:14" x14ac:dyDescent="0.15">
      <c r="A3374" s="1">
        <v>701</v>
      </c>
      <c r="B3374" s="1" t="s">
        <v>37</v>
      </c>
      <c r="C3374" s="1" t="s">
        <v>38</v>
      </c>
      <c r="D3374" s="1" t="s">
        <v>37</v>
      </c>
      <c r="E3374" s="1" t="s">
        <v>38</v>
      </c>
      <c r="F3374" s="1" t="s">
        <v>37</v>
      </c>
      <c r="G3374" s="1" t="s">
        <v>39</v>
      </c>
      <c r="H3374" s="1" t="s">
        <v>37</v>
      </c>
      <c r="I3374" s="1" t="s">
        <v>14296</v>
      </c>
      <c r="J3374" s="1" t="s">
        <v>47</v>
      </c>
      <c r="K3374" s="1">
        <v>7</v>
      </c>
      <c r="L3374" s="1" t="s">
        <v>4299</v>
      </c>
      <c r="M3374" s="1">
        <v>11</v>
      </c>
      <c r="N3374" s="1" t="s">
        <v>4265</v>
      </c>
    </row>
    <row r="3375" spans="1:14" x14ac:dyDescent="0.15">
      <c r="A3375" s="1">
        <v>701</v>
      </c>
      <c r="B3375" s="1" t="s">
        <v>37</v>
      </c>
      <c r="C3375" s="1" t="s">
        <v>38</v>
      </c>
      <c r="D3375" s="1" t="s">
        <v>37</v>
      </c>
      <c r="E3375" s="1" t="s">
        <v>38</v>
      </c>
      <c r="F3375" s="1" t="s">
        <v>37</v>
      </c>
      <c r="G3375" s="1" t="s">
        <v>41</v>
      </c>
      <c r="H3375" s="1" t="s">
        <v>42</v>
      </c>
      <c r="I3375" s="1" t="s">
        <v>14296</v>
      </c>
      <c r="J3375" s="1" t="s">
        <v>47</v>
      </c>
      <c r="K3375" s="1">
        <v>7</v>
      </c>
      <c r="L3375" s="1" t="s">
        <v>4299</v>
      </c>
      <c r="M3375" s="1">
        <v>11</v>
      </c>
      <c r="N3375" s="1" t="s">
        <v>4265</v>
      </c>
    </row>
    <row r="3376" spans="1:14" x14ac:dyDescent="0.15">
      <c r="A3376" s="1">
        <v>701</v>
      </c>
      <c r="B3376" s="1" t="s">
        <v>37</v>
      </c>
      <c r="C3376" s="1" t="s">
        <v>38</v>
      </c>
      <c r="D3376" s="1" t="s">
        <v>37</v>
      </c>
      <c r="E3376" s="1" t="s">
        <v>38</v>
      </c>
      <c r="F3376" s="1" t="s">
        <v>37</v>
      </c>
      <c r="G3376" s="1" t="s">
        <v>43</v>
      </c>
      <c r="H3376" s="1" t="s">
        <v>44</v>
      </c>
      <c r="I3376" s="1" t="s">
        <v>14296</v>
      </c>
      <c r="J3376" s="1" t="s">
        <v>47</v>
      </c>
      <c r="K3376" s="1">
        <v>7</v>
      </c>
      <c r="L3376" s="1" t="s">
        <v>4299</v>
      </c>
      <c r="M3376" s="1">
        <v>11</v>
      </c>
      <c r="N3376" s="1" t="s">
        <v>4265</v>
      </c>
    </row>
    <row r="3377" spans="1:14" x14ac:dyDescent="0.15">
      <c r="A3377" s="1">
        <v>701</v>
      </c>
      <c r="B3377" s="1" t="s">
        <v>37</v>
      </c>
      <c r="C3377" s="1" t="s">
        <v>38</v>
      </c>
      <c r="D3377" s="1" t="s">
        <v>37</v>
      </c>
      <c r="E3377" s="1" t="s">
        <v>38</v>
      </c>
      <c r="F3377" s="1" t="s">
        <v>37</v>
      </c>
      <c r="G3377" s="1" t="s">
        <v>45</v>
      </c>
      <c r="H3377" s="1" t="s">
        <v>46</v>
      </c>
      <c r="I3377" s="1" t="s">
        <v>14296</v>
      </c>
      <c r="J3377" s="1" t="s">
        <v>47</v>
      </c>
      <c r="K3377" s="1">
        <v>7</v>
      </c>
      <c r="L3377" s="1" t="s">
        <v>4299</v>
      </c>
      <c r="M3377" s="1">
        <v>11</v>
      </c>
      <c r="N3377" s="1" t="s">
        <v>4265</v>
      </c>
    </row>
    <row r="3378" spans="1:14" x14ac:dyDescent="0.15">
      <c r="A3378" s="1">
        <v>702</v>
      </c>
      <c r="B3378" s="1" t="s">
        <v>48</v>
      </c>
      <c r="C3378" s="1" t="s">
        <v>49</v>
      </c>
      <c r="D3378" s="1" t="s">
        <v>48</v>
      </c>
      <c r="E3378" s="1" t="s">
        <v>49</v>
      </c>
      <c r="F3378" s="1" t="s">
        <v>48</v>
      </c>
      <c r="G3378" s="1" t="s">
        <v>50</v>
      </c>
      <c r="H3378" s="1" t="s">
        <v>48</v>
      </c>
      <c r="I3378" s="1" t="s">
        <v>11879</v>
      </c>
      <c r="J3378" s="1" t="s">
        <v>4278</v>
      </c>
      <c r="K3378" s="1">
        <v>13</v>
      </c>
      <c r="L3378" s="1" t="s">
        <v>4219</v>
      </c>
      <c r="M3378" s="1">
        <v>11</v>
      </c>
      <c r="N3378" s="1" t="s">
        <v>4265</v>
      </c>
    </row>
    <row r="3379" spans="1:14" x14ac:dyDescent="0.15">
      <c r="A3379" s="1">
        <v>702</v>
      </c>
      <c r="B3379" s="1" t="s">
        <v>48</v>
      </c>
      <c r="C3379" s="1" t="s">
        <v>51</v>
      </c>
      <c r="D3379" s="1" t="s">
        <v>52</v>
      </c>
      <c r="E3379" s="1" t="s">
        <v>51</v>
      </c>
      <c r="F3379" s="1" t="s">
        <v>52</v>
      </c>
      <c r="G3379" s="1" t="s">
        <v>53</v>
      </c>
      <c r="H3379" s="1" t="s">
        <v>52</v>
      </c>
      <c r="I3379" s="1" t="s">
        <v>14292</v>
      </c>
      <c r="J3379" s="1" t="s">
        <v>3489</v>
      </c>
      <c r="K3379" s="1">
        <v>13</v>
      </c>
      <c r="L3379" s="1" t="s">
        <v>4219</v>
      </c>
      <c r="M3379" s="1">
        <v>11</v>
      </c>
      <c r="N3379" s="1" t="s">
        <v>4265</v>
      </c>
    </row>
    <row r="3380" spans="1:14" x14ac:dyDescent="0.15">
      <c r="A3380" s="1">
        <v>702</v>
      </c>
      <c r="B3380" s="1" t="s">
        <v>48</v>
      </c>
      <c r="C3380" s="1" t="s">
        <v>54</v>
      </c>
      <c r="D3380" s="1" t="s">
        <v>55</v>
      </c>
      <c r="E3380" s="1" t="s">
        <v>54</v>
      </c>
      <c r="F3380" s="1" t="s">
        <v>55</v>
      </c>
      <c r="G3380" s="1" t="s">
        <v>56</v>
      </c>
      <c r="H3380" s="1" t="s">
        <v>55</v>
      </c>
      <c r="I3380" s="1" t="s">
        <v>14292</v>
      </c>
      <c r="J3380" s="1" t="s">
        <v>3489</v>
      </c>
      <c r="K3380" s="1">
        <v>13</v>
      </c>
      <c r="L3380" s="1" t="s">
        <v>4219</v>
      </c>
      <c r="M3380" s="1">
        <v>11</v>
      </c>
      <c r="N3380" s="1" t="s">
        <v>4265</v>
      </c>
    </row>
    <row r="3381" spans="1:14" x14ac:dyDescent="0.15">
      <c r="A3381" s="1">
        <v>702</v>
      </c>
      <c r="B3381" s="1" t="s">
        <v>48</v>
      </c>
      <c r="C3381" s="1" t="s">
        <v>54</v>
      </c>
      <c r="D3381" s="1" t="s">
        <v>55</v>
      </c>
      <c r="E3381" s="1" t="s">
        <v>54</v>
      </c>
      <c r="F3381" s="1" t="s">
        <v>55</v>
      </c>
      <c r="G3381" s="1" t="s">
        <v>57</v>
      </c>
      <c r="H3381" s="1" t="s">
        <v>58</v>
      </c>
      <c r="I3381" s="1" t="s">
        <v>14292</v>
      </c>
      <c r="J3381" s="1" t="s">
        <v>3489</v>
      </c>
      <c r="K3381" s="1">
        <v>13</v>
      </c>
      <c r="L3381" s="1" t="s">
        <v>4219</v>
      </c>
      <c r="M3381" s="1">
        <v>11</v>
      </c>
      <c r="N3381" s="1" t="s">
        <v>4265</v>
      </c>
    </row>
    <row r="3382" spans="1:14" x14ac:dyDescent="0.15">
      <c r="A3382" s="1">
        <v>702</v>
      </c>
      <c r="B3382" s="1" t="s">
        <v>48</v>
      </c>
      <c r="C3382" s="1" t="s">
        <v>54</v>
      </c>
      <c r="D3382" s="1" t="s">
        <v>55</v>
      </c>
      <c r="E3382" s="1" t="s">
        <v>54</v>
      </c>
      <c r="F3382" s="1" t="s">
        <v>55</v>
      </c>
      <c r="G3382" s="1" t="s">
        <v>59</v>
      </c>
      <c r="H3382" s="1" t="s">
        <v>60</v>
      </c>
      <c r="I3382" s="1" t="s">
        <v>14292</v>
      </c>
      <c r="J3382" s="1" t="s">
        <v>3489</v>
      </c>
      <c r="K3382" s="1">
        <v>13</v>
      </c>
      <c r="L3382" s="1" t="s">
        <v>4219</v>
      </c>
      <c r="M3382" s="1">
        <v>11</v>
      </c>
      <c r="N3382" s="1" t="s">
        <v>4265</v>
      </c>
    </row>
    <row r="3383" spans="1:14" x14ac:dyDescent="0.15">
      <c r="A3383" s="1">
        <v>702</v>
      </c>
      <c r="B3383" s="1" t="s">
        <v>48</v>
      </c>
      <c r="C3383" s="1" t="s">
        <v>54</v>
      </c>
      <c r="D3383" s="1" t="s">
        <v>55</v>
      </c>
      <c r="E3383" s="1" t="s">
        <v>54</v>
      </c>
      <c r="F3383" s="1" t="s">
        <v>55</v>
      </c>
      <c r="G3383" s="1" t="s">
        <v>61</v>
      </c>
      <c r="H3383" s="1" t="s">
        <v>62</v>
      </c>
      <c r="I3383" s="1" t="s">
        <v>14292</v>
      </c>
      <c r="J3383" s="1" t="s">
        <v>3489</v>
      </c>
      <c r="K3383" s="1">
        <v>13</v>
      </c>
      <c r="L3383" s="1" t="s">
        <v>4219</v>
      </c>
      <c r="M3383" s="1">
        <v>11</v>
      </c>
      <c r="N3383" s="1" t="s">
        <v>4265</v>
      </c>
    </row>
    <row r="3384" spans="1:14" x14ac:dyDescent="0.15">
      <c r="A3384" s="1">
        <v>702</v>
      </c>
      <c r="B3384" s="1" t="s">
        <v>48</v>
      </c>
      <c r="C3384" s="1" t="s">
        <v>54</v>
      </c>
      <c r="D3384" s="1" t="s">
        <v>55</v>
      </c>
      <c r="E3384" s="1" t="s">
        <v>54</v>
      </c>
      <c r="F3384" s="1" t="s">
        <v>55</v>
      </c>
      <c r="G3384" s="1" t="s">
        <v>63</v>
      </c>
      <c r="H3384" s="1" t="s">
        <v>64</v>
      </c>
      <c r="I3384" s="1" t="s">
        <v>14292</v>
      </c>
      <c r="J3384" s="1" t="s">
        <v>3489</v>
      </c>
      <c r="K3384" s="1">
        <v>13</v>
      </c>
      <c r="L3384" s="1" t="s">
        <v>4219</v>
      </c>
      <c r="M3384" s="1">
        <v>11</v>
      </c>
      <c r="N3384" s="1" t="s">
        <v>4265</v>
      </c>
    </row>
    <row r="3385" spans="1:14" x14ac:dyDescent="0.15">
      <c r="A3385" s="1">
        <v>702</v>
      </c>
      <c r="B3385" s="1" t="s">
        <v>48</v>
      </c>
      <c r="C3385" s="1" t="s">
        <v>54</v>
      </c>
      <c r="D3385" s="1" t="s">
        <v>55</v>
      </c>
      <c r="E3385" s="1" t="s">
        <v>54</v>
      </c>
      <c r="F3385" s="1" t="s">
        <v>55</v>
      </c>
      <c r="G3385" s="1" t="s">
        <v>65</v>
      </c>
      <c r="H3385" s="1" t="s">
        <v>66</v>
      </c>
      <c r="I3385" s="1" t="s">
        <v>14292</v>
      </c>
      <c r="J3385" s="1" t="s">
        <v>3489</v>
      </c>
      <c r="K3385" s="1">
        <v>13</v>
      </c>
      <c r="L3385" s="1" t="s">
        <v>4219</v>
      </c>
      <c r="M3385" s="1">
        <v>11</v>
      </c>
      <c r="N3385" s="1" t="s">
        <v>4265</v>
      </c>
    </row>
    <row r="3386" spans="1:14" x14ac:dyDescent="0.15">
      <c r="A3386" s="1">
        <v>703</v>
      </c>
      <c r="B3386" s="1" t="s">
        <v>67</v>
      </c>
      <c r="C3386" s="1" t="s">
        <v>68</v>
      </c>
      <c r="D3386" s="1" t="s">
        <v>67</v>
      </c>
      <c r="E3386" s="1" t="s">
        <v>68</v>
      </c>
      <c r="F3386" s="1" t="s">
        <v>67</v>
      </c>
      <c r="G3386" s="1" t="s">
        <v>69</v>
      </c>
      <c r="H3386" s="1" t="s">
        <v>67</v>
      </c>
      <c r="I3386" s="1" t="s">
        <v>14392</v>
      </c>
      <c r="J3386" s="1" t="s">
        <v>70</v>
      </c>
      <c r="K3386" s="1">
        <v>7</v>
      </c>
      <c r="L3386" s="1" t="s">
        <v>4299</v>
      </c>
      <c r="M3386" s="1">
        <v>13</v>
      </c>
      <c r="N3386" s="1" t="s">
        <v>4300</v>
      </c>
    </row>
    <row r="3387" spans="1:14" x14ac:dyDescent="0.15">
      <c r="A3387" s="1">
        <v>703</v>
      </c>
      <c r="B3387" s="1" t="s">
        <v>67</v>
      </c>
      <c r="C3387" s="1" t="s">
        <v>68</v>
      </c>
      <c r="D3387" s="1" t="s">
        <v>67</v>
      </c>
      <c r="E3387" s="1" t="s">
        <v>68</v>
      </c>
      <c r="F3387" s="1" t="s">
        <v>67</v>
      </c>
      <c r="G3387" s="1" t="s">
        <v>69</v>
      </c>
      <c r="H3387" s="1" t="s">
        <v>67</v>
      </c>
      <c r="I3387" s="1" t="s">
        <v>14400</v>
      </c>
      <c r="J3387" s="1" t="s">
        <v>71</v>
      </c>
      <c r="K3387" s="1">
        <v>7</v>
      </c>
      <c r="L3387" s="1" t="s">
        <v>4299</v>
      </c>
      <c r="M3387" s="1">
        <v>13</v>
      </c>
      <c r="N3387" s="1" t="s">
        <v>4300</v>
      </c>
    </row>
    <row r="3388" spans="1:14" x14ac:dyDescent="0.15">
      <c r="A3388" s="1">
        <v>703</v>
      </c>
      <c r="B3388" s="1" t="s">
        <v>67</v>
      </c>
      <c r="C3388" s="1" t="s">
        <v>72</v>
      </c>
      <c r="D3388" s="1" t="s">
        <v>73</v>
      </c>
      <c r="E3388" s="1" t="s">
        <v>72</v>
      </c>
      <c r="F3388" s="1" t="s">
        <v>73</v>
      </c>
      <c r="G3388" s="1" t="s">
        <v>74</v>
      </c>
      <c r="H3388" s="1" t="s">
        <v>73</v>
      </c>
      <c r="I3388" s="1" t="s">
        <v>14284</v>
      </c>
      <c r="J3388" s="1" t="s">
        <v>75</v>
      </c>
      <c r="K3388" s="1">
        <v>7</v>
      </c>
      <c r="L3388" s="1" t="s">
        <v>4299</v>
      </c>
      <c r="M3388" s="1">
        <v>13</v>
      </c>
      <c r="N3388" s="1" t="s">
        <v>4300</v>
      </c>
    </row>
    <row r="3389" spans="1:14" x14ac:dyDescent="0.15">
      <c r="A3389" s="1">
        <v>704</v>
      </c>
      <c r="B3389" s="1" t="s">
        <v>73</v>
      </c>
      <c r="C3389" s="1" t="s">
        <v>72</v>
      </c>
      <c r="D3389" s="1" t="s">
        <v>73</v>
      </c>
      <c r="E3389" s="1" t="s">
        <v>72</v>
      </c>
      <c r="F3389" s="1" t="s">
        <v>73</v>
      </c>
      <c r="G3389" s="1" t="s">
        <v>76</v>
      </c>
      <c r="H3389" s="1" t="s">
        <v>77</v>
      </c>
      <c r="I3389" s="1" t="s">
        <v>14284</v>
      </c>
      <c r="J3389" s="1" t="s">
        <v>75</v>
      </c>
      <c r="K3389" s="1">
        <v>7</v>
      </c>
      <c r="L3389" s="1" t="s">
        <v>4299</v>
      </c>
      <c r="M3389" s="1">
        <v>13</v>
      </c>
      <c r="N3389" s="1" t="s">
        <v>4300</v>
      </c>
    </row>
    <row r="3390" spans="1:14" x14ac:dyDescent="0.15">
      <c r="A3390" s="1">
        <v>704</v>
      </c>
      <c r="B3390" s="1" t="s">
        <v>73</v>
      </c>
      <c r="C3390" s="1" t="s">
        <v>72</v>
      </c>
      <c r="D3390" s="1" t="s">
        <v>73</v>
      </c>
      <c r="E3390" s="1" t="s">
        <v>72</v>
      </c>
      <c r="F3390" s="1" t="s">
        <v>73</v>
      </c>
      <c r="G3390" s="1" t="s">
        <v>78</v>
      </c>
      <c r="H3390" s="1" t="s">
        <v>79</v>
      </c>
      <c r="I3390" s="1" t="s">
        <v>14284</v>
      </c>
      <c r="J3390" s="1" t="s">
        <v>75</v>
      </c>
      <c r="K3390" s="1">
        <v>7</v>
      </c>
      <c r="L3390" s="1" t="s">
        <v>4299</v>
      </c>
      <c r="M3390" s="1">
        <v>13</v>
      </c>
      <c r="N3390" s="1" t="s">
        <v>4300</v>
      </c>
    </row>
    <row r="3391" spans="1:14" x14ac:dyDescent="0.15">
      <c r="A3391" s="1">
        <v>704</v>
      </c>
      <c r="B3391" s="1" t="s">
        <v>73</v>
      </c>
      <c r="C3391" s="1" t="s">
        <v>72</v>
      </c>
      <c r="D3391" s="1" t="s">
        <v>73</v>
      </c>
      <c r="E3391" s="1" t="s">
        <v>72</v>
      </c>
      <c r="F3391" s="1" t="s">
        <v>73</v>
      </c>
      <c r="G3391" s="1" t="s">
        <v>80</v>
      </c>
      <c r="H3391" s="1" t="s">
        <v>81</v>
      </c>
      <c r="I3391" s="1" t="s">
        <v>14284</v>
      </c>
      <c r="J3391" s="1" t="s">
        <v>75</v>
      </c>
      <c r="K3391" s="1">
        <v>7</v>
      </c>
      <c r="L3391" s="1" t="s">
        <v>4299</v>
      </c>
      <c r="M3391" s="1">
        <v>13</v>
      </c>
      <c r="N3391" s="1" t="s">
        <v>4300</v>
      </c>
    </row>
    <row r="3392" spans="1:14" x14ac:dyDescent="0.15">
      <c r="A3392" s="1">
        <v>704</v>
      </c>
      <c r="B3392" s="1" t="s">
        <v>73</v>
      </c>
      <c r="C3392" s="1" t="s">
        <v>72</v>
      </c>
      <c r="D3392" s="1" t="s">
        <v>73</v>
      </c>
      <c r="E3392" s="1" t="s">
        <v>72</v>
      </c>
      <c r="F3392" s="1" t="s">
        <v>73</v>
      </c>
      <c r="G3392" s="1" t="s">
        <v>82</v>
      </c>
      <c r="H3392" s="1" t="s">
        <v>83</v>
      </c>
      <c r="I3392" s="1" t="s">
        <v>14284</v>
      </c>
      <c r="J3392" s="1" t="s">
        <v>75</v>
      </c>
      <c r="K3392" s="1">
        <v>7</v>
      </c>
      <c r="L3392" s="1" t="s">
        <v>4299</v>
      </c>
      <c r="M3392" s="1">
        <v>13</v>
      </c>
      <c r="N3392" s="1" t="s">
        <v>4300</v>
      </c>
    </row>
    <row r="3393" spans="1:14" x14ac:dyDescent="0.15">
      <c r="A3393" s="1">
        <v>704</v>
      </c>
      <c r="B3393" s="1" t="s">
        <v>73</v>
      </c>
      <c r="C3393" s="1" t="s">
        <v>72</v>
      </c>
      <c r="D3393" s="1" t="s">
        <v>73</v>
      </c>
      <c r="E3393" s="1" t="s">
        <v>72</v>
      </c>
      <c r="F3393" s="1" t="s">
        <v>73</v>
      </c>
      <c r="G3393" s="1" t="s">
        <v>84</v>
      </c>
      <c r="H3393" s="1" t="s">
        <v>85</v>
      </c>
      <c r="I3393" s="1" t="s">
        <v>14284</v>
      </c>
      <c r="J3393" s="1" t="s">
        <v>75</v>
      </c>
      <c r="K3393" s="1">
        <v>7</v>
      </c>
      <c r="L3393" s="1" t="s">
        <v>4299</v>
      </c>
      <c r="M3393" s="1">
        <v>13</v>
      </c>
      <c r="N3393" s="1" t="s">
        <v>4300</v>
      </c>
    </row>
    <row r="3394" spans="1:14" x14ac:dyDescent="0.15">
      <c r="A3394" s="1">
        <v>704</v>
      </c>
      <c r="B3394" s="1" t="s">
        <v>73</v>
      </c>
      <c r="C3394" s="1" t="s">
        <v>72</v>
      </c>
      <c r="D3394" s="1" t="s">
        <v>73</v>
      </c>
      <c r="E3394" s="1" t="s">
        <v>72</v>
      </c>
      <c r="F3394" s="1" t="s">
        <v>73</v>
      </c>
      <c r="G3394" s="1" t="s">
        <v>86</v>
      </c>
      <c r="H3394" s="1" t="s">
        <v>87</v>
      </c>
      <c r="I3394" s="1" t="s">
        <v>14284</v>
      </c>
      <c r="J3394" s="1" t="s">
        <v>75</v>
      </c>
      <c r="K3394" s="1">
        <v>7</v>
      </c>
      <c r="L3394" s="1" t="s">
        <v>4299</v>
      </c>
      <c r="M3394" s="1">
        <v>13</v>
      </c>
      <c r="N3394" s="1" t="s">
        <v>4300</v>
      </c>
    </row>
    <row r="3395" spans="1:14" x14ac:dyDescent="0.15">
      <c r="A3395" s="1">
        <v>705</v>
      </c>
      <c r="B3395" s="1" t="s">
        <v>88</v>
      </c>
      <c r="C3395" s="1" t="s">
        <v>89</v>
      </c>
      <c r="D3395" s="1" t="s">
        <v>88</v>
      </c>
      <c r="E3395" s="1" t="s">
        <v>89</v>
      </c>
      <c r="F3395" s="1" t="s">
        <v>88</v>
      </c>
      <c r="G3395" s="1" t="s">
        <v>90</v>
      </c>
      <c r="H3395" s="1" t="s">
        <v>88</v>
      </c>
      <c r="I3395" s="1" t="s">
        <v>14380</v>
      </c>
      <c r="J3395" s="1" t="s">
        <v>91</v>
      </c>
      <c r="K3395" s="1">
        <v>7</v>
      </c>
      <c r="L3395" s="1" t="s">
        <v>4299</v>
      </c>
      <c r="M3395" s="1">
        <v>13</v>
      </c>
      <c r="N3395" s="1" t="s">
        <v>4300</v>
      </c>
    </row>
    <row r="3396" spans="1:14" x14ac:dyDescent="0.15">
      <c r="A3396" s="1">
        <v>710</v>
      </c>
      <c r="B3396" s="1" t="s">
        <v>92</v>
      </c>
      <c r="C3396" s="1" t="s">
        <v>93</v>
      </c>
      <c r="D3396" s="1" t="s">
        <v>94</v>
      </c>
      <c r="E3396" s="1" t="s">
        <v>93</v>
      </c>
      <c r="F3396" s="1" t="s">
        <v>94</v>
      </c>
      <c r="G3396" s="1" t="s">
        <v>95</v>
      </c>
      <c r="H3396" s="1" t="s">
        <v>94</v>
      </c>
      <c r="I3396" s="1" t="s">
        <v>14296</v>
      </c>
      <c r="J3396" s="1" t="s">
        <v>47</v>
      </c>
      <c r="K3396" s="1">
        <v>7</v>
      </c>
      <c r="L3396" s="1" t="s">
        <v>4299</v>
      </c>
      <c r="M3396" s="1">
        <v>13</v>
      </c>
      <c r="N3396" s="1" t="s">
        <v>4300</v>
      </c>
    </row>
    <row r="3397" spans="1:14" x14ac:dyDescent="0.15">
      <c r="A3397" s="1">
        <v>710</v>
      </c>
      <c r="B3397" s="1" t="s">
        <v>92</v>
      </c>
      <c r="C3397" s="1" t="s">
        <v>93</v>
      </c>
      <c r="D3397" s="1" t="s">
        <v>94</v>
      </c>
      <c r="E3397" s="1" t="s">
        <v>93</v>
      </c>
      <c r="F3397" s="1" t="s">
        <v>94</v>
      </c>
      <c r="G3397" s="1" t="s">
        <v>95</v>
      </c>
      <c r="H3397" s="1" t="s">
        <v>94</v>
      </c>
      <c r="I3397" s="1" t="s">
        <v>14300</v>
      </c>
      <c r="J3397" s="1" t="s">
        <v>6350</v>
      </c>
      <c r="K3397" s="1">
        <v>7</v>
      </c>
      <c r="L3397" s="1" t="s">
        <v>4299</v>
      </c>
      <c r="M3397" s="1">
        <v>13</v>
      </c>
      <c r="N3397" s="1" t="s">
        <v>4300</v>
      </c>
    </row>
    <row r="3398" spans="1:14" x14ac:dyDescent="0.15">
      <c r="A3398" s="1">
        <v>710</v>
      </c>
      <c r="B3398" s="1" t="s">
        <v>92</v>
      </c>
      <c r="C3398" s="1" t="s">
        <v>96</v>
      </c>
      <c r="D3398" s="1" t="s">
        <v>97</v>
      </c>
      <c r="E3398" s="1" t="s">
        <v>96</v>
      </c>
      <c r="F3398" s="1" t="s">
        <v>97</v>
      </c>
      <c r="G3398" s="1" t="s">
        <v>98</v>
      </c>
      <c r="H3398" s="1" t="s">
        <v>97</v>
      </c>
      <c r="I3398" s="1" t="s">
        <v>4494</v>
      </c>
      <c r="J3398" s="1" t="s">
        <v>4495</v>
      </c>
      <c r="K3398" s="1">
        <v>7</v>
      </c>
      <c r="L3398" s="1" t="s">
        <v>4299</v>
      </c>
      <c r="M3398" s="1">
        <v>16</v>
      </c>
      <c r="N3398" s="1" t="s">
        <v>4308</v>
      </c>
    </row>
    <row r="3399" spans="1:14" x14ac:dyDescent="0.15">
      <c r="A3399" s="1">
        <v>711</v>
      </c>
      <c r="B3399" s="1" t="s">
        <v>99</v>
      </c>
      <c r="C3399" s="1" t="s">
        <v>100</v>
      </c>
      <c r="D3399" s="1" t="s">
        <v>99</v>
      </c>
      <c r="E3399" s="1" t="s">
        <v>100</v>
      </c>
      <c r="F3399" s="1" t="s">
        <v>99</v>
      </c>
      <c r="G3399" s="1" t="s">
        <v>101</v>
      </c>
      <c r="H3399" s="1" t="s">
        <v>99</v>
      </c>
      <c r="I3399" s="1" t="s">
        <v>14380</v>
      </c>
      <c r="J3399" s="1" t="s">
        <v>91</v>
      </c>
      <c r="K3399" s="1">
        <v>7</v>
      </c>
      <c r="L3399" s="1" t="s">
        <v>4299</v>
      </c>
      <c r="M3399" s="1">
        <v>13</v>
      </c>
      <c r="N3399" s="1" t="s">
        <v>4300</v>
      </c>
    </row>
    <row r="3400" spans="1:14" x14ac:dyDescent="0.15">
      <c r="A3400" s="1">
        <v>712</v>
      </c>
      <c r="B3400" s="1" t="s">
        <v>102</v>
      </c>
      <c r="C3400" s="1" t="s">
        <v>103</v>
      </c>
      <c r="D3400" s="1" t="s">
        <v>102</v>
      </c>
      <c r="E3400" s="1" t="s">
        <v>103</v>
      </c>
      <c r="F3400" s="1" t="s">
        <v>102</v>
      </c>
      <c r="G3400" s="1" t="s">
        <v>104</v>
      </c>
      <c r="H3400" s="1" t="s">
        <v>102</v>
      </c>
      <c r="I3400" s="1" t="s">
        <v>14292</v>
      </c>
      <c r="J3400" s="1" t="s">
        <v>3489</v>
      </c>
      <c r="K3400" s="1">
        <v>7</v>
      </c>
      <c r="L3400" s="1" t="s">
        <v>4299</v>
      </c>
      <c r="M3400" s="1">
        <v>13</v>
      </c>
      <c r="N3400" s="1" t="s">
        <v>4300</v>
      </c>
    </row>
    <row r="3401" spans="1:14" x14ac:dyDescent="0.15">
      <c r="A3401" s="1">
        <v>713</v>
      </c>
      <c r="B3401" s="1" t="s">
        <v>105</v>
      </c>
      <c r="C3401" s="1" t="s">
        <v>106</v>
      </c>
      <c r="D3401" s="1" t="s">
        <v>105</v>
      </c>
      <c r="E3401" s="1" t="s">
        <v>106</v>
      </c>
      <c r="F3401" s="1" t="s">
        <v>105</v>
      </c>
      <c r="G3401" s="1" t="s">
        <v>107</v>
      </c>
      <c r="H3401" s="1" t="s">
        <v>105</v>
      </c>
      <c r="I3401" s="1" t="s">
        <v>14229</v>
      </c>
      <c r="J3401" s="1" t="s">
        <v>14230</v>
      </c>
      <c r="K3401" s="1">
        <v>3</v>
      </c>
      <c r="L3401" s="1" t="s">
        <v>4282</v>
      </c>
      <c r="M3401" s="1">
        <v>2</v>
      </c>
      <c r="N3401" s="1" t="s">
        <v>4283</v>
      </c>
    </row>
    <row r="3402" spans="1:14" x14ac:dyDescent="0.15">
      <c r="A3402" s="1">
        <v>713</v>
      </c>
      <c r="B3402" s="1" t="s">
        <v>105</v>
      </c>
      <c r="C3402" s="1" t="s">
        <v>106</v>
      </c>
      <c r="D3402" s="1" t="s">
        <v>105</v>
      </c>
      <c r="E3402" s="1" t="s">
        <v>106</v>
      </c>
      <c r="F3402" s="1" t="s">
        <v>105</v>
      </c>
      <c r="G3402" s="1" t="s">
        <v>107</v>
      </c>
      <c r="H3402" s="1" t="s">
        <v>105</v>
      </c>
      <c r="I3402" s="1" t="s">
        <v>8543</v>
      </c>
      <c r="J3402" s="1" t="s">
        <v>108</v>
      </c>
      <c r="K3402" s="1">
        <v>3</v>
      </c>
      <c r="L3402" s="1" t="s">
        <v>4282</v>
      </c>
      <c r="M3402" s="1">
        <v>2</v>
      </c>
      <c r="N3402" s="1" t="s">
        <v>4283</v>
      </c>
    </row>
    <row r="3403" spans="1:14" x14ac:dyDescent="0.15">
      <c r="A3403" s="1">
        <v>714</v>
      </c>
      <c r="B3403" s="1" t="s">
        <v>109</v>
      </c>
      <c r="C3403" s="1" t="s">
        <v>110</v>
      </c>
      <c r="D3403" s="1" t="s">
        <v>109</v>
      </c>
      <c r="E3403" s="1" t="s">
        <v>110</v>
      </c>
      <c r="F3403" s="1" t="s">
        <v>109</v>
      </c>
      <c r="G3403" s="1" t="s">
        <v>111</v>
      </c>
      <c r="H3403" s="1" t="s">
        <v>109</v>
      </c>
      <c r="I3403" s="1" t="s">
        <v>11619</v>
      </c>
      <c r="J3403" s="1" t="s">
        <v>112</v>
      </c>
      <c r="K3403" s="1">
        <v>7</v>
      </c>
      <c r="L3403" s="1" t="s">
        <v>4299</v>
      </c>
      <c r="M3403" s="1">
        <v>16</v>
      </c>
      <c r="N3403" s="1" t="s">
        <v>4308</v>
      </c>
    </row>
    <row r="3404" spans="1:14" x14ac:dyDescent="0.15">
      <c r="A3404" s="1">
        <v>714</v>
      </c>
      <c r="B3404" s="1" t="s">
        <v>109</v>
      </c>
      <c r="C3404" s="1" t="s">
        <v>110</v>
      </c>
      <c r="D3404" s="1" t="s">
        <v>109</v>
      </c>
      <c r="E3404" s="1" t="s">
        <v>110</v>
      </c>
      <c r="F3404" s="1" t="s">
        <v>109</v>
      </c>
      <c r="G3404" s="1" t="s">
        <v>111</v>
      </c>
      <c r="H3404" s="1" t="s">
        <v>109</v>
      </c>
      <c r="I3404" s="1" t="s">
        <v>14392</v>
      </c>
      <c r="J3404" s="1" t="s">
        <v>70</v>
      </c>
      <c r="K3404" s="1">
        <v>7</v>
      </c>
      <c r="L3404" s="1" t="s">
        <v>4299</v>
      </c>
      <c r="M3404" s="1">
        <v>16</v>
      </c>
      <c r="N3404" s="1" t="s">
        <v>4308</v>
      </c>
    </row>
    <row r="3405" spans="1:14" x14ac:dyDescent="0.15">
      <c r="A3405" s="1">
        <v>714</v>
      </c>
      <c r="B3405" s="1" t="s">
        <v>109</v>
      </c>
      <c r="C3405" s="1" t="s">
        <v>110</v>
      </c>
      <c r="D3405" s="1" t="s">
        <v>109</v>
      </c>
      <c r="E3405" s="1" t="s">
        <v>110</v>
      </c>
      <c r="F3405" s="1" t="s">
        <v>109</v>
      </c>
      <c r="G3405" s="1" t="s">
        <v>111</v>
      </c>
      <c r="H3405" s="1" t="s">
        <v>109</v>
      </c>
      <c r="I3405" s="1" t="s">
        <v>14396</v>
      </c>
      <c r="J3405" s="1" t="s">
        <v>6402</v>
      </c>
      <c r="K3405" s="1">
        <v>7</v>
      </c>
      <c r="L3405" s="1" t="s">
        <v>4299</v>
      </c>
      <c r="M3405" s="1">
        <v>16</v>
      </c>
      <c r="N3405" s="1" t="s">
        <v>4308</v>
      </c>
    </row>
    <row r="3406" spans="1:14" x14ac:dyDescent="0.15">
      <c r="A3406" s="1">
        <v>714</v>
      </c>
      <c r="B3406" s="1" t="s">
        <v>109</v>
      </c>
      <c r="C3406" s="1" t="s">
        <v>110</v>
      </c>
      <c r="D3406" s="1" t="s">
        <v>109</v>
      </c>
      <c r="E3406" s="1" t="s">
        <v>110</v>
      </c>
      <c r="F3406" s="1" t="s">
        <v>109</v>
      </c>
      <c r="G3406" s="1" t="s">
        <v>113</v>
      </c>
      <c r="H3406" s="1" t="s">
        <v>114</v>
      </c>
      <c r="I3406" s="1" t="s">
        <v>14392</v>
      </c>
      <c r="J3406" s="1" t="s">
        <v>70</v>
      </c>
      <c r="K3406" s="1">
        <v>7</v>
      </c>
      <c r="L3406" s="1" t="s">
        <v>4299</v>
      </c>
      <c r="M3406" s="1">
        <v>16</v>
      </c>
      <c r="N3406" s="1" t="s">
        <v>4308</v>
      </c>
    </row>
    <row r="3407" spans="1:14" x14ac:dyDescent="0.15">
      <c r="A3407" s="1">
        <v>714</v>
      </c>
      <c r="B3407" s="1" t="s">
        <v>109</v>
      </c>
      <c r="C3407" s="1" t="s">
        <v>110</v>
      </c>
      <c r="D3407" s="1" t="s">
        <v>109</v>
      </c>
      <c r="E3407" s="1" t="s">
        <v>110</v>
      </c>
      <c r="F3407" s="1" t="s">
        <v>109</v>
      </c>
      <c r="G3407" s="1" t="s">
        <v>113</v>
      </c>
      <c r="H3407" s="1" t="s">
        <v>114</v>
      </c>
      <c r="I3407" s="1" t="s">
        <v>14396</v>
      </c>
      <c r="J3407" s="1" t="s">
        <v>6402</v>
      </c>
      <c r="K3407" s="1">
        <v>7</v>
      </c>
      <c r="L3407" s="1" t="s">
        <v>4299</v>
      </c>
      <c r="M3407" s="1">
        <v>16</v>
      </c>
      <c r="N3407" s="1" t="s">
        <v>4308</v>
      </c>
    </row>
    <row r="3408" spans="1:14" x14ac:dyDescent="0.15">
      <c r="A3408" s="1">
        <v>714</v>
      </c>
      <c r="B3408" s="1" t="s">
        <v>109</v>
      </c>
      <c r="C3408" s="1" t="s">
        <v>110</v>
      </c>
      <c r="D3408" s="1" t="s">
        <v>109</v>
      </c>
      <c r="E3408" s="1" t="s">
        <v>110</v>
      </c>
      <c r="F3408" s="1" t="s">
        <v>109</v>
      </c>
      <c r="G3408" s="1" t="s">
        <v>113</v>
      </c>
      <c r="H3408" s="1" t="s">
        <v>114</v>
      </c>
      <c r="I3408" s="1" t="s">
        <v>11619</v>
      </c>
      <c r="J3408" s="1" t="s">
        <v>112</v>
      </c>
      <c r="K3408" s="1">
        <v>7</v>
      </c>
      <c r="L3408" s="1" t="s">
        <v>4299</v>
      </c>
      <c r="M3408" s="1">
        <v>16</v>
      </c>
      <c r="N3408" s="1" t="s">
        <v>4308</v>
      </c>
    </row>
    <row r="3409" spans="1:14" x14ac:dyDescent="0.15">
      <c r="A3409" s="1">
        <v>714</v>
      </c>
      <c r="B3409" s="1" t="s">
        <v>109</v>
      </c>
      <c r="C3409" s="1" t="s">
        <v>110</v>
      </c>
      <c r="D3409" s="1" t="s">
        <v>109</v>
      </c>
      <c r="E3409" s="1" t="s">
        <v>110</v>
      </c>
      <c r="F3409" s="1" t="s">
        <v>109</v>
      </c>
      <c r="G3409" s="1" t="s">
        <v>115</v>
      </c>
      <c r="H3409" s="1" t="s">
        <v>116</v>
      </c>
      <c r="I3409" s="1" t="s">
        <v>14396</v>
      </c>
      <c r="J3409" s="1" t="s">
        <v>6402</v>
      </c>
      <c r="K3409" s="1">
        <v>7</v>
      </c>
      <c r="L3409" s="1" t="s">
        <v>4299</v>
      </c>
      <c r="M3409" s="1">
        <v>16</v>
      </c>
      <c r="N3409" s="1" t="s">
        <v>4308</v>
      </c>
    </row>
    <row r="3410" spans="1:14" x14ac:dyDescent="0.15">
      <c r="A3410" s="1">
        <v>714</v>
      </c>
      <c r="B3410" s="1" t="s">
        <v>109</v>
      </c>
      <c r="C3410" s="1" t="s">
        <v>110</v>
      </c>
      <c r="D3410" s="1" t="s">
        <v>109</v>
      </c>
      <c r="E3410" s="1" t="s">
        <v>110</v>
      </c>
      <c r="F3410" s="1" t="s">
        <v>109</v>
      </c>
      <c r="G3410" s="1" t="s">
        <v>115</v>
      </c>
      <c r="H3410" s="1" t="s">
        <v>116</v>
      </c>
      <c r="I3410" s="1" t="s">
        <v>11619</v>
      </c>
      <c r="J3410" s="1" t="s">
        <v>112</v>
      </c>
      <c r="K3410" s="1">
        <v>7</v>
      </c>
      <c r="L3410" s="1" t="s">
        <v>4299</v>
      </c>
      <c r="M3410" s="1">
        <v>16</v>
      </c>
      <c r="N3410" s="1" t="s">
        <v>4308</v>
      </c>
    </row>
    <row r="3411" spans="1:14" x14ac:dyDescent="0.15">
      <c r="A3411" s="1">
        <v>714</v>
      </c>
      <c r="B3411" s="1" t="s">
        <v>109</v>
      </c>
      <c r="C3411" s="1" t="s">
        <v>110</v>
      </c>
      <c r="D3411" s="1" t="s">
        <v>109</v>
      </c>
      <c r="E3411" s="1" t="s">
        <v>110</v>
      </c>
      <c r="F3411" s="1" t="s">
        <v>109</v>
      </c>
      <c r="G3411" s="1" t="s">
        <v>117</v>
      </c>
      <c r="H3411" s="1" t="s">
        <v>118</v>
      </c>
      <c r="I3411" s="1" t="s">
        <v>14392</v>
      </c>
      <c r="J3411" s="1" t="s">
        <v>70</v>
      </c>
      <c r="K3411" s="1">
        <v>7</v>
      </c>
      <c r="L3411" s="1" t="s">
        <v>4299</v>
      </c>
      <c r="M3411" s="1">
        <v>16</v>
      </c>
      <c r="N3411" s="1" t="s">
        <v>4308</v>
      </c>
    </row>
    <row r="3412" spans="1:14" x14ac:dyDescent="0.15">
      <c r="A3412" s="1">
        <v>714</v>
      </c>
      <c r="B3412" s="1" t="s">
        <v>109</v>
      </c>
      <c r="C3412" s="1" t="s">
        <v>110</v>
      </c>
      <c r="D3412" s="1" t="s">
        <v>109</v>
      </c>
      <c r="E3412" s="1" t="s">
        <v>110</v>
      </c>
      <c r="F3412" s="1" t="s">
        <v>109</v>
      </c>
      <c r="G3412" s="1" t="s">
        <v>117</v>
      </c>
      <c r="H3412" s="1" t="s">
        <v>118</v>
      </c>
      <c r="I3412" s="1" t="s">
        <v>11619</v>
      </c>
      <c r="J3412" s="1" t="s">
        <v>112</v>
      </c>
      <c r="K3412" s="1">
        <v>7</v>
      </c>
      <c r="L3412" s="1" t="s">
        <v>4299</v>
      </c>
      <c r="M3412" s="1">
        <v>16</v>
      </c>
      <c r="N3412" s="1" t="s">
        <v>4308</v>
      </c>
    </row>
    <row r="3413" spans="1:14" x14ac:dyDescent="0.15">
      <c r="A3413" s="1">
        <v>715</v>
      </c>
      <c r="B3413" s="1" t="s">
        <v>119</v>
      </c>
      <c r="C3413" s="1" t="s">
        <v>120</v>
      </c>
      <c r="D3413" s="1" t="s">
        <v>119</v>
      </c>
      <c r="E3413" s="1" t="s">
        <v>120</v>
      </c>
      <c r="F3413" s="1" t="s">
        <v>119</v>
      </c>
      <c r="G3413" s="1" t="s">
        <v>121</v>
      </c>
      <c r="H3413" s="1" t="s">
        <v>119</v>
      </c>
      <c r="I3413" s="1" t="s">
        <v>14376</v>
      </c>
      <c r="J3413" s="1" t="s">
        <v>122</v>
      </c>
      <c r="K3413" s="1">
        <v>7</v>
      </c>
      <c r="L3413" s="1" t="s">
        <v>4299</v>
      </c>
      <c r="M3413" s="1">
        <v>16</v>
      </c>
      <c r="N3413" s="1" t="s">
        <v>4308</v>
      </c>
    </row>
    <row r="3414" spans="1:14" x14ac:dyDescent="0.15">
      <c r="A3414" s="1">
        <v>716</v>
      </c>
      <c r="B3414" s="1" t="s">
        <v>123</v>
      </c>
      <c r="C3414" s="1" t="s">
        <v>124</v>
      </c>
      <c r="D3414" s="1" t="s">
        <v>123</v>
      </c>
      <c r="E3414" s="1" t="s">
        <v>124</v>
      </c>
      <c r="F3414" s="1" t="s">
        <v>123</v>
      </c>
      <c r="G3414" s="1" t="s">
        <v>125</v>
      </c>
      <c r="H3414" s="1" t="s">
        <v>123</v>
      </c>
      <c r="I3414" s="1" t="s">
        <v>14376</v>
      </c>
      <c r="J3414" s="1" t="s">
        <v>122</v>
      </c>
      <c r="K3414" s="1">
        <v>7</v>
      </c>
      <c r="L3414" s="1" t="s">
        <v>4299</v>
      </c>
      <c r="M3414" s="1">
        <v>16</v>
      </c>
      <c r="N3414" s="1" t="s">
        <v>4308</v>
      </c>
    </row>
    <row r="3415" spans="1:14" x14ac:dyDescent="0.15">
      <c r="A3415" s="1">
        <v>720</v>
      </c>
      <c r="B3415" s="1" t="s">
        <v>126</v>
      </c>
      <c r="C3415" s="1" t="s">
        <v>127</v>
      </c>
      <c r="D3415" s="1" t="s">
        <v>126</v>
      </c>
      <c r="E3415" s="1" t="s">
        <v>127</v>
      </c>
      <c r="F3415" s="1" t="s">
        <v>126</v>
      </c>
      <c r="G3415" s="1" t="s">
        <v>128</v>
      </c>
      <c r="H3415" s="1" t="s">
        <v>126</v>
      </c>
      <c r="I3415" s="1" t="s">
        <v>16479</v>
      </c>
      <c r="J3415" s="1" t="s">
        <v>16480</v>
      </c>
      <c r="K3415" s="1">
        <v>7</v>
      </c>
      <c r="L3415" s="1" t="s">
        <v>4299</v>
      </c>
      <c r="M3415" s="1">
        <v>16</v>
      </c>
      <c r="N3415" s="1" t="s">
        <v>4308</v>
      </c>
    </row>
    <row r="3416" spans="1:14" x14ac:dyDescent="0.15">
      <c r="A3416" s="1">
        <v>720</v>
      </c>
      <c r="B3416" s="1" t="s">
        <v>126</v>
      </c>
      <c r="C3416" s="1" t="s">
        <v>127</v>
      </c>
      <c r="D3416" s="1" t="s">
        <v>126</v>
      </c>
      <c r="E3416" s="1" t="s">
        <v>127</v>
      </c>
      <c r="F3416" s="1" t="s">
        <v>126</v>
      </c>
      <c r="G3416" s="1" t="s">
        <v>128</v>
      </c>
      <c r="H3416" s="1" t="s">
        <v>126</v>
      </c>
      <c r="I3416" s="1" t="s">
        <v>14376</v>
      </c>
      <c r="J3416" s="1" t="s">
        <v>122</v>
      </c>
      <c r="K3416" s="1">
        <v>7</v>
      </c>
      <c r="L3416" s="1" t="s">
        <v>4299</v>
      </c>
      <c r="M3416" s="1">
        <v>16</v>
      </c>
      <c r="N3416" s="1" t="s">
        <v>4308</v>
      </c>
    </row>
    <row r="3417" spans="1:14" x14ac:dyDescent="0.15">
      <c r="A3417" s="1">
        <v>720</v>
      </c>
      <c r="B3417" s="1" t="s">
        <v>126</v>
      </c>
      <c r="C3417" s="1" t="s">
        <v>127</v>
      </c>
      <c r="D3417" s="1" t="s">
        <v>126</v>
      </c>
      <c r="E3417" s="1" t="s">
        <v>127</v>
      </c>
      <c r="F3417" s="1" t="s">
        <v>126</v>
      </c>
      <c r="G3417" s="1" t="s">
        <v>128</v>
      </c>
      <c r="H3417" s="1" t="s">
        <v>126</v>
      </c>
      <c r="I3417" s="1" t="s">
        <v>14380</v>
      </c>
      <c r="J3417" s="1" t="s">
        <v>91</v>
      </c>
      <c r="K3417" s="1">
        <v>7</v>
      </c>
      <c r="L3417" s="1" t="s">
        <v>4299</v>
      </c>
      <c r="M3417" s="1">
        <v>16</v>
      </c>
      <c r="N3417" s="1" t="s">
        <v>4308</v>
      </c>
    </row>
    <row r="3418" spans="1:14" x14ac:dyDescent="0.15">
      <c r="A3418" s="1">
        <v>720</v>
      </c>
      <c r="B3418" s="1" t="s">
        <v>126</v>
      </c>
      <c r="C3418" s="1" t="s">
        <v>127</v>
      </c>
      <c r="D3418" s="1" t="s">
        <v>126</v>
      </c>
      <c r="E3418" s="1" t="s">
        <v>127</v>
      </c>
      <c r="F3418" s="1" t="s">
        <v>126</v>
      </c>
      <c r="G3418" s="1" t="s">
        <v>128</v>
      </c>
      <c r="H3418" s="1" t="s">
        <v>126</v>
      </c>
      <c r="I3418" s="1" t="s">
        <v>8600</v>
      </c>
      <c r="J3418" s="1" t="s">
        <v>129</v>
      </c>
      <c r="K3418" s="1">
        <v>7</v>
      </c>
      <c r="L3418" s="1" t="s">
        <v>4299</v>
      </c>
      <c r="M3418" s="1">
        <v>16</v>
      </c>
      <c r="N3418" s="1" t="s">
        <v>4308</v>
      </c>
    </row>
    <row r="3419" spans="1:14" x14ac:dyDescent="0.15">
      <c r="A3419" s="1">
        <v>720</v>
      </c>
      <c r="B3419" s="1" t="s">
        <v>126</v>
      </c>
      <c r="C3419" s="1" t="s">
        <v>127</v>
      </c>
      <c r="D3419" s="1" t="s">
        <v>126</v>
      </c>
      <c r="E3419" s="1" t="s">
        <v>127</v>
      </c>
      <c r="F3419" s="1" t="s">
        <v>126</v>
      </c>
      <c r="G3419" s="1" t="s">
        <v>128</v>
      </c>
      <c r="H3419" s="1" t="s">
        <v>126</v>
      </c>
      <c r="I3419" s="1" t="s">
        <v>8603</v>
      </c>
      <c r="J3419" s="1" t="s">
        <v>130</v>
      </c>
      <c r="K3419" s="1">
        <v>7</v>
      </c>
      <c r="L3419" s="1" t="s">
        <v>4299</v>
      </c>
      <c r="M3419" s="1">
        <v>16</v>
      </c>
      <c r="N3419" s="1" t="s">
        <v>4308</v>
      </c>
    </row>
    <row r="3420" spans="1:14" x14ac:dyDescent="0.15">
      <c r="A3420" s="1">
        <v>720</v>
      </c>
      <c r="B3420" s="1" t="s">
        <v>126</v>
      </c>
      <c r="C3420" s="1" t="s">
        <v>127</v>
      </c>
      <c r="D3420" s="1" t="s">
        <v>126</v>
      </c>
      <c r="E3420" s="1" t="s">
        <v>127</v>
      </c>
      <c r="F3420" s="1" t="s">
        <v>126</v>
      </c>
      <c r="G3420" s="1" t="s">
        <v>128</v>
      </c>
      <c r="H3420" s="1" t="s">
        <v>126</v>
      </c>
      <c r="I3420" s="1" t="s">
        <v>8606</v>
      </c>
      <c r="J3420" s="1" t="s">
        <v>131</v>
      </c>
      <c r="K3420" s="1">
        <v>7</v>
      </c>
      <c r="L3420" s="1" t="s">
        <v>4299</v>
      </c>
      <c r="M3420" s="1">
        <v>16</v>
      </c>
      <c r="N3420" s="1" t="s">
        <v>4308</v>
      </c>
    </row>
    <row r="3421" spans="1:14" x14ac:dyDescent="0.15">
      <c r="A3421" s="1">
        <v>720</v>
      </c>
      <c r="B3421" s="1" t="s">
        <v>126</v>
      </c>
      <c r="C3421" s="1" t="s">
        <v>127</v>
      </c>
      <c r="D3421" s="1" t="s">
        <v>126</v>
      </c>
      <c r="E3421" s="1" t="s">
        <v>127</v>
      </c>
      <c r="F3421" s="1" t="s">
        <v>126</v>
      </c>
      <c r="G3421" s="1" t="s">
        <v>132</v>
      </c>
      <c r="H3421" s="1" t="s">
        <v>133</v>
      </c>
      <c r="I3421" s="1" t="s">
        <v>14376</v>
      </c>
      <c r="J3421" s="1" t="s">
        <v>122</v>
      </c>
      <c r="K3421" s="1">
        <v>7</v>
      </c>
      <c r="L3421" s="1" t="s">
        <v>4299</v>
      </c>
      <c r="M3421" s="1">
        <v>16</v>
      </c>
      <c r="N3421" s="1" t="s">
        <v>4308</v>
      </c>
    </row>
    <row r="3422" spans="1:14" x14ac:dyDescent="0.15">
      <c r="A3422" s="1">
        <v>720</v>
      </c>
      <c r="B3422" s="1" t="s">
        <v>126</v>
      </c>
      <c r="C3422" s="1" t="s">
        <v>127</v>
      </c>
      <c r="D3422" s="1" t="s">
        <v>126</v>
      </c>
      <c r="E3422" s="1" t="s">
        <v>127</v>
      </c>
      <c r="F3422" s="1" t="s">
        <v>126</v>
      </c>
      <c r="G3422" s="1" t="s">
        <v>132</v>
      </c>
      <c r="H3422" s="1" t="s">
        <v>133</v>
      </c>
      <c r="I3422" s="1" t="s">
        <v>14376</v>
      </c>
      <c r="J3422" s="1" t="s">
        <v>122</v>
      </c>
      <c r="K3422" s="1">
        <v>7</v>
      </c>
      <c r="L3422" s="1" t="s">
        <v>4299</v>
      </c>
      <c r="M3422" s="1">
        <v>16</v>
      </c>
      <c r="N3422" s="1" t="s">
        <v>4308</v>
      </c>
    </row>
    <row r="3423" spans="1:14" x14ac:dyDescent="0.15">
      <c r="A3423" s="1">
        <v>720</v>
      </c>
      <c r="B3423" s="1" t="s">
        <v>126</v>
      </c>
      <c r="C3423" s="1" t="s">
        <v>127</v>
      </c>
      <c r="D3423" s="1" t="s">
        <v>126</v>
      </c>
      <c r="E3423" s="1" t="s">
        <v>127</v>
      </c>
      <c r="F3423" s="1" t="s">
        <v>126</v>
      </c>
      <c r="G3423" s="1" t="s">
        <v>132</v>
      </c>
      <c r="H3423" s="1" t="s">
        <v>133</v>
      </c>
      <c r="I3423" s="1" t="s">
        <v>16479</v>
      </c>
      <c r="J3423" s="1" t="s">
        <v>16480</v>
      </c>
      <c r="K3423" s="1">
        <v>7</v>
      </c>
      <c r="L3423" s="1" t="s">
        <v>4299</v>
      </c>
      <c r="M3423" s="1">
        <v>16</v>
      </c>
      <c r="N3423" s="1" t="s">
        <v>4308</v>
      </c>
    </row>
    <row r="3424" spans="1:14" x14ac:dyDescent="0.15">
      <c r="A3424" s="1">
        <v>720</v>
      </c>
      <c r="B3424" s="1" t="s">
        <v>126</v>
      </c>
      <c r="C3424" s="1" t="s">
        <v>127</v>
      </c>
      <c r="D3424" s="1" t="s">
        <v>126</v>
      </c>
      <c r="E3424" s="1" t="s">
        <v>127</v>
      </c>
      <c r="F3424" s="1" t="s">
        <v>126</v>
      </c>
      <c r="G3424" s="1" t="s">
        <v>132</v>
      </c>
      <c r="H3424" s="1" t="s">
        <v>133</v>
      </c>
      <c r="I3424" s="1" t="s">
        <v>14380</v>
      </c>
      <c r="J3424" s="1" t="s">
        <v>91</v>
      </c>
      <c r="K3424" s="1">
        <v>7</v>
      </c>
      <c r="L3424" s="1" t="s">
        <v>4299</v>
      </c>
      <c r="M3424" s="1">
        <v>16</v>
      </c>
      <c r="N3424" s="1" t="s">
        <v>4308</v>
      </c>
    </row>
    <row r="3425" spans="1:14" x14ac:dyDescent="0.15">
      <c r="A3425" s="1">
        <v>720</v>
      </c>
      <c r="B3425" s="1" t="s">
        <v>126</v>
      </c>
      <c r="C3425" s="1" t="s">
        <v>127</v>
      </c>
      <c r="D3425" s="1" t="s">
        <v>126</v>
      </c>
      <c r="E3425" s="1" t="s">
        <v>127</v>
      </c>
      <c r="F3425" s="1" t="s">
        <v>126</v>
      </c>
      <c r="G3425" s="1" t="s">
        <v>132</v>
      </c>
      <c r="H3425" s="1" t="s">
        <v>133</v>
      </c>
      <c r="I3425" s="1" t="s">
        <v>8603</v>
      </c>
      <c r="J3425" s="1" t="s">
        <v>130</v>
      </c>
      <c r="K3425" s="1">
        <v>7</v>
      </c>
      <c r="L3425" s="1" t="s">
        <v>4299</v>
      </c>
      <c r="M3425" s="1">
        <v>16</v>
      </c>
      <c r="N3425" s="1" t="s">
        <v>4308</v>
      </c>
    </row>
    <row r="3426" spans="1:14" x14ac:dyDescent="0.15">
      <c r="A3426" s="1">
        <v>720</v>
      </c>
      <c r="B3426" s="1" t="s">
        <v>126</v>
      </c>
      <c r="C3426" s="1" t="s">
        <v>127</v>
      </c>
      <c r="D3426" s="1" t="s">
        <v>126</v>
      </c>
      <c r="E3426" s="1" t="s">
        <v>127</v>
      </c>
      <c r="F3426" s="1" t="s">
        <v>126</v>
      </c>
      <c r="G3426" s="1" t="s">
        <v>134</v>
      </c>
      <c r="H3426" s="1" t="s">
        <v>135</v>
      </c>
      <c r="I3426" s="1" t="s">
        <v>16479</v>
      </c>
      <c r="J3426" s="1" t="s">
        <v>16480</v>
      </c>
      <c r="K3426" s="1">
        <v>7</v>
      </c>
      <c r="L3426" s="1" t="s">
        <v>4299</v>
      </c>
      <c r="M3426" s="1">
        <v>16</v>
      </c>
      <c r="N3426" s="1" t="s">
        <v>4308</v>
      </c>
    </row>
    <row r="3427" spans="1:14" x14ac:dyDescent="0.15">
      <c r="A3427" s="1">
        <v>720</v>
      </c>
      <c r="B3427" s="1" t="s">
        <v>126</v>
      </c>
      <c r="C3427" s="1" t="s">
        <v>127</v>
      </c>
      <c r="D3427" s="1" t="s">
        <v>126</v>
      </c>
      <c r="E3427" s="1" t="s">
        <v>127</v>
      </c>
      <c r="F3427" s="1" t="s">
        <v>126</v>
      </c>
      <c r="G3427" s="1" t="s">
        <v>134</v>
      </c>
      <c r="H3427" s="1" t="s">
        <v>135</v>
      </c>
      <c r="I3427" s="1" t="s">
        <v>8600</v>
      </c>
      <c r="J3427" s="1" t="s">
        <v>129</v>
      </c>
      <c r="K3427" s="1">
        <v>7</v>
      </c>
      <c r="L3427" s="1" t="s">
        <v>4299</v>
      </c>
      <c r="M3427" s="1">
        <v>16</v>
      </c>
      <c r="N3427" s="1" t="s">
        <v>4308</v>
      </c>
    </row>
    <row r="3428" spans="1:14" x14ac:dyDescent="0.15">
      <c r="A3428" s="1">
        <v>720</v>
      </c>
      <c r="B3428" s="1" t="s">
        <v>126</v>
      </c>
      <c r="C3428" s="1" t="s">
        <v>127</v>
      </c>
      <c r="D3428" s="1" t="s">
        <v>126</v>
      </c>
      <c r="E3428" s="1" t="s">
        <v>127</v>
      </c>
      <c r="F3428" s="1" t="s">
        <v>126</v>
      </c>
      <c r="G3428" s="1" t="s">
        <v>134</v>
      </c>
      <c r="H3428" s="1" t="s">
        <v>135</v>
      </c>
      <c r="I3428" s="1" t="s">
        <v>8606</v>
      </c>
      <c r="J3428" s="1" t="s">
        <v>131</v>
      </c>
      <c r="K3428" s="1">
        <v>7</v>
      </c>
      <c r="L3428" s="1" t="s">
        <v>4299</v>
      </c>
      <c r="M3428" s="1">
        <v>16</v>
      </c>
      <c r="N3428" s="1" t="s">
        <v>4308</v>
      </c>
    </row>
    <row r="3429" spans="1:14" x14ac:dyDescent="0.15">
      <c r="A3429" s="1">
        <v>721</v>
      </c>
      <c r="B3429" s="1" t="s">
        <v>136</v>
      </c>
      <c r="C3429" s="1" t="s">
        <v>137</v>
      </c>
      <c r="D3429" s="1" t="s">
        <v>136</v>
      </c>
      <c r="E3429" s="1" t="s">
        <v>137</v>
      </c>
      <c r="F3429" s="1" t="s">
        <v>136</v>
      </c>
      <c r="G3429" s="1" t="s">
        <v>138</v>
      </c>
      <c r="H3429" s="1" t="s">
        <v>136</v>
      </c>
      <c r="I3429" s="1" t="s">
        <v>14384</v>
      </c>
      <c r="J3429" s="1" t="s">
        <v>6392</v>
      </c>
      <c r="K3429" s="1">
        <v>7</v>
      </c>
      <c r="L3429" s="1" t="s">
        <v>4299</v>
      </c>
      <c r="M3429" s="1">
        <v>16</v>
      </c>
      <c r="N3429" s="1" t="s">
        <v>4308</v>
      </c>
    </row>
    <row r="3430" spans="1:14" x14ac:dyDescent="0.15">
      <c r="A3430" s="1">
        <v>721</v>
      </c>
      <c r="B3430" s="1" t="s">
        <v>136</v>
      </c>
      <c r="C3430" s="1" t="s">
        <v>137</v>
      </c>
      <c r="D3430" s="1" t="s">
        <v>136</v>
      </c>
      <c r="E3430" s="1" t="s">
        <v>137</v>
      </c>
      <c r="F3430" s="1" t="s">
        <v>136</v>
      </c>
      <c r="G3430" s="1" t="s">
        <v>138</v>
      </c>
      <c r="H3430" s="1" t="s">
        <v>136</v>
      </c>
      <c r="I3430" s="1" t="s">
        <v>8603</v>
      </c>
      <c r="J3430" s="1" t="s">
        <v>130</v>
      </c>
      <c r="K3430" s="1">
        <v>7</v>
      </c>
      <c r="L3430" s="1" t="s">
        <v>4299</v>
      </c>
      <c r="M3430" s="1">
        <v>16</v>
      </c>
      <c r="N3430" s="1" t="s">
        <v>4308</v>
      </c>
    </row>
    <row r="3431" spans="1:14" x14ac:dyDescent="0.15">
      <c r="A3431" s="1">
        <v>722</v>
      </c>
      <c r="B3431" s="1" t="s">
        <v>139</v>
      </c>
      <c r="C3431" s="1" t="s">
        <v>140</v>
      </c>
      <c r="D3431" s="1" t="s">
        <v>139</v>
      </c>
      <c r="E3431" s="1" t="s">
        <v>140</v>
      </c>
      <c r="F3431" s="1" t="s">
        <v>139</v>
      </c>
      <c r="G3431" s="1" t="s">
        <v>141</v>
      </c>
      <c r="H3431" s="1" t="s">
        <v>139</v>
      </c>
      <c r="I3431" s="1" t="s">
        <v>11879</v>
      </c>
      <c r="J3431" s="1" t="s">
        <v>4278</v>
      </c>
      <c r="K3431" s="1">
        <v>7</v>
      </c>
      <c r="L3431" s="1" t="s">
        <v>4299</v>
      </c>
      <c r="M3431" s="1">
        <v>16</v>
      </c>
      <c r="N3431" s="1" t="s">
        <v>4308</v>
      </c>
    </row>
    <row r="3432" spans="1:14" x14ac:dyDescent="0.15">
      <c r="A3432" s="1">
        <v>722</v>
      </c>
      <c r="B3432" s="1" t="s">
        <v>139</v>
      </c>
      <c r="C3432" s="1" t="s">
        <v>142</v>
      </c>
      <c r="D3432" s="1" t="s">
        <v>143</v>
      </c>
      <c r="E3432" s="1" t="s">
        <v>142</v>
      </c>
      <c r="F3432" s="1" t="s">
        <v>143</v>
      </c>
      <c r="G3432" s="1" t="s">
        <v>144</v>
      </c>
      <c r="H3432" s="1" t="s">
        <v>143</v>
      </c>
      <c r="I3432" s="1" t="s">
        <v>17880</v>
      </c>
      <c r="J3432" s="1" t="s">
        <v>17881</v>
      </c>
      <c r="K3432" s="1">
        <v>7</v>
      </c>
      <c r="L3432" s="1" t="s">
        <v>4299</v>
      </c>
      <c r="M3432" s="1">
        <v>16</v>
      </c>
      <c r="N3432" s="1" t="s">
        <v>4308</v>
      </c>
    </row>
    <row r="3433" spans="1:14" x14ac:dyDescent="0.15">
      <c r="A3433" s="1">
        <v>722</v>
      </c>
      <c r="B3433" s="1" t="s">
        <v>139</v>
      </c>
      <c r="C3433" s="1" t="s">
        <v>142</v>
      </c>
      <c r="D3433" s="1" t="s">
        <v>143</v>
      </c>
      <c r="E3433" s="1" t="s">
        <v>142</v>
      </c>
      <c r="F3433" s="1" t="s">
        <v>143</v>
      </c>
      <c r="G3433" s="1" t="s">
        <v>144</v>
      </c>
      <c r="H3433" s="1" t="s">
        <v>143</v>
      </c>
      <c r="I3433" s="1" t="s">
        <v>17884</v>
      </c>
      <c r="J3433" s="1" t="s">
        <v>6528</v>
      </c>
      <c r="K3433" s="1">
        <v>7</v>
      </c>
      <c r="L3433" s="1" t="s">
        <v>4299</v>
      </c>
      <c r="M3433" s="1">
        <v>16</v>
      </c>
      <c r="N3433" s="1" t="s">
        <v>4308</v>
      </c>
    </row>
    <row r="3434" spans="1:14" x14ac:dyDescent="0.15">
      <c r="A3434" s="1">
        <v>722</v>
      </c>
      <c r="B3434" s="1" t="s">
        <v>139</v>
      </c>
      <c r="C3434" s="1" t="s">
        <v>142</v>
      </c>
      <c r="D3434" s="1" t="s">
        <v>143</v>
      </c>
      <c r="E3434" s="1" t="s">
        <v>142</v>
      </c>
      <c r="F3434" s="1" t="s">
        <v>143</v>
      </c>
      <c r="G3434" s="1" t="s">
        <v>144</v>
      </c>
      <c r="H3434" s="1" t="s">
        <v>143</v>
      </c>
      <c r="I3434" s="1" t="s">
        <v>11619</v>
      </c>
      <c r="J3434" s="1" t="s">
        <v>112</v>
      </c>
      <c r="K3434" s="1">
        <v>7</v>
      </c>
      <c r="L3434" s="1" t="s">
        <v>4299</v>
      </c>
      <c r="M3434" s="1">
        <v>16</v>
      </c>
      <c r="N3434" s="1" t="s">
        <v>4308</v>
      </c>
    </row>
    <row r="3435" spans="1:14" x14ac:dyDescent="0.15">
      <c r="A3435" s="1">
        <v>722</v>
      </c>
      <c r="B3435" s="1" t="s">
        <v>139</v>
      </c>
      <c r="C3435" s="1" t="s">
        <v>142</v>
      </c>
      <c r="D3435" s="1" t="s">
        <v>143</v>
      </c>
      <c r="E3435" s="1" t="s">
        <v>142</v>
      </c>
      <c r="F3435" s="1" t="s">
        <v>143</v>
      </c>
      <c r="G3435" s="1" t="s">
        <v>144</v>
      </c>
      <c r="H3435" s="1" t="s">
        <v>143</v>
      </c>
      <c r="I3435" s="1" t="s">
        <v>17888</v>
      </c>
      <c r="J3435" s="1" t="s">
        <v>17889</v>
      </c>
      <c r="K3435" s="1">
        <v>7</v>
      </c>
      <c r="L3435" s="1" t="s">
        <v>4299</v>
      </c>
      <c r="M3435" s="1">
        <v>16</v>
      </c>
      <c r="N3435" s="1" t="s">
        <v>4308</v>
      </c>
    </row>
    <row r="3436" spans="1:14" x14ac:dyDescent="0.15">
      <c r="A3436" s="1">
        <v>722</v>
      </c>
      <c r="B3436" s="1" t="s">
        <v>139</v>
      </c>
      <c r="C3436" s="1" t="s">
        <v>145</v>
      </c>
      <c r="D3436" s="1" t="s">
        <v>146</v>
      </c>
      <c r="E3436" s="1" t="s">
        <v>145</v>
      </c>
      <c r="F3436" s="1" t="s">
        <v>146</v>
      </c>
      <c r="G3436" s="1" t="s">
        <v>147</v>
      </c>
      <c r="H3436" s="1" t="s">
        <v>146</v>
      </c>
      <c r="I3436" s="1" t="s">
        <v>11619</v>
      </c>
      <c r="J3436" s="1" t="s">
        <v>112</v>
      </c>
      <c r="K3436" s="1">
        <v>7</v>
      </c>
      <c r="L3436" s="1" t="s">
        <v>4299</v>
      </c>
      <c r="M3436" s="1">
        <v>16</v>
      </c>
      <c r="N3436" s="1" t="s">
        <v>4308</v>
      </c>
    </row>
    <row r="3437" spans="1:14" x14ac:dyDescent="0.15">
      <c r="A3437" s="1">
        <v>722</v>
      </c>
      <c r="B3437" s="1" t="s">
        <v>139</v>
      </c>
      <c r="C3437" s="1" t="s">
        <v>145</v>
      </c>
      <c r="D3437" s="1" t="s">
        <v>146</v>
      </c>
      <c r="E3437" s="1" t="s">
        <v>145</v>
      </c>
      <c r="F3437" s="1" t="s">
        <v>146</v>
      </c>
      <c r="G3437" s="1" t="s">
        <v>147</v>
      </c>
      <c r="H3437" s="1" t="s">
        <v>146</v>
      </c>
      <c r="I3437" s="1" t="s">
        <v>14324</v>
      </c>
      <c r="J3437" s="1" t="s">
        <v>148</v>
      </c>
      <c r="K3437" s="1">
        <v>7</v>
      </c>
      <c r="L3437" s="1" t="s">
        <v>4299</v>
      </c>
      <c r="M3437" s="1">
        <v>16</v>
      </c>
      <c r="N3437" s="1" t="s">
        <v>4308</v>
      </c>
    </row>
    <row r="3438" spans="1:14" x14ac:dyDescent="0.15">
      <c r="A3438" s="1">
        <v>722</v>
      </c>
      <c r="B3438" s="1" t="s">
        <v>139</v>
      </c>
      <c r="C3438" s="1" t="s">
        <v>149</v>
      </c>
      <c r="D3438" s="1" t="s">
        <v>150</v>
      </c>
      <c r="E3438" s="1" t="s">
        <v>149</v>
      </c>
      <c r="F3438" s="1" t="s">
        <v>150</v>
      </c>
      <c r="G3438" s="1" t="s">
        <v>151</v>
      </c>
      <c r="H3438" s="1" t="s">
        <v>150</v>
      </c>
      <c r="I3438" s="1" t="s">
        <v>14324</v>
      </c>
      <c r="J3438" s="1" t="s">
        <v>148</v>
      </c>
      <c r="K3438" s="1">
        <v>7</v>
      </c>
      <c r="L3438" s="1" t="s">
        <v>4299</v>
      </c>
      <c r="M3438" s="1">
        <v>16</v>
      </c>
      <c r="N3438" s="1" t="s">
        <v>4308</v>
      </c>
    </row>
    <row r="3439" spans="1:14" x14ac:dyDescent="0.15">
      <c r="A3439" s="1">
        <v>724</v>
      </c>
      <c r="B3439" s="1" t="s">
        <v>152</v>
      </c>
      <c r="C3439" s="1" t="s">
        <v>153</v>
      </c>
      <c r="D3439" s="1" t="s">
        <v>152</v>
      </c>
      <c r="E3439" s="1" t="s">
        <v>153</v>
      </c>
      <c r="F3439" s="1" t="s">
        <v>152</v>
      </c>
      <c r="G3439" s="1" t="s">
        <v>154</v>
      </c>
      <c r="H3439" s="1" t="s">
        <v>152</v>
      </c>
      <c r="I3439" s="1" t="s">
        <v>11879</v>
      </c>
      <c r="J3439" s="1" t="s">
        <v>4278</v>
      </c>
      <c r="K3439" s="1">
        <v>7</v>
      </c>
      <c r="L3439" s="1" t="s">
        <v>4299</v>
      </c>
      <c r="M3439" s="1">
        <v>16</v>
      </c>
      <c r="N3439" s="1" t="s">
        <v>4308</v>
      </c>
    </row>
    <row r="3440" spans="1:14" x14ac:dyDescent="0.15">
      <c r="A3440" s="1">
        <v>724</v>
      </c>
      <c r="B3440" s="1" t="s">
        <v>152</v>
      </c>
      <c r="C3440" s="1" t="s">
        <v>155</v>
      </c>
      <c r="D3440" s="1" t="s">
        <v>156</v>
      </c>
      <c r="E3440" s="1" t="s">
        <v>155</v>
      </c>
      <c r="F3440" s="1" t="s">
        <v>156</v>
      </c>
      <c r="G3440" s="1" t="s">
        <v>157</v>
      </c>
      <c r="H3440" s="1" t="s">
        <v>156</v>
      </c>
      <c r="I3440" s="1" t="s">
        <v>14388</v>
      </c>
      <c r="J3440" s="1" t="s">
        <v>158</v>
      </c>
      <c r="K3440" s="1">
        <v>7</v>
      </c>
      <c r="L3440" s="1" t="s">
        <v>4299</v>
      </c>
      <c r="M3440" s="1">
        <v>16</v>
      </c>
      <c r="N3440" s="1" t="s">
        <v>4308</v>
      </c>
    </row>
    <row r="3441" spans="1:14" x14ac:dyDescent="0.15">
      <c r="A3441" s="1">
        <v>724</v>
      </c>
      <c r="B3441" s="1" t="s">
        <v>152</v>
      </c>
      <c r="C3441" s="1" t="s">
        <v>155</v>
      </c>
      <c r="D3441" s="1" t="s">
        <v>156</v>
      </c>
      <c r="E3441" s="1" t="s">
        <v>155</v>
      </c>
      <c r="F3441" s="1" t="s">
        <v>156</v>
      </c>
      <c r="G3441" s="1" t="s">
        <v>157</v>
      </c>
      <c r="H3441" s="1" t="s">
        <v>156</v>
      </c>
      <c r="I3441" s="1" t="s">
        <v>8612</v>
      </c>
      <c r="J3441" s="1" t="s">
        <v>159</v>
      </c>
      <c r="K3441" s="1">
        <v>7</v>
      </c>
      <c r="L3441" s="1" t="s">
        <v>4299</v>
      </c>
      <c r="M3441" s="1">
        <v>16</v>
      </c>
      <c r="N3441" s="1" t="s">
        <v>4308</v>
      </c>
    </row>
    <row r="3442" spans="1:14" x14ac:dyDescent="0.15">
      <c r="A3442" s="1">
        <v>724</v>
      </c>
      <c r="B3442" s="1" t="s">
        <v>152</v>
      </c>
      <c r="C3442" s="1" t="s">
        <v>160</v>
      </c>
      <c r="D3442" s="1" t="s">
        <v>161</v>
      </c>
      <c r="E3442" s="1" t="s">
        <v>160</v>
      </c>
      <c r="F3442" s="1" t="s">
        <v>161</v>
      </c>
      <c r="G3442" s="1" t="s">
        <v>162</v>
      </c>
      <c r="H3442" s="1" t="s">
        <v>161</v>
      </c>
      <c r="I3442" s="1" t="s">
        <v>14408</v>
      </c>
      <c r="J3442" s="1" t="s">
        <v>163</v>
      </c>
      <c r="K3442" s="1">
        <v>7</v>
      </c>
      <c r="L3442" s="1" t="s">
        <v>4299</v>
      </c>
      <c r="M3442" s="1">
        <v>16</v>
      </c>
      <c r="N3442" s="1" t="s">
        <v>4308</v>
      </c>
    </row>
    <row r="3443" spans="1:14" x14ac:dyDescent="0.15">
      <c r="A3443" s="1">
        <v>724</v>
      </c>
      <c r="B3443" s="1" t="s">
        <v>152</v>
      </c>
      <c r="C3443" s="1" t="s">
        <v>164</v>
      </c>
      <c r="D3443" s="1" t="s">
        <v>165</v>
      </c>
      <c r="E3443" s="1" t="s">
        <v>164</v>
      </c>
      <c r="F3443" s="1" t="s">
        <v>165</v>
      </c>
      <c r="G3443" s="1" t="s">
        <v>166</v>
      </c>
      <c r="H3443" s="1" t="s">
        <v>165</v>
      </c>
      <c r="I3443" s="1" t="s">
        <v>14388</v>
      </c>
      <c r="J3443" s="1" t="s">
        <v>158</v>
      </c>
      <c r="K3443" s="1">
        <v>7</v>
      </c>
      <c r="L3443" s="1" t="s">
        <v>4299</v>
      </c>
      <c r="M3443" s="1">
        <v>16</v>
      </c>
      <c r="N3443" s="1" t="s">
        <v>4308</v>
      </c>
    </row>
    <row r="3444" spans="1:14" x14ac:dyDescent="0.15">
      <c r="A3444" s="1">
        <v>726</v>
      </c>
      <c r="B3444" s="1" t="s">
        <v>167</v>
      </c>
      <c r="C3444" s="1" t="s">
        <v>168</v>
      </c>
      <c r="D3444" s="1" t="s">
        <v>167</v>
      </c>
      <c r="E3444" s="1" t="s">
        <v>168</v>
      </c>
      <c r="F3444" s="1" t="s">
        <v>167</v>
      </c>
      <c r="G3444" s="1" t="s">
        <v>169</v>
      </c>
      <c r="H3444" s="1" t="s">
        <v>167</v>
      </c>
      <c r="I3444" s="1" t="s">
        <v>11879</v>
      </c>
      <c r="J3444" s="1" t="s">
        <v>4278</v>
      </c>
      <c r="K3444" s="1">
        <v>7</v>
      </c>
      <c r="L3444" s="1" t="s">
        <v>4299</v>
      </c>
      <c r="M3444" s="1">
        <v>16</v>
      </c>
      <c r="N3444" s="1" t="s">
        <v>4308</v>
      </c>
    </row>
    <row r="3445" spans="1:14" x14ac:dyDescent="0.15">
      <c r="A3445" s="1">
        <v>726</v>
      </c>
      <c r="B3445" s="1" t="s">
        <v>167</v>
      </c>
      <c r="C3445" s="1" t="s">
        <v>170</v>
      </c>
      <c r="D3445" s="1" t="s">
        <v>171</v>
      </c>
      <c r="E3445" s="1" t="s">
        <v>170</v>
      </c>
      <c r="F3445" s="1" t="s">
        <v>171</v>
      </c>
      <c r="G3445" s="1" t="s">
        <v>172</v>
      </c>
      <c r="H3445" s="1" t="s">
        <v>171</v>
      </c>
      <c r="I3445" s="1" t="s">
        <v>14404</v>
      </c>
      <c r="J3445" s="1" t="s">
        <v>173</v>
      </c>
      <c r="K3445" s="1">
        <v>7</v>
      </c>
      <c r="L3445" s="1" t="s">
        <v>4299</v>
      </c>
      <c r="M3445" s="1">
        <v>16</v>
      </c>
      <c r="N3445" s="1" t="s">
        <v>4308</v>
      </c>
    </row>
    <row r="3446" spans="1:14" x14ac:dyDescent="0.15">
      <c r="A3446" s="1">
        <v>726</v>
      </c>
      <c r="B3446" s="1" t="s">
        <v>167</v>
      </c>
      <c r="C3446" s="1" t="s">
        <v>174</v>
      </c>
      <c r="D3446" s="1" t="s">
        <v>175</v>
      </c>
      <c r="E3446" s="1" t="s">
        <v>174</v>
      </c>
      <c r="F3446" s="1" t="s">
        <v>175</v>
      </c>
      <c r="G3446" s="1" t="s">
        <v>176</v>
      </c>
      <c r="H3446" s="1" t="s">
        <v>175</v>
      </c>
      <c r="I3446" s="1" t="s">
        <v>14412</v>
      </c>
      <c r="J3446" s="1" t="s">
        <v>177</v>
      </c>
      <c r="K3446" s="1">
        <v>7</v>
      </c>
      <c r="L3446" s="1" t="s">
        <v>4299</v>
      </c>
      <c r="M3446" s="1">
        <v>16</v>
      </c>
      <c r="N3446" s="1" t="s">
        <v>4308</v>
      </c>
    </row>
    <row r="3447" spans="1:14" x14ac:dyDescent="0.15">
      <c r="A3447" s="1">
        <v>726</v>
      </c>
      <c r="B3447" s="1" t="s">
        <v>167</v>
      </c>
      <c r="C3447" s="1" t="s">
        <v>178</v>
      </c>
      <c r="D3447" s="1" t="s">
        <v>179</v>
      </c>
      <c r="E3447" s="1" t="s">
        <v>178</v>
      </c>
      <c r="F3447" s="1" t="s">
        <v>179</v>
      </c>
      <c r="G3447" s="1" t="s">
        <v>180</v>
      </c>
      <c r="H3447" s="1" t="s">
        <v>179</v>
      </c>
      <c r="I3447" s="1" t="s">
        <v>4494</v>
      </c>
      <c r="J3447" s="1" t="s">
        <v>4495</v>
      </c>
      <c r="K3447" s="1">
        <v>7</v>
      </c>
      <c r="L3447" s="1" t="s">
        <v>4299</v>
      </c>
      <c r="M3447" s="1">
        <v>16</v>
      </c>
      <c r="N3447" s="1" t="s">
        <v>4308</v>
      </c>
    </row>
    <row r="3448" spans="1:14" x14ac:dyDescent="0.15">
      <c r="A3448" s="1">
        <v>726</v>
      </c>
      <c r="B3448" s="1" t="s">
        <v>167</v>
      </c>
      <c r="C3448" s="1" t="s">
        <v>181</v>
      </c>
      <c r="D3448" s="1" t="s">
        <v>182</v>
      </c>
      <c r="F3448" s="1" t="s">
        <v>183</v>
      </c>
      <c r="G3448" s="1" t="s">
        <v>184</v>
      </c>
      <c r="H3448" s="1" t="s">
        <v>182</v>
      </c>
      <c r="I3448" s="1" t="s">
        <v>4494</v>
      </c>
      <c r="J3448" s="1" t="s">
        <v>4495</v>
      </c>
      <c r="K3448" s="1">
        <v>7</v>
      </c>
      <c r="L3448" s="1" t="s">
        <v>4299</v>
      </c>
      <c r="M3448" s="1">
        <v>16</v>
      </c>
      <c r="N3448" s="1" t="s">
        <v>4308</v>
      </c>
    </row>
    <row r="3449" spans="1:14" x14ac:dyDescent="0.15">
      <c r="A3449" s="1">
        <v>730</v>
      </c>
      <c r="B3449" s="1" t="s">
        <v>185</v>
      </c>
      <c r="C3449" s="1" t="s">
        <v>186</v>
      </c>
      <c r="D3449" s="1" t="s">
        <v>185</v>
      </c>
      <c r="E3449" s="1" t="s">
        <v>186</v>
      </c>
      <c r="F3449" s="1" t="s">
        <v>185</v>
      </c>
      <c r="G3449" s="1" t="s">
        <v>187</v>
      </c>
      <c r="H3449" s="1" t="s">
        <v>185</v>
      </c>
      <c r="I3449" s="1" t="s">
        <v>11879</v>
      </c>
      <c r="J3449" s="1" t="s">
        <v>4278</v>
      </c>
      <c r="K3449" s="1">
        <v>7</v>
      </c>
      <c r="L3449" s="1" t="s">
        <v>4299</v>
      </c>
      <c r="M3449" s="1">
        <v>13</v>
      </c>
      <c r="N3449" s="1" t="s">
        <v>4300</v>
      </c>
    </row>
    <row r="3450" spans="1:14" x14ac:dyDescent="0.15">
      <c r="A3450" s="1">
        <v>730</v>
      </c>
      <c r="B3450" s="1" t="s">
        <v>185</v>
      </c>
      <c r="C3450" s="1" t="s">
        <v>188</v>
      </c>
      <c r="D3450" s="1" t="s">
        <v>189</v>
      </c>
      <c r="E3450" s="1" t="s">
        <v>188</v>
      </c>
      <c r="F3450" s="1" t="s">
        <v>189</v>
      </c>
      <c r="G3450" s="1" t="s">
        <v>190</v>
      </c>
      <c r="H3450" s="1" t="s">
        <v>189</v>
      </c>
      <c r="I3450" s="1" t="s">
        <v>4494</v>
      </c>
      <c r="J3450" s="1" t="s">
        <v>4495</v>
      </c>
      <c r="K3450" s="1">
        <v>7</v>
      </c>
      <c r="L3450" s="1" t="s">
        <v>4299</v>
      </c>
      <c r="M3450" s="1">
        <v>13</v>
      </c>
      <c r="N3450" s="1" t="s">
        <v>4300</v>
      </c>
    </row>
    <row r="3451" spans="1:14" x14ac:dyDescent="0.15">
      <c r="A3451" s="1">
        <v>730</v>
      </c>
      <c r="B3451" s="1" t="s">
        <v>185</v>
      </c>
      <c r="C3451" s="1" t="s">
        <v>191</v>
      </c>
      <c r="D3451" s="1" t="s">
        <v>192</v>
      </c>
      <c r="E3451" s="1" t="s">
        <v>191</v>
      </c>
      <c r="F3451" s="1" t="s">
        <v>192</v>
      </c>
      <c r="G3451" s="1" t="s">
        <v>193</v>
      </c>
      <c r="H3451" s="1" t="s">
        <v>192</v>
      </c>
      <c r="I3451" s="1" t="s">
        <v>4494</v>
      </c>
      <c r="J3451" s="1" t="s">
        <v>4495</v>
      </c>
      <c r="K3451" s="1">
        <v>15</v>
      </c>
      <c r="L3451" s="1" t="s">
        <v>2073</v>
      </c>
      <c r="M3451" s="1">
        <v>2</v>
      </c>
      <c r="N3451" s="1" t="s">
        <v>4283</v>
      </c>
    </row>
    <row r="3452" spans="1:14" x14ac:dyDescent="0.15">
      <c r="A3452" s="1">
        <v>730</v>
      </c>
      <c r="B3452" s="1" t="s">
        <v>185</v>
      </c>
      <c r="C3452" s="1" t="s">
        <v>191</v>
      </c>
      <c r="D3452" s="1" t="s">
        <v>192</v>
      </c>
      <c r="E3452" s="1" t="s">
        <v>191</v>
      </c>
      <c r="F3452" s="1" t="s">
        <v>194</v>
      </c>
      <c r="G3452" s="1" t="s">
        <v>195</v>
      </c>
      <c r="H3452" s="1" t="s">
        <v>194</v>
      </c>
      <c r="I3452" s="1" t="s">
        <v>4494</v>
      </c>
      <c r="J3452" s="1" t="s">
        <v>4495</v>
      </c>
      <c r="K3452" s="1">
        <v>15</v>
      </c>
      <c r="L3452" s="1" t="s">
        <v>2073</v>
      </c>
      <c r="M3452" s="1">
        <v>2</v>
      </c>
      <c r="N3452" s="1" t="s">
        <v>4283</v>
      </c>
    </row>
    <row r="3453" spans="1:14" x14ac:dyDescent="0.15">
      <c r="A3453" s="1">
        <v>730</v>
      </c>
      <c r="B3453" s="1" t="s">
        <v>185</v>
      </c>
      <c r="C3453" s="1" t="s">
        <v>191</v>
      </c>
      <c r="D3453" s="1" t="s">
        <v>192</v>
      </c>
      <c r="E3453" s="1" t="s">
        <v>191</v>
      </c>
      <c r="F3453" s="1" t="s">
        <v>196</v>
      </c>
      <c r="G3453" s="1" t="s">
        <v>197</v>
      </c>
      <c r="H3453" s="1" t="s">
        <v>196</v>
      </c>
      <c r="I3453" s="1" t="s">
        <v>4494</v>
      </c>
      <c r="J3453" s="1" t="s">
        <v>4495</v>
      </c>
      <c r="K3453" s="1">
        <v>15</v>
      </c>
      <c r="L3453" s="1" t="s">
        <v>2073</v>
      </c>
      <c r="M3453" s="1">
        <v>2</v>
      </c>
      <c r="N3453" s="1" t="s">
        <v>4283</v>
      </c>
    </row>
    <row r="3454" spans="1:14" x14ac:dyDescent="0.15">
      <c r="A3454" s="1">
        <v>730</v>
      </c>
      <c r="B3454" s="1" t="s">
        <v>185</v>
      </c>
      <c r="C3454" s="1" t="s">
        <v>191</v>
      </c>
      <c r="D3454" s="1" t="s">
        <v>192</v>
      </c>
      <c r="E3454" s="1" t="s">
        <v>191</v>
      </c>
      <c r="F3454" s="1" t="s">
        <v>198</v>
      </c>
      <c r="G3454" s="1" t="s">
        <v>199</v>
      </c>
      <c r="H3454" s="1" t="s">
        <v>198</v>
      </c>
      <c r="I3454" s="1" t="s">
        <v>4494</v>
      </c>
      <c r="J3454" s="1" t="s">
        <v>4495</v>
      </c>
      <c r="K3454" s="1">
        <v>15</v>
      </c>
      <c r="L3454" s="1" t="s">
        <v>2073</v>
      </c>
      <c r="M3454" s="1">
        <v>2</v>
      </c>
      <c r="N3454" s="1" t="s">
        <v>4283</v>
      </c>
    </row>
    <row r="3455" spans="1:14" x14ac:dyDescent="0.15">
      <c r="A3455" s="1">
        <v>731</v>
      </c>
      <c r="B3455" s="1" t="s">
        <v>200</v>
      </c>
      <c r="C3455" s="1" t="s">
        <v>201</v>
      </c>
      <c r="D3455" s="1" t="s">
        <v>200</v>
      </c>
      <c r="E3455" s="1" t="s">
        <v>201</v>
      </c>
      <c r="F3455" s="1" t="s">
        <v>200</v>
      </c>
      <c r="G3455" s="1" t="s">
        <v>202</v>
      </c>
      <c r="H3455" s="1" t="s">
        <v>200</v>
      </c>
      <c r="I3455" s="1" t="s">
        <v>16411</v>
      </c>
      <c r="J3455" s="1" t="s">
        <v>203</v>
      </c>
      <c r="K3455" s="1">
        <v>3</v>
      </c>
      <c r="L3455" s="1" t="s">
        <v>4282</v>
      </c>
      <c r="M3455" s="1">
        <v>2</v>
      </c>
      <c r="N3455" s="1" t="s">
        <v>4283</v>
      </c>
    </row>
    <row r="3456" spans="1:14" x14ac:dyDescent="0.15">
      <c r="A3456" s="1">
        <v>731</v>
      </c>
      <c r="B3456" s="1" t="s">
        <v>200</v>
      </c>
      <c r="C3456" s="1" t="s">
        <v>201</v>
      </c>
      <c r="D3456" s="1" t="s">
        <v>200</v>
      </c>
      <c r="E3456" s="1" t="s">
        <v>201</v>
      </c>
      <c r="F3456" s="1" t="s">
        <v>200</v>
      </c>
      <c r="G3456" s="1" t="s">
        <v>202</v>
      </c>
      <c r="H3456" s="1" t="s">
        <v>200</v>
      </c>
      <c r="I3456" s="1" t="s">
        <v>16419</v>
      </c>
      <c r="J3456" s="1" t="s">
        <v>7018</v>
      </c>
      <c r="K3456" s="1">
        <v>3</v>
      </c>
      <c r="L3456" s="1" t="s">
        <v>4282</v>
      </c>
      <c r="M3456" s="1">
        <v>2</v>
      </c>
      <c r="N3456" s="1" t="s">
        <v>4283</v>
      </c>
    </row>
    <row r="3457" spans="1:14" x14ac:dyDescent="0.15">
      <c r="A3457" s="1">
        <v>731</v>
      </c>
      <c r="B3457" s="1" t="s">
        <v>200</v>
      </c>
      <c r="C3457" s="1" t="s">
        <v>201</v>
      </c>
      <c r="D3457" s="1" t="s">
        <v>200</v>
      </c>
      <c r="E3457" s="1" t="s">
        <v>201</v>
      </c>
      <c r="F3457" s="1" t="s">
        <v>200</v>
      </c>
      <c r="G3457" s="1" t="s">
        <v>202</v>
      </c>
      <c r="H3457" s="1" t="s">
        <v>200</v>
      </c>
      <c r="I3457" s="1" t="s">
        <v>14316</v>
      </c>
      <c r="J3457" s="1" t="s">
        <v>204</v>
      </c>
      <c r="K3457" s="1">
        <v>3</v>
      </c>
      <c r="L3457" s="1" t="s">
        <v>4282</v>
      </c>
      <c r="M3457" s="1">
        <v>2</v>
      </c>
      <c r="N3457" s="1" t="s">
        <v>4283</v>
      </c>
    </row>
    <row r="3458" spans="1:14" x14ac:dyDescent="0.15">
      <c r="A3458" s="1">
        <v>731</v>
      </c>
      <c r="B3458" s="1" t="s">
        <v>200</v>
      </c>
      <c r="C3458" s="1" t="s">
        <v>201</v>
      </c>
      <c r="D3458" s="1" t="s">
        <v>200</v>
      </c>
      <c r="E3458" s="1" t="s">
        <v>201</v>
      </c>
      <c r="F3458" s="1" t="s">
        <v>200</v>
      </c>
      <c r="G3458" s="1" t="s">
        <v>205</v>
      </c>
      <c r="H3458" s="1" t="s">
        <v>206</v>
      </c>
      <c r="I3458" s="1" t="s">
        <v>16411</v>
      </c>
      <c r="J3458" s="1" t="s">
        <v>207</v>
      </c>
      <c r="K3458" s="1">
        <v>3</v>
      </c>
      <c r="L3458" s="1" t="s">
        <v>4282</v>
      </c>
      <c r="M3458" s="1">
        <v>2</v>
      </c>
      <c r="N3458" s="1" t="s">
        <v>4283</v>
      </c>
    </row>
    <row r="3459" spans="1:14" x14ac:dyDescent="0.15">
      <c r="A3459" s="1">
        <v>731</v>
      </c>
      <c r="B3459" s="1" t="s">
        <v>200</v>
      </c>
      <c r="C3459" s="1" t="s">
        <v>201</v>
      </c>
      <c r="D3459" s="1" t="s">
        <v>200</v>
      </c>
      <c r="E3459" s="1" t="s">
        <v>201</v>
      </c>
      <c r="F3459" s="1" t="s">
        <v>200</v>
      </c>
      <c r="G3459" s="1" t="s">
        <v>205</v>
      </c>
      <c r="H3459" s="1" t="s">
        <v>206</v>
      </c>
      <c r="I3459" s="1" t="s">
        <v>16419</v>
      </c>
      <c r="J3459" s="1" t="s">
        <v>7018</v>
      </c>
      <c r="K3459" s="1">
        <v>3</v>
      </c>
      <c r="L3459" s="1" t="s">
        <v>4282</v>
      </c>
      <c r="M3459" s="1">
        <v>2</v>
      </c>
      <c r="N3459" s="1" t="s">
        <v>4283</v>
      </c>
    </row>
    <row r="3460" spans="1:14" x14ac:dyDescent="0.15">
      <c r="A3460" s="1">
        <v>731</v>
      </c>
      <c r="B3460" s="1" t="s">
        <v>200</v>
      </c>
      <c r="C3460" s="1" t="s">
        <v>201</v>
      </c>
      <c r="D3460" s="1" t="s">
        <v>200</v>
      </c>
      <c r="E3460" s="1" t="s">
        <v>201</v>
      </c>
      <c r="F3460" s="1" t="s">
        <v>200</v>
      </c>
      <c r="G3460" s="1" t="s">
        <v>205</v>
      </c>
      <c r="H3460" s="1" t="s">
        <v>206</v>
      </c>
      <c r="I3460" s="1" t="s">
        <v>14316</v>
      </c>
      <c r="J3460" s="1" t="s">
        <v>208</v>
      </c>
      <c r="K3460" s="1">
        <v>3</v>
      </c>
      <c r="L3460" s="1" t="s">
        <v>4282</v>
      </c>
      <c r="M3460" s="1">
        <v>2</v>
      </c>
      <c r="N3460" s="1" t="s">
        <v>4283</v>
      </c>
    </row>
    <row r="3461" spans="1:14" x14ac:dyDescent="0.15">
      <c r="A3461" s="1">
        <v>731</v>
      </c>
      <c r="B3461" s="1" t="s">
        <v>200</v>
      </c>
      <c r="C3461" s="1" t="s">
        <v>201</v>
      </c>
      <c r="D3461" s="1" t="s">
        <v>200</v>
      </c>
      <c r="E3461" s="1" t="s">
        <v>201</v>
      </c>
      <c r="F3461" s="1" t="s">
        <v>200</v>
      </c>
      <c r="G3461" s="1" t="s">
        <v>209</v>
      </c>
      <c r="H3461" s="1" t="s">
        <v>210</v>
      </c>
      <c r="I3461" s="1" t="s">
        <v>16411</v>
      </c>
      <c r="J3461" s="1" t="s">
        <v>207</v>
      </c>
      <c r="K3461" s="1">
        <v>7</v>
      </c>
      <c r="L3461" s="1" t="s">
        <v>4299</v>
      </c>
      <c r="M3461" s="1">
        <v>13</v>
      </c>
      <c r="N3461" s="1" t="s">
        <v>4300</v>
      </c>
    </row>
    <row r="3462" spans="1:14" x14ac:dyDescent="0.15">
      <c r="A3462" s="1">
        <v>731</v>
      </c>
      <c r="B3462" s="1" t="s">
        <v>200</v>
      </c>
      <c r="C3462" s="1" t="s">
        <v>201</v>
      </c>
      <c r="D3462" s="1" t="s">
        <v>200</v>
      </c>
      <c r="E3462" s="1" t="s">
        <v>201</v>
      </c>
      <c r="F3462" s="1" t="s">
        <v>200</v>
      </c>
      <c r="G3462" s="1" t="s">
        <v>209</v>
      </c>
      <c r="H3462" s="1" t="s">
        <v>210</v>
      </c>
      <c r="I3462" s="1" t="s">
        <v>16419</v>
      </c>
      <c r="J3462" s="1" t="s">
        <v>7018</v>
      </c>
      <c r="K3462" s="1">
        <v>7</v>
      </c>
      <c r="L3462" s="1" t="s">
        <v>4299</v>
      </c>
      <c r="M3462" s="1">
        <v>13</v>
      </c>
      <c r="N3462" s="1" t="s">
        <v>4300</v>
      </c>
    </row>
    <row r="3463" spans="1:14" x14ac:dyDescent="0.15">
      <c r="A3463" s="1">
        <v>731</v>
      </c>
      <c r="B3463" s="1" t="s">
        <v>200</v>
      </c>
      <c r="C3463" s="1" t="s">
        <v>201</v>
      </c>
      <c r="D3463" s="1" t="s">
        <v>200</v>
      </c>
      <c r="E3463" s="1" t="s">
        <v>201</v>
      </c>
      <c r="F3463" s="1" t="s">
        <v>200</v>
      </c>
      <c r="G3463" s="1" t="s">
        <v>209</v>
      </c>
      <c r="H3463" s="1" t="s">
        <v>210</v>
      </c>
      <c r="I3463" s="1" t="s">
        <v>14316</v>
      </c>
      <c r="J3463" s="1" t="s">
        <v>208</v>
      </c>
      <c r="K3463" s="1">
        <v>7</v>
      </c>
      <c r="L3463" s="1" t="s">
        <v>4299</v>
      </c>
      <c r="M3463" s="1">
        <v>13</v>
      </c>
      <c r="N3463" s="1" t="s">
        <v>4300</v>
      </c>
    </row>
    <row r="3464" spans="1:14" x14ac:dyDescent="0.15">
      <c r="A3464" s="1">
        <v>732</v>
      </c>
      <c r="B3464" s="1" t="s">
        <v>211</v>
      </c>
      <c r="C3464" s="1" t="s">
        <v>212</v>
      </c>
      <c r="D3464" s="1" t="s">
        <v>211</v>
      </c>
      <c r="E3464" s="1" t="s">
        <v>212</v>
      </c>
      <c r="F3464" s="1" t="s">
        <v>211</v>
      </c>
      <c r="G3464" s="1" t="s">
        <v>213</v>
      </c>
      <c r="H3464" s="1" t="s">
        <v>211</v>
      </c>
      <c r="I3464" s="1" t="s">
        <v>14304</v>
      </c>
      <c r="J3464" s="1" t="s">
        <v>214</v>
      </c>
      <c r="K3464" s="1">
        <v>7</v>
      </c>
      <c r="L3464" s="1" t="s">
        <v>4299</v>
      </c>
      <c r="M3464" s="1">
        <v>13</v>
      </c>
      <c r="N3464" s="1" t="s">
        <v>4300</v>
      </c>
    </row>
    <row r="3465" spans="1:14" x14ac:dyDescent="0.15">
      <c r="A3465" s="1">
        <v>732</v>
      </c>
      <c r="B3465" s="1" t="s">
        <v>211</v>
      </c>
      <c r="C3465" s="1" t="s">
        <v>212</v>
      </c>
      <c r="D3465" s="1" t="s">
        <v>211</v>
      </c>
      <c r="E3465" s="1" t="s">
        <v>212</v>
      </c>
      <c r="F3465" s="1" t="s">
        <v>211</v>
      </c>
      <c r="G3465" s="1" t="s">
        <v>215</v>
      </c>
      <c r="H3465" s="1" t="s">
        <v>216</v>
      </c>
      <c r="I3465" s="1" t="s">
        <v>14304</v>
      </c>
      <c r="J3465" s="1" t="s">
        <v>214</v>
      </c>
      <c r="K3465" s="1">
        <v>7</v>
      </c>
      <c r="L3465" s="1" t="s">
        <v>4299</v>
      </c>
      <c r="M3465" s="1">
        <v>13</v>
      </c>
      <c r="N3465" s="1" t="s">
        <v>4300</v>
      </c>
    </row>
    <row r="3466" spans="1:14" x14ac:dyDescent="0.15">
      <c r="A3466" s="1">
        <v>732</v>
      </c>
      <c r="B3466" s="1" t="s">
        <v>211</v>
      </c>
      <c r="C3466" s="1" t="s">
        <v>212</v>
      </c>
      <c r="D3466" s="1" t="s">
        <v>211</v>
      </c>
      <c r="E3466" s="1" t="s">
        <v>212</v>
      </c>
      <c r="F3466" s="1" t="s">
        <v>211</v>
      </c>
      <c r="G3466" s="1" t="s">
        <v>217</v>
      </c>
      <c r="H3466" s="1" t="s">
        <v>218</v>
      </c>
      <c r="I3466" s="1" t="s">
        <v>14304</v>
      </c>
      <c r="J3466" s="1" t="s">
        <v>214</v>
      </c>
      <c r="K3466" s="1">
        <v>7</v>
      </c>
      <c r="L3466" s="1" t="s">
        <v>4299</v>
      </c>
      <c r="M3466" s="1">
        <v>13</v>
      </c>
      <c r="N3466" s="1" t="s">
        <v>4300</v>
      </c>
    </row>
    <row r="3467" spans="1:14" x14ac:dyDescent="0.15">
      <c r="A3467" s="1">
        <v>732</v>
      </c>
      <c r="B3467" s="1" t="s">
        <v>211</v>
      </c>
      <c r="C3467" s="1" t="s">
        <v>212</v>
      </c>
      <c r="D3467" s="1" t="s">
        <v>211</v>
      </c>
      <c r="E3467" s="1" t="s">
        <v>212</v>
      </c>
      <c r="F3467" s="1" t="s">
        <v>211</v>
      </c>
      <c r="G3467" s="1" t="s">
        <v>215</v>
      </c>
      <c r="H3467" s="1" t="s">
        <v>216</v>
      </c>
      <c r="I3467" s="1" t="s">
        <v>10043</v>
      </c>
      <c r="J3467" s="1" t="s">
        <v>5972</v>
      </c>
      <c r="K3467" s="1">
        <v>7</v>
      </c>
      <c r="L3467" s="1" t="s">
        <v>4299</v>
      </c>
      <c r="M3467" s="1">
        <v>13</v>
      </c>
      <c r="N3467" s="1" t="s">
        <v>4300</v>
      </c>
    </row>
    <row r="3468" spans="1:14" x14ac:dyDescent="0.15">
      <c r="A3468" s="1">
        <v>733</v>
      </c>
      <c r="B3468" s="1" t="s">
        <v>219</v>
      </c>
      <c r="C3468" s="1" t="s">
        <v>220</v>
      </c>
      <c r="D3468" s="1" t="s">
        <v>221</v>
      </c>
      <c r="E3468" s="1" t="s">
        <v>220</v>
      </c>
      <c r="F3468" s="1" t="s">
        <v>221</v>
      </c>
      <c r="G3468" s="1" t="s">
        <v>222</v>
      </c>
      <c r="H3468" s="1" t="s">
        <v>221</v>
      </c>
      <c r="I3468" s="1" t="s">
        <v>14328</v>
      </c>
      <c r="J3468" s="1" t="s">
        <v>2417</v>
      </c>
      <c r="K3468" s="1">
        <v>7</v>
      </c>
      <c r="L3468" s="1" t="s">
        <v>4299</v>
      </c>
      <c r="M3468" s="1">
        <v>13</v>
      </c>
      <c r="N3468" s="1" t="s">
        <v>4300</v>
      </c>
    </row>
    <row r="3469" spans="1:14" x14ac:dyDescent="0.15">
      <c r="A3469" s="1">
        <v>733</v>
      </c>
      <c r="B3469" s="1" t="s">
        <v>219</v>
      </c>
      <c r="C3469" s="1" t="s">
        <v>220</v>
      </c>
      <c r="D3469" s="1" t="s">
        <v>221</v>
      </c>
      <c r="E3469" s="1" t="s">
        <v>220</v>
      </c>
      <c r="F3469" s="1" t="s">
        <v>221</v>
      </c>
      <c r="G3469" s="1" t="s">
        <v>222</v>
      </c>
      <c r="H3469" s="1" t="s">
        <v>221</v>
      </c>
      <c r="I3469" s="1" t="s">
        <v>14332</v>
      </c>
      <c r="J3469" s="1" t="s">
        <v>6370</v>
      </c>
      <c r="K3469" s="1">
        <v>7</v>
      </c>
      <c r="L3469" s="1" t="s">
        <v>4299</v>
      </c>
      <c r="M3469" s="1">
        <v>13</v>
      </c>
      <c r="N3469" s="1" t="s">
        <v>4300</v>
      </c>
    </row>
    <row r="3470" spans="1:14" x14ac:dyDescent="0.15">
      <c r="A3470" s="1">
        <v>736</v>
      </c>
      <c r="B3470" s="1" t="s">
        <v>223</v>
      </c>
      <c r="C3470" s="1" t="s">
        <v>224</v>
      </c>
      <c r="D3470" s="1" t="s">
        <v>223</v>
      </c>
      <c r="E3470" s="1" t="s">
        <v>224</v>
      </c>
      <c r="F3470" s="1" t="s">
        <v>223</v>
      </c>
      <c r="G3470" s="1" t="s">
        <v>225</v>
      </c>
      <c r="H3470" s="1" t="s">
        <v>223</v>
      </c>
      <c r="I3470" s="1" t="s">
        <v>14328</v>
      </c>
      <c r="J3470" s="1" t="s">
        <v>2417</v>
      </c>
      <c r="K3470" s="1">
        <v>7</v>
      </c>
      <c r="L3470" s="1" t="s">
        <v>4299</v>
      </c>
      <c r="M3470" s="1">
        <v>13</v>
      </c>
      <c r="N3470" s="1" t="s">
        <v>4300</v>
      </c>
    </row>
    <row r="3471" spans="1:14" x14ac:dyDescent="0.15">
      <c r="A3471" s="1">
        <v>736</v>
      </c>
      <c r="B3471" s="1" t="s">
        <v>223</v>
      </c>
      <c r="C3471" s="1" t="s">
        <v>224</v>
      </c>
      <c r="D3471" s="1" t="s">
        <v>223</v>
      </c>
      <c r="E3471" s="1" t="s">
        <v>224</v>
      </c>
      <c r="F3471" s="1" t="s">
        <v>223</v>
      </c>
      <c r="G3471" s="1" t="s">
        <v>225</v>
      </c>
      <c r="H3471" s="1" t="s">
        <v>223</v>
      </c>
      <c r="I3471" s="1" t="s">
        <v>14332</v>
      </c>
      <c r="J3471" s="1" t="s">
        <v>6370</v>
      </c>
      <c r="K3471" s="1">
        <v>7</v>
      </c>
      <c r="L3471" s="1" t="s">
        <v>4299</v>
      </c>
      <c r="M3471" s="1">
        <v>13</v>
      </c>
      <c r="N3471" s="1" t="s">
        <v>4300</v>
      </c>
    </row>
    <row r="3472" spans="1:14" x14ac:dyDescent="0.15">
      <c r="A3472" s="1">
        <v>733</v>
      </c>
      <c r="B3472" s="1" t="s">
        <v>219</v>
      </c>
      <c r="C3472" s="1" t="s">
        <v>226</v>
      </c>
      <c r="D3472" s="1" t="s">
        <v>227</v>
      </c>
      <c r="E3472" s="1" t="s">
        <v>226</v>
      </c>
      <c r="F3472" s="1" t="s">
        <v>227</v>
      </c>
      <c r="G3472" s="1" t="s">
        <v>228</v>
      </c>
      <c r="H3472" s="1" t="s">
        <v>227</v>
      </c>
      <c r="I3472" s="1" t="s">
        <v>14328</v>
      </c>
      <c r="J3472" s="1" t="s">
        <v>2417</v>
      </c>
      <c r="K3472" s="1">
        <v>15</v>
      </c>
      <c r="L3472" s="1" t="s">
        <v>2073</v>
      </c>
      <c r="M3472" s="1">
        <v>2</v>
      </c>
      <c r="N3472" s="1" t="s">
        <v>4283</v>
      </c>
    </row>
    <row r="3473" spans="1:14" x14ac:dyDescent="0.15">
      <c r="A3473" s="1">
        <v>734</v>
      </c>
      <c r="B3473" s="1" t="s">
        <v>229</v>
      </c>
      <c r="C3473" s="1" t="s">
        <v>230</v>
      </c>
      <c r="D3473" s="1" t="s">
        <v>229</v>
      </c>
      <c r="E3473" s="1" t="s">
        <v>230</v>
      </c>
      <c r="F3473" s="1" t="s">
        <v>229</v>
      </c>
      <c r="G3473" s="1" t="s">
        <v>231</v>
      </c>
      <c r="H3473" s="1" t="s">
        <v>229</v>
      </c>
      <c r="I3473" s="1" t="s">
        <v>8949</v>
      </c>
      <c r="J3473" s="1" t="s">
        <v>2239</v>
      </c>
      <c r="K3473" s="1">
        <v>7</v>
      </c>
      <c r="L3473" s="1" t="s">
        <v>4299</v>
      </c>
      <c r="M3473" s="1">
        <v>13</v>
      </c>
      <c r="N3473" s="1" t="s">
        <v>4300</v>
      </c>
    </row>
    <row r="3474" spans="1:14" x14ac:dyDescent="0.15">
      <c r="A3474" s="1">
        <v>735</v>
      </c>
      <c r="B3474" s="1" t="s">
        <v>232</v>
      </c>
      <c r="C3474" s="1" t="s">
        <v>233</v>
      </c>
      <c r="D3474" s="1" t="s">
        <v>232</v>
      </c>
      <c r="E3474" s="1" t="s">
        <v>233</v>
      </c>
      <c r="F3474" s="1" t="s">
        <v>232</v>
      </c>
      <c r="G3474" s="1" t="s">
        <v>234</v>
      </c>
      <c r="H3474" s="1" t="s">
        <v>232</v>
      </c>
      <c r="I3474" s="1" t="s">
        <v>14328</v>
      </c>
      <c r="J3474" s="1" t="s">
        <v>2417</v>
      </c>
      <c r="K3474" s="1">
        <v>7</v>
      </c>
      <c r="L3474" s="1" t="s">
        <v>4299</v>
      </c>
      <c r="M3474" s="1">
        <v>13</v>
      </c>
      <c r="N3474" s="1" t="s">
        <v>4300</v>
      </c>
    </row>
    <row r="3475" spans="1:14" x14ac:dyDescent="0.15">
      <c r="A3475" s="1">
        <v>735</v>
      </c>
      <c r="B3475" s="1" t="s">
        <v>232</v>
      </c>
      <c r="C3475" s="1" t="s">
        <v>233</v>
      </c>
      <c r="D3475" s="1" t="s">
        <v>232</v>
      </c>
      <c r="E3475" s="1" t="s">
        <v>233</v>
      </c>
      <c r="F3475" s="1" t="s">
        <v>232</v>
      </c>
      <c r="G3475" s="1" t="s">
        <v>234</v>
      </c>
      <c r="H3475" s="1" t="s">
        <v>232</v>
      </c>
      <c r="I3475" s="1" t="s">
        <v>14332</v>
      </c>
      <c r="J3475" s="1" t="s">
        <v>6370</v>
      </c>
      <c r="K3475" s="1">
        <v>7</v>
      </c>
      <c r="L3475" s="1" t="s">
        <v>4299</v>
      </c>
      <c r="M3475" s="1">
        <v>13</v>
      </c>
      <c r="N3475" s="1" t="s">
        <v>4300</v>
      </c>
    </row>
    <row r="3476" spans="1:14" x14ac:dyDescent="0.15">
      <c r="A3476" s="1">
        <v>762</v>
      </c>
      <c r="B3476" s="1" t="s">
        <v>235</v>
      </c>
      <c r="C3476" s="1" t="s">
        <v>236</v>
      </c>
      <c r="D3476" s="1" t="s">
        <v>237</v>
      </c>
      <c r="E3476" s="1" t="s">
        <v>236</v>
      </c>
      <c r="F3476" s="1" t="s">
        <v>237</v>
      </c>
      <c r="G3476" s="1" t="s">
        <v>238</v>
      </c>
      <c r="H3476" s="1" t="s">
        <v>237</v>
      </c>
      <c r="I3476" s="1" t="s">
        <v>14344</v>
      </c>
      <c r="J3476" s="1" t="s">
        <v>6357</v>
      </c>
      <c r="K3476" s="1">
        <v>7</v>
      </c>
      <c r="L3476" s="1" t="s">
        <v>4299</v>
      </c>
      <c r="M3476" s="1">
        <v>13</v>
      </c>
      <c r="N3476" s="1" t="s">
        <v>4300</v>
      </c>
    </row>
    <row r="3477" spans="1:14" x14ac:dyDescent="0.15">
      <c r="A3477" s="1">
        <v>741</v>
      </c>
      <c r="B3477" s="1" t="s">
        <v>239</v>
      </c>
      <c r="C3477" s="1" t="s">
        <v>240</v>
      </c>
      <c r="D3477" s="1" t="s">
        <v>239</v>
      </c>
      <c r="E3477" s="1" t="s">
        <v>240</v>
      </c>
      <c r="F3477" s="1" t="s">
        <v>239</v>
      </c>
      <c r="G3477" s="1" t="s">
        <v>241</v>
      </c>
      <c r="H3477" s="1" t="s">
        <v>239</v>
      </c>
      <c r="I3477" s="1" t="s">
        <v>14225</v>
      </c>
      <c r="J3477" s="1" t="s">
        <v>2238</v>
      </c>
      <c r="K3477" s="1">
        <v>15</v>
      </c>
      <c r="L3477" s="1" t="s">
        <v>2073</v>
      </c>
      <c r="M3477" s="1">
        <v>2</v>
      </c>
      <c r="N3477" s="1" t="s">
        <v>4283</v>
      </c>
    </row>
    <row r="3478" spans="1:14" x14ac:dyDescent="0.15">
      <c r="A3478" s="1">
        <v>741</v>
      </c>
      <c r="B3478" s="1" t="s">
        <v>239</v>
      </c>
      <c r="C3478" s="1" t="s">
        <v>240</v>
      </c>
      <c r="D3478" s="1" t="s">
        <v>239</v>
      </c>
      <c r="E3478" s="1" t="s">
        <v>240</v>
      </c>
      <c r="F3478" s="1" t="s">
        <v>239</v>
      </c>
      <c r="G3478" s="1" t="s">
        <v>241</v>
      </c>
      <c r="H3478" s="1" t="s">
        <v>239</v>
      </c>
      <c r="I3478" s="1" t="s">
        <v>14233</v>
      </c>
      <c r="J3478" s="1" t="s">
        <v>14234</v>
      </c>
      <c r="K3478" s="1">
        <v>15</v>
      </c>
      <c r="L3478" s="1" t="s">
        <v>2073</v>
      </c>
      <c r="M3478" s="1">
        <v>2</v>
      </c>
      <c r="N3478" s="1" t="s">
        <v>4283</v>
      </c>
    </row>
    <row r="3479" spans="1:14" x14ac:dyDescent="0.15">
      <c r="A3479" s="1">
        <v>741</v>
      </c>
      <c r="B3479" s="1" t="s">
        <v>239</v>
      </c>
      <c r="C3479" s="1" t="s">
        <v>240</v>
      </c>
      <c r="D3479" s="1" t="s">
        <v>239</v>
      </c>
      <c r="E3479" s="1" t="s">
        <v>240</v>
      </c>
      <c r="F3479" s="1" t="s">
        <v>239</v>
      </c>
      <c r="G3479" s="1" t="s">
        <v>241</v>
      </c>
      <c r="H3479" s="1" t="s">
        <v>239</v>
      </c>
      <c r="I3479" s="1" t="s">
        <v>14237</v>
      </c>
      <c r="J3479" s="1" t="s">
        <v>14238</v>
      </c>
      <c r="K3479" s="1">
        <v>15</v>
      </c>
      <c r="L3479" s="1" t="s">
        <v>2073</v>
      </c>
      <c r="M3479" s="1">
        <v>2</v>
      </c>
      <c r="N3479" s="1" t="s">
        <v>4283</v>
      </c>
    </row>
    <row r="3480" spans="1:14" x14ac:dyDescent="0.15">
      <c r="A3480" s="1">
        <v>742</v>
      </c>
      <c r="B3480" s="1" t="s">
        <v>242</v>
      </c>
      <c r="C3480" s="1" t="s">
        <v>243</v>
      </c>
      <c r="D3480" s="1" t="s">
        <v>242</v>
      </c>
      <c r="E3480" s="1" t="s">
        <v>243</v>
      </c>
      <c r="F3480" s="1" t="s">
        <v>242</v>
      </c>
      <c r="G3480" s="1" t="s">
        <v>244</v>
      </c>
      <c r="H3480" s="1" t="s">
        <v>242</v>
      </c>
      <c r="I3480" s="1" t="s">
        <v>14292</v>
      </c>
      <c r="J3480" s="1" t="s">
        <v>3489</v>
      </c>
      <c r="K3480" s="1">
        <v>13</v>
      </c>
      <c r="L3480" s="1" t="s">
        <v>4219</v>
      </c>
      <c r="M3480" s="1">
        <v>3</v>
      </c>
      <c r="N3480" s="1" t="s">
        <v>3241</v>
      </c>
    </row>
    <row r="3481" spans="1:14" x14ac:dyDescent="0.15">
      <c r="A3481" s="1">
        <v>743</v>
      </c>
      <c r="B3481" s="1" t="s">
        <v>245</v>
      </c>
      <c r="C3481" s="1" t="s">
        <v>246</v>
      </c>
      <c r="D3481" s="1" t="s">
        <v>245</v>
      </c>
      <c r="E3481" s="1" t="s">
        <v>246</v>
      </c>
      <c r="F3481" s="1" t="s">
        <v>245</v>
      </c>
      <c r="G3481" s="1" t="s">
        <v>247</v>
      </c>
      <c r="H3481" s="1" t="s">
        <v>245</v>
      </c>
      <c r="I3481" s="1" t="s">
        <v>11879</v>
      </c>
      <c r="J3481" s="1" t="s">
        <v>4278</v>
      </c>
      <c r="K3481" s="1">
        <v>7</v>
      </c>
      <c r="L3481" s="1" t="s">
        <v>4299</v>
      </c>
      <c r="M3481" s="1">
        <v>13</v>
      </c>
      <c r="N3481" s="1" t="s">
        <v>4300</v>
      </c>
    </row>
    <row r="3482" spans="1:14" x14ac:dyDescent="0.15">
      <c r="A3482" s="1">
        <v>743</v>
      </c>
      <c r="B3482" s="1" t="s">
        <v>245</v>
      </c>
      <c r="C3482" s="1" t="s">
        <v>248</v>
      </c>
      <c r="D3482" s="1" t="s">
        <v>249</v>
      </c>
      <c r="E3482" s="1" t="s">
        <v>248</v>
      </c>
      <c r="F3482" s="1" t="s">
        <v>249</v>
      </c>
      <c r="G3482" s="1" t="s">
        <v>250</v>
      </c>
      <c r="H3482" s="1" t="s">
        <v>249</v>
      </c>
      <c r="I3482" s="1" t="s">
        <v>14292</v>
      </c>
      <c r="J3482" s="1" t="s">
        <v>3489</v>
      </c>
      <c r="K3482" s="1">
        <v>7</v>
      </c>
      <c r="L3482" s="1" t="s">
        <v>4299</v>
      </c>
      <c r="M3482" s="1">
        <v>13</v>
      </c>
      <c r="N3482" s="1" t="s">
        <v>4300</v>
      </c>
    </row>
    <row r="3483" spans="1:14" x14ac:dyDescent="0.15">
      <c r="A3483" s="1">
        <v>743</v>
      </c>
      <c r="B3483" s="1" t="s">
        <v>245</v>
      </c>
      <c r="C3483" s="1" t="s">
        <v>251</v>
      </c>
      <c r="D3483" s="1" t="s">
        <v>252</v>
      </c>
      <c r="E3483" s="1" t="s">
        <v>251</v>
      </c>
      <c r="F3483" s="1" t="s">
        <v>252</v>
      </c>
      <c r="G3483" s="1" t="s">
        <v>253</v>
      </c>
      <c r="H3483" s="1" t="s">
        <v>252</v>
      </c>
      <c r="I3483" s="1" t="s">
        <v>16383</v>
      </c>
      <c r="J3483" s="1" t="s">
        <v>7017</v>
      </c>
      <c r="K3483" s="1">
        <v>7</v>
      </c>
      <c r="L3483" s="1" t="s">
        <v>4299</v>
      </c>
      <c r="M3483" s="1">
        <v>13</v>
      </c>
      <c r="N3483" s="1" t="s">
        <v>4300</v>
      </c>
    </row>
    <row r="3484" spans="1:14" x14ac:dyDescent="0.15">
      <c r="A3484" s="1">
        <v>743</v>
      </c>
      <c r="B3484" s="1" t="s">
        <v>245</v>
      </c>
      <c r="C3484" s="1" t="s">
        <v>254</v>
      </c>
      <c r="D3484" s="1" t="s">
        <v>255</v>
      </c>
      <c r="E3484" s="1" t="s">
        <v>254</v>
      </c>
      <c r="F3484" s="1" t="s">
        <v>255</v>
      </c>
      <c r="G3484" s="1" t="s">
        <v>256</v>
      </c>
      <c r="H3484" s="1" t="s">
        <v>255</v>
      </c>
      <c r="I3484" s="1" t="s">
        <v>14352</v>
      </c>
      <c r="J3484" s="1" t="s">
        <v>257</v>
      </c>
      <c r="K3484" s="1">
        <v>7</v>
      </c>
      <c r="L3484" s="1" t="s">
        <v>4299</v>
      </c>
      <c r="M3484" s="1">
        <v>3</v>
      </c>
      <c r="N3484" s="1" t="s">
        <v>3241</v>
      </c>
    </row>
    <row r="3485" spans="1:14" x14ac:dyDescent="0.15">
      <c r="A3485" s="1">
        <v>743</v>
      </c>
      <c r="B3485" s="1" t="s">
        <v>245</v>
      </c>
      <c r="C3485" s="1" t="s">
        <v>254</v>
      </c>
      <c r="D3485" s="1" t="s">
        <v>255</v>
      </c>
      <c r="E3485" s="1" t="s">
        <v>254</v>
      </c>
      <c r="F3485" s="1" t="s">
        <v>255</v>
      </c>
      <c r="G3485" s="1" t="s">
        <v>258</v>
      </c>
      <c r="H3485" s="1" t="s">
        <v>259</v>
      </c>
      <c r="I3485" s="1" t="s">
        <v>14352</v>
      </c>
      <c r="J3485" s="1" t="s">
        <v>257</v>
      </c>
      <c r="K3485" s="1">
        <v>7</v>
      </c>
      <c r="L3485" s="1" t="s">
        <v>4299</v>
      </c>
      <c r="M3485" s="1">
        <v>3</v>
      </c>
      <c r="N3485" s="1" t="s">
        <v>3241</v>
      </c>
    </row>
    <row r="3486" spans="1:14" x14ac:dyDescent="0.15">
      <c r="A3486" s="1">
        <v>743</v>
      </c>
      <c r="B3486" s="1" t="s">
        <v>245</v>
      </c>
      <c r="C3486" s="1" t="s">
        <v>254</v>
      </c>
      <c r="D3486" s="1" t="s">
        <v>255</v>
      </c>
      <c r="E3486" s="1" t="s">
        <v>254</v>
      </c>
      <c r="F3486" s="1" t="s">
        <v>255</v>
      </c>
      <c r="G3486" s="1" t="s">
        <v>260</v>
      </c>
      <c r="H3486" s="1" t="s">
        <v>261</v>
      </c>
      <c r="I3486" s="1" t="s">
        <v>14352</v>
      </c>
      <c r="J3486" s="1" t="s">
        <v>257</v>
      </c>
      <c r="K3486" s="1">
        <v>7</v>
      </c>
      <c r="L3486" s="1" t="s">
        <v>4299</v>
      </c>
      <c r="M3486" s="1">
        <v>3</v>
      </c>
      <c r="N3486" s="1" t="s">
        <v>3241</v>
      </c>
    </row>
    <row r="3487" spans="1:14" x14ac:dyDescent="0.15">
      <c r="A3487" s="1">
        <v>743</v>
      </c>
      <c r="B3487" s="1" t="s">
        <v>245</v>
      </c>
      <c r="C3487" s="1" t="s">
        <v>254</v>
      </c>
      <c r="D3487" s="1" t="s">
        <v>255</v>
      </c>
      <c r="E3487" s="1" t="s">
        <v>254</v>
      </c>
      <c r="F3487" s="1" t="s">
        <v>255</v>
      </c>
      <c r="G3487" s="1" t="s">
        <v>262</v>
      </c>
      <c r="H3487" s="1" t="s">
        <v>263</v>
      </c>
      <c r="I3487" s="1" t="s">
        <v>14352</v>
      </c>
      <c r="J3487" s="1" t="s">
        <v>257</v>
      </c>
      <c r="K3487" s="1">
        <v>7</v>
      </c>
      <c r="L3487" s="1" t="s">
        <v>4299</v>
      </c>
      <c r="M3487" s="1">
        <v>3</v>
      </c>
      <c r="N3487" s="1" t="s">
        <v>3241</v>
      </c>
    </row>
    <row r="3488" spans="1:14" x14ac:dyDescent="0.15">
      <c r="A3488" s="1">
        <v>743</v>
      </c>
      <c r="B3488" s="1" t="s">
        <v>245</v>
      </c>
      <c r="C3488" s="1" t="s">
        <v>254</v>
      </c>
      <c r="D3488" s="1" t="s">
        <v>255</v>
      </c>
      <c r="E3488" s="1" t="s">
        <v>254</v>
      </c>
      <c r="F3488" s="1" t="s">
        <v>255</v>
      </c>
      <c r="G3488" s="1" t="s">
        <v>264</v>
      </c>
      <c r="H3488" s="1" t="s">
        <v>265</v>
      </c>
      <c r="I3488" s="1" t="s">
        <v>14352</v>
      </c>
      <c r="J3488" s="1" t="s">
        <v>257</v>
      </c>
      <c r="K3488" s="1">
        <v>7</v>
      </c>
      <c r="L3488" s="1" t="s">
        <v>4299</v>
      </c>
      <c r="M3488" s="1">
        <v>3</v>
      </c>
      <c r="N3488" s="1" t="s">
        <v>3241</v>
      </c>
    </row>
    <row r="3489" spans="1:14" x14ac:dyDescent="0.15">
      <c r="A3489" s="1">
        <v>743</v>
      </c>
      <c r="B3489" s="1" t="s">
        <v>245</v>
      </c>
      <c r="C3489" s="1" t="s">
        <v>266</v>
      </c>
      <c r="D3489" s="1" t="s">
        <v>267</v>
      </c>
      <c r="E3489" s="1" t="s">
        <v>266</v>
      </c>
      <c r="F3489" s="1" t="s">
        <v>267</v>
      </c>
      <c r="G3489" s="1" t="s">
        <v>268</v>
      </c>
      <c r="H3489" s="1" t="s">
        <v>267</v>
      </c>
      <c r="I3489" s="1" t="s">
        <v>14356</v>
      </c>
      <c r="J3489" s="1" t="s">
        <v>269</v>
      </c>
      <c r="K3489" s="1">
        <v>7</v>
      </c>
      <c r="L3489" s="1" t="s">
        <v>4299</v>
      </c>
      <c r="M3489" s="1">
        <v>11</v>
      </c>
      <c r="N3489" s="1" t="s">
        <v>4265</v>
      </c>
    </row>
    <row r="3490" spans="1:14" x14ac:dyDescent="0.15">
      <c r="A3490" s="1">
        <v>743</v>
      </c>
      <c r="B3490" s="1" t="s">
        <v>245</v>
      </c>
      <c r="C3490" s="1" t="s">
        <v>270</v>
      </c>
      <c r="D3490" s="1" t="s">
        <v>271</v>
      </c>
      <c r="E3490" s="1" t="s">
        <v>270</v>
      </c>
      <c r="F3490" s="1" t="s">
        <v>271</v>
      </c>
      <c r="G3490" s="1" t="s">
        <v>272</v>
      </c>
      <c r="H3490" s="1" t="s">
        <v>271</v>
      </c>
      <c r="I3490" s="1" t="s">
        <v>16395</v>
      </c>
      <c r="J3490" s="1" t="s">
        <v>16396</v>
      </c>
      <c r="K3490" s="1">
        <v>7</v>
      </c>
      <c r="L3490" s="1" t="s">
        <v>4299</v>
      </c>
      <c r="M3490" s="1">
        <v>11</v>
      </c>
      <c r="N3490" s="1" t="s">
        <v>4265</v>
      </c>
    </row>
    <row r="3491" spans="1:14" x14ac:dyDescent="0.15">
      <c r="A3491" s="1">
        <v>743</v>
      </c>
      <c r="B3491" s="1" t="s">
        <v>245</v>
      </c>
      <c r="C3491" s="1" t="s">
        <v>270</v>
      </c>
      <c r="D3491" s="1" t="s">
        <v>271</v>
      </c>
      <c r="E3491" s="1" t="s">
        <v>270</v>
      </c>
      <c r="F3491" s="1" t="s">
        <v>271</v>
      </c>
      <c r="G3491" s="1" t="s">
        <v>272</v>
      </c>
      <c r="H3491" s="1" t="s">
        <v>271</v>
      </c>
      <c r="I3491" s="1" t="s">
        <v>16403</v>
      </c>
      <c r="J3491" s="1" t="s">
        <v>273</v>
      </c>
      <c r="K3491" s="1">
        <v>7</v>
      </c>
      <c r="L3491" s="1" t="s">
        <v>4299</v>
      </c>
      <c r="M3491" s="1">
        <v>11</v>
      </c>
      <c r="N3491" s="1" t="s">
        <v>4265</v>
      </c>
    </row>
    <row r="3492" spans="1:14" x14ac:dyDescent="0.15">
      <c r="A3492" s="1">
        <v>751</v>
      </c>
      <c r="B3492" s="1" t="s">
        <v>274</v>
      </c>
      <c r="C3492" s="1" t="s">
        <v>275</v>
      </c>
      <c r="D3492" s="1" t="s">
        <v>274</v>
      </c>
      <c r="E3492" s="1" t="s">
        <v>275</v>
      </c>
      <c r="F3492" s="1" t="s">
        <v>274</v>
      </c>
      <c r="G3492" s="1" t="s">
        <v>276</v>
      </c>
      <c r="H3492" s="1" t="s">
        <v>274</v>
      </c>
      <c r="I3492" s="1" t="s">
        <v>14308</v>
      </c>
      <c r="J3492" s="1" t="s">
        <v>277</v>
      </c>
      <c r="K3492" s="1">
        <v>7</v>
      </c>
      <c r="L3492" s="1" t="s">
        <v>4299</v>
      </c>
      <c r="M3492" s="1">
        <v>3</v>
      </c>
      <c r="N3492" s="1" t="s">
        <v>3241</v>
      </c>
    </row>
    <row r="3493" spans="1:14" x14ac:dyDescent="0.15">
      <c r="A3493" s="1">
        <v>752</v>
      </c>
      <c r="B3493" s="1" t="s">
        <v>278</v>
      </c>
      <c r="C3493" s="1" t="s">
        <v>279</v>
      </c>
      <c r="D3493" s="1" t="s">
        <v>278</v>
      </c>
      <c r="E3493" s="1" t="s">
        <v>279</v>
      </c>
      <c r="F3493" s="1" t="s">
        <v>278</v>
      </c>
      <c r="G3493" s="1" t="s">
        <v>280</v>
      </c>
      <c r="H3493" s="1" t="s">
        <v>278</v>
      </c>
      <c r="I3493" s="1" t="s">
        <v>13957</v>
      </c>
      <c r="J3493" s="1" t="s">
        <v>281</v>
      </c>
      <c r="K3493" s="1">
        <v>7</v>
      </c>
      <c r="L3493" s="1" t="s">
        <v>4299</v>
      </c>
      <c r="M3493" s="1">
        <v>13</v>
      </c>
      <c r="N3493" s="1" t="s">
        <v>4300</v>
      </c>
    </row>
    <row r="3494" spans="1:14" x14ac:dyDescent="0.15">
      <c r="A3494" s="1">
        <v>762</v>
      </c>
      <c r="B3494" s="1" t="s">
        <v>235</v>
      </c>
      <c r="C3494" s="1" t="s">
        <v>282</v>
      </c>
      <c r="D3494" s="1" t="s">
        <v>283</v>
      </c>
      <c r="E3494" s="1" t="s">
        <v>282</v>
      </c>
      <c r="F3494" s="1" t="s">
        <v>283</v>
      </c>
      <c r="G3494" s="1" t="s">
        <v>284</v>
      </c>
      <c r="H3494" s="1" t="s">
        <v>283</v>
      </c>
      <c r="I3494" s="1" t="s">
        <v>4494</v>
      </c>
      <c r="J3494" s="1" t="s">
        <v>4495</v>
      </c>
      <c r="K3494" s="1">
        <v>7</v>
      </c>
      <c r="L3494" s="1" t="s">
        <v>4299</v>
      </c>
      <c r="M3494" s="1">
        <v>13</v>
      </c>
      <c r="N3494" s="1" t="s">
        <v>4300</v>
      </c>
    </row>
    <row r="3495" spans="1:14" x14ac:dyDescent="0.15">
      <c r="A3495" s="1">
        <v>754</v>
      </c>
      <c r="B3495" s="1" t="s">
        <v>285</v>
      </c>
      <c r="C3495" s="1" t="s">
        <v>286</v>
      </c>
      <c r="D3495" s="1" t="s">
        <v>285</v>
      </c>
      <c r="E3495" s="1" t="s">
        <v>286</v>
      </c>
      <c r="F3495" s="1" t="s">
        <v>285</v>
      </c>
      <c r="G3495" s="1" t="s">
        <v>287</v>
      </c>
      <c r="H3495" s="1" t="s">
        <v>285</v>
      </c>
      <c r="I3495" s="1" t="s">
        <v>14348</v>
      </c>
      <c r="J3495" s="1" t="s">
        <v>288</v>
      </c>
      <c r="K3495" s="1">
        <v>7</v>
      </c>
      <c r="L3495" s="1" t="s">
        <v>4299</v>
      </c>
      <c r="M3495" s="1">
        <v>13</v>
      </c>
      <c r="N3495" s="1" t="s">
        <v>4300</v>
      </c>
    </row>
    <row r="3496" spans="1:14" x14ac:dyDescent="0.15">
      <c r="A3496" s="1">
        <v>755</v>
      </c>
      <c r="B3496" s="1" t="s">
        <v>289</v>
      </c>
      <c r="C3496" s="1" t="s">
        <v>290</v>
      </c>
      <c r="D3496" s="1" t="s">
        <v>289</v>
      </c>
      <c r="E3496" s="1" t="s">
        <v>290</v>
      </c>
      <c r="F3496" s="1" t="s">
        <v>289</v>
      </c>
      <c r="G3496" s="1" t="s">
        <v>291</v>
      </c>
      <c r="H3496" s="1" t="s">
        <v>289</v>
      </c>
      <c r="I3496" s="1" t="s">
        <v>8949</v>
      </c>
      <c r="J3496" s="1" t="s">
        <v>2239</v>
      </c>
      <c r="K3496" s="1">
        <v>7</v>
      </c>
      <c r="L3496" s="1" t="s">
        <v>4299</v>
      </c>
      <c r="M3496" s="1">
        <v>13</v>
      </c>
      <c r="N3496" s="1" t="s">
        <v>4300</v>
      </c>
    </row>
    <row r="3497" spans="1:14" x14ac:dyDescent="0.15">
      <c r="A3497" s="1">
        <v>756</v>
      </c>
      <c r="B3497" s="1" t="s">
        <v>292</v>
      </c>
      <c r="C3497" s="1" t="s">
        <v>293</v>
      </c>
      <c r="D3497" s="1" t="s">
        <v>292</v>
      </c>
      <c r="E3497" s="1" t="s">
        <v>293</v>
      </c>
      <c r="F3497" s="1" t="s">
        <v>292</v>
      </c>
      <c r="G3497" s="1" t="s">
        <v>294</v>
      </c>
      <c r="H3497" s="1" t="s">
        <v>292</v>
      </c>
      <c r="I3497" s="1" t="s">
        <v>13937</v>
      </c>
      <c r="J3497" s="1" t="s">
        <v>295</v>
      </c>
      <c r="K3497" s="1">
        <v>3</v>
      </c>
      <c r="L3497" s="1" t="s">
        <v>4282</v>
      </c>
      <c r="M3497" s="1">
        <v>2</v>
      </c>
      <c r="N3497" s="1" t="s">
        <v>4283</v>
      </c>
    </row>
    <row r="3498" spans="1:14" x14ac:dyDescent="0.15">
      <c r="A3498" s="1">
        <v>760</v>
      </c>
      <c r="B3498" s="1" t="s">
        <v>296</v>
      </c>
      <c r="C3498" s="1" t="s">
        <v>297</v>
      </c>
      <c r="D3498" s="1" t="s">
        <v>296</v>
      </c>
      <c r="E3498" s="1" t="s">
        <v>297</v>
      </c>
      <c r="F3498" s="1" t="s">
        <v>296</v>
      </c>
      <c r="G3498" s="1" t="s">
        <v>298</v>
      </c>
      <c r="H3498" s="1" t="s">
        <v>296</v>
      </c>
      <c r="I3498" s="1" t="s">
        <v>14229</v>
      </c>
      <c r="J3498" s="1" t="s">
        <v>14230</v>
      </c>
      <c r="K3498" s="1">
        <v>7</v>
      </c>
      <c r="L3498" s="1" t="s">
        <v>4299</v>
      </c>
      <c r="M3498" s="1">
        <v>2</v>
      </c>
      <c r="N3498" s="1" t="s">
        <v>4283</v>
      </c>
    </row>
    <row r="3499" spans="1:14" x14ac:dyDescent="0.15">
      <c r="A3499" s="1">
        <v>761</v>
      </c>
      <c r="B3499" s="1" t="s">
        <v>299</v>
      </c>
      <c r="C3499" s="1" t="s">
        <v>300</v>
      </c>
      <c r="D3499" s="1" t="s">
        <v>299</v>
      </c>
      <c r="E3499" s="1" t="s">
        <v>300</v>
      </c>
      <c r="F3499" s="1" t="s">
        <v>299</v>
      </c>
      <c r="G3499" s="1" t="s">
        <v>301</v>
      </c>
      <c r="H3499" s="1" t="s">
        <v>299</v>
      </c>
      <c r="I3499" s="1" t="s">
        <v>14328</v>
      </c>
      <c r="J3499" s="1" t="s">
        <v>2417</v>
      </c>
      <c r="K3499" s="1">
        <v>7</v>
      </c>
      <c r="L3499" s="1" t="s">
        <v>4299</v>
      </c>
      <c r="M3499" s="1">
        <v>2</v>
      </c>
      <c r="N3499" s="1" t="s">
        <v>4283</v>
      </c>
    </row>
    <row r="3500" spans="1:14" x14ac:dyDescent="0.15">
      <c r="A3500" s="1">
        <v>762</v>
      </c>
      <c r="B3500" s="1" t="s">
        <v>235</v>
      </c>
      <c r="C3500" s="1" t="s">
        <v>236</v>
      </c>
      <c r="D3500" s="1" t="s">
        <v>237</v>
      </c>
      <c r="E3500" s="1" t="s">
        <v>236</v>
      </c>
      <c r="F3500" s="1" t="s">
        <v>237</v>
      </c>
      <c r="G3500" s="1" t="s">
        <v>238</v>
      </c>
      <c r="H3500" s="1" t="s">
        <v>237</v>
      </c>
      <c r="I3500" s="1" t="s">
        <v>8574</v>
      </c>
      <c r="J3500" s="1" t="s">
        <v>302</v>
      </c>
      <c r="K3500" s="1">
        <v>7</v>
      </c>
      <c r="L3500" s="1" t="s">
        <v>4299</v>
      </c>
      <c r="M3500" s="1">
        <v>13</v>
      </c>
      <c r="N3500" s="1" t="s">
        <v>4300</v>
      </c>
    </row>
    <row r="3501" spans="1:14" x14ac:dyDescent="0.15">
      <c r="A3501" s="1">
        <v>762</v>
      </c>
      <c r="B3501" s="1" t="s">
        <v>235</v>
      </c>
      <c r="C3501" s="1" t="s">
        <v>236</v>
      </c>
      <c r="D3501" s="1" t="s">
        <v>237</v>
      </c>
      <c r="E3501" s="1" t="s">
        <v>236</v>
      </c>
      <c r="F3501" s="1" t="s">
        <v>237</v>
      </c>
      <c r="G3501" s="1" t="s">
        <v>238</v>
      </c>
      <c r="H3501" s="1" t="s">
        <v>237</v>
      </c>
      <c r="I3501" s="1" t="s">
        <v>14360</v>
      </c>
      <c r="J3501" s="1" t="s">
        <v>303</v>
      </c>
      <c r="K3501" s="1">
        <v>7</v>
      </c>
      <c r="L3501" s="1" t="s">
        <v>4299</v>
      </c>
      <c r="M3501" s="1">
        <v>13</v>
      </c>
      <c r="N3501" s="1" t="s">
        <v>4300</v>
      </c>
    </row>
    <row r="3502" spans="1:14" x14ac:dyDescent="0.15">
      <c r="A3502" s="1">
        <v>770</v>
      </c>
      <c r="B3502" s="1" t="s">
        <v>304</v>
      </c>
      <c r="C3502" s="1" t="s">
        <v>305</v>
      </c>
      <c r="D3502" s="1" t="s">
        <v>304</v>
      </c>
      <c r="E3502" s="1" t="s">
        <v>305</v>
      </c>
      <c r="F3502" s="1" t="s">
        <v>304</v>
      </c>
      <c r="G3502" s="1" t="s">
        <v>306</v>
      </c>
      <c r="H3502" s="1" t="s">
        <v>304</v>
      </c>
      <c r="I3502" s="1" t="s">
        <v>12746</v>
      </c>
      <c r="J3502" s="1" t="s">
        <v>12747</v>
      </c>
      <c r="K3502" s="1">
        <v>7</v>
      </c>
      <c r="L3502" s="1" t="s">
        <v>4299</v>
      </c>
      <c r="M3502" s="1">
        <v>13</v>
      </c>
      <c r="N3502" s="1" t="s">
        <v>4300</v>
      </c>
    </row>
    <row r="3503" spans="1:14" x14ac:dyDescent="0.15">
      <c r="A3503" s="1">
        <v>771</v>
      </c>
      <c r="B3503" s="1" t="s">
        <v>307</v>
      </c>
      <c r="C3503" s="1" t="s">
        <v>308</v>
      </c>
      <c r="D3503" s="1" t="s">
        <v>307</v>
      </c>
      <c r="E3503" s="1" t="s">
        <v>308</v>
      </c>
      <c r="F3503" s="1" t="s">
        <v>307</v>
      </c>
      <c r="G3503" s="1" t="s">
        <v>309</v>
      </c>
      <c r="H3503" s="1" t="s">
        <v>307</v>
      </c>
      <c r="I3503" s="1" t="s">
        <v>14392</v>
      </c>
      <c r="J3503" s="1" t="s">
        <v>70</v>
      </c>
      <c r="K3503" s="1">
        <v>7</v>
      </c>
      <c r="L3503" s="1" t="s">
        <v>4299</v>
      </c>
      <c r="M3503" s="1">
        <v>16</v>
      </c>
      <c r="N3503" s="1" t="s">
        <v>4308</v>
      </c>
    </row>
    <row r="3504" spans="1:14" x14ac:dyDescent="0.15">
      <c r="A3504" s="1">
        <v>771</v>
      </c>
      <c r="B3504" s="1" t="s">
        <v>307</v>
      </c>
      <c r="C3504" s="1" t="s">
        <v>308</v>
      </c>
      <c r="D3504" s="1" t="s">
        <v>307</v>
      </c>
      <c r="E3504" s="1" t="s">
        <v>308</v>
      </c>
      <c r="F3504" s="1" t="s">
        <v>307</v>
      </c>
      <c r="G3504" s="1" t="s">
        <v>309</v>
      </c>
      <c r="H3504" s="1" t="s">
        <v>307</v>
      </c>
      <c r="I3504" s="1" t="s">
        <v>14396</v>
      </c>
      <c r="J3504" s="1" t="s">
        <v>6402</v>
      </c>
      <c r="K3504" s="1">
        <v>7</v>
      </c>
      <c r="L3504" s="1" t="s">
        <v>4299</v>
      </c>
      <c r="M3504" s="1">
        <v>16</v>
      </c>
      <c r="N3504" s="1" t="s">
        <v>4308</v>
      </c>
    </row>
    <row r="3505" spans="1:14" x14ac:dyDescent="0.15">
      <c r="A3505" s="1">
        <v>771</v>
      </c>
      <c r="B3505" s="1" t="s">
        <v>307</v>
      </c>
      <c r="C3505" s="1" t="s">
        <v>308</v>
      </c>
      <c r="D3505" s="1" t="s">
        <v>307</v>
      </c>
      <c r="E3505" s="1" t="s">
        <v>308</v>
      </c>
      <c r="F3505" s="1" t="s">
        <v>307</v>
      </c>
      <c r="G3505" s="1" t="s">
        <v>309</v>
      </c>
      <c r="H3505" s="1" t="s">
        <v>307</v>
      </c>
      <c r="I3505" s="1" t="s">
        <v>14400</v>
      </c>
      <c r="J3505" s="1" t="s">
        <v>71</v>
      </c>
      <c r="K3505" s="1">
        <v>7</v>
      </c>
      <c r="L3505" s="1" t="s">
        <v>4299</v>
      </c>
      <c r="M3505" s="1">
        <v>16</v>
      </c>
      <c r="N3505" s="1" t="s">
        <v>4308</v>
      </c>
    </row>
    <row r="3506" spans="1:14" x14ac:dyDescent="0.15">
      <c r="A3506" s="1">
        <v>771</v>
      </c>
      <c r="B3506" s="1" t="s">
        <v>307</v>
      </c>
      <c r="C3506" s="1" t="s">
        <v>308</v>
      </c>
      <c r="D3506" s="1" t="s">
        <v>307</v>
      </c>
      <c r="E3506" s="1" t="s">
        <v>308</v>
      </c>
      <c r="F3506" s="1" t="s">
        <v>307</v>
      </c>
      <c r="G3506" s="1" t="s">
        <v>310</v>
      </c>
      <c r="H3506" s="1" t="s">
        <v>311</v>
      </c>
      <c r="I3506" s="1" t="s">
        <v>14392</v>
      </c>
      <c r="J3506" s="1" t="s">
        <v>70</v>
      </c>
      <c r="K3506" s="1">
        <v>7</v>
      </c>
      <c r="L3506" s="1" t="s">
        <v>4299</v>
      </c>
      <c r="M3506" s="1">
        <v>16</v>
      </c>
      <c r="N3506" s="1" t="s">
        <v>4308</v>
      </c>
    </row>
    <row r="3507" spans="1:14" x14ac:dyDescent="0.15">
      <c r="A3507" s="1">
        <v>771</v>
      </c>
      <c r="B3507" s="1" t="s">
        <v>307</v>
      </c>
      <c r="C3507" s="1" t="s">
        <v>308</v>
      </c>
      <c r="D3507" s="1" t="s">
        <v>307</v>
      </c>
      <c r="E3507" s="1" t="s">
        <v>308</v>
      </c>
      <c r="F3507" s="1" t="s">
        <v>307</v>
      </c>
      <c r="G3507" s="1" t="s">
        <v>310</v>
      </c>
      <c r="H3507" s="1" t="s">
        <v>311</v>
      </c>
      <c r="I3507" s="1" t="s">
        <v>14396</v>
      </c>
      <c r="J3507" s="1" t="s">
        <v>6402</v>
      </c>
      <c r="K3507" s="1">
        <v>7</v>
      </c>
      <c r="L3507" s="1" t="s">
        <v>4299</v>
      </c>
      <c r="M3507" s="1">
        <v>16</v>
      </c>
      <c r="N3507" s="1" t="s">
        <v>4308</v>
      </c>
    </row>
    <row r="3508" spans="1:14" x14ac:dyDescent="0.15">
      <c r="A3508" s="1">
        <v>771</v>
      </c>
      <c r="B3508" s="1" t="s">
        <v>307</v>
      </c>
      <c r="C3508" s="1" t="s">
        <v>308</v>
      </c>
      <c r="D3508" s="1" t="s">
        <v>307</v>
      </c>
      <c r="E3508" s="1" t="s">
        <v>308</v>
      </c>
      <c r="F3508" s="1" t="s">
        <v>307</v>
      </c>
      <c r="G3508" s="1" t="s">
        <v>310</v>
      </c>
      <c r="H3508" s="1" t="s">
        <v>311</v>
      </c>
      <c r="I3508" s="1" t="s">
        <v>14400</v>
      </c>
      <c r="J3508" s="1" t="s">
        <v>71</v>
      </c>
      <c r="K3508" s="1">
        <v>7</v>
      </c>
      <c r="L3508" s="1" t="s">
        <v>4299</v>
      </c>
      <c r="M3508" s="1">
        <v>16</v>
      </c>
      <c r="N3508" s="1" t="s">
        <v>4308</v>
      </c>
    </row>
    <row r="3509" spans="1:14" x14ac:dyDescent="0.15">
      <c r="A3509" s="1">
        <v>771</v>
      </c>
      <c r="B3509" s="1" t="s">
        <v>307</v>
      </c>
      <c r="C3509" s="1" t="s">
        <v>308</v>
      </c>
      <c r="D3509" s="1" t="s">
        <v>307</v>
      </c>
      <c r="E3509" s="1" t="s">
        <v>308</v>
      </c>
      <c r="F3509" s="1" t="s">
        <v>307</v>
      </c>
      <c r="G3509" s="1" t="s">
        <v>312</v>
      </c>
      <c r="H3509" s="1" t="s">
        <v>313</v>
      </c>
      <c r="I3509" s="1" t="s">
        <v>14392</v>
      </c>
      <c r="J3509" s="1" t="s">
        <v>70</v>
      </c>
      <c r="K3509" s="1">
        <v>7</v>
      </c>
      <c r="L3509" s="1" t="s">
        <v>4299</v>
      </c>
      <c r="M3509" s="1">
        <v>16</v>
      </c>
      <c r="N3509" s="1" t="s">
        <v>4308</v>
      </c>
    </row>
    <row r="3510" spans="1:14" x14ac:dyDescent="0.15">
      <c r="A3510" s="1">
        <v>771</v>
      </c>
      <c r="B3510" s="1" t="s">
        <v>307</v>
      </c>
      <c r="C3510" s="1" t="s">
        <v>308</v>
      </c>
      <c r="D3510" s="1" t="s">
        <v>307</v>
      </c>
      <c r="E3510" s="1" t="s">
        <v>308</v>
      </c>
      <c r="F3510" s="1" t="s">
        <v>307</v>
      </c>
      <c r="G3510" s="1" t="s">
        <v>312</v>
      </c>
      <c r="H3510" s="1" t="s">
        <v>313</v>
      </c>
      <c r="I3510" s="1" t="s">
        <v>14396</v>
      </c>
      <c r="J3510" s="1" t="s">
        <v>6402</v>
      </c>
      <c r="K3510" s="1">
        <v>7</v>
      </c>
      <c r="L3510" s="1" t="s">
        <v>4299</v>
      </c>
      <c r="M3510" s="1">
        <v>16</v>
      </c>
      <c r="N3510" s="1" t="s">
        <v>4308</v>
      </c>
    </row>
    <row r="3511" spans="1:14" x14ac:dyDescent="0.15">
      <c r="A3511" s="1">
        <v>771</v>
      </c>
      <c r="B3511" s="1" t="s">
        <v>307</v>
      </c>
      <c r="C3511" s="1" t="s">
        <v>308</v>
      </c>
      <c r="D3511" s="1" t="s">
        <v>307</v>
      </c>
      <c r="E3511" s="1" t="s">
        <v>308</v>
      </c>
      <c r="F3511" s="1" t="s">
        <v>307</v>
      </c>
      <c r="G3511" s="1" t="s">
        <v>312</v>
      </c>
      <c r="H3511" s="1" t="s">
        <v>313</v>
      </c>
      <c r="I3511" s="1" t="s">
        <v>14400</v>
      </c>
      <c r="J3511" s="1" t="s">
        <v>71</v>
      </c>
      <c r="K3511" s="1">
        <v>7</v>
      </c>
      <c r="L3511" s="1" t="s">
        <v>4299</v>
      </c>
      <c r="M3511" s="1">
        <v>16</v>
      </c>
      <c r="N3511" s="1" t="s">
        <v>4308</v>
      </c>
    </row>
    <row r="3512" spans="1:14" x14ac:dyDescent="0.15">
      <c r="A3512" s="1">
        <v>771</v>
      </c>
      <c r="B3512" s="1" t="s">
        <v>307</v>
      </c>
      <c r="C3512" s="1" t="s">
        <v>308</v>
      </c>
      <c r="D3512" s="1" t="s">
        <v>307</v>
      </c>
      <c r="E3512" s="1" t="s">
        <v>308</v>
      </c>
      <c r="F3512" s="1" t="s">
        <v>307</v>
      </c>
      <c r="G3512" s="1" t="s">
        <v>314</v>
      </c>
      <c r="H3512" s="1" t="s">
        <v>315</v>
      </c>
      <c r="I3512" s="1" t="s">
        <v>14392</v>
      </c>
      <c r="J3512" s="1" t="s">
        <v>70</v>
      </c>
      <c r="K3512" s="1">
        <v>7</v>
      </c>
      <c r="L3512" s="1" t="s">
        <v>4299</v>
      </c>
      <c r="M3512" s="1">
        <v>16</v>
      </c>
      <c r="N3512" s="1" t="s">
        <v>4308</v>
      </c>
    </row>
    <row r="3513" spans="1:14" x14ac:dyDescent="0.15">
      <c r="A3513" s="1">
        <v>771</v>
      </c>
      <c r="B3513" s="1" t="s">
        <v>307</v>
      </c>
      <c r="C3513" s="1" t="s">
        <v>308</v>
      </c>
      <c r="D3513" s="1" t="s">
        <v>307</v>
      </c>
      <c r="E3513" s="1" t="s">
        <v>308</v>
      </c>
      <c r="F3513" s="1" t="s">
        <v>307</v>
      </c>
      <c r="G3513" s="1" t="s">
        <v>314</v>
      </c>
      <c r="H3513" s="1" t="s">
        <v>315</v>
      </c>
      <c r="I3513" s="1" t="s">
        <v>14396</v>
      </c>
      <c r="J3513" s="1" t="s">
        <v>6402</v>
      </c>
      <c r="K3513" s="1">
        <v>7</v>
      </c>
      <c r="L3513" s="1" t="s">
        <v>4299</v>
      </c>
      <c r="M3513" s="1">
        <v>16</v>
      </c>
      <c r="N3513" s="1" t="s">
        <v>4308</v>
      </c>
    </row>
    <row r="3514" spans="1:14" x14ac:dyDescent="0.15">
      <c r="A3514" s="1">
        <v>771</v>
      </c>
      <c r="B3514" s="1" t="s">
        <v>307</v>
      </c>
      <c r="C3514" s="1" t="s">
        <v>308</v>
      </c>
      <c r="D3514" s="1" t="s">
        <v>307</v>
      </c>
      <c r="E3514" s="1" t="s">
        <v>308</v>
      </c>
      <c r="F3514" s="1" t="s">
        <v>307</v>
      </c>
      <c r="G3514" s="1" t="s">
        <v>314</v>
      </c>
      <c r="H3514" s="1" t="s">
        <v>315</v>
      </c>
      <c r="I3514" s="1" t="s">
        <v>14400</v>
      </c>
      <c r="J3514" s="1" t="s">
        <v>71</v>
      </c>
      <c r="K3514" s="1">
        <v>7</v>
      </c>
      <c r="L3514" s="1" t="s">
        <v>4299</v>
      </c>
      <c r="M3514" s="1">
        <v>16</v>
      </c>
      <c r="N3514" s="1" t="s">
        <v>4308</v>
      </c>
    </row>
    <row r="3515" spans="1:14" x14ac:dyDescent="0.15">
      <c r="A3515" s="1">
        <v>772</v>
      </c>
      <c r="B3515" s="1" t="s">
        <v>316</v>
      </c>
      <c r="C3515" s="1" t="s">
        <v>317</v>
      </c>
      <c r="D3515" s="1" t="s">
        <v>316</v>
      </c>
      <c r="E3515" s="1" t="s">
        <v>317</v>
      </c>
      <c r="F3515" s="1" t="s">
        <v>316</v>
      </c>
      <c r="G3515" s="1" t="s">
        <v>318</v>
      </c>
      <c r="H3515" s="1" t="s">
        <v>316</v>
      </c>
      <c r="I3515" s="1" t="s">
        <v>11879</v>
      </c>
      <c r="J3515" s="1" t="s">
        <v>4278</v>
      </c>
      <c r="K3515" s="1">
        <v>7</v>
      </c>
      <c r="L3515" s="1" t="s">
        <v>4299</v>
      </c>
      <c r="M3515" s="1">
        <v>13</v>
      </c>
      <c r="N3515" s="1" t="s">
        <v>4300</v>
      </c>
    </row>
    <row r="3516" spans="1:14" x14ac:dyDescent="0.15">
      <c r="A3516" s="1">
        <v>772</v>
      </c>
      <c r="B3516" s="1" t="s">
        <v>316</v>
      </c>
      <c r="C3516" s="1" t="s">
        <v>319</v>
      </c>
      <c r="D3516" s="1" t="s">
        <v>320</v>
      </c>
      <c r="E3516" s="1" t="s">
        <v>319</v>
      </c>
      <c r="F3516" s="1" t="s">
        <v>320</v>
      </c>
      <c r="G3516" s="1" t="s">
        <v>321</v>
      </c>
      <c r="H3516" s="1" t="s">
        <v>320</v>
      </c>
      <c r="I3516" s="1" t="s">
        <v>14300</v>
      </c>
      <c r="J3516" s="1" t="s">
        <v>6350</v>
      </c>
      <c r="K3516" s="1">
        <v>7</v>
      </c>
      <c r="L3516" s="1" t="s">
        <v>4299</v>
      </c>
      <c r="M3516" s="1">
        <v>13</v>
      </c>
      <c r="N3516" s="1" t="s">
        <v>4300</v>
      </c>
    </row>
    <row r="3517" spans="1:14" x14ac:dyDescent="0.15">
      <c r="A3517" s="1">
        <v>772</v>
      </c>
      <c r="B3517" s="1" t="s">
        <v>316</v>
      </c>
      <c r="C3517" s="1" t="s">
        <v>322</v>
      </c>
      <c r="D3517" s="1" t="s">
        <v>323</v>
      </c>
      <c r="E3517" s="1" t="s">
        <v>322</v>
      </c>
      <c r="F3517" s="1" t="s">
        <v>323</v>
      </c>
      <c r="G3517" s="1" t="s">
        <v>324</v>
      </c>
      <c r="H3517" s="1" t="s">
        <v>323</v>
      </c>
      <c r="I3517" s="1" t="s">
        <v>14292</v>
      </c>
      <c r="J3517" s="1" t="s">
        <v>3489</v>
      </c>
      <c r="K3517" s="1">
        <v>7</v>
      </c>
      <c r="L3517" s="1" t="s">
        <v>4299</v>
      </c>
      <c r="M3517" s="1">
        <v>13</v>
      </c>
      <c r="N3517" s="1" t="s">
        <v>4300</v>
      </c>
    </row>
    <row r="3518" spans="1:14" x14ac:dyDescent="0.15">
      <c r="A3518" s="1">
        <v>772</v>
      </c>
      <c r="B3518" s="1" t="s">
        <v>316</v>
      </c>
      <c r="C3518" s="1" t="s">
        <v>322</v>
      </c>
      <c r="D3518" s="1" t="s">
        <v>323</v>
      </c>
      <c r="E3518" s="1" t="s">
        <v>322</v>
      </c>
      <c r="F3518" s="1" t="s">
        <v>323</v>
      </c>
      <c r="G3518" s="1" t="s">
        <v>324</v>
      </c>
      <c r="H3518" s="1" t="s">
        <v>323</v>
      </c>
      <c r="I3518" s="1" t="s">
        <v>14300</v>
      </c>
      <c r="J3518" s="1" t="s">
        <v>6350</v>
      </c>
      <c r="K3518" s="1">
        <v>7</v>
      </c>
      <c r="L3518" s="1" t="s">
        <v>4299</v>
      </c>
      <c r="M3518" s="1">
        <v>13</v>
      </c>
      <c r="N3518" s="1" t="s">
        <v>4300</v>
      </c>
    </row>
    <row r="3519" spans="1:14" x14ac:dyDescent="0.15">
      <c r="A3519" s="1">
        <v>772</v>
      </c>
      <c r="B3519" s="1" t="s">
        <v>316</v>
      </c>
      <c r="C3519" s="1" t="s">
        <v>325</v>
      </c>
      <c r="D3519" s="1" t="s">
        <v>326</v>
      </c>
      <c r="E3519" s="1" t="s">
        <v>325</v>
      </c>
      <c r="F3519" s="1" t="s">
        <v>326</v>
      </c>
      <c r="G3519" s="1" t="s">
        <v>327</v>
      </c>
      <c r="H3519" s="1" t="s">
        <v>326</v>
      </c>
      <c r="I3519" s="1" t="s">
        <v>16391</v>
      </c>
      <c r="J3519" s="1" t="s">
        <v>5724</v>
      </c>
      <c r="K3519" s="1">
        <v>7</v>
      </c>
      <c r="L3519" s="1" t="s">
        <v>4299</v>
      </c>
      <c r="M3519" s="1">
        <v>13</v>
      </c>
      <c r="N3519" s="1" t="s">
        <v>4300</v>
      </c>
    </row>
    <row r="3520" spans="1:14" x14ac:dyDescent="0.15">
      <c r="A3520" s="1">
        <v>772</v>
      </c>
      <c r="B3520" s="1" t="s">
        <v>316</v>
      </c>
      <c r="C3520" s="1" t="s">
        <v>325</v>
      </c>
      <c r="D3520" s="1" t="s">
        <v>326</v>
      </c>
      <c r="E3520" s="1" t="s">
        <v>325</v>
      </c>
      <c r="F3520" s="1" t="s">
        <v>326</v>
      </c>
      <c r="G3520" s="1" t="s">
        <v>327</v>
      </c>
      <c r="H3520" s="1" t="s">
        <v>326</v>
      </c>
      <c r="I3520" s="1" t="s">
        <v>16399</v>
      </c>
      <c r="J3520" s="1" t="s">
        <v>16400</v>
      </c>
      <c r="K3520" s="1">
        <v>7</v>
      </c>
      <c r="L3520" s="1" t="s">
        <v>4299</v>
      </c>
      <c r="M3520" s="1">
        <v>13</v>
      </c>
      <c r="N3520" s="1" t="s">
        <v>4300</v>
      </c>
    </row>
    <row r="3521" spans="1:14" x14ac:dyDescent="0.15">
      <c r="A3521" s="1">
        <v>772</v>
      </c>
      <c r="B3521" s="1" t="s">
        <v>316</v>
      </c>
      <c r="C3521" s="1" t="s">
        <v>325</v>
      </c>
      <c r="D3521" s="1" t="s">
        <v>326</v>
      </c>
      <c r="E3521" s="1" t="s">
        <v>325</v>
      </c>
      <c r="F3521" s="1" t="s">
        <v>326</v>
      </c>
      <c r="G3521" s="1" t="s">
        <v>327</v>
      </c>
      <c r="H3521" s="1" t="s">
        <v>326</v>
      </c>
      <c r="I3521" s="1" t="s">
        <v>16403</v>
      </c>
      <c r="J3521" s="1" t="s">
        <v>273</v>
      </c>
      <c r="K3521" s="1">
        <v>7</v>
      </c>
      <c r="L3521" s="1" t="s">
        <v>4299</v>
      </c>
      <c r="M3521" s="1">
        <v>13</v>
      </c>
      <c r="N3521" s="1" t="s">
        <v>4300</v>
      </c>
    </row>
    <row r="3522" spans="1:14" x14ac:dyDescent="0.15">
      <c r="A3522" s="1">
        <v>773</v>
      </c>
      <c r="B3522" s="1" t="s">
        <v>328</v>
      </c>
      <c r="C3522" s="1" t="s">
        <v>329</v>
      </c>
      <c r="D3522" s="1" t="s">
        <v>328</v>
      </c>
      <c r="E3522" s="1" t="s">
        <v>329</v>
      </c>
      <c r="F3522" s="1" t="s">
        <v>328</v>
      </c>
      <c r="G3522" s="1" t="s">
        <v>330</v>
      </c>
      <c r="H3522" s="1" t="s">
        <v>328</v>
      </c>
      <c r="I3522" s="1" t="s">
        <v>14324</v>
      </c>
      <c r="J3522" s="1" t="s">
        <v>148</v>
      </c>
      <c r="K3522" s="1">
        <v>7</v>
      </c>
      <c r="L3522" s="1" t="s">
        <v>4299</v>
      </c>
      <c r="M3522" s="1">
        <v>13</v>
      </c>
      <c r="N3522" s="1" t="s">
        <v>4300</v>
      </c>
    </row>
    <row r="3523" spans="1:14" x14ac:dyDescent="0.15">
      <c r="A3523" s="1">
        <v>773</v>
      </c>
      <c r="B3523" s="1" t="s">
        <v>328</v>
      </c>
      <c r="C3523" s="1" t="s">
        <v>329</v>
      </c>
      <c r="D3523" s="1" t="s">
        <v>328</v>
      </c>
      <c r="E3523" s="1" t="s">
        <v>329</v>
      </c>
      <c r="F3523" s="1" t="s">
        <v>328</v>
      </c>
      <c r="G3523" s="1" t="s">
        <v>330</v>
      </c>
      <c r="H3523" s="1" t="s">
        <v>328</v>
      </c>
      <c r="I3523" s="1" t="s">
        <v>14328</v>
      </c>
      <c r="J3523" s="1" t="s">
        <v>2417</v>
      </c>
      <c r="K3523" s="1">
        <v>7</v>
      </c>
      <c r="L3523" s="1" t="s">
        <v>4299</v>
      </c>
      <c r="M3523" s="1">
        <v>13</v>
      </c>
      <c r="N3523" s="1" t="s">
        <v>4300</v>
      </c>
    </row>
    <row r="3524" spans="1:14" x14ac:dyDescent="0.15">
      <c r="A3524" s="1">
        <v>773</v>
      </c>
      <c r="B3524" s="1" t="s">
        <v>328</v>
      </c>
      <c r="C3524" s="1" t="s">
        <v>329</v>
      </c>
      <c r="D3524" s="1" t="s">
        <v>328</v>
      </c>
      <c r="E3524" s="1" t="s">
        <v>329</v>
      </c>
      <c r="F3524" s="1" t="s">
        <v>328</v>
      </c>
      <c r="G3524" s="1" t="s">
        <v>330</v>
      </c>
      <c r="H3524" s="1" t="s">
        <v>328</v>
      </c>
      <c r="I3524" s="1" t="s">
        <v>8609</v>
      </c>
      <c r="J3524" s="1" t="s">
        <v>331</v>
      </c>
      <c r="K3524" s="1">
        <v>7</v>
      </c>
      <c r="L3524" s="1" t="s">
        <v>4299</v>
      </c>
      <c r="M3524" s="1">
        <v>13</v>
      </c>
      <c r="N3524" s="1" t="s">
        <v>4300</v>
      </c>
    </row>
    <row r="3525" spans="1:14" x14ac:dyDescent="0.15">
      <c r="A3525" s="1">
        <v>774</v>
      </c>
      <c r="B3525" s="1" t="s">
        <v>332</v>
      </c>
      <c r="C3525" s="1" t="s">
        <v>333</v>
      </c>
      <c r="D3525" s="1" t="s">
        <v>332</v>
      </c>
      <c r="E3525" s="1" t="s">
        <v>333</v>
      </c>
      <c r="F3525" s="1" t="s">
        <v>332</v>
      </c>
      <c r="G3525" s="1" t="s">
        <v>334</v>
      </c>
      <c r="H3525" s="1" t="s">
        <v>332</v>
      </c>
      <c r="I3525" s="1" t="s">
        <v>14510</v>
      </c>
      <c r="J3525" s="1" t="s">
        <v>4868</v>
      </c>
      <c r="K3525" s="1">
        <v>7</v>
      </c>
      <c r="L3525" s="1" t="s">
        <v>4299</v>
      </c>
      <c r="M3525" s="1">
        <v>13</v>
      </c>
      <c r="N3525" s="1" t="s">
        <v>4300</v>
      </c>
    </row>
    <row r="3526" spans="1:14" x14ac:dyDescent="0.15">
      <c r="A3526" s="1">
        <v>774</v>
      </c>
      <c r="B3526" s="1" t="s">
        <v>332</v>
      </c>
      <c r="C3526" s="1" t="s">
        <v>333</v>
      </c>
      <c r="D3526" s="1" t="s">
        <v>332</v>
      </c>
      <c r="E3526" s="1" t="s">
        <v>333</v>
      </c>
      <c r="F3526" s="1" t="s">
        <v>332</v>
      </c>
      <c r="G3526" s="1" t="s">
        <v>335</v>
      </c>
      <c r="H3526" s="1" t="s">
        <v>336</v>
      </c>
      <c r="I3526" s="1" t="s">
        <v>14510</v>
      </c>
      <c r="J3526" s="1" t="s">
        <v>4868</v>
      </c>
      <c r="K3526" s="1">
        <v>7</v>
      </c>
      <c r="L3526" s="1" t="s">
        <v>4299</v>
      </c>
      <c r="M3526" s="1">
        <v>13</v>
      </c>
      <c r="N3526" s="1" t="s">
        <v>4300</v>
      </c>
    </row>
    <row r="3527" spans="1:14" x14ac:dyDescent="0.15">
      <c r="A3527" s="1">
        <v>774</v>
      </c>
      <c r="B3527" s="1" t="s">
        <v>332</v>
      </c>
      <c r="C3527" s="1" t="s">
        <v>333</v>
      </c>
      <c r="D3527" s="1" t="s">
        <v>332</v>
      </c>
      <c r="E3527" s="1" t="s">
        <v>333</v>
      </c>
      <c r="F3527" s="1" t="s">
        <v>332</v>
      </c>
      <c r="G3527" s="1" t="s">
        <v>337</v>
      </c>
      <c r="H3527" s="1" t="s">
        <v>338</v>
      </c>
      <c r="I3527" s="1" t="s">
        <v>14510</v>
      </c>
      <c r="J3527" s="1" t="s">
        <v>4868</v>
      </c>
      <c r="K3527" s="1">
        <v>7</v>
      </c>
      <c r="L3527" s="1" t="s">
        <v>4299</v>
      </c>
      <c r="M3527" s="1">
        <v>13</v>
      </c>
      <c r="N3527" s="1" t="s">
        <v>4300</v>
      </c>
    </row>
    <row r="3528" spans="1:14" x14ac:dyDescent="0.15">
      <c r="A3528" s="1">
        <v>775</v>
      </c>
      <c r="B3528" s="1" t="s">
        <v>339</v>
      </c>
      <c r="C3528" s="1" t="s">
        <v>340</v>
      </c>
      <c r="D3528" s="1" t="s">
        <v>339</v>
      </c>
      <c r="E3528" s="1" t="s">
        <v>340</v>
      </c>
      <c r="F3528" s="1" t="s">
        <v>339</v>
      </c>
      <c r="G3528" s="1" t="s">
        <v>341</v>
      </c>
      <c r="H3528" s="1" t="s">
        <v>339</v>
      </c>
      <c r="I3528" s="1" t="s">
        <v>11879</v>
      </c>
      <c r="J3528" s="1" t="s">
        <v>4278</v>
      </c>
      <c r="K3528" s="1">
        <v>7</v>
      </c>
      <c r="L3528" s="1" t="s">
        <v>4299</v>
      </c>
      <c r="M3528" s="1">
        <v>13</v>
      </c>
      <c r="N3528" s="1" t="s">
        <v>4300</v>
      </c>
    </row>
    <row r="3529" spans="1:14" x14ac:dyDescent="0.15">
      <c r="A3529" s="1">
        <v>775</v>
      </c>
      <c r="B3529" s="1" t="s">
        <v>339</v>
      </c>
      <c r="C3529" s="1" t="s">
        <v>342</v>
      </c>
      <c r="D3529" s="1" t="s">
        <v>343</v>
      </c>
      <c r="E3529" s="1" t="s">
        <v>342</v>
      </c>
      <c r="F3529" s="1" t="s">
        <v>343</v>
      </c>
      <c r="G3529" s="1" t="s">
        <v>344</v>
      </c>
      <c r="H3529" s="1" t="s">
        <v>343</v>
      </c>
      <c r="I3529" s="1" t="s">
        <v>8612</v>
      </c>
      <c r="J3529" s="1" t="s">
        <v>159</v>
      </c>
      <c r="K3529" s="1">
        <v>7</v>
      </c>
      <c r="L3529" s="1" t="s">
        <v>4299</v>
      </c>
      <c r="M3529" s="1">
        <v>13</v>
      </c>
      <c r="N3529" s="1" t="s">
        <v>4300</v>
      </c>
    </row>
    <row r="3530" spans="1:14" x14ac:dyDescent="0.15">
      <c r="A3530" s="1">
        <v>775</v>
      </c>
      <c r="B3530" s="1" t="s">
        <v>339</v>
      </c>
      <c r="C3530" s="1" t="s">
        <v>345</v>
      </c>
      <c r="D3530" s="1" t="s">
        <v>346</v>
      </c>
      <c r="E3530" s="1" t="s">
        <v>345</v>
      </c>
      <c r="F3530" s="1" t="s">
        <v>346</v>
      </c>
      <c r="G3530" s="1" t="s">
        <v>347</v>
      </c>
      <c r="H3530" s="1" t="s">
        <v>346</v>
      </c>
      <c r="I3530" s="1" t="s">
        <v>4494</v>
      </c>
      <c r="J3530" s="1" t="s">
        <v>4495</v>
      </c>
      <c r="K3530" s="1">
        <v>7</v>
      </c>
      <c r="L3530" s="1" t="s">
        <v>4299</v>
      </c>
      <c r="M3530" s="1">
        <v>13</v>
      </c>
      <c r="N3530" s="1" t="s">
        <v>4300</v>
      </c>
    </row>
    <row r="3531" spans="1:14" x14ac:dyDescent="0.15">
      <c r="A3531" s="1">
        <v>775</v>
      </c>
      <c r="B3531" s="1" t="s">
        <v>339</v>
      </c>
      <c r="C3531" s="1" t="s">
        <v>348</v>
      </c>
      <c r="D3531" s="1" t="s">
        <v>349</v>
      </c>
      <c r="E3531" s="1" t="s">
        <v>348</v>
      </c>
      <c r="F3531" s="1" t="s">
        <v>349</v>
      </c>
      <c r="G3531" s="1" t="s">
        <v>350</v>
      </c>
      <c r="H3531" s="1" t="s">
        <v>349</v>
      </c>
      <c r="I3531" s="1" t="s">
        <v>14356</v>
      </c>
      <c r="J3531" s="1" t="s">
        <v>269</v>
      </c>
      <c r="K3531" s="1">
        <v>7</v>
      </c>
      <c r="L3531" s="1" t="s">
        <v>4299</v>
      </c>
      <c r="M3531" s="1">
        <v>13</v>
      </c>
      <c r="N3531" s="1" t="s">
        <v>4300</v>
      </c>
    </row>
    <row r="3532" spans="1:14" x14ac:dyDescent="0.15">
      <c r="A3532" s="1">
        <v>775</v>
      </c>
      <c r="B3532" s="1" t="s">
        <v>339</v>
      </c>
      <c r="C3532" s="1" t="s">
        <v>351</v>
      </c>
      <c r="D3532" s="1" t="s">
        <v>352</v>
      </c>
      <c r="E3532" s="1" t="s">
        <v>351</v>
      </c>
      <c r="F3532" s="1" t="s">
        <v>352</v>
      </c>
      <c r="G3532" s="1" t="s">
        <v>353</v>
      </c>
      <c r="H3532" s="1" t="s">
        <v>352</v>
      </c>
      <c r="I3532" s="1" t="s">
        <v>11879</v>
      </c>
      <c r="J3532" s="1" t="s">
        <v>4495</v>
      </c>
      <c r="K3532" s="1">
        <v>7</v>
      </c>
      <c r="L3532" s="1" t="s">
        <v>4299</v>
      </c>
      <c r="M3532" s="1">
        <v>13</v>
      </c>
      <c r="N3532" s="1" t="s">
        <v>4300</v>
      </c>
    </row>
    <row r="3533" spans="1:14" x14ac:dyDescent="0.15">
      <c r="A3533" s="1">
        <v>780</v>
      </c>
      <c r="B3533" s="1" t="s">
        <v>354</v>
      </c>
      <c r="C3533" s="1" t="s">
        <v>355</v>
      </c>
      <c r="D3533" s="1" t="s">
        <v>354</v>
      </c>
      <c r="E3533" s="1" t="s">
        <v>355</v>
      </c>
      <c r="F3533" s="1" t="s">
        <v>354</v>
      </c>
      <c r="G3533" s="1" t="s">
        <v>356</v>
      </c>
      <c r="H3533" s="1" t="s">
        <v>354</v>
      </c>
      <c r="I3533" s="1" t="s">
        <v>16874</v>
      </c>
      <c r="J3533" s="1" t="s">
        <v>357</v>
      </c>
      <c r="K3533" s="1">
        <v>7</v>
      </c>
      <c r="L3533" s="1" t="s">
        <v>4299</v>
      </c>
      <c r="M3533" s="1">
        <v>13</v>
      </c>
      <c r="N3533" s="1" t="s">
        <v>4300</v>
      </c>
    </row>
    <row r="3534" spans="1:14" x14ac:dyDescent="0.15">
      <c r="A3534" s="1">
        <v>780</v>
      </c>
      <c r="B3534" s="1" t="s">
        <v>354</v>
      </c>
      <c r="C3534" s="1" t="s">
        <v>355</v>
      </c>
      <c r="D3534" s="1" t="s">
        <v>354</v>
      </c>
      <c r="E3534" s="1" t="s">
        <v>355</v>
      </c>
      <c r="F3534" s="1" t="s">
        <v>354</v>
      </c>
      <c r="G3534" s="1" t="s">
        <v>358</v>
      </c>
      <c r="H3534" s="1" t="s">
        <v>359</v>
      </c>
      <c r="I3534" s="1" t="s">
        <v>16874</v>
      </c>
      <c r="J3534" s="1" t="s">
        <v>357</v>
      </c>
      <c r="K3534" s="1">
        <v>7</v>
      </c>
      <c r="L3534" s="1" t="s">
        <v>4299</v>
      </c>
      <c r="M3534" s="1">
        <v>13</v>
      </c>
      <c r="N3534" s="1" t="s">
        <v>4300</v>
      </c>
    </row>
    <row r="3535" spans="1:14" x14ac:dyDescent="0.15">
      <c r="A3535" s="1">
        <v>780</v>
      </c>
      <c r="B3535" s="1" t="s">
        <v>354</v>
      </c>
      <c r="C3535" s="1" t="s">
        <v>355</v>
      </c>
      <c r="D3535" s="1" t="s">
        <v>354</v>
      </c>
      <c r="E3535" s="1" t="s">
        <v>355</v>
      </c>
      <c r="F3535" s="1" t="s">
        <v>354</v>
      </c>
      <c r="G3535" s="1" t="s">
        <v>360</v>
      </c>
      <c r="H3535" s="1" t="s">
        <v>361</v>
      </c>
      <c r="I3535" s="1" t="s">
        <v>16874</v>
      </c>
      <c r="J3535" s="1" t="s">
        <v>357</v>
      </c>
      <c r="K3535" s="1">
        <v>7</v>
      </c>
      <c r="L3535" s="1" t="s">
        <v>4299</v>
      </c>
      <c r="M3535" s="1">
        <v>13</v>
      </c>
      <c r="N3535" s="1" t="s">
        <v>4300</v>
      </c>
    </row>
    <row r="3536" spans="1:14" x14ac:dyDescent="0.15">
      <c r="A3536" s="1">
        <v>781</v>
      </c>
      <c r="B3536" s="1" t="s">
        <v>362</v>
      </c>
      <c r="C3536" s="1" t="s">
        <v>363</v>
      </c>
      <c r="D3536" s="1" t="s">
        <v>362</v>
      </c>
      <c r="E3536" s="1" t="s">
        <v>363</v>
      </c>
      <c r="F3536" s="1" t="s">
        <v>362</v>
      </c>
      <c r="G3536" s="1" t="s">
        <v>364</v>
      </c>
      <c r="H3536" s="1" t="s">
        <v>362</v>
      </c>
      <c r="I3536" s="1" t="s">
        <v>11879</v>
      </c>
      <c r="J3536" s="1" t="s">
        <v>4278</v>
      </c>
      <c r="K3536" s="1">
        <v>7</v>
      </c>
      <c r="L3536" s="1" t="s">
        <v>4299</v>
      </c>
      <c r="M3536" s="1">
        <v>14</v>
      </c>
      <c r="N3536" s="1" t="s">
        <v>4220</v>
      </c>
    </row>
    <row r="3537" spans="1:14" x14ac:dyDescent="0.15">
      <c r="A3537" s="1">
        <v>781</v>
      </c>
      <c r="B3537" s="1" t="s">
        <v>362</v>
      </c>
      <c r="C3537" s="1" t="s">
        <v>365</v>
      </c>
      <c r="D3537" s="1" t="s">
        <v>366</v>
      </c>
      <c r="E3537" s="1" t="s">
        <v>365</v>
      </c>
      <c r="F3537" s="1" t="s">
        <v>366</v>
      </c>
      <c r="G3537" s="1" t="s">
        <v>367</v>
      </c>
      <c r="H3537" s="1" t="s">
        <v>366</v>
      </c>
      <c r="I3537" s="1" t="s">
        <v>16894</v>
      </c>
      <c r="J3537" s="1" t="s">
        <v>6859</v>
      </c>
      <c r="K3537" s="1">
        <v>7</v>
      </c>
      <c r="L3537" s="1" t="s">
        <v>4299</v>
      </c>
      <c r="M3537" s="1">
        <v>14</v>
      </c>
      <c r="N3537" s="1" t="s">
        <v>4220</v>
      </c>
    </row>
    <row r="3538" spans="1:14" x14ac:dyDescent="0.15">
      <c r="A3538" s="1">
        <v>781</v>
      </c>
      <c r="B3538" s="1" t="s">
        <v>362</v>
      </c>
      <c r="C3538" s="1" t="s">
        <v>368</v>
      </c>
      <c r="D3538" s="1" t="s">
        <v>369</v>
      </c>
      <c r="E3538" s="1" t="s">
        <v>368</v>
      </c>
      <c r="F3538" s="1" t="s">
        <v>369</v>
      </c>
      <c r="G3538" s="1" t="s">
        <v>370</v>
      </c>
      <c r="H3538" s="1" t="s">
        <v>369</v>
      </c>
      <c r="I3538" s="1" t="s">
        <v>16894</v>
      </c>
      <c r="J3538" s="1" t="s">
        <v>6859</v>
      </c>
      <c r="K3538" s="1">
        <v>11</v>
      </c>
      <c r="L3538" s="1" t="s">
        <v>4227</v>
      </c>
      <c r="M3538" s="1">
        <v>14</v>
      </c>
      <c r="N3538" s="1" t="s">
        <v>4220</v>
      </c>
    </row>
    <row r="3539" spans="1:14" x14ac:dyDescent="0.15">
      <c r="A3539" s="1">
        <v>781</v>
      </c>
      <c r="B3539" s="1" t="s">
        <v>362</v>
      </c>
      <c r="C3539" s="1" t="s">
        <v>371</v>
      </c>
      <c r="D3539" s="1" t="s">
        <v>372</v>
      </c>
      <c r="E3539" s="1" t="s">
        <v>371</v>
      </c>
      <c r="F3539" s="1" t="s">
        <v>372</v>
      </c>
      <c r="G3539" s="1" t="s">
        <v>373</v>
      </c>
      <c r="H3539" s="1" t="s">
        <v>372</v>
      </c>
      <c r="I3539" s="1" t="s">
        <v>16894</v>
      </c>
      <c r="J3539" s="1" t="s">
        <v>6859</v>
      </c>
      <c r="K3539" s="1">
        <v>7</v>
      </c>
      <c r="L3539" s="1" t="s">
        <v>4299</v>
      </c>
      <c r="M3539" s="1">
        <v>14</v>
      </c>
      <c r="N3539" s="1" t="s">
        <v>4220</v>
      </c>
    </row>
    <row r="3540" spans="1:14" x14ac:dyDescent="0.15">
      <c r="A3540" s="1">
        <v>783</v>
      </c>
      <c r="B3540" s="1" t="s">
        <v>374</v>
      </c>
      <c r="C3540" s="1" t="s">
        <v>375</v>
      </c>
      <c r="D3540" s="1" t="s">
        <v>374</v>
      </c>
      <c r="E3540" s="1" t="s">
        <v>375</v>
      </c>
      <c r="F3540" s="1" t="s">
        <v>374</v>
      </c>
      <c r="G3540" s="1" t="s">
        <v>376</v>
      </c>
      <c r="H3540" s="1" t="s">
        <v>374</v>
      </c>
      <c r="I3540" s="1" t="s">
        <v>17920</v>
      </c>
      <c r="J3540" s="1" t="s">
        <v>2908</v>
      </c>
      <c r="K3540" s="1">
        <v>7</v>
      </c>
      <c r="L3540" s="1" t="s">
        <v>4299</v>
      </c>
      <c r="M3540" s="1">
        <v>13</v>
      </c>
      <c r="N3540" s="1" t="s">
        <v>4300</v>
      </c>
    </row>
    <row r="3541" spans="1:14" x14ac:dyDescent="0.15">
      <c r="A3541" s="1">
        <v>784</v>
      </c>
      <c r="B3541" s="1" t="s">
        <v>377</v>
      </c>
      <c r="C3541" s="1" t="s">
        <v>378</v>
      </c>
      <c r="D3541" s="1" t="s">
        <v>377</v>
      </c>
      <c r="E3541" s="1" t="s">
        <v>378</v>
      </c>
      <c r="F3541" s="1" t="s">
        <v>377</v>
      </c>
      <c r="G3541" s="1" t="s">
        <v>379</v>
      </c>
      <c r="H3541" s="1" t="s">
        <v>377</v>
      </c>
      <c r="I3541" s="1" t="s">
        <v>17920</v>
      </c>
      <c r="J3541" s="1" t="s">
        <v>2908</v>
      </c>
      <c r="K3541" s="1">
        <v>7</v>
      </c>
      <c r="L3541" s="1" t="s">
        <v>4299</v>
      </c>
      <c r="M3541" s="1">
        <v>13</v>
      </c>
      <c r="N3541" s="1" t="s">
        <v>4300</v>
      </c>
    </row>
    <row r="3542" spans="1:14" x14ac:dyDescent="0.15">
      <c r="A3542" s="1">
        <v>784</v>
      </c>
      <c r="B3542" s="1" t="s">
        <v>377</v>
      </c>
      <c r="C3542" s="1" t="s">
        <v>378</v>
      </c>
      <c r="D3542" s="1" t="s">
        <v>377</v>
      </c>
      <c r="E3542" s="1" t="s">
        <v>378</v>
      </c>
      <c r="F3542" s="1" t="s">
        <v>377</v>
      </c>
      <c r="G3542" s="1" t="s">
        <v>379</v>
      </c>
      <c r="H3542" s="1" t="s">
        <v>377</v>
      </c>
      <c r="I3542" s="1" t="s">
        <v>17192</v>
      </c>
      <c r="J3542" s="1" t="s">
        <v>5911</v>
      </c>
      <c r="K3542" s="1">
        <v>7</v>
      </c>
      <c r="L3542" s="1" t="s">
        <v>4299</v>
      </c>
      <c r="M3542" s="1">
        <v>13</v>
      </c>
      <c r="N3542" s="1" t="s">
        <v>4300</v>
      </c>
    </row>
    <row r="3543" spans="1:14" x14ac:dyDescent="0.15">
      <c r="A3543" s="1">
        <v>785</v>
      </c>
      <c r="B3543" s="1" t="s">
        <v>380</v>
      </c>
      <c r="C3543" s="1" t="s">
        <v>381</v>
      </c>
      <c r="D3543" s="1" t="s">
        <v>380</v>
      </c>
      <c r="E3543" s="1" t="s">
        <v>381</v>
      </c>
      <c r="F3543" s="1" t="s">
        <v>380</v>
      </c>
      <c r="G3543" s="1" t="s">
        <v>382</v>
      </c>
      <c r="H3543" s="1" t="s">
        <v>380</v>
      </c>
      <c r="I3543" s="1" t="s">
        <v>17920</v>
      </c>
      <c r="J3543" s="1" t="s">
        <v>2908</v>
      </c>
      <c r="K3543" s="1">
        <v>7</v>
      </c>
      <c r="L3543" s="1" t="s">
        <v>4299</v>
      </c>
      <c r="M3543" s="1">
        <v>13</v>
      </c>
      <c r="N3543" s="1" t="s">
        <v>4300</v>
      </c>
    </row>
    <row r="3544" spans="1:14" x14ac:dyDescent="0.15">
      <c r="A3544" s="1">
        <v>790</v>
      </c>
      <c r="B3544" s="1" t="s">
        <v>383</v>
      </c>
      <c r="C3544" s="1" t="s">
        <v>384</v>
      </c>
      <c r="D3544" s="1" t="s">
        <v>383</v>
      </c>
      <c r="E3544" s="1" t="s">
        <v>384</v>
      </c>
      <c r="F3544" s="1" t="s">
        <v>383</v>
      </c>
      <c r="G3544" s="1" t="s">
        <v>385</v>
      </c>
      <c r="H3544" s="1" t="s">
        <v>383</v>
      </c>
      <c r="I3544" s="1" t="s">
        <v>11879</v>
      </c>
      <c r="J3544" s="1" t="s">
        <v>4278</v>
      </c>
      <c r="K3544" s="1">
        <v>7</v>
      </c>
      <c r="L3544" s="1" t="s">
        <v>4299</v>
      </c>
      <c r="M3544" s="1">
        <v>13</v>
      </c>
      <c r="N3544" s="1" t="s">
        <v>4300</v>
      </c>
    </row>
    <row r="3545" spans="1:14" x14ac:dyDescent="0.15">
      <c r="A3545" s="1">
        <v>790</v>
      </c>
      <c r="B3545" s="1" t="s">
        <v>383</v>
      </c>
      <c r="C3545" s="1" t="s">
        <v>386</v>
      </c>
      <c r="D3545" s="1" t="s">
        <v>387</v>
      </c>
      <c r="E3545" s="1" t="s">
        <v>386</v>
      </c>
      <c r="F3545" s="1" t="s">
        <v>387</v>
      </c>
      <c r="G3545" s="1" t="s">
        <v>388</v>
      </c>
      <c r="H3545" s="1" t="s">
        <v>387</v>
      </c>
      <c r="I3545" s="1" t="s">
        <v>14510</v>
      </c>
      <c r="J3545" s="1" t="s">
        <v>4868</v>
      </c>
      <c r="K3545" s="1">
        <v>7</v>
      </c>
      <c r="L3545" s="1" t="s">
        <v>4299</v>
      </c>
      <c r="M3545" s="1">
        <v>13</v>
      </c>
      <c r="N3545" s="1" t="s">
        <v>4300</v>
      </c>
    </row>
    <row r="3546" spans="1:14" x14ac:dyDescent="0.15">
      <c r="A3546" s="1">
        <v>790</v>
      </c>
      <c r="B3546" s="1" t="s">
        <v>383</v>
      </c>
      <c r="C3546" s="1" t="s">
        <v>386</v>
      </c>
      <c r="D3546" s="1" t="s">
        <v>387</v>
      </c>
      <c r="E3546" s="1" t="s">
        <v>386</v>
      </c>
      <c r="F3546" s="1" t="s">
        <v>387</v>
      </c>
      <c r="G3546" s="1" t="s">
        <v>389</v>
      </c>
      <c r="H3546" s="1" t="s">
        <v>390</v>
      </c>
      <c r="I3546" s="1" t="s">
        <v>14510</v>
      </c>
      <c r="J3546" s="1" t="s">
        <v>4868</v>
      </c>
      <c r="K3546" s="1">
        <v>7</v>
      </c>
      <c r="L3546" s="1" t="s">
        <v>4299</v>
      </c>
      <c r="M3546" s="1">
        <v>13</v>
      </c>
      <c r="N3546" s="1" t="s">
        <v>4300</v>
      </c>
    </row>
    <row r="3547" spans="1:14" x14ac:dyDescent="0.15">
      <c r="A3547" s="1">
        <v>790</v>
      </c>
      <c r="B3547" s="1" t="s">
        <v>383</v>
      </c>
      <c r="C3547" s="1" t="s">
        <v>391</v>
      </c>
      <c r="D3547" s="1" t="s">
        <v>392</v>
      </c>
      <c r="E3547" s="1" t="s">
        <v>391</v>
      </c>
      <c r="F3547" s="1" t="s">
        <v>392</v>
      </c>
      <c r="G3547" s="1" t="s">
        <v>393</v>
      </c>
      <c r="H3547" s="1" t="s">
        <v>392</v>
      </c>
      <c r="I3547" s="1" t="s">
        <v>17815</v>
      </c>
      <c r="J3547" s="1" t="s">
        <v>6754</v>
      </c>
      <c r="K3547" s="1">
        <v>7</v>
      </c>
      <c r="L3547" s="1" t="s">
        <v>4299</v>
      </c>
      <c r="M3547" s="1">
        <v>13</v>
      </c>
      <c r="N3547" s="1" t="s">
        <v>4300</v>
      </c>
    </row>
    <row r="3548" spans="1:14" x14ac:dyDescent="0.15">
      <c r="A3548" s="1">
        <v>790</v>
      </c>
      <c r="B3548" s="1" t="s">
        <v>383</v>
      </c>
      <c r="C3548" s="1" t="s">
        <v>391</v>
      </c>
      <c r="D3548" s="1" t="s">
        <v>392</v>
      </c>
      <c r="E3548" s="1" t="s">
        <v>391</v>
      </c>
      <c r="F3548" s="1" t="s">
        <v>392</v>
      </c>
      <c r="G3548" s="1" t="s">
        <v>393</v>
      </c>
      <c r="H3548" s="1" t="s">
        <v>392</v>
      </c>
      <c r="I3548" s="1" t="s">
        <v>17822</v>
      </c>
      <c r="J3548" s="1" t="s">
        <v>4636</v>
      </c>
      <c r="K3548" s="1">
        <v>7</v>
      </c>
      <c r="L3548" s="1" t="s">
        <v>4299</v>
      </c>
      <c r="M3548" s="1">
        <v>13</v>
      </c>
      <c r="N3548" s="1" t="s">
        <v>4300</v>
      </c>
    </row>
    <row r="3549" spans="1:14" x14ac:dyDescent="0.15">
      <c r="A3549" s="1">
        <v>792</v>
      </c>
      <c r="B3549" s="1" t="s">
        <v>394</v>
      </c>
      <c r="C3549" s="1" t="s">
        <v>395</v>
      </c>
      <c r="D3549" s="1" t="s">
        <v>394</v>
      </c>
      <c r="E3549" s="1" t="s">
        <v>395</v>
      </c>
      <c r="F3549" s="1" t="s">
        <v>394</v>
      </c>
      <c r="G3549" s="1" t="s">
        <v>396</v>
      </c>
      <c r="H3549" s="1" t="s">
        <v>394</v>
      </c>
      <c r="I3549" s="1" t="s">
        <v>14507</v>
      </c>
      <c r="J3549" s="1" t="s">
        <v>4867</v>
      </c>
      <c r="K3549" s="1">
        <v>7</v>
      </c>
      <c r="L3549" s="1" t="s">
        <v>4299</v>
      </c>
      <c r="M3549" s="1">
        <v>13</v>
      </c>
      <c r="N3549" s="1" t="s">
        <v>4300</v>
      </c>
    </row>
    <row r="3550" spans="1:14" x14ac:dyDescent="0.15">
      <c r="A3550" s="1">
        <v>793</v>
      </c>
      <c r="B3550" s="1" t="s">
        <v>397</v>
      </c>
      <c r="C3550" s="1" t="s">
        <v>398</v>
      </c>
      <c r="D3550" s="1" t="s">
        <v>397</v>
      </c>
      <c r="E3550" s="1" t="s">
        <v>398</v>
      </c>
      <c r="F3550" s="1" t="s">
        <v>397</v>
      </c>
      <c r="G3550" s="1" t="s">
        <v>399</v>
      </c>
      <c r="H3550" s="1" t="s">
        <v>397</v>
      </c>
      <c r="I3550" s="1" t="s">
        <v>14507</v>
      </c>
      <c r="J3550" s="1" t="s">
        <v>4867</v>
      </c>
      <c r="K3550" s="1">
        <v>7</v>
      </c>
      <c r="L3550" s="1" t="s">
        <v>4299</v>
      </c>
      <c r="M3550" s="1">
        <v>13</v>
      </c>
      <c r="N3550" s="1" t="s">
        <v>4300</v>
      </c>
    </row>
    <row r="3551" spans="1:14" x14ac:dyDescent="0.15">
      <c r="A3551" s="1">
        <v>794</v>
      </c>
      <c r="B3551" s="1" t="s">
        <v>400</v>
      </c>
      <c r="C3551" s="1" t="s">
        <v>401</v>
      </c>
      <c r="D3551" s="1" t="s">
        <v>400</v>
      </c>
      <c r="E3551" s="1" t="s">
        <v>401</v>
      </c>
      <c r="F3551" s="1" t="s">
        <v>400</v>
      </c>
      <c r="G3551" s="1" t="s">
        <v>402</v>
      </c>
      <c r="H3551" s="1" t="s">
        <v>400</v>
      </c>
      <c r="I3551" s="1" t="s">
        <v>14507</v>
      </c>
      <c r="J3551" s="1" t="s">
        <v>4867</v>
      </c>
      <c r="K3551" s="1">
        <v>7</v>
      </c>
      <c r="L3551" s="1" t="s">
        <v>4299</v>
      </c>
      <c r="M3551" s="1">
        <v>13</v>
      </c>
      <c r="N3551" s="1" t="s">
        <v>4300</v>
      </c>
    </row>
    <row r="3552" spans="1:14" x14ac:dyDescent="0.15">
      <c r="A3552" s="1">
        <v>794</v>
      </c>
      <c r="B3552" s="1" t="s">
        <v>400</v>
      </c>
      <c r="C3552" s="1" t="s">
        <v>401</v>
      </c>
      <c r="D3552" s="1" t="s">
        <v>400</v>
      </c>
      <c r="E3552" s="1" t="s">
        <v>401</v>
      </c>
      <c r="F3552" s="1" t="s">
        <v>400</v>
      </c>
      <c r="G3552" s="1" t="s">
        <v>402</v>
      </c>
      <c r="H3552" s="1" t="s">
        <v>400</v>
      </c>
      <c r="I3552" s="1" t="s">
        <v>14514</v>
      </c>
      <c r="J3552" s="1" t="s">
        <v>4869</v>
      </c>
      <c r="K3552" s="1">
        <v>7</v>
      </c>
      <c r="L3552" s="1" t="s">
        <v>4299</v>
      </c>
      <c r="M3552" s="1">
        <v>13</v>
      </c>
      <c r="N3552" s="1" t="s">
        <v>4300</v>
      </c>
    </row>
    <row r="3553" spans="1:14" x14ac:dyDescent="0.15">
      <c r="A3553" s="1">
        <v>795</v>
      </c>
      <c r="B3553" s="1" t="s">
        <v>403</v>
      </c>
      <c r="C3553" s="1" t="s">
        <v>404</v>
      </c>
      <c r="D3553" s="1" t="s">
        <v>403</v>
      </c>
      <c r="E3553" s="1" t="s">
        <v>404</v>
      </c>
      <c r="F3553" s="1" t="s">
        <v>403</v>
      </c>
      <c r="G3553" s="1" t="s">
        <v>405</v>
      </c>
      <c r="H3553" s="1" t="s">
        <v>403</v>
      </c>
      <c r="I3553" s="1" t="s">
        <v>14514</v>
      </c>
      <c r="J3553" s="1" t="s">
        <v>4869</v>
      </c>
      <c r="K3553" s="1">
        <v>7</v>
      </c>
      <c r="L3553" s="1" t="s">
        <v>4299</v>
      </c>
      <c r="M3553" s="1">
        <v>13</v>
      </c>
      <c r="N3553" s="1" t="s">
        <v>4300</v>
      </c>
    </row>
    <row r="3554" spans="1:14" x14ac:dyDescent="0.15">
      <c r="A3554" s="1">
        <v>795</v>
      </c>
      <c r="B3554" s="1" t="s">
        <v>403</v>
      </c>
      <c r="C3554" s="1" t="s">
        <v>404</v>
      </c>
      <c r="D3554" s="1" t="s">
        <v>403</v>
      </c>
      <c r="E3554" s="1" t="s">
        <v>404</v>
      </c>
      <c r="F3554" s="1" t="s">
        <v>403</v>
      </c>
      <c r="G3554" s="1" t="s">
        <v>405</v>
      </c>
      <c r="H3554" s="1" t="s">
        <v>403</v>
      </c>
      <c r="I3554" s="1" t="s">
        <v>14507</v>
      </c>
      <c r="J3554" s="1" t="s">
        <v>4867</v>
      </c>
      <c r="K3554" s="1">
        <v>7</v>
      </c>
      <c r="L3554" s="1" t="s">
        <v>4299</v>
      </c>
      <c r="M3554" s="1">
        <v>13</v>
      </c>
      <c r="N3554" s="1" t="s">
        <v>4300</v>
      </c>
    </row>
    <row r="3555" spans="1:14" x14ac:dyDescent="0.15">
      <c r="A3555" s="1">
        <v>795</v>
      </c>
      <c r="B3555" s="1" t="s">
        <v>403</v>
      </c>
      <c r="C3555" s="1" t="s">
        <v>404</v>
      </c>
      <c r="D3555" s="1" t="s">
        <v>403</v>
      </c>
      <c r="E3555" s="1" t="s">
        <v>404</v>
      </c>
      <c r="F3555" s="1" t="s">
        <v>403</v>
      </c>
      <c r="G3555" s="1" t="s">
        <v>406</v>
      </c>
      <c r="H3555" s="1" t="s">
        <v>407</v>
      </c>
      <c r="I3555" s="1" t="s">
        <v>14507</v>
      </c>
      <c r="J3555" s="1" t="s">
        <v>4867</v>
      </c>
      <c r="K3555" s="1">
        <v>7</v>
      </c>
      <c r="L3555" s="1" t="s">
        <v>4299</v>
      </c>
      <c r="M3555" s="1">
        <v>13</v>
      </c>
      <c r="N3555" s="1" t="s">
        <v>4300</v>
      </c>
    </row>
    <row r="3556" spans="1:14" x14ac:dyDescent="0.15">
      <c r="A3556" s="1">
        <v>795</v>
      </c>
      <c r="B3556" s="1" t="s">
        <v>403</v>
      </c>
      <c r="C3556" s="1" t="s">
        <v>404</v>
      </c>
      <c r="D3556" s="1" t="s">
        <v>403</v>
      </c>
      <c r="E3556" s="1" t="s">
        <v>404</v>
      </c>
      <c r="F3556" s="1" t="s">
        <v>403</v>
      </c>
      <c r="G3556" s="1" t="s">
        <v>408</v>
      </c>
      <c r="H3556" s="1" t="s">
        <v>409</v>
      </c>
      <c r="I3556" s="1" t="s">
        <v>14514</v>
      </c>
      <c r="J3556" s="1" t="s">
        <v>4869</v>
      </c>
      <c r="K3556" s="1">
        <v>7</v>
      </c>
      <c r="L3556" s="1" t="s">
        <v>4299</v>
      </c>
      <c r="M3556" s="1">
        <v>13</v>
      </c>
      <c r="N3556" s="1" t="s">
        <v>4300</v>
      </c>
    </row>
    <row r="3557" spans="1:14" x14ac:dyDescent="0.15">
      <c r="A3557" s="1">
        <v>795</v>
      </c>
      <c r="B3557" s="1" t="s">
        <v>403</v>
      </c>
      <c r="C3557" s="1" t="s">
        <v>404</v>
      </c>
      <c r="D3557" s="1" t="s">
        <v>403</v>
      </c>
      <c r="E3557" s="1" t="s">
        <v>404</v>
      </c>
      <c r="F3557" s="1" t="s">
        <v>403</v>
      </c>
      <c r="G3557" s="1" t="s">
        <v>410</v>
      </c>
      <c r="H3557" s="1" t="s">
        <v>411</v>
      </c>
      <c r="I3557" s="1" t="s">
        <v>14507</v>
      </c>
      <c r="J3557" s="1" t="s">
        <v>4867</v>
      </c>
      <c r="K3557" s="1">
        <v>7</v>
      </c>
      <c r="L3557" s="1" t="s">
        <v>4299</v>
      </c>
      <c r="M3557" s="1">
        <v>13</v>
      </c>
      <c r="N3557" s="1" t="s">
        <v>4300</v>
      </c>
    </row>
    <row r="3558" spans="1:14" x14ac:dyDescent="0.15">
      <c r="A3558" s="1">
        <v>795</v>
      </c>
      <c r="B3558" s="1" t="s">
        <v>403</v>
      </c>
      <c r="C3558" s="1" t="s">
        <v>404</v>
      </c>
      <c r="D3558" s="1" t="s">
        <v>403</v>
      </c>
      <c r="E3558" s="1" t="s">
        <v>404</v>
      </c>
      <c r="F3558" s="1" t="s">
        <v>403</v>
      </c>
      <c r="G3558" s="1" t="s">
        <v>412</v>
      </c>
      <c r="H3558" s="1" t="s">
        <v>413</v>
      </c>
      <c r="I3558" s="1" t="s">
        <v>14514</v>
      </c>
      <c r="J3558" s="1" t="s">
        <v>4869</v>
      </c>
      <c r="K3558" s="1">
        <v>7</v>
      </c>
      <c r="L3558" s="1" t="s">
        <v>4299</v>
      </c>
      <c r="M3558" s="1">
        <v>13</v>
      </c>
      <c r="N3558" s="1" t="s">
        <v>4300</v>
      </c>
    </row>
    <row r="3559" spans="1:14" x14ac:dyDescent="0.15">
      <c r="A3559" s="1">
        <v>796</v>
      </c>
      <c r="B3559" s="1" t="s">
        <v>414</v>
      </c>
      <c r="C3559" s="1" t="s">
        <v>415</v>
      </c>
      <c r="D3559" s="1" t="s">
        <v>414</v>
      </c>
      <c r="E3559" s="1" t="s">
        <v>415</v>
      </c>
      <c r="F3559" s="1" t="s">
        <v>414</v>
      </c>
      <c r="G3559" s="1" t="s">
        <v>416</v>
      </c>
      <c r="H3559" s="1" t="s">
        <v>414</v>
      </c>
      <c r="I3559" s="1" t="s">
        <v>14507</v>
      </c>
      <c r="J3559" s="1" t="s">
        <v>4867</v>
      </c>
      <c r="K3559" s="1">
        <v>7</v>
      </c>
      <c r="L3559" s="1" t="s">
        <v>4299</v>
      </c>
      <c r="M3559" s="1">
        <v>13</v>
      </c>
      <c r="N3559" s="1" t="s">
        <v>4300</v>
      </c>
    </row>
    <row r="3560" spans="1:14" x14ac:dyDescent="0.15">
      <c r="A3560" s="1">
        <v>800</v>
      </c>
      <c r="B3560" s="1" t="s">
        <v>417</v>
      </c>
      <c r="C3560" s="1" t="s">
        <v>418</v>
      </c>
      <c r="D3560" s="1" t="s">
        <v>419</v>
      </c>
      <c r="E3560" s="1" t="s">
        <v>418</v>
      </c>
      <c r="F3560" s="1" t="s">
        <v>419</v>
      </c>
      <c r="G3560" s="1" t="s">
        <v>420</v>
      </c>
      <c r="H3560" s="1" t="s">
        <v>419</v>
      </c>
      <c r="I3560" s="1" t="s">
        <v>14507</v>
      </c>
      <c r="J3560" s="1" t="s">
        <v>4867</v>
      </c>
      <c r="K3560" s="1">
        <v>7</v>
      </c>
      <c r="L3560" s="1" t="s">
        <v>4299</v>
      </c>
      <c r="M3560" s="1">
        <v>13</v>
      </c>
      <c r="N3560" s="1" t="s">
        <v>4300</v>
      </c>
    </row>
    <row r="3561" spans="1:14" x14ac:dyDescent="0.15">
      <c r="A3561" s="1">
        <v>800</v>
      </c>
      <c r="B3561" s="1" t="s">
        <v>417</v>
      </c>
      <c r="C3561" s="1" t="s">
        <v>418</v>
      </c>
      <c r="D3561" s="1" t="s">
        <v>419</v>
      </c>
      <c r="E3561" s="1" t="s">
        <v>418</v>
      </c>
      <c r="F3561" s="1" t="s">
        <v>419</v>
      </c>
      <c r="G3561" s="1" t="s">
        <v>420</v>
      </c>
      <c r="H3561" s="1" t="s">
        <v>419</v>
      </c>
      <c r="I3561" s="1" t="s">
        <v>14510</v>
      </c>
      <c r="J3561" s="1" t="s">
        <v>4868</v>
      </c>
      <c r="K3561" s="1">
        <v>7</v>
      </c>
      <c r="L3561" s="1" t="s">
        <v>4299</v>
      </c>
      <c r="M3561" s="1">
        <v>13</v>
      </c>
      <c r="N3561" s="1" t="s">
        <v>4300</v>
      </c>
    </row>
    <row r="3562" spans="1:14" x14ac:dyDescent="0.15">
      <c r="A3562" s="1">
        <v>800</v>
      </c>
      <c r="B3562" s="1" t="s">
        <v>417</v>
      </c>
      <c r="C3562" s="1" t="s">
        <v>418</v>
      </c>
      <c r="D3562" s="1" t="s">
        <v>419</v>
      </c>
      <c r="E3562" s="1" t="s">
        <v>418</v>
      </c>
      <c r="F3562" s="1" t="s">
        <v>419</v>
      </c>
      <c r="G3562" s="1" t="s">
        <v>421</v>
      </c>
      <c r="H3562" s="1" t="s">
        <v>422</v>
      </c>
      <c r="I3562" s="1" t="s">
        <v>14507</v>
      </c>
      <c r="J3562" s="1" t="s">
        <v>4867</v>
      </c>
      <c r="K3562" s="1">
        <v>7</v>
      </c>
      <c r="L3562" s="1" t="s">
        <v>4299</v>
      </c>
      <c r="M3562" s="1">
        <v>13</v>
      </c>
      <c r="N3562" s="1" t="s">
        <v>4300</v>
      </c>
    </row>
    <row r="3563" spans="1:14" x14ac:dyDescent="0.15">
      <c r="A3563" s="1">
        <v>800</v>
      </c>
      <c r="B3563" s="1" t="s">
        <v>417</v>
      </c>
      <c r="C3563" s="1" t="s">
        <v>418</v>
      </c>
      <c r="D3563" s="1" t="s">
        <v>419</v>
      </c>
      <c r="E3563" s="1" t="s">
        <v>418</v>
      </c>
      <c r="F3563" s="1" t="s">
        <v>419</v>
      </c>
      <c r="G3563" s="1" t="s">
        <v>421</v>
      </c>
      <c r="H3563" s="1" t="s">
        <v>407</v>
      </c>
      <c r="I3563" s="1" t="s">
        <v>14510</v>
      </c>
      <c r="J3563" s="1" t="s">
        <v>4868</v>
      </c>
      <c r="K3563" s="1">
        <v>7</v>
      </c>
      <c r="L3563" s="1" t="s">
        <v>4299</v>
      </c>
      <c r="M3563" s="1">
        <v>13</v>
      </c>
      <c r="N3563" s="1" t="s">
        <v>4300</v>
      </c>
    </row>
    <row r="3564" spans="1:14" x14ac:dyDescent="0.15">
      <c r="A3564" s="1">
        <v>800</v>
      </c>
      <c r="B3564" s="1" t="s">
        <v>417</v>
      </c>
      <c r="C3564" s="1" t="s">
        <v>418</v>
      </c>
      <c r="D3564" s="1" t="s">
        <v>419</v>
      </c>
      <c r="E3564" s="1" t="s">
        <v>418</v>
      </c>
      <c r="F3564" s="1" t="s">
        <v>419</v>
      </c>
      <c r="G3564" s="1" t="s">
        <v>423</v>
      </c>
      <c r="H3564" s="1" t="s">
        <v>424</v>
      </c>
      <c r="I3564" s="1" t="s">
        <v>14507</v>
      </c>
      <c r="J3564" s="1" t="s">
        <v>4867</v>
      </c>
      <c r="K3564" s="1">
        <v>7</v>
      </c>
      <c r="L3564" s="1" t="s">
        <v>4299</v>
      </c>
      <c r="M3564" s="1">
        <v>13</v>
      </c>
      <c r="N3564" s="1" t="s">
        <v>4300</v>
      </c>
    </row>
    <row r="3565" spans="1:14" x14ac:dyDescent="0.15">
      <c r="A3565" s="1">
        <v>800</v>
      </c>
      <c r="B3565" s="1" t="s">
        <v>417</v>
      </c>
      <c r="C3565" s="1" t="s">
        <v>418</v>
      </c>
      <c r="D3565" s="1" t="s">
        <v>419</v>
      </c>
      <c r="E3565" s="1" t="s">
        <v>418</v>
      </c>
      <c r="F3565" s="1" t="s">
        <v>419</v>
      </c>
      <c r="G3565" s="1" t="s">
        <v>423</v>
      </c>
      <c r="H3565" s="1" t="s">
        <v>424</v>
      </c>
      <c r="I3565" s="1" t="s">
        <v>14510</v>
      </c>
      <c r="J3565" s="1" t="s">
        <v>4868</v>
      </c>
      <c r="K3565" s="1">
        <v>7</v>
      </c>
      <c r="L3565" s="1" t="s">
        <v>4299</v>
      </c>
      <c r="M3565" s="1">
        <v>13</v>
      </c>
      <c r="N3565" s="1" t="s">
        <v>4300</v>
      </c>
    </row>
    <row r="3566" spans="1:14" x14ac:dyDescent="0.15">
      <c r="A3566" s="1">
        <v>801</v>
      </c>
      <c r="B3566" s="1" t="s">
        <v>425</v>
      </c>
      <c r="C3566" s="1" t="s">
        <v>426</v>
      </c>
      <c r="D3566" s="1" t="s">
        <v>425</v>
      </c>
      <c r="E3566" s="1" t="s">
        <v>426</v>
      </c>
      <c r="F3566" s="1" t="s">
        <v>425</v>
      </c>
      <c r="G3566" s="1" t="s">
        <v>427</v>
      </c>
      <c r="H3566" s="1" t="s">
        <v>425</v>
      </c>
      <c r="I3566" s="1" t="s">
        <v>14507</v>
      </c>
      <c r="J3566" s="1" t="s">
        <v>4867</v>
      </c>
      <c r="K3566" s="1">
        <v>7</v>
      </c>
      <c r="L3566" s="1" t="s">
        <v>4299</v>
      </c>
      <c r="M3566" s="1">
        <v>13</v>
      </c>
      <c r="N3566" s="1" t="s">
        <v>4300</v>
      </c>
    </row>
    <row r="3567" spans="1:14" x14ac:dyDescent="0.15">
      <c r="A3567" s="1">
        <v>802</v>
      </c>
      <c r="B3567" s="1" t="s">
        <v>428</v>
      </c>
      <c r="C3567" s="1" t="s">
        <v>429</v>
      </c>
      <c r="D3567" s="1" t="s">
        <v>428</v>
      </c>
      <c r="E3567" s="1" t="s">
        <v>429</v>
      </c>
      <c r="F3567" s="1" t="s">
        <v>428</v>
      </c>
      <c r="G3567" s="1" t="s">
        <v>430</v>
      </c>
      <c r="H3567" s="1" t="s">
        <v>428</v>
      </c>
      <c r="I3567" s="1" t="s">
        <v>14507</v>
      </c>
      <c r="J3567" s="1" t="s">
        <v>4867</v>
      </c>
      <c r="K3567" s="1">
        <v>7</v>
      </c>
      <c r="L3567" s="1" t="s">
        <v>4299</v>
      </c>
      <c r="M3567" s="1">
        <v>13</v>
      </c>
      <c r="N3567" s="1" t="s">
        <v>4300</v>
      </c>
    </row>
    <row r="3568" spans="1:14" x14ac:dyDescent="0.15">
      <c r="A3568" s="1">
        <v>803</v>
      </c>
      <c r="B3568" s="1" t="s">
        <v>431</v>
      </c>
      <c r="C3568" s="1" t="s">
        <v>432</v>
      </c>
      <c r="D3568" s="1" t="s">
        <v>431</v>
      </c>
      <c r="E3568" s="1" t="s">
        <v>432</v>
      </c>
      <c r="F3568" s="1" t="s">
        <v>431</v>
      </c>
      <c r="G3568" s="1" t="s">
        <v>433</v>
      </c>
      <c r="H3568" s="1" t="s">
        <v>431</v>
      </c>
      <c r="I3568" s="1" t="s">
        <v>14507</v>
      </c>
      <c r="J3568" s="1" t="s">
        <v>4867</v>
      </c>
      <c r="K3568" s="1">
        <v>7</v>
      </c>
      <c r="L3568" s="1" t="s">
        <v>4299</v>
      </c>
      <c r="M3568" s="1">
        <v>13</v>
      </c>
      <c r="N3568" s="1" t="s">
        <v>4300</v>
      </c>
    </row>
    <row r="3569" spans="1:14" x14ac:dyDescent="0.15">
      <c r="A3569" s="1">
        <v>803</v>
      </c>
      <c r="B3569" s="1" t="s">
        <v>431</v>
      </c>
      <c r="C3569" s="1" t="s">
        <v>432</v>
      </c>
      <c r="D3569" s="1" t="s">
        <v>431</v>
      </c>
      <c r="E3569" s="1" t="s">
        <v>432</v>
      </c>
      <c r="F3569" s="1" t="s">
        <v>431</v>
      </c>
      <c r="G3569" s="1" t="s">
        <v>433</v>
      </c>
      <c r="H3569" s="1" t="s">
        <v>431</v>
      </c>
      <c r="I3569" s="1" t="s">
        <v>14510</v>
      </c>
      <c r="J3569" s="1" t="s">
        <v>4868</v>
      </c>
      <c r="K3569" s="1">
        <v>7</v>
      </c>
      <c r="L3569" s="1" t="s">
        <v>4299</v>
      </c>
      <c r="M3569" s="1">
        <v>13</v>
      </c>
      <c r="N3569" s="1" t="s">
        <v>4300</v>
      </c>
    </row>
    <row r="3570" spans="1:14" x14ac:dyDescent="0.15">
      <c r="A3570" s="1">
        <v>804</v>
      </c>
      <c r="B3570" s="1" t="s">
        <v>434</v>
      </c>
      <c r="C3570" s="1" t="s">
        <v>435</v>
      </c>
      <c r="D3570" s="1" t="s">
        <v>434</v>
      </c>
      <c r="E3570" s="1" t="s">
        <v>435</v>
      </c>
      <c r="F3570" s="1" t="s">
        <v>434</v>
      </c>
      <c r="G3570" s="1" t="s">
        <v>436</v>
      </c>
      <c r="H3570" s="1" t="s">
        <v>434</v>
      </c>
      <c r="I3570" s="1" t="s">
        <v>11879</v>
      </c>
      <c r="J3570" s="1" t="s">
        <v>4278</v>
      </c>
      <c r="K3570" s="1">
        <v>7</v>
      </c>
      <c r="L3570" s="1" t="s">
        <v>4299</v>
      </c>
      <c r="M3570" s="1">
        <v>13</v>
      </c>
      <c r="N3570" s="1" t="s">
        <v>4300</v>
      </c>
    </row>
    <row r="3571" spans="1:14" x14ac:dyDescent="0.15">
      <c r="A3571" s="1">
        <v>804</v>
      </c>
      <c r="B3571" s="1" t="s">
        <v>434</v>
      </c>
      <c r="C3571" s="1" t="s">
        <v>437</v>
      </c>
      <c r="D3571" s="1" t="s">
        <v>438</v>
      </c>
      <c r="E3571" s="1" t="s">
        <v>437</v>
      </c>
      <c r="F3571" s="1" t="s">
        <v>438</v>
      </c>
      <c r="G3571" s="1" t="s">
        <v>439</v>
      </c>
      <c r="H3571" s="1" t="s">
        <v>438</v>
      </c>
      <c r="I3571" s="1" t="s">
        <v>4494</v>
      </c>
      <c r="J3571" s="1" t="s">
        <v>4495</v>
      </c>
      <c r="K3571" s="1">
        <v>7</v>
      </c>
      <c r="L3571" s="1" t="s">
        <v>4299</v>
      </c>
      <c r="M3571" s="1">
        <v>13</v>
      </c>
      <c r="N3571" s="1" t="s">
        <v>4300</v>
      </c>
    </row>
    <row r="3572" spans="1:14" x14ac:dyDescent="0.15">
      <c r="A3572" s="1">
        <v>804</v>
      </c>
      <c r="B3572" s="1" t="s">
        <v>434</v>
      </c>
      <c r="C3572" s="1" t="s">
        <v>440</v>
      </c>
      <c r="D3572" s="1" t="s">
        <v>441</v>
      </c>
      <c r="E3572" s="1" t="s">
        <v>440</v>
      </c>
      <c r="F3572" s="1" t="s">
        <v>441</v>
      </c>
      <c r="G3572" s="1" t="s">
        <v>442</v>
      </c>
      <c r="H3572" s="1" t="s">
        <v>441</v>
      </c>
      <c r="I3572" s="1" t="s">
        <v>4494</v>
      </c>
      <c r="J3572" s="1" t="s">
        <v>4495</v>
      </c>
      <c r="K3572" s="1">
        <v>7</v>
      </c>
      <c r="L3572" s="1" t="s">
        <v>4299</v>
      </c>
      <c r="M3572" s="1">
        <v>13</v>
      </c>
      <c r="N3572" s="1" t="s">
        <v>4300</v>
      </c>
    </row>
    <row r="3573" spans="1:14" x14ac:dyDescent="0.15">
      <c r="A3573" s="1">
        <v>806</v>
      </c>
      <c r="B3573" s="1" t="s">
        <v>443</v>
      </c>
      <c r="C3573" s="1" t="s">
        <v>444</v>
      </c>
      <c r="D3573" s="1" t="s">
        <v>443</v>
      </c>
      <c r="E3573" s="1" t="s">
        <v>444</v>
      </c>
      <c r="F3573" s="1" t="s">
        <v>443</v>
      </c>
      <c r="G3573" s="1" t="s">
        <v>445</v>
      </c>
      <c r="H3573" s="1" t="s">
        <v>443</v>
      </c>
      <c r="I3573" s="1" t="s">
        <v>11879</v>
      </c>
      <c r="J3573" s="1" t="s">
        <v>4278</v>
      </c>
      <c r="K3573" s="1">
        <v>7</v>
      </c>
      <c r="L3573" s="1" t="s">
        <v>4299</v>
      </c>
      <c r="M3573" s="1">
        <v>13</v>
      </c>
      <c r="N3573" s="1" t="s">
        <v>4300</v>
      </c>
    </row>
    <row r="3574" spans="1:14" x14ac:dyDescent="0.15">
      <c r="A3574" s="1">
        <v>806</v>
      </c>
      <c r="B3574" s="1" t="s">
        <v>443</v>
      </c>
      <c r="C3574" s="1" t="s">
        <v>446</v>
      </c>
      <c r="D3574" s="1" t="s">
        <v>447</v>
      </c>
      <c r="E3574" s="1" t="s">
        <v>446</v>
      </c>
      <c r="F3574" s="1" t="s">
        <v>447</v>
      </c>
      <c r="G3574" s="1" t="s">
        <v>448</v>
      </c>
      <c r="H3574" s="1" t="s">
        <v>447</v>
      </c>
      <c r="I3574" s="1" t="s">
        <v>14514</v>
      </c>
      <c r="J3574" s="1" t="s">
        <v>4869</v>
      </c>
      <c r="K3574" s="1">
        <v>7</v>
      </c>
      <c r="L3574" s="1" t="s">
        <v>4299</v>
      </c>
      <c r="M3574" s="1">
        <v>13</v>
      </c>
      <c r="N3574" s="1" t="s">
        <v>4300</v>
      </c>
    </row>
    <row r="3575" spans="1:14" x14ac:dyDescent="0.15">
      <c r="A3575" s="1">
        <v>806</v>
      </c>
      <c r="B3575" s="1" t="s">
        <v>443</v>
      </c>
      <c r="C3575" s="1" t="s">
        <v>449</v>
      </c>
      <c r="D3575" s="1" t="s">
        <v>450</v>
      </c>
      <c r="E3575" s="1" t="s">
        <v>449</v>
      </c>
      <c r="F3575" s="1" t="s">
        <v>450</v>
      </c>
      <c r="G3575" s="1" t="s">
        <v>451</v>
      </c>
      <c r="H3575" s="1" t="s">
        <v>450</v>
      </c>
      <c r="I3575" s="1" t="s">
        <v>14514</v>
      </c>
      <c r="J3575" s="1" t="s">
        <v>4869</v>
      </c>
      <c r="K3575" s="1">
        <v>7</v>
      </c>
      <c r="L3575" s="1" t="s">
        <v>4299</v>
      </c>
      <c r="M3575" s="1">
        <v>13</v>
      </c>
      <c r="N3575" s="1" t="s">
        <v>4300</v>
      </c>
    </row>
    <row r="3576" spans="1:14" x14ac:dyDescent="0.15">
      <c r="A3576" s="1">
        <v>810</v>
      </c>
      <c r="B3576" s="1" t="s">
        <v>452</v>
      </c>
      <c r="C3576" s="1" t="s">
        <v>453</v>
      </c>
      <c r="D3576" s="1" t="s">
        <v>452</v>
      </c>
      <c r="E3576" s="1" t="s">
        <v>453</v>
      </c>
      <c r="F3576" s="1" t="s">
        <v>452</v>
      </c>
      <c r="G3576" s="1" t="s">
        <v>454</v>
      </c>
      <c r="H3576" s="1" t="s">
        <v>452</v>
      </c>
      <c r="I3576" s="1" t="s">
        <v>11879</v>
      </c>
      <c r="J3576" s="1" t="s">
        <v>4278</v>
      </c>
      <c r="K3576" s="1">
        <v>7</v>
      </c>
      <c r="L3576" s="1" t="s">
        <v>4299</v>
      </c>
      <c r="M3576" s="1">
        <v>13</v>
      </c>
      <c r="N3576" s="1" t="s">
        <v>4300</v>
      </c>
    </row>
    <row r="3577" spans="1:14" x14ac:dyDescent="0.15">
      <c r="A3577" s="1">
        <v>810</v>
      </c>
      <c r="B3577" s="1" t="s">
        <v>452</v>
      </c>
      <c r="C3577" s="1" t="s">
        <v>455</v>
      </c>
      <c r="D3577" s="1" t="s">
        <v>456</v>
      </c>
      <c r="E3577" s="1" t="s">
        <v>455</v>
      </c>
      <c r="F3577" s="1" t="s">
        <v>456</v>
      </c>
      <c r="G3577" s="1" t="s">
        <v>457</v>
      </c>
      <c r="H3577" s="1" t="s">
        <v>456</v>
      </c>
      <c r="I3577" s="1" t="s">
        <v>8675</v>
      </c>
      <c r="J3577" s="1" t="s">
        <v>458</v>
      </c>
      <c r="K3577" s="1">
        <v>7</v>
      </c>
      <c r="L3577" s="1" t="s">
        <v>4299</v>
      </c>
      <c r="M3577" s="1">
        <v>13</v>
      </c>
      <c r="N3577" s="1" t="s">
        <v>4300</v>
      </c>
    </row>
    <row r="3578" spans="1:14" x14ac:dyDescent="0.15">
      <c r="A3578" s="1">
        <v>810</v>
      </c>
      <c r="B3578" s="1" t="s">
        <v>452</v>
      </c>
      <c r="C3578" s="1" t="s">
        <v>459</v>
      </c>
      <c r="D3578" s="1" t="s">
        <v>460</v>
      </c>
      <c r="E3578" s="1" t="s">
        <v>459</v>
      </c>
      <c r="F3578" s="1" t="s">
        <v>460</v>
      </c>
      <c r="G3578" s="1" t="s">
        <v>461</v>
      </c>
      <c r="H3578" s="1" t="s">
        <v>460</v>
      </c>
      <c r="I3578" s="1" t="s">
        <v>4494</v>
      </c>
      <c r="J3578" s="1" t="s">
        <v>4495</v>
      </c>
      <c r="K3578" s="1">
        <v>7</v>
      </c>
      <c r="L3578" s="1" t="s">
        <v>4299</v>
      </c>
      <c r="M3578" s="1">
        <v>13</v>
      </c>
      <c r="N3578" s="1" t="s">
        <v>4300</v>
      </c>
    </row>
    <row r="3579" spans="1:14" x14ac:dyDescent="0.15">
      <c r="A3579" s="1">
        <v>810</v>
      </c>
      <c r="B3579" s="1" t="s">
        <v>452</v>
      </c>
      <c r="C3579" s="1" t="s">
        <v>459</v>
      </c>
      <c r="D3579" s="1" t="s">
        <v>460</v>
      </c>
      <c r="E3579" s="1" t="s">
        <v>459</v>
      </c>
      <c r="F3579" s="1" t="s">
        <v>462</v>
      </c>
      <c r="G3579" s="1" t="s">
        <v>463</v>
      </c>
      <c r="H3579" s="1" t="s">
        <v>462</v>
      </c>
      <c r="I3579" s="1" t="s">
        <v>4494</v>
      </c>
      <c r="J3579" s="1" t="s">
        <v>4495</v>
      </c>
      <c r="K3579" s="1">
        <v>7</v>
      </c>
      <c r="L3579" s="1" t="s">
        <v>4299</v>
      </c>
      <c r="M3579" s="1">
        <v>13</v>
      </c>
      <c r="N3579" s="1" t="s">
        <v>4300</v>
      </c>
    </row>
    <row r="3580" spans="1:14" x14ac:dyDescent="0.15">
      <c r="A3580" s="1">
        <v>810</v>
      </c>
      <c r="B3580" s="1" t="s">
        <v>452</v>
      </c>
      <c r="C3580" s="1" t="s">
        <v>459</v>
      </c>
      <c r="D3580" s="1" t="s">
        <v>460</v>
      </c>
      <c r="E3580" s="1" t="s">
        <v>459</v>
      </c>
      <c r="F3580" s="1" t="s">
        <v>464</v>
      </c>
      <c r="G3580" s="1" t="s">
        <v>465</v>
      </c>
      <c r="H3580" s="1" t="s">
        <v>464</v>
      </c>
      <c r="I3580" s="1" t="s">
        <v>4494</v>
      </c>
      <c r="J3580" s="1" t="s">
        <v>4495</v>
      </c>
      <c r="K3580" s="1">
        <v>7</v>
      </c>
      <c r="L3580" s="1" t="s">
        <v>4299</v>
      </c>
      <c r="M3580" s="1">
        <v>13</v>
      </c>
      <c r="N3580" s="1" t="s">
        <v>4300</v>
      </c>
    </row>
    <row r="3581" spans="1:14" x14ac:dyDescent="0.15">
      <c r="A3581" s="1">
        <v>810</v>
      </c>
      <c r="B3581" s="1" t="s">
        <v>452</v>
      </c>
      <c r="C3581" s="1" t="s">
        <v>459</v>
      </c>
      <c r="D3581" s="1" t="s">
        <v>460</v>
      </c>
      <c r="E3581" s="1" t="s">
        <v>459</v>
      </c>
      <c r="F3581" s="1" t="s">
        <v>466</v>
      </c>
      <c r="G3581" s="1" t="s">
        <v>467</v>
      </c>
      <c r="H3581" s="1" t="s">
        <v>466</v>
      </c>
      <c r="I3581" s="1" t="s">
        <v>4494</v>
      </c>
      <c r="J3581" s="1" t="s">
        <v>4495</v>
      </c>
      <c r="K3581" s="1">
        <v>7</v>
      </c>
      <c r="L3581" s="1" t="s">
        <v>4299</v>
      </c>
      <c r="M3581" s="1">
        <v>13</v>
      </c>
      <c r="N3581" s="1" t="s">
        <v>4300</v>
      </c>
    </row>
    <row r="3582" spans="1:14" x14ac:dyDescent="0.15">
      <c r="A3582" s="1">
        <v>810</v>
      </c>
      <c r="B3582" s="1" t="s">
        <v>452</v>
      </c>
      <c r="C3582" s="1" t="s">
        <v>459</v>
      </c>
      <c r="D3582" s="1" t="s">
        <v>460</v>
      </c>
      <c r="E3582" s="1" t="s">
        <v>459</v>
      </c>
      <c r="F3582" s="1" t="s">
        <v>468</v>
      </c>
      <c r="G3582" s="1" t="s">
        <v>469</v>
      </c>
      <c r="H3582" s="1" t="s">
        <v>468</v>
      </c>
      <c r="I3582" s="1" t="s">
        <v>4494</v>
      </c>
      <c r="J3582" s="1" t="s">
        <v>4495</v>
      </c>
      <c r="K3582" s="1">
        <v>7</v>
      </c>
      <c r="L3582" s="1" t="s">
        <v>4299</v>
      </c>
      <c r="M3582" s="1">
        <v>13</v>
      </c>
      <c r="N3582" s="1" t="s">
        <v>4300</v>
      </c>
    </row>
    <row r="3583" spans="1:14" x14ac:dyDescent="0.15">
      <c r="A3583" s="1">
        <v>810</v>
      </c>
      <c r="B3583" s="1" t="s">
        <v>452</v>
      </c>
      <c r="C3583" s="1" t="s">
        <v>459</v>
      </c>
      <c r="D3583" s="1" t="s">
        <v>460</v>
      </c>
      <c r="E3583" s="1" t="s">
        <v>459</v>
      </c>
      <c r="F3583" s="1" t="s">
        <v>470</v>
      </c>
      <c r="G3583" s="1" t="s">
        <v>471</v>
      </c>
      <c r="H3583" s="1" t="s">
        <v>470</v>
      </c>
      <c r="I3583" s="1" t="s">
        <v>4494</v>
      </c>
      <c r="J3583" s="1" t="s">
        <v>4495</v>
      </c>
      <c r="K3583" s="1">
        <v>7</v>
      </c>
      <c r="L3583" s="1" t="s">
        <v>4299</v>
      </c>
      <c r="M3583" s="1">
        <v>13</v>
      </c>
      <c r="N3583" s="1" t="s">
        <v>4300</v>
      </c>
    </row>
    <row r="3584" spans="1:14" x14ac:dyDescent="0.15">
      <c r="A3584" s="1">
        <v>812</v>
      </c>
      <c r="B3584" s="1" t="s">
        <v>472</v>
      </c>
      <c r="C3584" s="1" t="s">
        <v>473</v>
      </c>
      <c r="D3584" s="1" t="s">
        <v>472</v>
      </c>
      <c r="E3584" s="1" t="s">
        <v>473</v>
      </c>
      <c r="F3584" s="1" t="s">
        <v>472</v>
      </c>
      <c r="G3584" s="1" t="s">
        <v>474</v>
      </c>
      <c r="H3584" s="1" t="s">
        <v>472</v>
      </c>
      <c r="I3584" s="1" t="s">
        <v>14507</v>
      </c>
      <c r="J3584" s="1" t="s">
        <v>4867</v>
      </c>
      <c r="K3584" s="1">
        <v>7</v>
      </c>
      <c r="L3584" s="1" t="s">
        <v>4299</v>
      </c>
      <c r="M3584" s="1">
        <v>13</v>
      </c>
      <c r="N3584" s="1" t="s">
        <v>4300</v>
      </c>
    </row>
    <row r="3585" spans="1:14" x14ac:dyDescent="0.15">
      <c r="A3585" s="1">
        <v>812</v>
      </c>
      <c r="B3585" s="1" t="s">
        <v>472</v>
      </c>
      <c r="C3585" s="1" t="s">
        <v>473</v>
      </c>
      <c r="D3585" s="1" t="s">
        <v>472</v>
      </c>
      <c r="E3585" s="1" t="s">
        <v>473</v>
      </c>
      <c r="F3585" s="1" t="s">
        <v>472</v>
      </c>
      <c r="G3585" s="1" t="s">
        <v>474</v>
      </c>
      <c r="H3585" s="1" t="s">
        <v>472</v>
      </c>
      <c r="I3585" s="1" t="s">
        <v>14510</v>
      </c>
      <c r="J3585" s="1" t="s">
        <v>4868</v>
      </c>
      <c r="K3585" s="1">
        <v>7</v>
      </c>
      <c r="L3585" s="1" t="s">
        <v>4299</v>
      </c>
      <c r="M3585" s="1">
        <v>13</v>
      </c>
      <c r="N3585" s="1" t="s">
        <v>4300</v>
      </c>
    </row>
    <row r="3586" spans="1:14" x14ac:dyDescent="0.15">
      <c r="A3586" s="1">
        <v>812</v>
      </c>
      <c r="B3586" s="1" t="s">
        <v>472</v>
      </c>
      <c r="C3586" s="1" t="s">
        <v>473</v>
      </c>
      <c r="D3586" s="1" t="s">
        <v>472</v>
      </c>
      <c r="E3586" s="1" t="s">
        <v>473</v>
      </c>
      <c r="F3586" s="1" t="s">
        <v>472</v>
      </c>
      <c r="G3586" s="1" t="s">
        <v>475</v>
      </c>
      <c r="H3586" s="1" t="s">
        <v>476</v>
      </c>
      <c r="I3586" s="1" t="s">
        <v>14510</v>
      </c>
      <c r="J3586" s="1" t="s">
        <v>4868</v>
      </c>
      <c r="K3586" s="1">
        <v>7</v>
      </c>
      <c r="L3586" s="1" t="s">
        <v>4299</v>
      </c>
      <c r="M3586" s="1">
        <v>13</v>
      </c>
      <c r="N3586" s="1" t="s">
        <v>4300</v>
      </c>
    </row>
    <row r="3587" spans="1:14" x14ac:dyDescent="0.15">
      <c r="A3587" s="1">
        <v>812</v>
      </c>
      <c r="B3587" s="1" t="s">
        <v>472</v>
      </c>
      <c r="C3587" s="1" t="s">
        <v>473</v>
      </c>
      <c r="D3587" s="1" t="s">
        <v>472</v>
      </c>
      <c r="E3587" s="1" t="s">
        <v>473</v>
      </c>
      <c r="F3587" s="1" t="s">
        <v>472</v>
      </c>
      <c r="G3587" s="1" t="s">
        <v>477</v>
      </c>
      <c r="H3587" s="1" t="s">
        <v>478</v>
      </c>
      <c r="I3587" s="1" t="s">
        <v>14510</v>
      </c>
      <c r="J3587" s="1" t="s">
        <v>4868</v>
      </c>
      <c r="K3587" s="1">
        <v>7</v>
      </c>
      <c r="L3587" s="1" t="s">
        <v>4299</v>
      </c>
      <c r="M3587" s="1">
        <v>13</v>
      </c>
      <c r="N3587" s="1" t="s">
        <v>4300</v>
      </c>
    </row>
    <row r="3588" spans="1:14" x14ac:dyDescent="0.15">
      <c r="A3588" s="1">
        <v>813</v>
      </c>
      <c r="B3588" s="1" t="s">
        <v>479</v>
      </c>
      <c r="C3588" s="1" t="s">
        <v>480</v>
      </c>
      <c r="D3588" s="1" t="s">
        <v>479</v>
      </c>
      <c r="E3588" s="1" t="s">
        <v>480</v>
      </c>
      <c r="F3588" s="1" t="s">
        <v>479</v>
      </c>
      <c r="G3588" s="1" t="s">
        <v>481</v>
      </c>
      <c r="H3588" s="1" t="s">
        <v>479</v>
      </c>
      <c r="I3588" s="1" t="s">
        <v>14518</v>
      </c>
      <c r="J3588" s="1" t="s">
        <v>482</v>
      </c>
      <c r="K3588" s="1">
        <v>7</v>
      </c>
      <c r="L3588" s="1" t="s">
        <v>4299</v>
      </c>
      <c r="M3588" s="1">
        <v>13</v>
      </c>
      <c r="N3588" s="1" t="s">
        <v>4300</v>
      </c>
    </row>
    <row r="3589" spans="1:14" x14ac:dyDescent="0.15">
      <c r="A3589" s="1">
        <v>814</v>
      </c>
      <c r="B3589" s="1" t="s">
        <v>483</v>
      </c>
      <c r="C3589" s="1" t="s">
        <v>484</v>
      </c>
      <c r="D3589" s="1" t="s">
        <v>483</v>
      </c>
      <c r="E3589" s="1" t="s">
        <v>484</v>
      </c>
      <c r="F3589" s="1" t="s">
        <v>483</v>
      </c>
      <c r="G3589" s="1" t="s">
        <v>485</v>
      </c>
      <c r="H3589" s="1" t="s">
        <v>483</v>
      </c>
      <c r="I3589" s="1" t="s">
        <v>11879</v>
      </c>
      <c r="J3589" s="1" t="s">
        <v>4278</v>
      </c>
      <c r="K3589" s="1">
        <v>7</v>
      </c>
      <c r="L3589" s="1" t="s">
        <v>4299</v>
      </c>
      <c r="M3589" s="1">
        <v>13</v>
      </c>
      <c r="N3589" s="1" t="s">
        <v>4300</v>
      </c>
    </row>
    <row r="3590" spans="1:14" x14ac:dyDescent="0.15">
      <c r="A3590" s="1">
        <v>814</v>
      </c>
      <c r="B3590" s="1" t="s">
        <v>483</v>
      </c>
      <c r="C3590" s="1" t="s">
        <v>486</v>
      </c>
      <c r="D3590" s="1" t="s">
        <v>487</v>
      </c>
      <c r="E3590" s="1" t="s">
        <v>486</v>
      </c>
      <c r="F3590" s="1" t="s">
        <v>487</v>
      </c>
      <c r="G3590" s="1" t="s">
        <v>488</v>
      </c>
      <c r="H3590" s="1" t="s">
        <v>487</v>
      </c>
      <c r="I3590" s="1" t="s">
        <v>14522</v>
      </c>
      <c r="J3590" s="1" t="s">
        <v>4872</v>
      </c>
      <c r="K3590" s="1">
        <v>7</v>
      </c>
      <c r="L3590" s="1" t="s">
        <v>4299</v>
      </c>
      <c r="M3590" s="1">
        <v>13</v>
      </c>
      <c r="N3590" s="1" t="s">
        <v>4300</v>
      </c>
    </row>
    <row r="3591" spans="1:14" x14ac:dyDescent="0.15">
      <c r="A3591" s="1">
        <v>814</v>
      </c>
      <c r="B3591" s="1" t="s">
        <v>483</v>
      </c>
      <c r="C3591" s="1" t="s">
        <v>486</v>
      </c>
      <c r="D3591" s="1" t="s">
        <v>487</v>
      </c>
      <c r="E3591" s="1" t="s">
        <v>486</v>
      </c>
      <c r="F3591" s="1" t="s">
        <v>487</v>
      </c>
      <c r="G3591" s="1" t="s">
        <v>489</v>
      </c>
      <c r="H3591" s="1" t="s">
        <v>490</v>
      </c>
      <c r="I3591" s="1" t="s">
        <v>14522</v>
      </c>
      <c r="J3591" s="1" t="s">
        <v>4872</v>
      </c>
      <c r="K3591" s="1">
        <v>7</v>
      </c>
      <c r="L3591" s="1" t="s">
        <v>4299</v>
      </c>
      <c r="M3591" s="1">
        <v>13</v>
      </c>
      <c r="N3591" s="1" t="s">
        <v>4300</v>
      </c>
    </row>
    <row r="3592" spans="1:14" x14ac:dyDescent="0.15">
      <c r="A3592" s="1">
        <v>814</v>
      </c>
      <c r="B3592" s="1" t="s">
        <v>483</v>
      </c>
      <c r="C3592" s="1" t="s">
        <v>486</v>
      </c>
      <c r="D3592" s="1" t="s">
        <v>487</v>
      </c>
      <c r="E3592" s="1" t="s">
        <v>486</v>
      </c>
      <c r="F3592" s="1" t="s">
        <v>487</v>
      </c>
      <c r="G3592" s="1" t="s">
        <v>491</v>
      </c>
      <c r="H3592" s="1" t="s">
        <v>492</v>
      </c>
      <c r="I3592" s="1" t="s">
        <v>14522</v>
      </c>
      <c r="J3592" s="1" t="s">
        <v>4872</v>
      </c>
      <c r="K3592" s="1">
        <v>7</v>
      </c>
      <c r="L3592" s="1" t="s">
        <v>4299</v>
      </c>
      <c r="M3592" s="1">
        <v>13</v>
      </c>
      <c r="N3592" s="1" t="s">
        <v>4300</v>
      </c>
    </row>
    <row r="3593" spans="1:14" x14ac:dyDescent="0.15">
      <c r="A3593" s="1">
        <v>814</v>
      </c>
      <c r="B3593" s="1" t="s">
        <v>483</v>
      </c>
      <c r="C3593" s="1" t="s">
        <v>486</v>
      </c>
      <c r="D3593" s="1" t="s">
        <v>487</v>
      </c>
      <c r="E3593" s="1" t="s">
        <v>486</v>
      </c>
      <c r="F3593" s="1" t="s">
        <v>487</v>
      </c>
      <c r="G3593" s="1" t="s">
        <v>493</v>
      </c>
      <c r="H3593" s="1" t="s">
        <v>494</v>
      </c>
      <c r="I3593" s="1" t="s">
        <v>14522</v>
      </c>
      <c r="J3593" s="1" t="s">
        <v>4872</v>
      </c>
      <c r="K3593" s="1">
        <v>7</v>
      </c>
      <c r="L3593" s="1" t="s">
        <v>4299</v>
      </c>
      <c r="M3593" s="1">
        <v>13</v>
      </c>
      <c r="N3593" s="1" t="s">
        <v>4300</v>
      </c>
    </row>
    <row r="3594" spans="1:14" x14ac:dyDescent="0.15">
      <c r="A3594" s="1">
        <v>814</v>
      </c>
      <c r="B3594" s="1" t="s">
        <v>483</v>
      </c>
      <c r="C3594" s="1" t="s">
        <v>486</v>
      </c>
      <c r="D3594" s="1" t="s">
        <v>487</v>
      </c>
      <c r="E3594" s="1" t="s">
        <v>486</v>
      </c>
      <c r="F3594" s="1" t="s">
        <v>487</v>
      </c>
      <c r="G3594" s="1" t="s">
        <v>495</v>
      </c>
      <c r="H3594" s="1" t="s">
        <v>496</v>
      </c>
      <c r="I3594" s="1" t="s">
        <v>14522</v>
      </c>
      <c r="J3594" s="1" t="s">
        <v>4872</v>
      </c>
      <c r="K3594" s="1">
        <v>7</v>
      </c>
      <c r="L3594" s="1" t="s">
        <v>4299</v>
      </c>
      <c r="M3594" s="1">
        <v>13</v>
      </c>
      <c r="N3594" s="1" t="s">
        <v>4300</v>
      </c>
    </row>
    <row r="3595" spans="1:14" x14ac:dyDescent="0.15">
      <c r="A3595" s="1">
        <v>814</v>
      </c>
      <c r="B3595" s="1" t="s">
        <v>483</v>
      </c>
      <c r="C3595" s="1" t="s">
        <v>486</v>
      </c>
      <c r="D3595" s="1" t="s">
        <v>487</v>
      </c>
      <c r="E3595" s="1" t="s">
        <v>486</v>
      </c>
      <c r="F3595" s="1" t="s">
        <v>487</v>
      </c>
      <c r="G3595" s="1" t="s">
        <v>497</v>
      </c>
      <c r="H3595" s="1" t="s">
        <v>498</v>
      </c>
      <c r="I3595" s="1" t="s">
        <v>14522</v>
      </c>
      <c r="J3595" s="1" t="s">
        <v>4872</v>
      </c>
      <c r="K3595" s="1">
        <v>7</v>
      </c>
      <c r="L3595" s="1" t="s">
        <v>4299</v>
      </c>
      <c r="M3595" s="1">
        <v>13</v>
      </c>
      <c r="N3595" s="1" t="s">
        <v>4300</v>
      </c>
    </row>
    <row r="3596" spans="1:14" x14ac:dyDescent="0.15">
      <c r="A3596" s="1">
        <v>814</v>
      </c>
      <c r="B3596" s="1" t="s">
        <v>483</v>
      </c>
      <c r="C3596" s="1" t="s">
        <v>499</v>
      </c>
      <c r="D3596" s="1" t="s">
        <v>500</v>
      </c>
      <c r="E3596" s="1" t="s">
        <v>499</v>
      </c>
      <c r="F3596" s="1" t="s">
        <v>500</v>
      </c>
      <c r="G3596" s="1" t="s">
        <v>501</v>
      </c>
      <c r="H3596" s="1" t="s">
        <v>500</v>
      </c>
      <c r="I3596" s="1" t="s">
        <v>14522</v>
      </c>
      <c r="J3596" s="1" t="s">
        <v>4872</v>
      </c>
      <c r="K3596" s="1">
        <v>7</v>
      </c>
      <c r="L3596" s="1" t="s">
        <v>4299</v>
      </c>
      <c r="M3596" s="1">
        <v>13</v>
      </c>
      <c r="N3596" s="1" t="s">
        <v>4300</v>
      </c>
    </row>
    <row r="3597" spans="1:14" x14ac:dyDescent="0.15">
      <c r="A3597" s="1">
        <v>814</v>
      </c>
      <c r="B3597" s="1" t="s">
        <v>483</v>
      </c>
      <c r="C3597" s="1" t="s">
        <v>499</v>
      </c>
      <c r="D3597" s="1" t="s">
        <v>500</v>
      </c>
      <c r="E3597" s="1" t="s">
        <v>499</v>
      </c>
      <c r="F3597" s="1" t="s">
        <v>500</v>
      </c>
      <c r="G3597" s="1" t="s">
        <v>502</v>
      </c>
      <c r="H3597" s="1" t="s">
        <v>503</v>
      </c>
      <c r="I3597" s="1" t="s">
        <v>14522</v>
      </c>
      <c r="J3597" s="1" t="s">
        <v>4872</v>
      </c>
      <c r="K3597" s="1">
        <v>7</v>
      </c>
      <c r="L3597" s="1" t="s">
        <v>4299</v>
      </c>
      <c r="M3597" s="1">
        <v>13</v>
      </c>
      <c r="N3597" s="1" t="s">
        <v>4300</v>
      </c>
    </row>
    <row r="3598" spans="1:14" x14ac:dyDescent="0.15">
      <c r="A3598" s="1">
        <v>814</v>
      </c>
      <c r="B3598" s="1" t="s">
        <v>483</v>
      </c>
      <c r="C3598" s="1" t="s">
        <v>499</v>
      </c>
      <c r="D3598" s="1" t="s">
        <v>500</v>
      </c>
      <c r="E3598" s="1" t="s">
        <v>499</v>
      </c>
      <c r="F3598" s="1" t="s">
        <v>500</v>
      </c>
      <c r="G3598" s="1" t="s">
        <v>504</v>
      </c>
      <c r="H3598" s="1" t="s">
        <v>505</v>
      </c>
      <c r="I3598" s="1" t="s">
        <v>14522</v>
      </c>
      <c r="J3598" s="1" t="s">
        <v>4872</v>
      </c>
      <c r="K3598" s="1">
        <v>7</v>
      </c>
      <c r="L3598" s="1" t="s">
        <v>4299</v>
      </c>
      <c r="M3598" s="1">
        <v>13</v>
      </c>
      <c r="N3598" s="1" t="s">
        <v>4300</v>
      </c>
    </row>
    <row r="3599" spans="1:14" x14ac:dyDescent="0.15">
      <c r="A3599" s="1">
        <v>814</v>
      </c>
      <c r="B3599" s="1" t="s">
        <v>483</v>
      </c>
      <c r="C3599" s="1" t="s">
        <v>499</v>
      </c>
      <c r="D3599" s="1" t="s">
        <v>500</v>
      </c>
      <c r="E3599" s="1" t="s">
        <v>499</v>
      </c>
      <c r="F3599" s="1" t="s">
        <v>500</v>
      </c>
      <c r="G3599" s="1" t="s">
        <v>506</v>
      </c>
      <c r="H3599" s="1" t="s">
        <v>507</v>
      </c>
      <c r="I3599" s="1" t="s">
        <v>14522</v>
      </c>
      <c r="J3599" s="1" t="s">
        <v>4872</v>
      </c>
      <c r="K3599" s="1">
        <v>7</v>
      </c>
      <c r="L3599" s="1" t="s">
        <v>4299</v>
      </c>
      <c r="M3599" s="1">
        <v>13</v>
      </c>
      <c r="N3599" s="1" t="s">
        <v>4300</v>
      </c>
    </row>
    <row r="3600" spans="1:14" x14ac:dyDescent="0.15">
      <c r="A3600" s="1">
        <v>814</v>
      </c>
      <c r="B3600" s="1" t="s">
        <v>483</v>
      </c>
      <c r="C3600" s="1" t="s">
        <v>499</v>
      </c>
      <c r="D3600" s="1" t="s">
        <v>500</v>
      </c>
      <c r="E3600" s="1" t="s">
        <v>499</v>
      </c>
      <c r="F3600" s="1" t="s">
        <v>500</v>
      </c>
      <c r="G3600" s="1" t="s">
        <v>508</v>
      </c>
      <c r="H3600" s="1" t="s">
        <v>509</v>
      </c>
      <c r="I3600" s="1" t="s">
        <v>14522</v>
      </c>
      <c r="J3600" s="1" t="s">
        <v>4872</v>
      </c>
      <c r="K3600" s="1">
        <v>7</v>
      </c>
      <c r="L3600" s="1" t="s">
        <v>4299</v>
      </c>
      <c r="M3600" s="1">
        <v>13</v>
      </c>
      <c r="N3600" s="1" t="s">
        <v>4300</v>
      </c>
    </row>
    <row r="3601" spans="1:14" x14ac:dyDescent="0.15">
      <c r="A3601" s="1">
        <v>815</v>
      </c>
      <c r="B3601" s="1" t="s">
        <v>510</v>
      </c>
      <c r="C3601" s="1" t="s">
        <v>511</v>
      </c>
      <c r="D3601" s="1" t="s">
        <v>510</v>
      </c>
      <c r="E3601" s="1" t="s">
        <v>511</v>
      </c>
      <c r="F3601" s="1" t="s">
        <v>510</v>
      </c>
      <c r="G3601" s="1" t="s">
        <v>512</v>
      </c>
      <c r="H3601" s="1" t="s">
        <v>510</v>
      </c>
      <c r="I3601" s="1" t="s">
        <v>14510</v>
      </c>
      <c r="J3601" s="1" t="s">
        <v>4868</v>
      </c>
      <c r="K3601" s="1">
        <v>7</v>
      </c>
      <c r="L3601" s="1" t="s">
        <v>4299</v>
      </c>
      <c r="M3601" s="1">
        <v>13</v>
      </c>
      <c r="N3601" s="1" t="s">
        <v>4300</v>
      </c>
    </row>
    <row r="3602" spans="1:14" x14ac:dyDescent="0.15">
      <c r="A3602" s="1">
        <v>815</v>
      </c>
      <c r="B3602" s="1" t="s">
        <v>510</v>
      </c>
      <c r="C3602" s="1" t="s">
        <v>511</v>
      </c>
      <c r="D3602" s="1" t="s">
        <v>510</v>
      </c>
      <c r="E3602" s="1" t="s">
        <v>511</v>
      </c>
      <c r="F3602" s="1" t="s">
        <v>510</v>
      </c>
      <c r="G3602" s="1" t="s">
        <v>513</v>
      </c>
      <c r="H3602" s="1" t="s">
        <v>514</v>
      </c>
      <c r="I3602" s="1" t="s">
        <v>14510</v>
      </c>
      <c r="J3602" s="1" t="s">
        <v>4868</v>
      </c>
      <c r="K3602" s="1">
        <v>7</v>
      </c>
      <c r="L3602" s="1" t="s">
        <v>4299</v>
      </c>
      <c r="M3602" s="1">
        <v>13</v>
      </c>
      <c r="N3602" s="1" t="s">
        <v>4300</v>
      </c>
    </row>
    <row r="3603" spans="1:14" x14ac:dyDescent="0.15">
      <c r="A3603" s="1">
        <v>815</v>
      </c>
      <c r="B3603" s="1" t="s">
        <v>510</v>
      </c>
      <c r="C3603" s="1" t="s">
        <v>511</v>
      </c>
      <c r="D3603" s="1" t="s">
        <v>510</v>
      </c>
      <c r="E3603" s="1" t="s">
        <v>511</v>
      </c>
      <c r="F3603" s="1" t="s">
        <v>510</v>
      </c>
      <c r="G3603" s="1" t="s">
        <v>515</v>
      </c>
      <c r="H3603" s="1" t="s">
        <v>516</v>
      </c>
      <c r="I3603" s="1" t="s">
        <v>14510</v>
      </c>
      <c r="J3603" s="1" t="s">
        <v>4868</v>
      </c>
      <c r="K3603" s="1">
        <v>7</v>
      </c>
      <c r="L3603" s="1" t="s">
        <v>4299</v>
      </c>
      <c r="M3603" s="1">
        <v>13</v>
      </c>
      <c r="N3603" s="1" t="s">
        <v>4300</v>
      </c>
    </row>
    <row r="3604" spans="1:14" x14ac:dyDescent="0.15">
      <c r="A3604" s="1">
        <v>815</v>
      </c>
      <c r="B3604" s="1" t="s">
        <v>510</v>
      </c>
      <c r="C3604" s="1" t="s">
        <v>511</v>
      </c>
      <c r="D3604" s="1" t="s">
        <v>510</v>
      </c>
      <c r="E3604" s="1" t="s">
        <v>511</v>
      </c>
      <c r="F3604" s="1" t="s">
        <v>510</v>
      </c>
      <c r="G3604" s="1" t="s">
        <v>517</v>
      </c>
      <c r="H3604" s="1" t="s">
        <v>518</v>
      </c>
      <c r="I3604" s="1" t="s">
        <v>14507</v>
      </c>
      <c r="J3604" s="1" t="s">
        <v>4867</v>
      </c>
      <c r="K3604" s="1">
        <v>7</v>
      </c>
      <c r="L3604" s="1" t="s">
        <v>4299</v>
      </c>
      <c r="M3604" s="1">
        <v>13</v>
      </c>
      <c r="N3604" s="1" t="s">
        <v>4300</v>
      </c>
    </row>
    <row r="3605" spans="1:14" x14ac:dyDescent="0.15">
      <c r="A3605" s="1">
        <v>816</v>
      </c>
      <c r="B3605" s="1" t="s">
        <v>519</v>
      </c>
      <c r="C3605" s="1" t="s">
        <v>520</v>
      </c>
      <c r="D3605" s="1" t="s">
        <v>519</v>
      </c>
      <c r="E3605" s="1" t="s">
        <v>520</v>
      </c>
      <c r="F3605" s="1" t="s">
        <v>519</v>
      </c>
      <c r="G3605" s="1" t="s">
        <v>521</v>
      </c>
      <c r="H3605" s="1" t="s">
        <v>519</v>
      </c>
      <c r="I3605" s="1" t="s">
        <v>14510</v>
      </c>
      <c r="J3605" s="1" t="s">
        <v>4868</v>
      </c>
      <c r="K3605" s="1">
        <v>7</v>
      </c>
      <c r="L3605" s="1" t="s">
        <v>4299</v>
      </c>
      <c r="M3605" s="1">
        <v>13</v>
      </c>
      <c r="N3605" s="1" t="s">
        <v>4300</v>
      </c>
    </row>
    <row r="3606" spans="1:14" x14ac:dyDescent="0.15">
      <c r="A3606" s="1">
        <v>816</v>
      </c>
      <c r="B3606" s="1" t="s">
        <v>519</v>
      </c>
      <c r="C3606" s="1" t="s">
        <v>520</v>
      </c>
      <c r="D3606" s="1" t="s">
        <v>519</v>
      </c>
      <c r="E3606" s="1" t="s">
        <v>520</v>
      </c>
      <c r="F3606" s="1" t="s">
        <v>519</v>
      </c>
      <c r="G3606" s="1" t="s">
        <v>521</v>
      </c>
      <c r="H3606" s="1" t="s">
        <v>519</v>
      </c>
      <c r="I3606" s="1" t="s">
        <v>14507</v>
      </c>
      <c r="J3606" s="1" t="s">
        <v>4867</v>
      </c>
      <c r="K3606" s="1">
        <v>7</v>
      </c>
      <c r="L3606" s="1" t="s">
        <v>4299</v>
      </c>
      <c r="M3606" s="1">
        <v>13</v>
      </c>
      <c r="N3606" s="1" t="s">
        <v>4300</v>
      </c>
    </row>
    <row r="3607" spans="1:14" x14ac:dyDescent="0.15">
      <c r="A3607" s="1">
        <v>820</v>
      </c>
      <c r="B3607" s="1" t="s">
        <v>522</v>
      </c>
      <c r="C3607" s="1" t="s">
        <v>523</v>
      </c>
      <c r="D3607" s="1" t="s">
        <v>522</v>
      </c>
      <c r="E3607" s="1" t="s">
        <v>523</v>
      </c>
      <c r="F3607" s="1" t="s">
        <v>522</v>
      </c>
      <c r="G3607" s="1" t="s">
        <v>524</v>
      </c>
      <c r="H3607" s="1" t="s">
        <v>522</v>
      </c>
      <c r="I3607" s="1" t="s">
        <v>4494</v>
      </c>
      <c r="J3607" s="1" t="s">
        <v>4495</v>
      </c>
      <c r="K3607" s="1">
        <v>7</v>
      </c>
      <c r="L3607" s="1" t="s">
        <v>4299</v>
      </c>
      <c r="M3607" s="1">
        <v>13</v>
      </c>
      <c r="N3607" s="1" t="s">
        <v>4300</v>
      </c>
    </row>
    <row r="3608" spans="1:14" x14ac:dyDescent="0.15">
      <c r="A3608" s="1">
        <v>820</v>
      </c>
      <c r="B3608" s="1" t="s">
        <v>522</v>
      </c>
      <c r="C3608" s="1" t="s">
        <v>523</v>
      </c>
      <c r="D3608" s="1" t="s">
        <v>522</v>
      </c>
      <c r="E3608" s="1" t="s">
        <v>523</v>
      </c>
      <c r="F3608" s="1" t="s">
        <v>525</v>
      </c>
      <c r="G3608" s="1" t="s">
        <v>526</v>
      </c>
      <c r="H3608" s="1" t="s">
        <v>525</v>
      </c>
      <c r="I3608" s="1" t="s">
        <v>4494</v>
      </c>
      <c r="J3608" s="1" t="s">
        <v>4495</v>
      </c>
      <c r="K3608" s="1">
        <v>7</v>
      </c>
      <c r="L3608" s="1" t="s">
        <v>4299</v>
      </c>
      <c r="M3608" s="1">
        <v>13</v>
      </c>
      <c r="N3608" s="1" t="s">
        <v>4300</v>
      </c>
    </row>
    <row r="3609" spans="1:14" x14ac:dyDescent="0.15">
      <c r="A3609" s="1">
        <v>820</v>
      </c>
      <c r="B3609" s="1" t="s">
        <v>522</v>
      </c>
      <c r="C3609" s="1" t="s">
        <v>523</v>
      </c>
      <c r="D3609" s="1" t="s">
        <v>522</v>
      </c>
      <c r="E3609" s="1" t="s">
        <v>523</v>
      </c>
      <c r="F3609" s="1" t="s">
        <v>527</v>
      </c>
      <c r="G3609" s="1" t="s">
        <v>528</v>
      </c>
      <c r="H3609" s="1" t="s">
        <v>527</v>
      </c>
      <c r="I3609" s="1" t="s">
        <v>4494</v>
      </c>
      <c r="J3609" s="1" t="s">
        <v>4495</v>
      </c>
      <c r="K3609" s="1">
        <v>7</v>
      </c>
      <c r="L3609" s="1" t="s">
        <v>4299</v>
      </c>
      <c r="M3609" s="1">
        <v>13</v>
      </c>
      <c r="N3609" s="1" t="s">
        <v>4300</v>
      </c>
    </row>
    <row r="3610" spans="1:14" x14ac:dyDescent="0.15">
      <c r="A3610" s="1">
        <v>820</v>
      </c>
      <c r="B3610" s="1" t="s">
        <v>522</v>
      </c>
      <c r="C3610" s="1" t="s">
        <v>523</v>
      </c>
      <c r="D3610" s="1" t="s">
        <v>522</v>
      </c>
      <c r="E3610" s="1" t="s">
        <v>523</v>
      </c>
      <c r="F3610" s="1" t="s">
        <v>529</v>
      </c>
      <c r="G3610" s="1" t="s">
        <v>530</v>
      </c>
      <c r="H3610" s="1" t="s">
        <v>529</v>
      </c>
      <c r="I3610" s="1" t="s">
        <v>4494</v>
      </c>
      <c r="J3610" s="1" t="s">
        <v>4495</v>
      </c>
      <c r="K3610" s="1">
        <v>7</v>
      </c>
      <c r="L3610" s="1" t="s">
        <v>4299</v>
      </c>
      <c r="M3610" s="1">
        <v>13</v>
      </c>
      <c r="N3610" s="1" t="s">
        <v>4300</v>
      </c>
    </row>
    <row r="3611" spans="1:14" x14ac:dyDescent="0.15">
      <c r="A3611" s="1">
        <v>820</v>
      </c>
      <c r="B3611" s="1" t="s">
        <v>522</v>
      </c>
      <c r="C3611" s="1" t="s">
        <v>523</v>
      </c>
      <c r="D3611" s="1" t="s">
        <v>522</v>
      </c>
      <c r="E3611" s="1" t="s">
        <v>523</v>
      </c>
      <c r="F3611" s="1" t="s">
        <v>531</v>
      </c>
      <c r="G3611" s="1" t="s">
        <v>532</v>
      </c>
      <c r="H3611" s="1" t="s">
        <v>531</v>
      </c>
      <c r="I3611" s="1" t="s">
        <v>4494</v>
      </c>
      <c r="J3611" s="1" t="s">
        <v>4495</v>
      </c>
      <c r="K3611" s="1">
        <v>7</v>
      </c>
      <c r="L3611" s="1" t="s">
        <v>4299</v>
      </c>
      <c r="M3611" s="1">
        <v>13</v>
      </c>
      <c r="N3611" s="1" t="s">
        <v>4300</v>
      </c>
    </row>
    <row r="3612" spans="1:14" x14ac:dyDescent="0.15">
      <c r="A3612" s="1">
        <v>821</v>
      </c>
      <c r="B3612" s="1" t="s">
        <v>533</v>
      </c>
      <c r="C3612" s="1" t="s">
        <v>534</v>
      </c>
      <c r="D3612" s="1" t="s">
        <v>533</v>
      </c>
      <c r="E3612" s="1" t="s">
        <v>534</v>
      </c>
      <c r="F3612" s="1" t="s">
        <v>533</v>
      </c>
      <c r="G3612" s="1" t="s">
        <v>535</v>
      </c>
      <c r="H3612" s="1" t="s">
        <v>533</v>
      </c>
      <c r="I3612" s="1" t="s">
        <v>14510</v>
      </c>
      <c r="J3612" s="1" t="s">
        <v>4868</v>
      </c>
      <c r="K3612" s="1">
        <v>7</v>
      </c>
      <c r="L3612" s="1" t="s">
        <v>4299</v>
      </c>
      <c r="M3612" s="1">
        <v>13</v>
      </c>
      <c r="N3612" s="1" t="s">
        <v>4300</v>
      </c>
    </row>
    <row r="3613" spans="1:14" x14ac:dyDescent="0.15">
      <c r="A3613" s="1">
        <v>822</v>
      </c>
      <c r="B3613" s="1" t="s">
        <v>536</v>
      </c>
      <c r="C3613" s="1" t="s">
        <v>537</v>
      </c>
      <c r="D3613" s="1" t="s">
        <v>538</v>
      </c>
      <c r="E3613" s="1" t="s">
        <v>537</v>
      </c>
      <c r="F3613" s="1" t="s">
        <v>538</v>
      </c>
      <c r="G3613" s="1" t="s">
        <v>539</v>
      </c>
      <c r="H3613" s="1" t="s">
        <v>538</v>
      </c>
      <c r="I3613" s="1" t="s">
        <v>14507</v>
      </c>
      <c r="J3613" s="1" t="s">
        <v>4867</v>
      </c>
      <c r="K3613" s="1">
        <v>7</v>
      </c>
      <c r="L3613" s="1" t="s">
        <v>4299</v>
      </c>
      <c r="M3613" s="1">
        <v>13</v>
      </c>
      <c r="N3613" s="1" t="s">
        <v>4300</v>
      </c>
    </row>
    <row r="3614" spans="1:14" x14ac:dyDescent="0.15">
      <c r="A3614" s="1">
        <v>822</v>
      </c>
      <c r="B3614" s="1" t="s">
        <v>536</v>
      </c>
      <c r="C3614" s="1" t="s">
        <v>537</v>
      </c>
      <c r="D3614" s="1" t="s">
        <v>538</v>
      </c>
      <c r="E3614" s="1" t="s">
        <v>537</v>
      </c>
      <c r="F3614" s="1" t="s">
        <v>538</v>
      </c>
      <c r="G3614" s="1" t="s">
        <v>539</v>
      </c>
      <c r="H3614" s="1" t="s">
        <v>538</v>
      </c>
      <c r="I3614" s="1" t="s">
        <v>14510</v>
      </c>
      <c r="J3614" s="1" t="s">
        <v>4868</v>
      </c>
      <c r="K3614" s="1">
        <v>7</v>
      </c>
      <c r="L3614" s="1" t="s">
        <v>4299</v>
      </c>
      <c r="M3614" s="1">
        <v>13</v>
      </c>
      <c r="N3614" s="1" t="s">
        <v>4300</v>
      </c>
    </row>
    <row r="3615" spans="1:14" x14ac:dyDescent="0.15">
      <c r="A3615" s="1">
        <v>822</v>
      </c>
      <c r="B3615" s="1" t="s">
        <v>536</v>
      </c>
      <c r="C3615" s="1" t="s">
        <v>537</v>
      </c>
      <c r="D3615" s="1" t="s">
        <v>538</v>
      </c>
      <c r="E3615" s="1" t="s">
        <v>537</v>
      </c>
      <c r="F3615" s="1" t="s">
        <v>538</v>
      </c>
      <c r="G3615" s="1" t="s">
        <v>539</v>
      </c>
      <c r="H3615" s="1" t="s">
        <v>538</v>
      </c>
      <c r="I3615" s="1" t="s">
        <v>14526</v>
      </c>
      <c r="J3615" s="1" t="s">
        <v>6387</v>
      </c>
      <c r="K3615" s="1">
        <v>7</v>
      </c>
      <c r="L3615" s="1" t="s">
        <v>4299</v>
      </c>
      <c r="M3615" s="1">
        <v>13</v>
      </c>
      <c r="N3615" s="1" t="s">
        <v>4300</v>
      </c>
    </row>
    <row r="3616" spans="1:14" x14ac:dyDescent="0.15">
      <c r="A3616" s="1">
        <v>823</v>
      </c>
      <c r="B3616" s="1" t="s">
        <v>540</v>
      </c>
      <c r="C3616" s="1" t="s">
        <v>541</v>
      </c>
      <c r="D3616" s="1" t="s">
        <v>540</v>
      </c>
      <c r="E3616" s="1" t="s">
        <v>541</v>
      </c>
      <c r="F3616" s="1" t="s">
        <v>540</v>
      </c>
      <c r="G3616" s="1" t="s">
        <v>542</v>
      </c>
      <c r="H3616" s="1" t="s">
        <v>540</v>
      </c>
      <c r="I3616" s="1" t="s">
        <v>11879</v>
      </c>
      <c r="J3616" s="1" t="s">
        <v>4278</v>
      </c>
      <c r="K3616" s="1">
        <v>7</v>
      </c>
      <c r="L3616" s="1" t="s">
        <v>4299</v>
      </c>
      <c r="M3616" s="1">
        <v>3</v>
      </c>
      <c r="N3616" s="1" t="s">
        <v>3241</v>
      </c>
    </row>
    <row r="3617" spans="1:14" x14ac:dyDescent="0.15">
      <c r="A3617" s="1">
        <v>823</v>
      </c>
      <c r="B3617" s="1" t="s">
        <v>540</v>
      </c>
      <c r="C3617" s="1" t="s">
        <v>543</v>
      </c>
      <c r="D3617" s="1" t="s">
        <v>544</v>
      </c>
      <c r="E3617" s="1" t="s">
        <v>543</v>
      </c>
      <c r="F3617" s="1" t="s">
        <v>544</v>
      </c>
      <c r="G3617" s="1" t="s">
        <v>545</v>
      </c>
      <c r="H3617" s="1" t="s">
        <v>544</v>
      </c>
      <c r="I3617" s="1" t="s">
        <v>11135</v>
      </c>
      <c r="J3617" s="1" t="s">
        <v>546</v>
      </c>
      <c r="K3617" s="1">
        <v>7</v>
      </c>
      <c r="L3617" s="1" t="s">
        <v>4299</v>
      </c>
      <c r="M3617" s="1">
        <v>3</v>
      </c>
      <c r="N3617" s="1" t="s">
        <v>3241</v>
      </c>
    </row>
    <row r="3618" spans="1:14" x14ac:dyDescent="0.15">
      <c r="A3618" s="1">
        <v>823</v>
      </c>
      <c r="B3618" s="1" t="s">
        <v>540</v>
      </c>
      <c r="C3618" s="1" t="s">
        <v>543</v>
      </c>
      <c r="D3618" s="1" t="s">
        <v>544</v>
      </c>
      <c r="E3618" s="1" t="s">
        <v>543</v>
      </c>
      <c r="F3618" s="1" t="s">
        <v>544</v>
      </c>
      <c r="G3618" s="1" t="s">
        <v>547</v>
      </c>
      <c r="H3618" s="1" t="s">
        <v>548</v>
      </c>
      <c r="I3618" s="1" t="s">
        <v>11135</v>
      </c>
      <c r="J3618" s="1" t="s">
        <v>546</v>
      </c>
      <c r="K3618" s="1">
        <v>7</v>
      </c>
      <c r="L3618" s="1" t="s">
        <v>4299</v>
      </c>
      <c r="M3618" s="1">
        <v>3</v>
      </c>
      <c r="N3618" s="1" t="s">
        <v>3241</v>
      </c>
    </row>
    <row r="3619" spans="1:14" x14ac:dyDescent="0.15">
      <c r="A3619" s="1">
        <v>823</v>
      </c>
      <c r="B3619" s="1" t="s">
        <v>540</v>
      </c>
      <c r="C3619" s="1" t="s">
        <v>543</v>
      </c>
      <c r="D3619" s="1" t="s">
        <v>544</v>
      </c>
      <c r="E3619" s="1" t="s">
        <v>543</v>
      </c>
      <c r="F3619" s="1" t="s">
        <v>544</v>
      </c>
      <c r="G3619" s="1" t="s">
        <v>549</v>
      </c>
      <c r="H3619" s="1" t="s">
        <v>550</v>
      </c>
      <c r="I3619" s="1" t="s">
        <v>11135</v>
      </c>
      <c r="J3619" s="1" t="s">
        <v>546</v>
      </c>
      <c r="K3619" s="1">
        <v>7</v>
      </c>
      <c r="L3619" s="1" t="s">
        <v>4299</v>
      </c>
      <c r="M3619" s="1">
        <v>3</v>
      </c>
      <c r="N3619" s="1" t="s">
        <v>3241</v>
      </c>
    </row>
    <row r="3620" spans="1:14" x14ac:dyDescent="0.15">
      <c r="A3620" s="1">
        <v>823</v>
      </c>
      <c r="B3620" s="1" t="s">
        <v>540</v>
      </c>
      <c r="C3620" s="1" t="s">
        <v>551</v>
      </c>
      <c r="D3620" s="1" t="s">
        <v>552</v>
      </c>
      <c r="E3620" s="1" t="s">
        <v>551</v>
      </c>
      <c r="F3620" s="1" t="s">
        <v>552</v>
      </c>
      <c r="G3620" s="1" t="s">
        <v>553</v>
      </c>
      <c r="H3620" s="1" t="s">
        <v>552</v>
      </c>
      <c r="I3620" s="1" t="s">
        <v>14554</v>
      </c>
      <c r="J3620" s="1" t="s">
        <v>14551</v>
      </c>
      <c r="K3620" s="1">
        <v>7</v>
      </c>
      <c r="L3620" s="1" t="s">
        <v>4299</v>
      </c>
      <c r="M3620" s="1">
        <v>3</v>
      </c>
      <c r="N3620" s="1" t="s">
        <v>3241</v>
      </c>
    </row>
    <row r="3621" spans="1:14" x14ac:dyDescent="0.15">
      <c r="A3621" s="1">
        <v>824</v>
      </c>
      <c r="B3621" s="1" t="s">
        <v>554</v>
      </c>
      <c r="C3621" s="1" t="s">
        <v>555</v>
      </c>
      <c r="D3621" s="1" t="s">
        <v>554</v>
      </c>
      <c r="E3621" s="1" t="s">
        <v>555</v>
      </c>
      <c r="F3621" s="1" t="s">
        <v>554</v>
      </c>
      <c r="G3621" s="1" t="s">
        <v>556</v>
      </c>
      <c r="H3621" s="1" t="s">
        <v>554</v>
      </c>
      <c r="I3621" s="1" t="s">
        <v>11057</v>
      </c>
      <c r="J3621" s="1" t="s">
        <v>557</v>
      </c>
      <c r="K3621" s="1">
        <v>7</v>
      </c>
      <c r="L3621" s="1" t="s">
        <v>4299</v>
      </c>
      <c r="M3621" s="1">
        <v>3</v>
      </c>
      <c r="N3621" s="1" t="s">
        <v>3241</v>
      </c>
    </row>
    <row r="3622" spans="1:14" x14ac:dyDescent="0.15">
      <c r="A3622" s="1">
        <v>824</v>
      </c>
      <c r="B3622" s="1" t="s">
        <v>554</v>
      </c>
      <c r="C3622" s="1" t="s">
        <v>555</v>
      </c>
      <c r="D3622" s="1" t="s">
        <v>554</v>
      </c>
      <c r="E3622" s="1" t="s">
        <v>555</v>
      </c>
      <c r="F3622" s="1" t="s">
        <v>554</v>
      </c>
      <c r="G3622" s="1" t="s">
        <v>556</v>
      </c>
      <c r="H3622" s="1" t="s">
        <v>554</v>
      </c>
      <c r="I3622" s="1" t="s">
        <v>11122</v>
      </c>
      <c r="J3622" s="1" t="s">
        <v>2128</v>
      </c>
      <c r="K3622" s="1">
        <v>7</v>
      </c>
      <c r="L3622" s="1" t="s">
        <v>4299</v>
      </c>
      <c r="M3622" s="1">
        <v>3</v>
      </c>
      <c r="N3622" s="1" t="s">
        <v>3241</v>
      </c>
    </row>
    <row r="3623" spans="1:14" x14ac:dyDescent="0.15">
      <c r="A3623" s="1">
        <v>825</v>
      </c>
      <c r="B3623" s="1" t="s">
        <v>558</v>
      </c>
      <c r="C3623" s="1" t="s">
        <v>559</v>
      </c>
      <c r="D3623" s="1" t="s">
        <v>558</v>
      </c>
      <c r="E3623" s="1" t="s">
        <v>559</v>
      </c>
      <c r="F3623" s="1" t="s">
        <v>558</v>
      </c>
      <c r="G3623" s="1" t="s">
        <v>560</v>
      </c>
      <c r="H3623" s="1" t="s">
        <v>558</v>
      </c>
      <c r="I3623" s="1" t="s">
        <v>11051</v>
      </c>
      <c r="J3623" s="1" t="s">
        <v>561</v>
      </c>
      <c r="K3623" s="1">
        <v>7</v>
      </c>
      <c r="L3623" s="1" t="s">
        <v>4299</v>
      </c>
      <c r="M3623" s="1">
        <v>3</v>
      </c>
      <c r="N3623" s="1" t="s">
        <v>3241</v>
      </c>
    </row>
    <row r="3624" spans="1:14" x14ac:dyDescent="0.15">
      <c r="A3624" s="1">
        <v>825</v>
      </c>
      <c r="B3624" s="1" t="s">
        <v>558</v>
      </c>
      <c r="C3624" s="1" t="s">
        <v>559</v>
      </c>
      <c r="D3624" s="1" t="s">
        <v>558</v>
      </c>
      <c r="E3624" s="1" t="s">
        <v>559</v>
      </c>
      <c r="F3624" s="1" t="s">
        <v>558</v>
      </c>
      <c r="G3624" s="1" t="s">
        <v>560</v>
      </c>
      <c r="H3624" s="1" t="s">
        <v>558</v>
      </c>
      <c r="I3624" s="1" t="s">
        <v>11057</v>
      </c>
      <c r="J3624" s="1" t="s">
        <v>557</v>
      </c>
      <c r="K3624" s="1">
        <v>7</v>
      </c>
      <c r="L3624" s="1" t="s">
        <v>4299</v>
      </c>
      <c r="M3624" s="1">
        <v>3</v>
      </c>
      <c r="N3624" s="1" t="s">
        <v>3241</v>
      </c>
    </row>
    <row r="3625" spans="1:14" x14ac:dyDescent="0.15">
      <c r="A3625" s="1">
        <v>825</v>
      </c>
      <c r="B3625" s="1" t="s">
        <v>558</v>
      </c>
      <c r="C3625" s="1" t="s">
        <v>559</v>
      </c>
      <c r="D3625" s="1" t="s">
        <v>558</v>
      </c>
      <c r="E3625" s="1" t="s">
        <v>559</v>
      </c>
      <c r="F3625" s="1" t="s">
        <v>558</v>
      </c>
      <c r="G3625" s="1" t="s">
        <v>560</v>
      </c>
      <c r="H3625" s="1" t="s">
        <v>558</v>
      </c>
      <c r="I3625" s="1" t="s">
        <v>11060</v>
      </c>
      <c r="J3625" s="1" t="s">
        <v>2137</v>
      </c>
      <c r="K3625" s="1">
        <v>7</v>
      </c>
      <c r="L3625" s="1" t="s">
        <v>4299</v>
      </c>
      <c r="M3625" s="1">
        <v>3</v>
      </c>
      <c r="N3625" s="1" t="s">
        <v>3241</v>
      </c>
    </row>
    <row r="3626" spans="1:14" x14ac:dyDescent="0.15">
      <c r="A3626" s="1">
        <v>825</v>
      </c>
      <c r="B3626" s="1" t="s">
        <v>558</v>
      </c>
      <c r="C3626" s="1" t="s">
        <v>559</v>
      </c>
      <c r="D3626" s="1" t="s">
        <v>558</v>
      </c>
      <c r="E3626" s="1" t="s">
        <v>559</v>
      </c>
      <c r="F3626" s="1" t="s">
        <v>558</v>
      </c>
      <c r="G3626" s="1" t="s">
        <v>560</v>
      </c>
      <c r="H3626" s="1" t="s">
        <v>558</v>
      </c>
      <c r="I3626" s="1" t="s">
        <v>11122</v>
      </c>
      <c r="J3626" s="1" t="s">
        <v>2128</v>
      </c>
      <c r="K3626" s="1">
        <v>7</v>
      </c>
      <c r="L3626" s="1" t="s">
        <v>4299</v>
      </c>
      <c r="M3626" s="1">
        <v>3</v>
      </c>
      <c r="N3626" s="1" t="s">
        <v>3241</v>
      </c>
    </row>
    <row r="3627" spans="1:14" x14ac:dyDescent="0.15">
      <c r="A3627" s="1">
        <v>825</v>
      </c>
      <c r="B3627" s="1" t="s">
        <v>558</v>
      </c>
      <c r="C3627" s="1" t="s">
        <v>559</v>
      </c>
      <c r="D3627" s="1" t="s">
        <v>558</v>
      </c>
      <c r="E3627" s="1" t="s">
        <v>559</v>
      </c>
      <c r="F3627" s="1" t="s">
        <v>558</v>
      </c>
      <c r="G3627" s="1" t="s">
        <v>560</v>
      </c>
      <c r="H3627" s="1" t="s">
        <v>558</v>
      </c>
      <c r="I3627" s="1" t="s">
        <v>11125</v>
      </c>
      <c r="J3627" s="1" t="s">
        <v>6396</v>
      </c>
      <c r="K3627" s="1">
        <v>7</v>
      </c>
      <c r="L3627" s="1" t="s">
        <v>4299</v>
      </c>
      <c r="M3627" s="1">
        <v>3</v>
      </c>
      <c r="N3627" s="1" t="s">
        <v>3241</v>
      </c>
    </row>
    <row r="3628" spans="1:14" x14ac:dyDescent="0.15">
      <c r="A3628" s="1">
        <v>825</v>
      </c>
      <c r="B3628" s="1" t="s">
        <v>558</v>
      </c>
      <c r="C3628" s="1" t="s">
        <v>559</v>
      </c>
      <c r="D3628" s="1" t="s">
        <v>558</v>
      </c>
      <c r="E3628" s="1" t="s">
        <v>559</v>
      </c>
      <c r="F3628" s="1" t="s">
        <v>558</v>
      </c>
      <c r="G3628" s="1" t="s">
        <v>560</v>
      </c>
      <c r="H3628" s="1" t="s">
        <v>558</v>
      </c>
      <c r="I3628" s="1" t="s">
        <v>11135</v>
      </c>
      <c r="J3628" s="1" t="s">
        <v>546</v>
      </c>
      <c r="K3628" s="1">
        <v>7</v>
      </c>
      <c r="L3628" s="1" t="s">
        <v>4299</v>
      </c>
      <c r="M3628" s="1">
        <v>3</v>
      </c>
      <c r="N3628" s="1" t="s">
        <v>3241</v>
      </c>
    </row>
    <row r="3629" spans="1:14" x14ac:dyDescent="0.15">
      <c r="A3629" s="1">
        <v>825</v>
      </c>
      <c r="B3629" s="1" t="s">
        <v>558</v>
      </c>
      <c r="C3629" s="1" t="s">
        <v>559</v>
      </c>
      <c r="D3629" s="1" t="s">
        <v>558</v>
      </c>
      <c r="E3629" s="1" t="s">
        <v>559</v>
      </c>
      <c r="F3629" s="1" t="s">
        <v>558</v>
      </c>
      <c r="G3629" s="1" t="s">
        <v>560</v>
      </c>
      <c r="H3629" s="1" t="s">
        <v>558</v>
      </c>
      <c r="I3629" s="1" t="s">
        <v>11054</v>
      </c>
      <c r="J3629" s="1" t="s">
        <v>3043</v>
      </c>
      <c r="K3629" s="1">
        <v>7</v>
      </c>
      <c r="L3629" s="1" t="s">
        <v>4299</v>
      </c>
      <c r="M3629" s="1">
        <v>3</v>
      </c>
      <c r="N3629" s="1" t="s">
        <v>3241</v>
      </c>
    </row>
    <row r="3630" spans="1:14" x14ac:dyDescent="0.15">
      <c r="A3630" s="1">
        <v>825</v>
      </c>
      <c r="B3630" s="1" t="s">
        <v>558</v>
      </c>
      <c r="C3630" s="1" t="s">
        <v>559</v>
      </c>
      <c r="D3630" s="1" t="s">
        <v>558</v>
      </c>
      <c r="E3630" s="1" t="s">
        <v>559</v>
      </c>
      <c r="F3630" s="1" t="s">
        <v>558</v>
      </c>
      <c r="G3630" s="1" t="s">
        <v>562</v>
      </c>
      <c r="H3630" s="1" t="s">
        <v>563</v>
      </c>
      <c r="I3630" s="1" t="s">
        <v>14554</v>
      </c>
      <c r="J3630" s="1" t="s">
        <v>14551</v>
      </c>
      <c r="K3630" s="1">
        <v>7</v>
      </c>
      <c r="L3630" s="1" t="s">
        <v>4299</v>
      </c>
      <c r="M3630" s="1">
        <v>3</v>
      </c>
      <c r="N3630" s="1" t="s">
        <v>3241</v>
      </c>
    </row>
    <row r="3631" spans="1:14" x14ac:dyDescent="0.15">
      <c r="A3631" s="1">
        <v>825</v>
      </c>
      <c r="B3631" s="1" t="s">
        <v>558</v>
      </c>
      <c r="C3631" s="1" t="s">
        <v>559</v>
      </c>
      <c r="D3631" s="1" t="s">
        <v>558</v>
      </c>
      <c r="E3631" s="1" t="s">
        <v>559</v>
      </c>
      <c r="F3631" s="1" t="s">
        <v>558</v>
      </c>
      <c r="G3631" s="1" t="s">
        <v>562</v>
      </c>
      <c r="H3631" s="1" t="s">
        <v>563</v>
      </c>
      <c r="I3631" s="1" t="s">
        <v>11057</v>
      </c>
      <c r="J3631" s="1" t="s">
        <v>557</v>
      </c>
      <c r="K3631" s="1">
        <v>7</v>
      </c>
      <c r="L3631" s="1" t="s">
        <v>4299</v>
      </c>
      <c r="M3631" s="1">
        <v>3</v>
      </c>
      <c r="N3631" s="1" t="s">
        <v>3241</v>
      </c>
    </row>
    <row r="3632" spans="1:14" x14ac:dyDescent="0.15">
      <c r="A3632" s="1">
        <v>825</v>
      </c>
      <c r="B3632" s="1" t="s">
        <v>558</v>
      </c>
      <c r="C3632" s="1" t="s">
        <v>559</v>
      </c>
      <c r="D3632" s="1" t="s">
        <v>558</v>
      </c>
      <c r="E3632" s="1" t="s">
        <v>559</v>
      </c>
      <c r="F3632" s="1" t="s">
        <v>558</v>
      </c>
      <c r="G3632" s="1" t="s">
        <v>562</v>
      </c>
      <c r="H3632" s="1" t="s">
        <v>563</v>
      </c>
      <c r="I3632" s="1" t="s">
        <v>11122</v>
      </c>
      <c r="J3632" s="1" t="s">
        <v>2128</v>
      </c>
      <c r="K3632" s="1">
        <v>7</v>
      </c>
      <c r="L3632" s="1" t="s">
        <v>4299</v>
      </c>
      <c r="M3632" s="1">
        <v>3</v>
      </c>
      <c r="N3632" s="1" t="s">
        <v>3241</v>
      </c>
    </row>
    <row r="3633" spans="1:14" x14ac:dyDescent="0.15">
      <c r="A3633" s="1">
        <v>825</v>
      </c>
      <c r="B3633" s="1" t="s">
        <v>558</v>
      </c>
      <c r="C3633" s="1" t="s">
        <v>559</v>
      </c>
      <c r="D3633" s="1" t="s">
        <v>558</v>
      </c>
      <c r="E3633" s="1" t="s">
        <v>559</v>
      </c>
      <c r="F3633" s="1" t="s">
        <v>558</v>
      </c>
      <c r="G3633" s="1" t="s">
        <v>564</v>
      </c>
      <c r="H3633" s="1" t="s">
        <v>565</v>
      </c>
      <c r="I3633" s="1" t="s">
        <v>11122</v>
      </c>
      <c r="J3633" s="1" t="s">
        <v>2128</v>
      </c>
      <c r="K3633" s="1">
        <v>7</v>
      </c>
      <c r="L3633" s="1" t="s">
        <v>4299</v>
      </c>
      <c r="M3633" s="1">
        <v>3</v>
      </c>
      <c r="N3633" s="1" t="s">
        <v>3241</v>
      </c>
    </row>
    <row r="3634" spans="1:14" x14ac:dyDescent="0.15">
      <c r="A3634" s="1">
        <v>825</v>
      </c>
      <c r="B3634" s="1" t="s">
        <v>558</v>
      </c>
      <c r="C3634" s="1" t="s">
        <v>559</v>
      </c>
      <c r="D3634" s="1" t="s">
        <v>558</v>
      </c>
      <c r="E3634" s="1" t="s">
        <v>559</v>
      </c>
      <c r="F3634" s="1" t="s">
        <v>558</v>
      </c>
      <c r="G3634" s="1" t="s">
        <v>564</v>
      </c>
      <c r="H3634" s="1" t="s">
        <v>565</v>
      </c>
      <c r="I3634" s="1" t="s">
        <v>11051</v>
      </c>
      <c r="J3634" s="1" t="s">
        <v>561</v>
      </c>
      <c r="K3634" s="1">
        <v>7</v>
      </c>
      <c r="L3634" s="1" t="s">
        <v>4299</v>
      </c>
      <c r="M3634" s="1">
        <v>3</v>
      </c>
      <c r="N3634" s="1" t="s">
        <v>3241</v>
      </c>
    </row>
    <row r="3635" spans="1:14" x14ac:dyDescent="0.15">
      <c r="A3635" s="1">
        <v>825</v>
      </c>
      <c r="B3635" s="1" t="s">
        <v>558</v>
      </c>
      <c r="C3635" s="1" t="s">
        <v>559</v>
      </c>
      <c r="D3635" s="1" t="s">
        <v>558</v>
      </c>
      <c r="E3635" s="1" t="s">
        <v>559</v>
      </c>
      <c r="F3635" s="1" t="s">
        <v>558</v>
      </c>
      <c r="G3635" s="1" t="s">
        <v>564</v>
      </c>
      <c r="H3635" s="1" t="s">
        <v>565</v>
      </c>
      <c r="I3635" s="1" t="s">
        <v>11057</v>
      </c>
      <c r="J3635" s="1" t="s">
        <v>557</v>
      </c>
      <c r="K3635" s="1">
        <v>7</v>
      </c>
      <c r="L3635" s="1" t="s">
        <v>4299</v>
      </c>
      <c r="M3635" s="1">
        <v>3</v>
      </c>
      <c r="N3635" s="1" t="s">
        <v>3241</v>
      </c>
    </row>
    <row r="3636" spans="1:14" x14ac:dyDescent="0.15">
      <c r="A3636" s="1">
        <v>825</v>
      </c>
      <c r="B3636" s="1" t="s">
        <v>558</v>
      </c>
      <c r="C3636" s="1" t="s">
        <v>559</v>
      </c>
      <c r="D3636" s="1" t="s">
        <v>558</v>
      </c>
      <c r="E3636" s="1" t="s">
        <v>559</v>
      </c>
      <c r="F3636" s="1" t="s">
        <v>558</v>
      </c>
      <c r="G3636" s="1" t="s">
        <v>564</v>
      </c>
      <c r="H3636" s="1" t="s">
        <v>565</v>
      </c>
      <c r="I3636" s="1" t="s">
        <v>11060</v>
      </c>
      <c r="J3636" s="1" t="s">
        <v>2137</v>
      </c>
      <c r="K3636" s="1">
        <v>7</v>
      </c>
      <c r="L3636" s="1" t="s">
        <v>4299</v>
      </c>
      <c r="M3636" s="1">
        <v>3</v>
      </c>
      <c r="N3636" s="1" t="s">
        <v>3241</v>
      </c>
    </row>
    <row r="3637" spans="1:14" x14ac:dyDescent="0.15">
      <c r="A3637" s="1">
        <v>825</v>
      </c>
      <c r="B3637" s="1" t="s">
        <v>558</v>
      </c>
      <c r="C3637" s="1" t="s">
        <v>559</v>
      </c>
      <c r="D3637" s="1" t="s">
        <v>558</v>
      </c>
      <c r="E3637" s="1" t="s">
        <v>559</v>
      </c>
      <c r="F3637" s="1" t="s">
        <v>558</v>
      </c>
      <c r="G3637" s="1" t="s">
        <v>564</v>
      </c>
      <c r="H3637" s="1" t="s">
        <v>565</v>
      </c>
      <c r="I3637" s="1" t="s">
        <v>11122</v>
      </c>
      <c r="J3637" s="1" t="s">
        <v>2128</v>
      </c>
      <c r="K3637" s="1">
        <v>7</v>
      </c>
      <c r="L3637" s="1" t="s">
        <v>4299</v>
      </c>
      <c r="M3637" s="1">
        <v>3</v>
      </c>
      <c r="N3637" s="1" t="s">
        <v>3241</v>
      </c>
    </row>
    <row r="3638" spans="1:14" x14ac:dyDescent="0.15">
      <c r="A3638" s="1">
        <v>825</v>
      </c>
      <c r="B3638" s="1" t="s">
        <v>558</v>
      </c>
      <c r="C3638" s="1" t="s">
        <v>559</v>
      </c>
      <c r="D3638" s="1" t="s">
        <v>558</v>
      </c>
      <c r="E3638" s="1" t="s">
        <v>559</v>
      </c>
      <c r="F3638" s="1" t="s">
        <v>558</v>
      </c>
      <c r="G3638" s="1" t="s">
        <v>564</v>
      </c>
      <c r="H3638" s="1" t="s">
        <v>565</v>
      </c>
      <c r="I3638" s="1" t="s">
        <v>11135</v>
      </c>
      <c r="J3638" s="1" t="s">
        <v>546</v>
      </c>
      <c r="K3638" s="1">
        <v>7</v>
      </c>
      <c r="L3638" s="1" t="s">
        <v>4299</v>
      </c>
      <c r="M3638" s="1">
        <v>3</v>
      </c>
      <c r="N3638" s="1" t="s">
        <v>3241</v>
      </c>
    </row>
    <row r="3639" spans="1:14" x14ac:dyDescent="0.15">
      <c r="A3639" s="1">
        <v>825</v>
      </c>
      <c r="B3639" s="1" t="s">
        <v>558</v>
      </c>
      <c r="C3639" s="1" t="s">
        <v>559</v>
      </c>
      <c r="D3639" s="1" t="s">
        <v>558</v>
      </c>
      <c r="E3639" s="1" t="s">
        <v>559</v>
      </c>
      <c r="F3639" s="1" t="s">
        <v>558</v>
      </c>
      <c r="G3639" s="1" t="s">
        <v>564</v>
      </c>
      <c r="H3639" s="1" t="s">
        <v>565</v>
      </c>
      <c r="I3639" s="1" t="s">
        <v>11054</v>
      </c>
      <c r="J3639" s="1" t="s">
        <v>3043</v>
      </c>
      <c r="K3639" s="1">
        <v>7</v>
      </c>
      <c r="L3639" s="1" t="s">
        <v>4299</v>
      </c>
      <c r="M3639" s="1">
        <v>3</v>
      </c>
      <c r="N3639" s="1" t="s">
        <v>3241</v>
      </c>
    </row>
    <row r="3640" spans="1:14" x14ac:dyDescent="0.15">
      <c r="A3640" s="1">
        <v>825</v>
      </c>
      <c r="B3640" s="1" t="s">
        <v>558</v>
      </c>
      <c r="C3640" s="1" t="s">
        <v>559</v>
      </c>
      <c r="D3640" s="1" t="s">
        <v>558</v>
      </c>
      <c r="E3640" s="1" t="s">
        <v>559</v>
      </c>
      <c r="F3640" s="1" t="s">
        <v>558</v>
      </c>
      <c r="G3640" s="1" t="s">
        <v>566</v>
      </c>
      <c r="H3640" s="1" t="s">
        <v>567</v>
      </c>
      <c r="I3640" s="1" t="s">
        <v>11051</v>
      </c>
      <c r="J3640" s="1" t="s">
        <v>561</v>
      </c>
      <c r="K3640" s="1">
        <v>7</v>
      </c>
      <c r="L3640" s="1" t="s">
        <v>4299</v>
      </c>
      <c r="M3640" s="1">
        <v>3</v>
      </c>
      <c r="N3640" s="1" t="s">
        <v>3241</v>
      </c>
    </row>
    <row r="3641" spans="1:14" x14ac:dyDescent="0.15">
      <c r="A3641" s="1">
        <v>825</v>
      </c>
      <c r="B3641" s="1" t="s">
        <v>558</v>
      </c>
      <c r="C3641" s="1" t="s">
        <v>559</v>
      </c>
      <c r="D3641" s="1" t="s">
        <v>558</v>
      </c>
      <c r="E3641" s="1" t="s">
        <v>559</v>
      </c>
      <c r="F3641" s="1" t="s">
        <v>558</v>
      </c>
      <c r="G3641" s="1" t="s">
        <v>566</v>
      </c>
      <c r="H3641" s="1" t="s">
        <v>567</v>
      </c>
      <c r="I3641" s="1" t="s">
        <v>11125</v>
      </c>
      <c r="J3641" s="1" t="s">
        <v>6396</v>
      </c>
      <c r="K3641" s="1">
        <v>7</v>
      </c>
      <c r="L3641" s="1" t="s">
        <v>4299</v>
      </c>
      <c r="M3641" s="1">
        <v>3</v>
      </c>
      <c r="N3641" s="1" t="s">
        <v>3241</v>
      </c>
    </row>
    <row r="3642" spans="1:14" x14ac:dyDescent="0.15">
      <c r="A3642" s="1">
        <v>825</v>
      </c>
      <c r="B3642" s="1" t="s">
        <v>558</v>
      </c>
      <c r="C3642" s="1" t="s">
        <v>559</v>
      </c>
      <c r="D3642" s="1" t="s">
        <v>558</v>
      </c>
      <c r="E3642" s="1" t="s">
        <v>559</v>
      </c>
      <c r="F3642" s="1" t="s">
        <v>558</v>
      </c>
      <c r="G3642" s="1" t="s">
        <v>568</v>
      </c>
      <c r="H3642" s="1" t="s">
        <v>569</v>
      </c>
      <c r="I3642" s="1" t="s">
        <v>11122</v>
      </c>
      <c r="J3642" s="1" t="s">
        <v>2128</v>
      </c>
      <c r="K3642" s="1">
        <v>7</v>
      </c>
      <c r="L3642" s="1" t="s">
        <v>4299</v>
      </c>
      <c r="M3642" s="1">
        <v>3</v>
      </c>
      <c r="N3642" s="1" t="s">
        <v>3241</v>
      </c>
    </row>
    <row r="3643" spans="1:14" x14ac:dyDescent="0.15">
      <c r="A3643" s="1">
        <v>825</v>
      </c>
      <c r="B3643" s="1" t="s">
        <v>558</v>
      </c>
      <c r="C3643" s="1" t="s">
        <v>559</v>
      </c>
      <c r="D3643" s="1" t="s">
        <v>558</v>
      </c>
      <c r="E3643" s="1" t="s">
        <v>559</v>
      </c>
      <c r="F3643" s="1" t="s">
        <v>558</v>
      </c>
      <c r="G3643" s="1" t="s">
        <v>568</v>
      </c>
      <c r="H3643" s="1" t="s">
        <v>569</v>
      </c>
      <c r="I3643" s="1" t="s">
        <v>11051</v>
      </c>
      <c r="J3643" s="1" t="s">
        <v>561</v>
      </c>
      <c r="K3643" s="1">
        <v>7</v>
      </c>
      <c r="L3643" s="1" t="s">
        <v>4299</v>
      </c>
      <c r="M3643" s="1">
        <v>3</v>
      </c>
      <c r="N3643" s="1" t="s">
        <v>3241</v>
      </c>
    </row>
    <row r="3644" spans="1:14" x14ac:dyDescent="0.15">
      <c r="A3644" s="1">
        <v>825</v>
      </c>
      <c r="B3644" s="1" t="s">
        <v>558</v>
      </c>
      <c r="C3644" s="1" t="s">
        <v>559</v>
      </c>
      <c r="D3644" s="1" t="s">
        <v>558</v>
      </c>
      <c r="E3644" s="1" t="s">
        <v>559</v>
      </c>
      <c r="F3644" s="1" t="s">
        <v>558</v>
      </c>
      <c r="G3644" s="1" t="s">
        <v>568</v>
      </c>
      <c r="H3644" s="1" t="s">
        <v>569</v>
      </c>
      <c r="I3644" s="1" t="s">
        <v>11057</v>
      </c>
      <c r="J3644" s="1" t="s">
        <v>557</v>
      </c>
      <c r="K3644" s="1">
        <v>7</v>
      </c>
      <c r="L3644" s="1" t="s">
        <v>4299</v>
      </c>
      <c r="M3644" s="1">
        <v>3</v>
      </c>
      <c r="N3644" s="1" t="s">
        <v>3241</v>
      </c>
    </row>
    <row r="3645" spans="1:14" x14ac:dyDescent="0.15">
      <c r="A3645" s="1">
        <v>825</v>
      </c>
      <c r="B3645" s="1" t="s">
        <v>558</v>
      </c>
      <c r="C3645" s="1" t="s">
        <v>559</v>
      </c>
      <c r="D3645" s="1" t="s">
        <v>558</v>
      </c>
      <c r="E3645" s="1" t="s">
        <v>559</v>
      </c>
      <c r="F3645" s="1" t="s">
        <v>558</v>
      </c>
      <c r="G3645" s="1" t="s">
        <v>568</v>
      </c>
      <c r="H3645" s="1" t="s">
        <v>569</v>
      </c>
      <c r="I3645" s="1" t="s">
        <v>11060</v>
      </c>
      <c r="J3645" s="1" t="s">
        <v>2137</v>
      </c>
      <c r="K3645" s="1">
        <v>7</v>
      </c>
      <c r="L3645" s="1" t="s">
        <v>4299</v>
      </c>
      <c r="M3645" s="1">
        <v>3</v>
      </c>
      <c r="N3645" s="1" t="s">
        <v>3241</v>
      </c>
    </row>
    <row r="3646" spans="1:14" x14ac:dyDescent="0.15">
      <c r="A3646" s="1">
        <v>825</v>
      </c>
      <c r="B3646" s="1" t="s">
        <v>558</v>
      </c>
      <c r="C3646" s="1" t="s">
        <v>559</v>
      </c>
      <c r="D3646" s="1" t="s">
        <v>558</v>
      </c>
      <c r="E3646" s="1" t="s">
        <v>559</v>
      </c>
      <c r="F3646" s="1" t="s">
        <v>558</v>
      </c>
      <c r="G3646" s="1" t="s">
        <v>568</v>
      </c>
      <c r="H3646" s="1" t="s">
        <v>569</v>
      </c>
      <c r="I3646" s="1" t="s">
        <v>11122</v>
      </c>
      <c r="J3646" s="1" t="s">
        <v>2128</v>
      </c>
      <c r="K3646" s="1">
        <v>7</v>
      </c>
      <c r="L3646" s="1" t="s">
        <v>4299</v>
      </c>
      <c r="M3646" s="1">
        <v>3</v>
      </c>
      <c r="N3646" s="1" t="s">
        <v>3241</v>
      </c>
    </row>
    <row r="3647" spans="1:14" x14ac:dyDescent="0.15">
      <c r="A3647" s="1">
        <v>825</v>
      </c>
      <c r="B3647" s="1" t="s">
        <v>558</v>
      </c>
      <c r="C3647" s="1" t="s">
        <v>559</v>
      </c>
      <c r="D3647" s="1" t="s">
        <v>558</v>
      </c>
      <c r="E3647" s="1" t="s">
        <v>559</v>
      </c>
      <c r="F3647" s="1" t="s">
        <v>558</v>
      </c>
      <c r="G3647" s="1" t="s">
        <v>568</v>
      </c>
      <c r="H3647" s="1" t="s">
        <v>569</v>
      </c>
      <c r="I3647" s="1" t="s">
        <v>11135</v>
      </c>
      <c r="J3647" s="1" t="s">
        <v>546</v>
      </c>
      <c r="K3647" s="1">
        <v>7</v>
      </c>
      <c r="L3647" s="1" t="s">
        <v>4299</v>
      </c>
      <c r="M3647" s="1">
        <v>3</v>
      </c>
      <c r="N3647" s="1" t="s">
        <v>3241</v>
      </c>
    </row>
    <row r="3648" spans="1:14" x14ac:dyDescent="0.15">
      <c r="A3648" s="1">
        <v>825</v>
      </c>
      <c r="B3648" s="1" t="s">
        <v>558</v>
      </c>
      <c r="C3648" s="1" t="s">
        <v>559</v>
      </c>
      <c r="D3648" s="1" t="s">
        <v>558</v>
      </c>
      <c r="E3648" s="1" t="s">
        <v>559</v>
      </c>
      <c r="F3648" s="1" t="s">
        <v>558</v>
      </c>
      <c r="G3648" s="1" t="s">
        <v>568</v>
      </c>
      <c r="H3648" s="1" t="s">
        <v>569</v>
      </c>
      <c r="I3648" s="1" t="s">
        <v>11054</v>
      </c>
      <c r="J3648" s="1" t="s">
        <v>3043</v>
      </c>
      <c r="K3648" s="1">
        <v>7</v>
      </c>
      <c r="L3648" s="1" t="s">
        <v>4299</v>
      </c>
      <c r="M3648" s="1">
        <v>3</v>
      </c>
      <c r="N3648" s="1" t="s">
        <v>3241</v>
      </c>
    </row>
    <row r="3649" spans="1:14" x14ac:dyDescent="0.15">
      <c r="A3649" s="1">
        <v>825</v>
      </c>
      <c r="B3649" s="1" t="s">
        <v>558</v>
      </c>
      <c r="C3649" s="1" t="s">
        <v>559</v>
      </c>
      <c r="D3649" s="1" t="s">
        <v>558</v>
      </c>
      <c r="E3649" s="1" t="s">
        <v>559</v>
      </c>
      <c r="F3649" s="1" t="s">
        <v>558</v>
      </c>
      <c r="G3649" s="1" t="s">
        <v>570</v>
      </c>
      <c r="H3649" s="1" t="s">
        <v>571</v>
      </c>
      <c r="I3649" s="1" t="s">
        <v>11122</v>
      </c>
      <c r="J3649" s="1" t="s">
        <v>2128</v>
      </c>
      <c r="K3649" s="1">
        <v>7</v>
      </c>
      <c r="L3649" s="1" t="s">
        <v>4299</v>
      </c>
      <c r="M3649" s="1">
        <v>3</v>
      </c>
      <c r="N3649" s="1" t="s">
        <v>3241</v>
      </c>
    </row>
    <row r="3650" spans="1:14" x14ac:dyDescent="0.15">
      <c r="A3650" s="1">
        <v>825</v>
      </c>
      <c r="B3650" s="1" t="s">
        <v>558</v>
      </c>
      <c r="C3650" s="1" t="s">
        <v>559</v>
      </c>
      <c r="D3650" s="1" t="s">
        <v>558</v>
      </c>
      <c r="E3650" s="1" t="s">
        <v>559</v>
      </c>
      <c r="F3650" s="1" t="s">
        <v>558</v>
      </c>
      <c r="G3650" s="1" t="s">
        <v>570</v>
      </c>
      <c r="H3650" s="1" t="s">
        <v>571</v>
      </c>
      <c r="I3650" s="1" t="s">
        <v>11051</v>
      </c>
      <c r="J3650" s="1" t="s">
        <v>561</v>
      </c>
      <c r="K3650" s="1">
        <v>7</v>
      </c>
      <c r="L3650" s="1" t="s">
        <v>4299</v>
      </c>
      <c r="M3650" s="1">
        <v>3</v>
      </c>
      <c r="N3650" s="1" t="s">
        <v>3241</v>
      </c>
    </row>
    <row r="3651" spans="1:14" x14ac:dyDescent="0.15">
      <c r="A3651" s="1">
        <v>825</v>
      </c>
      <c r="B3651" s="1" t="s">
        <v>558</v>
      </c>
      <c r="C3651" s="1" t="s">
        <v>559</v>
      </c>
      <c r="D3651" s="1" t="s">
        <v>558</v>
      </c>
      <c r="E3651" s="1" t="s">
        <v>559</v>
      </c>
      <c r="F3651" s="1" t="s">
        <v>558</v>
      </c>
      <c r="G3651" s="1" t="s">
        <v>570</v>
      </c>
      <c r="H3651" s="1" t="s">
        <v>571</v>
      </c>
      <c r="I3651" s="1" t="s">
        <v>11057</v>
      </c>
      <c r="J3651" s="1" t="s">
        <v>557</v>
      </c>
      <c r="K3651" s="1">
        <v>7</v>
      </c>
      <c r="L3651" s="1" t="s">
        <v>4299</v>
      </c>
      <c r="M3651" s="1">
        <v>3</v>
      </c>
      <c r="N3651" s="1" t="s">
        <v>3241</v>
      </c>
    </row>
    <row r="3652" spans="1:14" x14ac:dyDescent="0.15">
      <c r="A3652" s="1">
        <v>825</v>
      </c>
      <c r="B3652" s="1" t="s">
        <v>558</v>
      </c>
      <c r="C3652" s="1" t="s">
        <v>559</v>
      </c>
      <c r="D3652" s="1" t="s">
        <v>558</v>
      </c>
      <c r="E3652" s="1" t="s">
        <v>559</v>
      </c>
      <c r="F3652" s="1" t="s">
        <v>558</v>
      </c>
      <c r="G3652" s="1" t="s">
        <v>570</v>
      </c>
      <c r="H3652" s="1" t="s">
        <v>571</v>
      </c>
      <c r="I3652" s="1" t="s">
        <v>11060</v>
      </c>
      <c r="J3652" s="1" t="s">
        <v>2137</v>
      </c>
      <c r="K3652" s="1">
        <v>7</v>
      </c>
      <c r="L3652" s="1" t="s">
        <v>4299</v>
      </c>
      <c r="M3652" s="1">
        <v>3</v>
      </c>
      <c r="N3652" s="1" t="s">
        <v>3241</v>
      </c>
    </row>
    <row r="3653" spans="1:14" x14ac:dyDescent="0.15">
      <c r="A3653" s="1">
        <v>825</v>
      </c>
      <c r="B3653" s="1" t="s">
        <v>558</v>
      </c>
      <c r="C3653" s="1" t="s">
        <v>559</v>
      </c>
      <c r="D3653" s="1" t="s">
        <v>558</v>
      </c>
      <c r="E3653" s="1" t="s">
        <v>559</v>
      </c>
      <c r="F3653" s="1" t="s">
        <v>558</v>
      </c>
      <c r="G3653" s="1" t="s">
        <v>570</v>
      </c>
      <c r="H3653" s="1" t="s">
        <v>571</v>
      </c>
      <c r="I3653" s="1" t="s">
        <v>11122</v>
      </c>
      <c r="J3653" s="1" t="s">
        <v>2128</v>
      </c>
      <c r="K3653" s="1">
        <v>7</v>
      </c>
      <c r="L3653" s="1" t="s">
        <v>4299</v>
      </c>
      <c r="M3653" s="1">
        <v>3</v>
      </c>
      <c r="N3653" s="1" t="s">
        <v>3241</v>
      </c>
    </row>
    <row r="3654" spans="1:14" x14ac:dyDescent="0.15">
      <c r="A3654" s="1">
        <v>825</v>
      </c>
      <c r="B3654" s="1" t="s">
        <v>558</v>
      </c>
      <c r="C3654" s="1" t="s">
        <v>559</v>
      </c>
      <c r="D3654" s="1" t="s">
        <v>558</v>
      </c>
      <c r="E3654" s="1" t="s">
        <v>559</v>
      </c>
      <c r="F3654" s="1" t="s">
        <v>558</v>
      </c>
      <c r="G3654" s="1" t="s">
        <v>570</v>
      </c>
      <c r="H3654" s="1" t="s">
        <v>571</v>
      </c>
      <c r="I3654" s="1" t="s">
        <v>11135</v>
      </c>
      <c r="J3654" s="1" t="s">
        <v>546</v>
      </c>
      <c r="K3654" s="1">
        <v>7</v>
      </c>
      <c r="L3654" s="1" t="s">
        <v>4299</v>
      </c>
      <c r="M3654" s="1">
        <v>3</v>
      </c>
      <c r="N3654" s="1" t="s">
        <v>3241</v>
      </c>
    </row>
    <row r="3655" spans="1:14" x14ac:dyDescent="0.15">
      <c r="A3655" s="1">
        <v>825</v>
      </c>
      <c r="B3655" s="1" t="s">
        <v>558</v>
      </c>
      <c r="C3655" s="1" t="s">
        <v>559</v>
      </c>
      <c r="D3655" s="1" t="s">
        <v>558</v>
      </c>
      <c r="E3655" s="1" t="s">
        <v>559</v>
      </c>
      <c r="F3655" s="1" t="s">
        <v>558</v>
      </c>
      <c r="G3655" s="1" t="s">
        <v>570</v>
      </c>
      <c r="H3655" s="1" t="s">
        <v>571</v>
      </c>
      <c r="I3655" s="1" t="s">
        <v>11054</v>
      </c>
      <c r="J3655" s="1" t="s">
        <v>3043</v>
      </c>
      <c r="K3655" s="1">
        <v>7</v>
      </c>
      <c r="L3655" s="1" t="s">
        <v>4299</v>
      </c>
      <c r="M3655" s="1">
        <v>3</v>
      </c>
      <c r="N3655" s="1" t="s">
        <v>3241</v>
      </c>
    </row>
    <row r="3656" spans="1:14" x14ac:dyDescent="0.15">
      <c r="A3656" s="1">
        <v>825</v>
      </c>
      <c r="B3656" s="1" t="s">
        <v>558</v>
      </c>
      <c r="C3656" s="1" t="s">
        <v>559</v>
      </c>
      <c r="D3656" s="1" t="s">
        <v>558</v>
      </c>
      <c r="E3656" s="1" t="s">
        <v>559</v>
      </c>
      <c r="F3656" s="1" t="s">
        <v>558</v>
      </c>
      <c r="G3656" s="1" t="s">
        <v>572</v>
      </c>
      <c r="H3656" s="1" t="s">
        <v>573</v>
      </c>
      <c r="I3656" s="1" t="s">
        <v>11122</v>
      </c>
      <c r="J3656" s="1" t="s">
        <v>2128</v>
      </c>
      <c r="K3656" s="1">
        <v>7</v>
      </c>
      <c r="L3656" s="1" t="s">
        <v>4299</v>
      </c>
      <c r="M3656" s="1">
        <v>3</v>
      </c>
      <c r="N3656" s="1" t="s">
        <v>3241</v>
      </c>
    </row>
    <row r="3657" spans="1:14" x14ac:dyDescent="0.15">
      <c r="A3657" s="1">
        <v>825</v>
      </c>
      <c r="B3657" s="1" t="s">
        <v>558</v>
      </c>
      <c r="C3657" s="1" t="s">
        <v>559</v>
      </c>
      <c r="D3657" s="1" t="s">
        <v>558</v>
      </c>
      <c r="E3657" s="1" t="s">
        <v>559</v>
      </c>
      <c r="F3657" s="1" t="s">
        <v>558</v>
      </c>
      <c r="G3657" s="1" t="s">
        <v>572</v>
      </c>
      <c r="H3657" s="1" t="s">
        <v>573</v>
      </c>
      <c r="I3657" s="1" t="s">
        <v>11051</v>
      </c>
      <c r="J3657" s="1" t="s">
        <v>561</v>
      </c>
      <c r="K3657" s="1">
        <v>7</v>
      </c>
      <c r="L3657" s="1" t="s">
        <v>4299</v>
      </c>
      <c r="M3657" s="1">
        <v>3</v>
      </c>
      <c r="N3657" s="1" t="s">
        <v>3241</v>
      </c>
    </row>
    <row r="3658" spans="1:14" x14ac:dyDescent="0.15">
      <c r="A3658" s="1">
        <v>825</v>
      </c>
      <c r="B3658" s="1" t="s">
        <v>558</v>
      </c>
      <c r="C3658" s="1" t="s">
        <v>559</v>
      </c>
      <c r="D3658" s="1" t="s">
        <v>558</v>
      </c>
      <c r="E3658" s="1" t="s">
        <v>559</v>
      </c>
      <c r="F3658" s="1" t="s">
        <v>558</v>
      </c>
      <c r="G3658" s="1" t="s">
        <v>572</v>
      </c>
      <c r="H3658" s="1" t="s">
        <v>573</v>
      </c>
      <c r="I3658" s="1" t="s">
        <v>11057</v>
      </c>
      <c r="J3658" s="1" t="s">
        <v>557</v>
      </c>
      <c r="K3658" s="1">
        <v>7</v>
      </c>
      <c r="L3658" s="1" t="s">
        <v>4299</v>
      </c>
      <c r="M3658" s="1">
        <v>3</v>
      </c>
      <c r="N3658" s="1" t="s">
        <v>3241</v>
      </c>
    </row>
    <row r="3659" spans="1:14" x14ac:dyDescent="0.15">
      <c r="A3659" s="1">
        <v>825</v>
      </c>
      <c r="B3659" s="1" t="s">
        <v>558</v>
      </c>
      <c r="C3659" s="1" t="s">
        <v>559</v>
      </c>
      <c r="D3659" s="1" t="s">
        <v>558</v>
      </c>
      <c r="E3659" s="1" t="s">
        <v>559</v>
      </c>
      <c r="F3659" s="1" t="s">
        <v>558</v>
      </c>
      <c r="G3659" s="1" t="s">
        <v>572</v>
      </c>
      <c r="H3659" s="1" t="s">
        <v>573</v>
      </c>
      <c r="I3659" s="1" t="s">
        <v>11060</v>
      </c>
      <c r="J3659" s="1" t="s">
        <v>2137</v>
      </c>
      <c r="K3659" s="1">
        <v>7</v>
      </c>
      <c r="L3659" s="1" t="s">
        <v>4299</v>
      </c>
      <c r="M3659" s="1">
        <v>3</v>
      </c>
      <c r="N3659" s="1" t="s">
        <v>3241</v>
      </c>
    </row>
    <row r="3660" spans="1:14" x14ac:dyDescent="0.15">
      <c r="A3660" s="1">
        <v>825</v>
      </c>
      <c r="B3660" s="1" t="s">
        <v>558</v>
      </c>
      <c r="C3660" s="1" t="s">
        <v>559</v>
      </c>
      <c r="D3660" s="1" t="s">
        <v>558</v>
      </c>
      <c r="E3660" s="1" t="s">
        <v>559</v>
      </c>
      <c r="F3660" s="1" t="s">
        <v>558</v>
      </c>
      <c r="G3660" s="1" t="s">
        <v>572</v>
      </c>
      <c r="H3660" s="1" t="s">
        <v>573</v>
      </c>
      <c r="I3660" s="1" t="s">
        <v>11122</v>
      </c>
      <c r="J3660" s="1" t="s">
        <v>2128</v>
      </c>
      <c r="K3660" s="1">
        <v>7</v>
      </c>
      <c r="L3660" s="1" t="s">
        <v>4299</v>
      </c>
      <c r="M3660" s="1">
        <v>3</v>
      </c>
      <c r="N3660" s="1" t="s">
        <v>3241</v>
      </c>
    </row>
    <row r="3661" spans="1:14" x14ac:dyDescent="0.15">
      <c r="A3661" s="1">
        <v>825</v>
      </c>
      <c r="B3661" s="1" t="s">
        <v>558</v>
      </c>
      <c r="C3661" s="1" t="s">
        <v>559</v>
      </c>
      <c r="D3661" s="1" t="s">
        <v>558</v>
      </c>
      <c r="E3661" s="1" t="s">
        <v>559</v>
      </c>
      <c r="F3661" s="1" t="s">
        <v>558</v>
      </c>
      <c r="G3661" s="1" t="s">
        <v>572</v>
      </c>
      <c r="H3661" s="1" t="s">
        <v>573</v>
      </c>
      <c r="I3661" s="1" t="s">
        <v>11135</v>
      </c>
      <c r="J3661" s="1" t="s">
        <v>546</v>
      </c>
      <c r="K3661" s="1">
        <v>7</v>
      </c>
      <c r="L3661" s="1" t="s">
        <v>4299</v>
      </c>
      <c r="M3661" s="1">
        <v>3</v>
      </c>
      <c r="N3661" s="1" t="s">
        <v>3241</v>
      </c>
    </row>
    <row r="3662" spans="1:14" x14ac:dyDescent="0.15">
      <c r="A3662" s="1">
        <v>825</v>
      </c>
      <c r="B3662" s="1" t="s">
        <v>558</v>
      </c>
      <c r="C3662" s="1" t="s">
        <v>559</v>
      </c>
      <c r="D3662" s="1" t="s">
        <v>558</v>
      </c>
      <c r="E3662" s="1" t="s">
        <v>559</v>
      </c>
      <c r="F3662" s="1" t="s">
        <v>558</v>
      </c>
      <c r="G3662" s="1" t="s">
        <v>572</v>
      </c>
      <c r="H3662" s="1" t="s">
        <v>573</v>
      </c>
      <c r="I3662" s="1" t="s">
        <v>11054</v>
      </c>
      <c r="J3662" s="1" t="s">
        <v>3043</v>
      </c>
      <c r="K3662" s="1">
        <v>7</v>
      </c>
      <c r="L3662" s="1" t="s">
        <v>4299</v>
      </c>
      <c r="M3662" s="1">
        <v>3</v>
      </c>
      <c r="N3662" s="1" t="s">
        <v>3241</v>
      </c>
    </row>
    <row r="3663" spans="1:14" x14ac:dyDescent="0.15">
      <c r="A3663" s="1">
        <v>825</v>
      </c>
      <c r="B3663" s="1" t="s">
        <v>558</v>
      </c>
      <c r="C3663" s="1" t="s">
        <v>559</v>
      </c>
      <c r="D3663" s="1" t="s">
        <v>558</v>
      </c>
      <c r="E3663" s="1" t="s">
        <v>559</v>
      </c>
      <c r="F3663" s="1" t="s">
        <v>558</v>
      </c>
      <c r="G3663" s="1" t="s">
        <v>574</v>
      </c>
      <c r="H3663" s="1" t="s">
        <v>575</v>
      </c>
      <c r="I3663" s="1" t="s">
        <v>11051</v>
      </c>
      <c r="J3663" s="1" t="s">
        <v>561</v>
      </c>
      <c r="K3663" s="1">
        <v>7</v>
      </c>
      <c r="L3663" s="1" t="s">
        <v>4299</v>
      </c>
      <c r="M3663" s="1">
        <v>3</v>
      </c>
      <c r="N3663" s="1" t="s">
        <v>3241</v>
      </c>
    </row>
    <row r="3664" spans="1:14" x14ac:dyDescent="0.15">
      <c r="A3664" s="1">
        <v>825</v>
      </c>
      <c r="B3664" s="1" t="s">
        <v>558</v>
      </c>
      <c r="C3664" s="1" t="s">
        <v>559</v>
      </c>
      <c r="D3664" s="1" t="s">
        <v>558</v>
      </c>
      <c r="E3664" s="1" t="s">
        <v>559</v>
      </c>
      <c r="F3664" s="1" t="s">
        <v>558</v>
      </c>
      <c r="G3664" s="1" t="s">
        <v>574</v>
      </c>
      <c r="H3664" s="1" t="s">
        <v>575</v>
      </c>
      <c r="I3664" s="1" t="s">
        <v>11125</v>
      </c>
      <c r="J3664" s="1" t="s">
        <v>6396</v>
      </c>
      <c r="K3664" s="1">
        <v>7</v>
      </c>
      <c r="L3664" s="1" t="s">
        <v>4299</v>
      </c>
      <c r="M3664" s="1">
        <v>3</v>
      </c>
      <c r="N3664" s="1" t="s">
        <v>3241</v>
      </c>
    </row>
    <row r="3665" spans="1:14" x14ac:dyDescent="0.15">
      <c r="A3665" s="1">
        <v>825</v>
      </c>
      <c r="B3665" s="1" t="s">
        <v>558</v>
      </c>
      <c r="C3665" s="1" t="s">
        <v>559</v>
      </c>
      <c r="D3665" s="1" t="s">
        <v>558</v>
      </c>
      <c r="E3665" s="1" t="s">
        <v>559</v>
      </c>
      <c r="F3665" s="1" t="s">
        <v>558</v>
      </c>
      <c r="G3665" s="1" t="s">
        <v>576</v>
      </c>
      <c r="H3665" s="1" t="s">
        <v>577</v>
      </c>
      <c r="I3665" s="1" t="s">
        <v>11122</v>
      </c>
      <c r="J3665" s="1" t="s">
        <v>2128</v>
      </c>
      <c r="K3665" s="1">
        <v>7</v>
      </c>
      <c r="L3665" s="1" t="s">
        <v>4299</v>
      </c>
      <c r="M3665" s="1">
        <v>3</v>
      </c>
      <c r="N3665" s="1" t="s">
        <v>3241</v>
      </c>
    </row>
    <row r="3666" spans="1:14" x14ac:dyDescent="0.15">
      <c r="A3666" s="1">
        <v>825</v>
      </c>
      <c r="B3666" s="1" t="s">
        <v>558</v>
      </c>
      <c r="C3666" s="1" t="s">
        <v>559</v>
      </c>
      <c r="D3666" s="1" t="s">
        <v>558</v>
      </c>
      <c r="E3666" s="1" t="s">
        <v>559</v>
      </c>
      <c r="F3666" s="1" t="s">
        <v>558</v>
      </c>
      <c r="G3666" s="1" t="s">
        <v>576</v>
      </c>
      <c r="H3666" s="1" t="s">
        <v>577</v>
      </c>
      <c r="I3666" s="1" t="s">
        <v>11051</v>
      </c>
      <c r="J3666" s="1" t="s">
        <v>561</v>
      </c>
      <c r="K3666" s="1">
        <v>7</v>
      </c>
      <c r="L3666" s="1" t="s">
        <v>4299</v>
      </c>
      <c r="M3666" s="1">
        <v>3</v>
      </c>
      <c r="N3666" s="1" t="s">
        <v>3241</v>
      </c>
    </row>
    <row r="3667" spans="1:14" x14ac:dyDescent="0.15">
      <c r="A3667" s="1">
        <v>825</v>
      </c>
      <c r="B3667" s="1" t="s">
        <v>558</v>
      </c>
      <c r="C3667" s="1" t="s">
        <v>559</v>
      </c>
      <c r="D3667" s="1" t="s">
        <v>558</v>
      </c>
      <c r="E3667" s="1" t="s">
        <v>559</v>
      </c>
      <c r="F3667" s="1" t="s">
        <v>558</v>
      </c>
      <c r="G3667" s="1" t="s">
        <v>576</v>
      </c>
      <c r="H3667" s="1" t="s">
        <v>577</v>
      </c>
      <c r="I3667" s="1" t="s">
        <v>11057</v>
      </c>
      <c r="J3667" s="1" t="s">
        <v>557</v>
      </c>
      <c r="K3667" s="1">
        <v>7</v>
      </c>
      <c r="L3667" s="1" t="s">
        <v>4299</v>
      </c>
      <c r="M3667" s="1">
        <v>3</v>
      </c>
      <c r="N3667" s="1" t="s">
        <v>3241</v>
      </c>
    </row>
    <row r="3668" spans="1:14" x14ac:dyDescent="0.15">
      <c r="A3668" s="1">
        <v>825</v>
      </c>
      <c r="B3668" s="1" t="s">
        <v>558</v>
      </c>
      <c r="C3668" s="1" t="s">
        <v>559</v>
      </c>
      <c r="D3668" s="1" t="s">
        <v>558</v>
      </c>
      <c r="E3668" s="1" t="s">
        <v>559</v>
      </c>
      <c r="F3668" s="1" t="s">
        <v>558</v>
      </c>
      <c r="G3668" s="1" t="s">
        <v>576</v>
      </c>
      <c r="H3668" s="1" t="s">
        <v>577</v>
      </c>
      <c r="I3668" s="1" t="s">
        <v>11060</v>
      </c>
      <c r="J3668" s="1" t="s">
        <v>2137</v>
      </c>
      <c r="K3668" s="1">
        <v>7</v>
      </c>
      <c r="L3668" s="1" t="s">
        <v>4299</v>
      </c>
      <c r="M3668" s="1">
        <v>3</v>
      </c>
      <c r="N3668" s="1" t="s">
        <v>3241</v>
      </c>
    </row>
    <row r="3669" spans="1:14" x14ac:dyDescent="0.15">
      <c r="A3669" s="1">
        <v>825</v>
      </c>
      <c r="B3669" s="1" t="s">
        <v>558</v>
      </c>
      <c r="C3669" s="1" t="s">
        <v>559</v>
      </c>
      <c r="D3669" s="1" t="s">
        <v>558</v>
      </c>
      <c r="E3669" s="1" t="s">
        <v>559</v>
      </c>
      <c r="F3669" s="1" t="s">
        <v>558</v>
      </c>
      <c r="G3669" s="1" t="s">
        <v>576</v>
      </c>
      <c r="H3669" s="1" t="s">
        <v>577</v>
      </c>
      <c r="I3669" s="1" t="s">
        <v>11122</v>
      </c>
      <c r="J3669" s="1" t="s">
        <v>2128</v>
      </c>
      <c r="K3669" s="1">
        <v>7</v>
      </c>
      <c r="L3669" s="1" t="s">
        <v>4299</v>
      </c>
      <c r="M3669" s="1">
        <v>3</v>
      </c>
      <c r="N3669" s="1" t="s">
        <v>3241</v>
      </c>
    </row>
    <row r="3670" spans="1:14" x14ac:dyDescent="0.15">
      <c r="A3670" s="1">
        <v>825</v>
      </c>
      <c r="B3670" s="1" t="s">
        <v>558</v>
      </c>
      <c r="C3670" s="1" t="s">
        <v>559</v>
      </c>
      <c r="D3670" s="1" t="s">
        <v>558</v>
      </c>
      <c r="E3670" s="1" t="s">
        <v>559</v>
      </c>
      <c r="F3670" s="1" t="s">
        <v>558</v>
      </c>
      <c r="G3670" s="1" t="s">
        <v>576</v>
      </c>
      <c r="H3670" s="1" t="s">
        <v>577</v>
      </c>
      <c r="I3670" s="1" t="s">
        <v>11135</v>
      </c>
      <c r="J3670" s="1" t="s">
        <v>546</v>
      </c>
      <c r="K3670" s="1">
        <v>7</v>
      </c>
      <c r="L3670" s="1" t="s">
        <v>4299</v>
      </c>
      <c r="M3670" s="1">
        <v>3</v>
      </c>
      <c r="N3670" s="1" t="s">
        <v>3241</v>
      </c>
    </row>
    <row r="3671" spans="1:14" x14ac:dyDescent="0.15">
      <c r="A3671" s="1">
        <v>825</v>
      </c>
      <c r="B3671" s="1" t="s">
        <v>558</v>
      </c>
      <c r="C3671" s="1" t="s">
        <v>559</v>
      </c>
      <c r="D3671" s="1" t="s">
        <v>558</v>
      </c>
      <c r="E3671" s="1" t="s">
        <v>559</v>
      </c>
      <c r="F3671" s="1" t="s">
        <v>558</v>
      </c>
      <c r="G3671" s="1" t="s">
        <v>576</v>
      </c>
      <c r="H3671" s="1" t="s">
        <v>577</v>
      </c>
      <c r="I3671" s="1" t="s">
        <v>11054</v>
      </c>
      <c r="J3671" s="1" t="s">
        <v>3043</v>
      </c>
      <c r="K3671" s="1">
        <v>7</v>
      </c>
      <c r="L3671" s="1" t="s">
        <v>4299</v>
      </c>
      <c r="M3671" s="1">
        <v>3</v>
      </c>
      <c r="N3671" s="1" t="s">
        <v>3241</v>
      </c>
    </row>
    <row r="3672" spans="1:14" x14ac:dyDescent="0.15">
      <c r="A3672" s="1">
        <v>825</v>
      </c>
      <c r="B3672" s="1" t="s">
        <v>558</v>
      </c>
      <c r="C3672" s="1" t="s">
        <v>559</v>
      </c>
      <c r="D3672" s="1" t="s">
        <v>558</v>
      </c>
      <c r="E3672" s="1" t="s">
        <v>559</v>
      </c>
      <c r="F3672" s="1" t="s">
        <v>558</v>
      </c>
      <c r="G3672" s="1" t="s">
        <v>578</v>
      </c>
      <c r="H3672" s="1" t="s">
        <v>579</v>
      </c>
      <c r="I3672" s="1" t="s">
        <v>11122</v>
      </c>
      <c r="J3672" s="1" t="s">
        <v>2128</v>
      </c>
      <c r="K3672" s="1">
        <v>7</v>
      </c>
      <c r="L3672" s="1" t="s">
        <v>4299</v>
      </c>
      <c r="M3672" s="1">
        <v>3</v>
      </c>
      <c r="N3672" s="1" t="s">
        <v>3241</v>
      </c>
    </row>
    <row r="3673" spans="1:14" x14ac:dyDescent="0.15">
      <c r="A3673" s="1">
        <v>825</v>
      </c>
      <c r="B3673" s="1" t="s">
        <v>558</v>
      </c>
      <c r="C3673" s="1" t="s">
        <v>559</v>
      </c>
      <c r="D3673" s="1" t="s">
        <v>558</v>
      </c>
      <c r="E3673" s="1" t="s">
        <v>559</v>
      </c>
      <c r="F3673" s="1" t="s">
        <v>558</v>
      </c>
      <c r="G3673" s="1" t="s">
        <v>578</v>
      </c>
      <c r="H3673" s="1" t="s">
        <v>579</v>
      </c>
      <c r="I3673" s="1" t="s">
        <v>11051</v>
      </c>
      <c r="J3673" s="1" t="s">
        <v>561</v>
      </c>
      <c r="K3673" s="1">
        <v>7</v>
      </c>
      <c r="L3673" s="1" t="s">
        <v>4299</v>
      </c>
      <c r="M3673" s="1">
        <v>3</v>
      </c>
      <c r="N3673" s="1" t="s">
        <v>3241</v>
      </c>
    </row>
    <row r="3674" spans="1:14" x14ac:dyDescent="0.15">
      <c r="A3674" s="1">
        <v>825</v>
      </c>
      <c r="B3674" s="1" t="s">
        <v>558</v>
      </c>
      <c r="C3674" s="1" t="s">
        <v>559</v>
      </c>
      <c r="D3674" s="1" t="s">
        <v>558</v>
      </c>
      <c r="E3674" s="1" t="s">
        <v>559</v>
      </c>
      <c r="F3674" s="1" t="s">
        <v>558</v>
      </c>
      <c r="G3674" s="1" t="s">
        <v>578</v>
      </c>
      <c r="H3674" s="1" t="s">
        <v>579</v>
      </c>
      <c r="I3674" s="1" t="s">
        <v>11057</v>
      </c>
      <c r="J3674" s="1" t="s">
        <v>557</v>
      </c>
      <c r="K3674" s="1">
        <v>7</v>
      </c>
      <c r="L3674" s="1" t="s">
        <v>4299</v>
      </c>
      <c r="M3674" s="1">
        <v>3</v>
      </c>
      <c r="N3674" s="1" t="s">
        <v>3241</v>
      </c>
    </row>
    <row r="3675" spans="1:14" x14ac:dyDescent="0.15">
      <c r="A3675" s="1">
        <v>825</v>
      </c>
      <c r="B3675" s="1" t="s">
        <v>558</v>
      </c>
      <c r="C3675" s="1" t="s">
        <v>559</v>
      </c>
      <c r="D3675" s="1" t="s">
        <v>558</v>
      </c>
      <c r="E3675" s="1" t="s">
        <v>559</v>
      </c>
      <c r="F3675" s="1" t="s">
        <v>558</v>
      </c>
      <c r="G3675" s="1" t="s">
        <v>578</v>
      </c>
      <c r="H3675" s="1" t="s">
        <v>579</v>
      </c>
      <c r="I3675" s="1" t="s">
        <v>11060</v>
      </c>
      <c r="J3675" s="1" t="s">
        <v>2137</v>
      </c>
      <c r="K3675" s="1">
        <v>7</v>
      </c>
      <c r="L3675" s="1" t="s">
        <v>4299</v>
      </c>
      <c r="M3675" s="1">
        <v>3</v>
      </c>
      <c r="N3675" s="1" t="s">
        <v>3241</v>
      </c>
    </row>
    <row r="3676" spans="1:14" x14ac:dyDescent="0.15">
      <c r="A3676" s="1">
        <v>825</v>
      </c>
      <c r="B3676" s="1" t="s">
        <v>558</v>
      </c>
      <c r="C3676" s="1" t="s">
        <v>559</v>
      </c>
      <c r="D3676" s="1" t="s">
        <v>558</v>
      </c>
      <c r="E3676" s="1" t="s">
        <v>559</v>
      </c>
      <c r="F3676" s="1" t="s">
        <v>558</v>
      </c>
      <c r="G3676" s="1" t="s">
        <v>578</v>
      </c>
      <c r="H3676" s="1" t="s">
        <v>579</v>
      </c>
      <c r="I3676" s="1" t="s">
        <v>11122</v>
      </c>
      <c r="J3676" s="1" t="s">
        <v>2128</v>
      </c>
      <c r="K3676" s="1">
        <v>7</v>
      </c>
      <c r="L3676" s="1" t="s">
        <v>4299</v>
      </c>
      <c r="M3676" s="1">
        <v>3</v>
      </c>
      <c r="N3676" s="1" t="s">
        <v>3241</v>
      </c>
    </row>
    <row r="3677" spans="1:14" x14ac:dyDescent="0.15">
      <c r="A3677" s="1">
        <v>825</v>
      </c>
      <c r="B3677" s="1" t="s">
        <v>558</v>
      </c>
      <c r="C3677" s="1" t="s">
        <v>559</v>
      </c>
      <c r="D3677" s="1" t="s">
        <v>558</v>
      </c>
      <c r="E3677" s="1" t="s">
        <v>559</v>
      </c>
      <c r="F3677" s="1" t="s">
        <v>558</v>
      </c>
      <c r="G3677" s="1" t="s">
        <v>578</v>
      </c>
      <c r="H3677" s="1" t="s">
        <v>579</v>
      </c>
      <c r="I3677" s="1" t="s">
        <v>11135</v>
      </c>
      <c r="J3677" s="1" t="s">
        <v>546</v>
      </c>
      <c r="K3677" s="1">
        <v>7</v>
      </c>
      <c r="L3677" s="1" t="s">
        <v>4299</v>
      </c>
      <c r="M3677" s="1">
        <v>3</v>
      </c>
      <c r="N3677" s="1" t="s">
        <v>3241</v>
      </c>
    </row>
    <row r="3678" spans="1:14" x14ac:dyDescent="0.15">
      <c r="A3678" s="1">
        <v>825</v>
      </c>
      <c r="B3678" s="1" t="s">
        <v>558</v>
      </c>
      <c r="C3678" s="1" t="s">
        <v>559</v>
      </c>
      <c r="D3678" s="1" t="s">
        <v>558</v>
      </c>
      <c r="E3678" s="1" t="s">
        <v>559</v>
      </c>
      <c r="F3678" s="1" t="s">
        <v>558</v>
      </c>
      <c r="G3678" s="1" t="s">
        <v>578</v>
      </c>
      <c r="H3678" s="1" t="s">
        <v>579</v>
      </c>
      <c r="I3678" s="1" t="s">
        <v>11054</v>
      </c>
      <c r="J3678" s="1" t="s">
        <v>3043</v>
      </c>
      <c r="K3678" s="1">
        <v>7</v>
      </c>
      <c r="L3678" s="1" t="s">
        <v>4299</v>
      </c>
      <c r="M3678" s="1">
        <v>3</v>
      </c>
      <c r="N3678" s="1" t="s">
        <v>3241</v>
      </c>
    </row>
    <row r="3679" spans="1:14" x14ac:dyDescent="0.15">
      <c r="A3679" s="1">
        <v>825</v>
      </c>
      <c r="B3679" s="1" t="s">
        <v>558</v>
      </c>
      <c r="C3679" s="1" t="s">
        <v>559</v>
      </c>
      <c r="D3679" s="1" t="s">
        <v>558</v>
      </c>
      <c r="E3679" s="1" t="s">
        <v>559</v>
      </c>
      <c r="F3679" s="1" t="s">
        <v>558</v>
      </c>
      <c r="G3679" s="1" t="s">
        <v>580</v>
      </c>
      <c r="H3679" s="1" t="s">
        <v>581</v>
      </c>
      <c r="I3679" s="1" t="s">
        <v>11051</v>
      </c>
      <c r="J3679" s="1" t="s">
        <v>561</v>
      </c>
      <c r="K3679" s="1">
        <v>7</v>
      </c>
      <c r="L3679" s="1" t="s">
        <v>4299</v>
      </c>
      <c r="M3679" s="1">
        <v>3</v>
      </c>
      <c r="N3679" s="1" t="s">
        <v>3241</v>
      </c>
    </row>
    <row r="3680" spans="1:14" x14ac:dyDescent="0.15">
      <c r="A3680" s="1">
        <v>825</v>
      </c>
      <c r="B3680" s="1" t="s">
        <v>558</v>
      </c>
      <c r="C3680" s="1" t="s">
        <v>559</v>
      </c>
      <c r="D3680" s="1" t="s">
        <v>558</v>
      </c>
      <c r="E3680" s="1" t="s">
        <v>559</v>
      </c>
      <c r="F3680" s="1" t="s">
        <v>558</v>
      </c>
      <c r="G3680" s="1" t="s">
        <v>580</v>
      </c>
      <c r="H3680" s="1" t="s">
        <v>581</v>
      </c>
      <c r="I3680" s="1" t="s">
        <v>11125</v>
      </c>
      <c r="J3680" s="1" t="s">
        <v>6396</v>
      </c>
      <c r="K3680" s="1">
        <v>7</v>
      </c>
      <c r="L3680" s="1" t="s">
        <v>4299</v>
      </c>
      <c r="M3680" s="1">
        <v>3</v>
      </c>
      <c r="N3680" s="1" t="s">
        <v>3241</v>
      </c>
    </row>
    <row r="3681" spans="1:14" x14ac:dyDescent="0.15">
      <c r="A3681" s="1">
        <v>825</v>
      </c>
      <c r="B3681" s="1" t="s">
        <v>558</v>
      </c>
      <c r="C3681" s="1" t="s">
        <v>559</v>
      </c>
      <c r="D3681" s="1" t="s">
        <v>558</v>
      </c>
      <c r="E3681" s="1" t="s">
        <v>559</v>
      </c>
      <c r="F3681" s="1" t="s">
        <v>558</v>
      </c>
      <c r="G3681" s="1" t="s">
        <v>582</v>
      </c>
      <c r="H3681" s="1" t="s">
        <v>583</v>
      </c>
      <c r="I3681" s="1" t="s">
        <v>11051</v>
      </c>
      <c r="J3681" s="1" t="s">
        <v>561</v>
      </c>
      <c r="K3681" s="1">
        <v>7</v>
      </c>
      <c r="L3681" s="1" t="s">
        <v>4299</v>
      </c>
      <c r="M3681" s="1">
        <v>3</v>
      </c>
      <c r="N3681" s="1" t="s">
        <v>3241</v>
      </c>
    </row>
    <row r="3682" spans="1:14" x14ac:dyDescent="0.15">
      <c r="A3682" s="1">
        <v>825</v>
      </c>
      <c r="B3682" s="1" t="s">
        <v>558</v>
      </c>
      <c r="C3682" s="1" t="s">
        <v>559</v>
      </c>
      <c r="D3682" s="1" t="s">
        <v>558</v>
      </c>
      <c r="E3682" s="1" t="s">
        <v>559</v>
      </c>
      <c r="F3682" s="1" t="s">
        <v>558</v>
      </c>
      <c r="G3682" s="1" t="s">
        <v>582</v>
      </c>
      <c r="H3682" s="1" t="s">
        <v>583</v>
      </c>
      <c r="I3682" s="1" t="s">
        <v>11125</v>
      </c>
      <c r="J3682" s="1" t="s">
        <v>6396</v>
      </c>
      <c r="K3682" s="1">
        <v>7</v>
      </c>
      <c r="L3682" s="1" t="s">
        <v>4299</v>
      </c>
      <c r="M3682" s="1">
        <v>3</v>
      </c>
      <c r="N3682" s="1" t="s">
        <v>3241</v>
      </c>
    </row>
    <row r="3683" spans="1:14" x14ac:dyDescent="0.15">
      <c r="A3683" s="1">
        <v>825</v>
      </c>
      <c r="B3683" s="1" t="s">
        <v>558</v>
      </c>
      <c r="C3683" s="1" t="s">
        <v>559</v>
      </c>
      <c r="D3683" s="1" t="s">
        <v>558</v>
      </c>
      <c r="E3683" s="1" t="s">
        <v>559</v>
      </c>
      <c r="F3683" s="1" t="s">
        <v>558</v>
      </c>
      <c r="G3683" s="1" t="s">
        <v>584</v>
      </c>
      <c r="H3683" s="1" t="s">
        <v>585</v>
      </c>
      <c r="I3683" s="1" t="s">
        <v>14554</v>
      </c>
      <c r="J3683" s="1" t="s">
        <v>14551</v>
      </c>
      <c r="K3683" s="1">
        <v>7</v>
      </c>
      <c r="L3683" s="1" t="s">
        <v>4299</v>
      </c>
      <c r="M3683" s="1">
        <v>3</v>
      </c>
      <c r="N3683" s="1" t="s">
        <v>3241</v>
      </c>
    </row>
    <row r="3684" spans="1:14" x14ac:dyDescent="0.15">
      <c r="A3684" s="1">
        <v>825</v>
      </c>
      <c r="B3684" s="1" t="s">
        <v>558</v>
      </c>
      <c r="C3684" s="1" t="s">
        <v>559</v>
      </c>
      <c r="D3684" s="1" t="s">
        <v>558</v>
      </c>
      <c r="E3684" s="1" t="s">
        <v>559</v>
      </c>
      <c r="F3684" s="1" t="s">
        <v>558</v>
      </c>
      <c r="G3684" s="1" t="s">
        <v>584</v>
      </c>
      <c r="H3684" s="1" t="s">
        <v>585</v>
      </c>
      <c r="I3684" s="1" t="s">
        <v>11057</v>
      </c>
      <c r="J3684" s="1" t="s">
        <v>557</v>
      </c>
      <c r="K3684" s="1">
        <v>7</v>
      </c>
      <c r="L3684" s="1" t="s">
        <v>4299</v>
      </c>
      <c r="M3684" s="1">
        <v>3</v>
      </c>
      <c r="N3684" s="1" t="s">
        <v>3241</v>
      </c>
    </row>
    <row r="3685" spans="1:14" x14ac:dyDescent="0.15">
      <c r="A3685" s="1">
        <v>825</v>
      </c>
      <c r="B3685" s="1" t="s">
        <v>558</v>
      </c>
      <c r="C3685" s="1" t="s">
        <v>559</v>
      </c>
      <c r="D3685" s="1" t="s">
        <v>558</v>
      </c>
      <c r="E3685" s="1" t="s">
        <v>559</v>
      </c>
      <c r="F3685" s="1" t="s">
        <v>558</v>
      </c>
      <c r="G3685" s="1" t="s">
        <v>584</v>
      </c>
      <c r="H3685" s="1" t="s">
        <v>585</v>
      </c>
      <c r="I3685" s="1" t="s">
        <v>11122</v>
      </c>
      <c r="J3685" s="1" t="s">
        <v>2128</v>
      </c>
      <c r="K3685" s="1">
        <v>7</v>
      </c>
      <c r="L3685" s="1" t="s">
        <v>4299</v>
      </c>
      <c r="M3685" s="1">
        <v>3</v>
      </c>
      <c r="N3685" s="1" t="s">
        <v>3241</v>
      </c>
    </row>
    <row r="3686" spans="1:14" x14ac:dyDescent="0.15">
      <c r="A3686" s="1">
        <v>825</v>
      </c>
      <c r="B3686" s="1" t="s">
        <v>558</v>
      </c>
      <c r="C3686" s="1" t="s">
        <v>559</v>
      </c>
      <c r="D3686" s="1" t="s">
        <v>558</v>
      </c>
      <c r="E3686" s="1" t="s">
        <v>559</v>
      </c>
      <c r="F3686" s="1" t="s">
        <v>558</v>
      </c>
      <c r="G3686" s="1" t="s">
        <v>586</v>
      </c>
      <c r="H3686" s="1" t="s">
        <v>587</v>
      </c>
      <c r="I3686" s="1" t="s">
        <v>11051</v>
      </c>
      <c r="J3686" s="1" t="s">
        <v>561</v>
      </c>
      <c r="K3686" s="1">
        <v>7</v>
      </c>
      <c r="L3686" s="1" t="s">
        <v>4299</v>
      </c>
      <c r="M3686" s="1">
        <v>3</v>
      </c>
      <c r="N3686" s="1" t="s">
        <v>3241</v>
      </c>
    </row>
    <row r="3687" spans="1:14" x14ac:dyDescent="0.15">
      <c r="A3687" s="1">
        <v>825</v>
      </c>
      <c r="B3687" s="1" t="s">
        <v>558</v>
      </c>
      <c r="C3687" s="1" t="s">
        <v>559</v>
      </c>
      <c r="D3687" s="1" t="s">
        <v>558</v>
      </c>
      <c r="E3687" s="1" t="s">
        <v>559</v>
      </c>
      <c r="F3687" s="1" t="s">
        <v>558</v>
      </c>
      <c r="G3687" s="1" t="s">
        <v>586</v>
      </c>
      <c r="H3687" s="1" t="s">
        <v>587</v>
      </c>
      <c r="I3687" s="1" t="s">
        <v>11125</v>
      </c>
      <c r="J3687" s="1" t="s">
        <v>6396</v>
      </c>
      <c r="K3687" s="1">
        <v>7</v>
      </c>
      <c r="L3687" s="1" t="s">
        <v>4299</v>
      </c>
      <c r="M3687" s="1">
        <v>3</v>
      </c>
      <c r="N3687" s="1" t="s">
        <v>3241</v>
      </c>
    </row>
    <row r="3688" spans="1:14" x14ac:dyDescent="0.15">
      <c r="A3688" s="1">
        <v>825</v>
      </c>
      <c r="B3688" s="1" t="s">
        <v>558</v>
      </c>
      <c r="C3688" s="1" t="s">
        <v>559</v>
      </c>
      <c r="D3688" s="1" t="s">
        <v>558</v>
      </c>
      <c r="E3688" s="1" t="s">
        <v>559</v>
      </c>
      <c r="F3688" s="1" t="s">
        <v>558</v>
      </c>
      <c r="G3688" s="1" t="s">
        <v>586</v>
      </c>
      <c r="H3688" s="1" t="s">
        <v>587</v>
      </c>
      <c r="I3688" s="1" t="s">
        <v>14554</v>
      </c>
      <c r="J3688" s="1" t="s">
        <v>14551</v>
      </c>
      <c r="K3688" s="1">
        <v>7</v>
      </c>
      <c r="L3688" s="1" t="s">
        <v>4299</v>
      </c>
      <c r="M3688" s="1">
        <v>3</v>
      </c>
      <c r="N3688" s="1" t="s">
        <v>3241</v>
      </c>
    </row>
    <row r="3689" spans="1:14" x14ac:dyDescent="0.15">
      <c r="A3689" s="1">
        <v>826</v>
      </c>
      <c r="B3689" s="1" t="s">
        <v>588</v>
      </c>
      <c r="C3689" s="1" t="s">
        <v>589</v>
      </c>
      <c r="D3689" s="1" t="s">
        <v>588</v>
      </c>
      <c r="E3689" s="1" t="s">
        <v>589</v>
      </c>
      <c r="F3689" s="1" t="s">
        <v>588</v>
      </c>
      <c r="G3689" s="1" t="s">
        <v>590</v>
      </c>
      <c r="H3689" s="1" t="s">
        <v>588</v>
      </c>
      <c r="I3689" s="1" t="s">
        <v>11057</v>
      </c>
      <c r="J3689" s="1" t="s">
        <v>557</v>
      </c>
      <c r="K3689" s="1">
        <v>7</v>
      </c>
      <c r="L3689" s="1" t="s">
        <v>4299</v>
      </c>
      <c r="M3689" s="1">
        <v>3</v>
      </c>
      <c r="N3689" s="1" t="s">
        <v>3241</v>
      </c>
    </row>
    <row r="3690" spans="1:14" x14ac:dyDescent="0.15">
      <c r="A3690" s="1">
        <v>826</v>
      </c>
      <c r="B3690" s="1" t="s">
        <v>588</v>
      </c>
      <c r="C3690" s="1" t="s">
        <v>589</v>
      </c>
      <c r="D3690" s="1" t="s">
        <v>588</v>
      </c>
      <c r="E3690" s="1" t="s">
        <v>589</v>
      </c>
      <c r="F3690" s="1" t="s">
        <v>588</v>
      </c>
      <c r="G3690" s="1" t="s">
        <v>590</v>
      </c>
      <c r="H3690" s="1" t="s">
        <v>588</v>
      </c>
      <c r="I3690" s="1" t="s">
        <v>11122</v>
      </c>
      <c r="J3690" s="1" t="s">
        <v>2128</v>
      </c>
      <c r="K3690" s="1">
        <v>7</v>
      </c>
      <c r="L3690" s="1" t="s">
        <v>4299</v>
      </c>
      <c r="M3690" s="1">
        <v>3</v>
      </c>
      <c r="N3690" s="1" t="s">
        <v>3241</v>
      </c>
    </row>
    <row r="3691" spans="1:14" x14ac:dyDescent="0.15">
      <c r="A3691" s="1">
        <v>826</v>
      </c>
      <c r="B3691" s="1" t="s">
        <v>588</v>
      </c>
      <c r="C3691" s="1" t="s">
        <v>589</v>
      </c>
      <c r="D3691" s="1" t="s">
        <v>588</v>
      </c>
      <c r="E3691" s="1" t="s">
        <v>589</v>
      </c>
      <c r="F3691" s="1" t="s">
        <v>588</v>
      </c>
      <c r="G3691" s="1" t="s">
        <v>590</v>
      </c>
      <c r="H3691" s="1" t="s">
        <v>588</v>
      </c>
      <c r="I3691" s="1" t="s">
        <v>11129</v>
      </c>
      <c r="J3691" s="1" t="s">
        <v>14472</v>
      </c>
      <c r="K3691" s="1">
        <v>7</v>
      </c>
      <c r="L3691" s="1" t="s">
        <v>4299</v>
      </c>
      <c r="M3691" s="1">
        <v>3</v>
      </c>
      <c r="N3691" s="1" t="s">
        <v>3241</v>
      </c>
    </row>
    <row r="3692" spans="1:14" x14ac:dyDescent="0.15">
      <c r="A3692" s="1">
        <v>826</v>
      </c>
      <c r="B3692" s="1" t="s">
        <v>588</v>
      </c>
      <c r="C3692" s="1" t="s">
        <v>589</v>
      </c>
      <c r="D3692" s="1" t="s">
        <v>588</v>
      </c>
      <c r="E3692" s="1" t="s">
        <v>589</v>
      </c>
      <c r="F3692" s="1" t="s">
        <v>588</v>
      </c>
      <c r="G3692" s="1" t="s">
        <v>590</v>
      </c>
      <c r="H3692" s="1" t="s">
        <v>588</v>
      </c>
      <c r="I3692" s="1" t="s">
        <v>11135</v>
      </c>
      <c r="J3692" s="1" t="s">
        <v>546</v>
      </c>
      <c r="K3692" s="1">
        <v>7</v>
      </c>
      <c r="L3692" s="1" t="s">
        <v>4299</v>
      </c>
      <c r="M3692" s="1">
        <v>3</v>
      </c>
      <c r="N3692" s="1" t="s">
        <v>3241</v>
      </c>
    </row>
    <row r="3693" spans="1:14" x14ac:dyDescent="0.15">
      <c r="A3693" s="1">
        <v>826</v>
      </c>
      <c r="B3693" s="1" t="s">
        <v>588</v>
      </c>
      <c r="C3693" s="1" t="s">
        <v>589</v>
      </c>
      <c r="D3693" s="1" t="s">
        <v>588</v>
      </c>
      <c r="E3693" s="1" t="s">
        <v>589</v>
      </c>
      <c r="F3693" s="1" t="s">
        <v>588</v>
      </c>
      <c r="G3693" s="1" t="s">
        <v>591</v>
      </c>
      <c r="H3693" s="1" t="s">
        <v>592</v>
      </c>
      <c r="I3693" s="1" t="s">
        <v>11057</v>
      </c>
      <c r="J3693" s="1" t="s">
        <v>557</v>
      </c>
      <c r="K3693" s="1">
        <v>7</v>
      </c>
      <c r="L3693" s="1" t="s">
        <v>4299</v>
      </c>
      <c r="M3693" s="1">
        <v>3</v>
      </c>
      <c r="N3693" s="1" t="s">
        <v>3241</v>
      </c>
    </row>
    <row r="3694" spans="1:14" x14ac:dyDescent="0.15">
      <c r="A3694" s="1">
        <v>826</v>
      </c>
      <c r="B3694" s="1" t="s">
        <v>588</v>
      </c>
      <c r="C3694" s="1" t="s">
        <v>589</v>
      </c>
      <c r="D3694" s="1" t="s">
        <v>588</v>
      </c>
      <c r="E3694" s="1" t="s">
        <v>589</v>
      </c>
      <c r="F3694" s="1" t="s">
        <v>588</v>
      </c>
      <c r="G3694" s="1" t="s">
        <v>591</v>
      </c>
      <c r="H3694" s="1" t="s">
        <v>592</v>
      </c>
      <c r="I3694" s="1" t="s">
        <v>11122</v>
      </c>
      <c r="J3694" s="1" t="s">
        <v>2128</v>
      </c>
      <c r="K3694" s="1">
        <v>7</v>
      </c>
      <c r="L3694" s="1" t="s">
        <v>4299</v>
      </c>
      <c r="M3694" s="1">
        <v>3</v>
      </c>
      <c r="N3694" s="1" t="s">
        <v>3241</v>
      </c>
    </row>
    <row r="3695" spans="1:14" x14ac:dyDescent="0.15">
      <c r="A3695" s="1">
        <v>826</v>
      </c>
      <c r="B3695" s="1" t="s">
        <v>588</v>
      </c>
      <c r="C3695" s="1" t="s">
        <v>589</v>
      </c>
      <c r="D3695" s="1" t="s">
        <v>588</v>
      </c>
      <c r="E3695" s="1" t="s">
        <v>589</v>
      </c>
      <c r="F3695" s="1" t="s">
        <v>588</v>
      </c>
      <c r="G3695" s="1" t="s">
        <v>591</v>
      </c>
      <c r="H3695" s="1" t="s">
        <v>592</v>
      </c>
      <c r="I3695" s="1" t="s">
        <v>11129</v>
      </c>
      <c r="J3695" s="1" t="s">
        <v>14472</v>
      </c>
      <c r="K3695" s="1">
        <v>7</v>
      </c>
      <c r="L3695" s="1" t="s">
        <v>4299</v>
      </c>
      <c r="M3695" s="1">
        <v>3</v>
      </c>
      <c r="N3695" s="1" t="s">
        <v>3241</v>
      </c>
    </row>
    <row r="3696" spans="1:14" x14ac:dyDescent="0.15">
      <c r="A3696" s="1">
        <v>826</v>
      </c>
      <c r="B3696" s="1" t="s">
        <v>588</v>
      </c>
      <c r="C3696" s="1" t="s">
        <v>589</v>
      </c>
      <c r="D3696" s="1" t="s">
        <v>588</v>
      </c>
      <c r="E3696" s="1" t="s">
        <v>589</v>
      </c>
      <c r="F3696" s="1" t="s">
        <v>588</v>
      </c>
      <c r="G3696" s="1" t="s">
        <v>591</v>
      </c>
      <c r="H3696" s="1" t="s">
        <v>592</v>
      </c>
      <c r="I3696" s="1" t="s">
        <v>11135</v>
      </c>
      <c r="J3696" s="1" t="s">
        <v>546</v>
      </c>
      <c r="K3696" s="1">
        <v>7</v>
      </c>
      <c r="L3696" s="1" t="s">
        <v>4299</v>
      </c>
      <c r="M3696" s="1">
        <v>3</v>
      </c>
      <c r="N3696" s="1" t="s">
        <v>3241</v>
      </c>
    </row>
    <row r="3697" spans="1:14" x14ac:dyDescent="0.15">
      <c r="A3697" s="1">
        <v>826</v>
      </c>
      <c r="B3697" s="1" t="s">
        <v>588</v>
      </c>
      <c r="C3697" s="1" t="s">
        <v>589</v>
      </c>
      <c r="D3697" s="1" t="s">
        <v>588</v>
      </c>
      <c r="E3697" s="1" t="s">
        <v>589</v>
      </c>
      <c r="F3697" s="1" t="s">
        <v>588</v>
      </c>
      <c r="G3697" s="1" t="s">
        <v>593</v>
      </c>
      <c r="H3697" s="1" t="s">
        <v>594</v>
      </c>
      <c r="I3697" s="1" t="s">
        <v>11057</v>
      </c>
      <c r="J3697" s="1" t="s">
        <v>557</v>
      </c>
      <c r="K3697" s="1">
        <v>7</v>
      </c>
      <c r="L3697" s="1" t="s">
        <v>4299</v>
      </c>
      <c r="M3697" s="1">
        <v>3</v>
      </c>
      <c r="N3697" s="1" t="s">
        <v>3241</v>
      </c>
    </row>
    <row r="3698" spans="1:14" x14ac:dyDescent="0.15">
      <c r="A3698" s="1">
        <v>826</v>
      </c>
      <c r="B3698" s="1" t="s">
        <v>588</v>
      </c>
      <c r="C3698" s="1" t="s">
        <v>589</v>
      </c>
      <c r="D3698" s="1" t="s">
        <v>588</v>
      </c>
      <c r="E3698" s="1" t="s">
        <v>589</v>
      </c>
      <c r="F3698" s="1" t="s">
        <v>588</v>
      </c>
      <c r="G3698" s="1" t="s">
        <v>593</v>
      </c>
      <c r="H3698" s="1" t="s">
        <v>594</v>
      </c>
      <c r="I3698" s="1" t="s">
        <v>11122</v>
      </c>
      <c r="J3698" s="1" t="s">
        <v>2128</v>
      </c>
      <c r="K3698" s="1">
        <v>7</v>
      </c>
      <c r="L3698" s="1" t="s">
        <v>4299</v>
      </c>
      <c r="M3698" s="1">
        <v>3</v>
      </c>
      <c r="N3698" s="1" t="s">
        <v>3241</v>
      </c>
    </row>
    <row r="3699" spans="1:14" x14ac:dyDescent="0.15">
      <c r="A3699" s="1">
        <v>826</v>
      </c>
      <c r="B3699" s="1" t="s">
        <v>588</v>
      </c>
      <c r="C3699" s="1" t="s">
        <v>589</v>
      </c>
      <c r="D3699" s="1" t="s">
        <v>588</v>
      </c>
      <c r="E3699" s="1" t="s">
        <v>589</v>
      </c>
      <c r="F3699" s="1" t="s">
        <v>588</v>
      </c>
      <c r="G3699" s="1" t="s">
        <v>593</v>
      </c>
      <c r="H3699" s="1" t="s">
        <v>594</v>
      </c>
      <c r="I3699" s="1" t="s">
        <v>11129</v>
      </c>
      <c r="J3699" s="1" t="s">
        <v>14472</v>
      </c>
      <c r="K3699" s="1">
        <v>7</v>
      </c>
      <c r="L3699" s="1" t="s">
        <v>4299</v>
      </c>
      <c r="M3699" s="1">
        <v>3</v>
      </c>
      <c r="N3699" s="1" t="s">
        <v>3241</v>
      </c>
    </row>
    <row r="3700" spans="1:14" x14ac:dyDescent="0.15">
      <c r="A3700" s="1">
        <v>826</v>
      </c>
      <c r="B3700" s="1" t="s">
        <v>588</v>
      </c>
      <c r="C3700" s="1" t="s">
        <v>589</v>
      </c>
      <c r="D3700" s="1" t="s">
        <v>588</v>
      </c>
      <c r="E3700" s="1" t="s">
        <v>589</v>
      </c>
      <c r="F3700" s="1" t="s">
        <v>588</v>
      </c>
      <c r="G3700" s="1" t="s">
        <v>593</v>
      </c>
      <c r="H3700" s="1" t="s">
        <v>594</v>
      </c>
      <c r="I3700" s="1" t="s">
        <v>11135</v>
      </c>
      <c r="J3700" s="1" t="s">
        <v>546</v>
      </c>
      <c r="K3700" s="1">
        <v>7</v>
      </c>
      <c r="L3700" s="1" t="s">
        <v>4299</v>
      </c>
      <c r="M3700" s="1">
        <v>3</v>
      </c>
      <c r="N3700" s="1" t="s">
        <v>3241</v>
      </c>
    </row>
    <row r="3701" spans="1:14" x14ac:dyDescent="0.15">
      <c r="A3701" s="1">
        <v>826</v>
      </c>
      <c r="B3701" s="1" t="s">
        <v>588</v>
      </c>
      <c r="C3701" s="1" t="s">
        <v>589</v>
      </c>
      <c r="D3701" s="1" t="s">
        <v>588</v>
      </c>
      <c r="E3701" s="1" t="s">
        <v>589</v>
      </c>
      <c r="F3701" s="1" t="s">
        <v>588</v>
      </c>
      <c r="G3701" s="1" t="s">
        <v>595</v>
      </c>
      <c r="H3701" s="1" t="s">
        <v>596</v>
      </c>
      <c r="I3701" s="1" t="s">
        <v>11057</v>
      </c>
      <c r="J3701" s="1" t="s">
        <v>557</v>
      </c>
      <c r="K3701" s="1">
        <v>7</v>
      </c>
      <c r="L3701" s="1" t="s">
        <v>4299</v>
      </c>
      <c r="M3701" s="1">
        <v>3</v>
      </c>
      <c r="N3701" s="1" t="s">
        <v>3241</v>
      </c>
    </row>
    <row r="3702" spans="1:14" x14ac:dyDescent="0.15">
      <c r="A3702" s="1">
        <v>826</v>
      </c>
      <c r="B3702" s="1" t="s">
        <v>588</v>
      </c>
      <c r="C3702" s="1" t="s">
        <v>589</v>
      </c>
      <c r="D3702" s="1" t="s">
        <v>588</v>
      </c>
      <c r="E3702" s="1" t="s">
        <v>589</v>
      </c>
      <c r="F3702" s="1" t="s">
        <v>588</v>
      </c>
      <c r="G3702" s="1" t="s">
        <v>595</v>
      </c>
      <c r="H3702" s="1" t="s">
        <v>596</v>
      </c>
      <c r="I3702" s="1" t="s">
        <v>11122</v>
      </c>
      <c r="J3702" s="1" t="s">
        <v>2128</v>
      </c>
      <c r="K3702" s="1">
        <v>7</v>
      </c>
      <c r="L3702" s="1" t="s">
        <v>4299</v>
      </c>
      <c r="M3702" s="1">
        <v>3</v>
      </c>
      <c r="N3702" s="1" t="s">
        <v>3241</v>
      </c>
    </row>
    <row r="3703" spans="1:14" x14ac:dyDescent="0.15">
      <c r="A3703" s="1">
        <v>826</v>
      </c>
      <c r="B3703" s="1" t="s">
        <v>588</v>
      </c>
      <c r="C3703" s="1" t="s">
        <v>589</v>
      </c>
      <c r="D3703" s="1" t="s">
        <v>588</v>
      </c>
      <c r="E3703" s="1" t="s">
        <v>589</v>
      </c>
      <c r="F3703" s="1" t="s">
        <v>588</v>
      </c>
      <c r="G3703" s="1" t="s">
        <v>595</v>
      </c>
      <c r="H3703" s="1" t="s">
        <v>596</v>
      </c>
      <c r="I3703" s="1" t="s">
        <v>11129</v>
      </c>
      <c r="J3703" s="1" t="s">
        <v>14472</v>
      </c>
      <c r="K3703" s="1">
        <v>7</v>
      </c>
      <c r="L3703" s="1" t="s">
        <v>4299</v>
      </c>
      <c r="M3703" s="1">
        <v>3</v>
      </c>
      <c r="N3703" s="1" t="s">
        <v>3241</v>
      </c>
    </row>
    <row r="3704" spans="1:14" x14ac:dyDescent="0.15">
      <c r="A3704" s="1">
        <v>826</v>
      </c>
      <c r="B3704" s="1" t="s">
        <v>588</v>
      </c>
      <c r="C3704" s="1" t="s">
        <v>589</v>
      </c>
      <c r="D3704" s="1" t="s">
        <v>588</v>
      </c>
      <c r="E3704" s="1" t="s">
        <v>589</v>
      </c>
      <c r="F3704" s="1" t="s">
        <v>588</v>
      </c>
      <c r="G3704" s="1" t="s">
        <v>595</v>
      </c>
      <c r="H3704" s="1" t="s">
        <v>596</v>
      </c>
      <c r="I3704" s="1" t="s">
        <v>11135</v>
      </c>
      <c r="J3704" s="1" t="s">
        <v>546</v>
      </c>
      <c r="K3704" s="1">
        <v>7</v>
      </c>
      <c r="L3704" s="1" t="s">
        <v>4299</v>
      </c>
      <c r="M3704" s="1">
        <v>3</v>
      </c>
      <c r="N3704" s="1" t="s">
        <v>3241</v>
      </c>
    </row>
    <row r="3705" spans="1:14" x14ac:dyDescent="0.15">
      <c r="A3705" s="1">
        <v>826</v>
      </c>
      <c r="B3705" s="1" t="s">
        <v>588</v>
      </c>
      <c r="C3705" s="1" t="s">
        <v>589</v>
      </c>
      <c r="D3705" s="1" t="s">
        <v>588</v>
      </c>
      <c r="E3705" s="1" t="s">
        <v>589</v>
      </c>
      <c r="F3705" s="1" t="s">
        <v>588</v>
      </c>
      <c r="G3705" s="1" t="s">
        <v>597</v>
      </c>
      <c r="H3705" s="1" t="s">
        <v>598</v>
      </c>
      <c r="I3705" s="1" t="s">
        <v>11057</v>
      </c>
      <c r="J3705" s="1" t="s">
        <v>557</v>
      </c>
      <c r="K3705" s="1">
        <v>7</v>
      </c>
      <c r="L3705" s="1" t="s">
        <v>4299</v>
      </c>
      <c r="M3705" s="1">
        <v>3</v>
      </c>
      <c r="N3705" s="1" t="s">
        <v>3241</v>
      </c>
    </row>
    <row r="3706" spans="1:14" x14ac:dyDescent="0.15">
      <c r="A3706" s="1">
        <v>826</v>
      </c>
      <c r="B3706" s="1" t="s">
        <v>588</v>
      </c>
      <c r="C3706" s="1" t="s">
        <v>589</v>
      </c>
      <c r="D3706" s="1" t="s">
        <v>588</v>
      </c>
      <c r="E3706" s="1" t="s">
        <v>589</v>
      </c>
      <c r="F3706" s="1" t="s">
        <v>588</v>
      </c>
      <c r="G3706" s="1" t="s">
        <v>597</v>
      </c>
      <c r="H3706" s="1" t="s">
        <v>598</v>
      </c>
      <c r="I3706" s="1" t="s">
        <v>11122</v>
      </c>
      <c r="J3706" s="1" t="s">
        <v>2128</v>
      </c>
      <c r="K3706" s="1">
        <v>7</v>
      </c>
      <c r="L3706" s="1" t="s">
        <v>4299</v>
      </c>
      <c r="M3706" s="1">
        <v>3</v>
      </c>
      <c r="N3706" s="1" t="s">
        <v>3241</v>
      </c>
    </row>
    <row r="3707" spans="1:14" x14ac:dyDescent="0.15">
      <c r="A3707" s="1">
        <v>826</v>
      </c>
      <c r="B3707" s="1" t="s">
        <v>588</v>
      </c>
      <c r="C3707" s="1" t="s">
        <v>589</v>
      </c>
      <c r="D3707" s="1" t="s">
        <v>588</v>
      </c>
      <c r="E3707" s="1" t="s">
        <v>589</v>
      </c>
      <c r="F3707" s="1" t="s">
        <v>588</v>
      </c>
      <c r="G3707" s="1" t="s">
        <v>597</v>
      </c>
      <c r="H3707" s="1" t="s">
        <v>598</v>
      </c>
      <c r="I3707" s="1" t="s">
        <v>11129</v>
      </c>
      <c r="J3707" s="1" t="s">
        <v>14472</v>
      </c>
      <c r="K3707" s="1">
        <v>7</v>
      </c>
      <c r="L3707" s="1" t="s">
        <v>4299</v>
      </c>
      <c r="M3707" s="1">
        <v>3</v>
      </c>
      <c r="N3707" s="1" t="s">
        <v>3241</v>
      </c>
    </row>
    <row r="3708" spans="1:14" x14ac:dyDescent="0.15">
      <c r="A3708" s="1">
        <v>826</v>
      </c>
      <c r="B3708" s="1" t="s">
        <v>588</v>
      </c>
      <c r="C3708" s="1" t="s">
        <v>589</v>
      </c>
      <c r="D3708" s="1" t="s">
        <v>588</v>
      </c>
      <c r="E3708" s="1" t="s">
        <v>589</v>
      </c>
      <c r="F3708" s="1" t="s">
        <v>588</v>
      </c>
      <c r="G3708" s="1" t="s">
        <v>597</v>
      </c>
      <c r="H3708" s="1" t="s">
        <v>598</v>
      </c>
      <c r="I3708" s="1" t="s">
        <v>11135</v>
      </c>
      <c r="J3708" s="1" t="s">
        <v>546</v>
      </c>
      <c r="K3708" s="1">
        <v>7</v>
      </c>
      <c r="L3708" s="1" t="s">
        <v>4299</v>
      </c>
      <c r="M3708" s="1">
        <v>3</v>
      </c>
      <c r="N3708" s="1" t="s">
        <v>3241</v>
      </c>
    </row>
    <row r="3709" spans="1:14" x14ac:dyDescent="0.15">
      <c r="A3709" s="1">
        <v>826</v>
      </c>
      <c r="B3709" s="1" t="s">
        <v>588</v>
      </c>
      <c r="C3709" s="1" t="s">
        <v>589</v>
      </c>
      <c r="D3709" s="1" t="s">
        <v>588</v>
      </c>
      <c r="E3709" s="1" t="s">
        <v>589</v>
      </c>
      <c r="F3709" s="1" t="s">
        <v>588</v>
      </c>
      <c r="G3709" s="1" t="s">
        <v>599</v>
      </c>
      <c r="H3709" s="1" t="s">
        <v>600</v>
      </c>
      <c r="I3709" s="1" t="s">
        <v>11057</v>
      </c>
      <c r="J3709" s="1" t="s">
        <v>557</v>
      </c>
      <c r="K3709" s="1">
        <v>7</v>
      </c>
      <c r="L3709" s="1" t="s">
        <v>4299</v>
      </c>
      <c r="M3709" s="1">
        <v>3</v>
      </c>
      <c r="N3709" s="1" t="s">
        <v>3241</v>
      </c>
    </row>
    <row r="3710" spans="1:14" x14ac:dyDescent="0.15">
      <c r="A3710" s="1">
        <v>826</v>
      </c>
      <c r="B3710" s="1" t="s">
        <v>588</v>
      </c>
      <c r="C3710" s="1" t="s">
        <v>589</v>
      </c>
      <c r="D3710" s="1" t="s">
        <v>588</v>
      </c>
      <c r="E3710" s="1" t="s">
        <v>589</v>
      </c>
      <c r="F3710" s="1" t="s">
        <v>588</v>
      </c>
      <c r="G3710" s="1" t="s">
        <v>599</v>
      </c>
      <c r="H3710" s="1" t="s">
        <v>600</v>
      </c>
      <c r="I3710" s="1" t="s">
        <v>11122</v>
      </c>
      <c r="J3710" s="1" t="s">
        <v>2128</v>
      </c>
      <c r="K3710" s="1">
        <v>7</v>
      </c>
      <c r="L3710" s="1" t="s">
        <v>4299</v>
      </c>
      <c r="M3710" s="1">
        <v>3</v>
      </c>
      <c r="N3710" s="1" t="s">
        <v>3241</v>
      </c>
    </row>
    <row r="3711" spans="1:14" x14ac:dyDescent="0.15">
      <c r="A3711" s="1">
        <v>826</v>
      </c>
      <c r="B3711" s="1" t="s">
        <v>588</v>
      </c>
      <c r="C3711" s="1" t="s">
        <v>589</v>
      </c>
      <c r="D3711" s="1" t="s">
        <v>588</v>
      </c>
      <c r="E3711" s="1" t="s">
        <v>589</v>
      </c>
      <c r="F3711" s="1" t="s">
        <v>588</v>
      </c>
      <c r="G3711" s="1" t="s">
        <v>599</v>
      </c>
      <c r="H3711" s="1" t="s">
        <v>600</v>
      </c>
      <c r="I3711" s="1" t="s">
        <v>11129</v>
      </c>
      <c r="J3711" s="1" t="s">
        <v>14472</v>
      </c>
      <c r="K3711" s="1">
        <v>7</v>
      </c>
      <c r="L3711" s="1" t="s">
        <v>4299</v>
      </c>
      <c r="M3711" s="1">
        <v>3</v>
      </c>
      <c r="N3711" s="1" t="s">
        <v>3241</v>
      </c>
    </row>
    <row r="3712" spans="1:14" x14ac:dyDescent="0.15">
      <c r="A3712" s="1">
        <v>826</v>
      </c>
      <c r="B3712" s="1" t="s">
        <v>588</v>
      </c>
      <c r="C3712" s="1" t="s">
        <v>589</v>
      </c>
      <c r="D3712" s="1" t="s">
        <v>588</v>
      </c>
      <c r="E3712" s="1" t="s">
        <v>589</v>
      </c>
      <c r="F3712" s="1" t="s">
        <v>588</v>
      </c>
      <c r="G3712" s="1" t="s">
        <v>599</v>
      </c>
      <c r="H3712" s="1" t="s">
        <v>600</v>
      </c>
      <c r="I3712" s="1" t="s">
        <v>11135</v>
      </c>
      <c r="J3712" s="1" t="s">
        <v>546</v>
      </c>
      <c r="K3712" s="1">
        <v>7</v>
      </c>
      <c r="L3712" s="1" t="s">
        <v>4299</v>
      </c>
      <c r="M3712" s="1">
        <v>3</v>
      </c>
      <c r="N3712" s="1" t="s">
        <v>3241</v>
      </c>
    </row>
    <row r="3713" spans="1:14" x14ac:dyDescent="0.15">
      <c r="A3713" s="1">
        <v>826</v>
      </c>
      <c r="B3713" s="1" t="s">
        <v>588</v>
      </c>
      <c r="C3713" s="1" t="s">
        <v>589</v>
      </c>
      <c r="D3713" s="1" t="s">
        <v>588</v>
      </c>
      <c r="E3713" s="1" t="s">
        <v>589</v>
      </c>
      <c r="F3713" s="1" t="s">
        <v>588</v>
      </c>
      <c r="G3713" s="1" t="s">
        <v>601</v>
      </c>
      <c r="H3713" s="1" t="s">
        <v>602</v>
      </c>
      <c r="I3713" s="1" t="s">
        <v>11057</v>
      </c>
      <c r="J3713" s="1" t="s">
        <v>557</v>
      </c>
      <c r="K3713" s="1">
        <v>7</v>
      </c>
      <c r="L3713" s="1" t="s">
        <v>4299</v>
      </c>
      <c r="M3713" s="1">
        <v>3</v>
      </c>
      <c r="N3713" s="1" t="s">
        <v>3241</v>
      </c>
    </row>
    <row r="3714" spans="1:14" x14ac:dyDescent="0.15">
      <c r="A3714" s="1">
        <v>826</v>
      </c>
      <c r="B3714" s="1" t="s">
        <v>588</v>
      </c>
      <c r="C3714" s="1" t="s">
        <v>589</v>
      </c>
      <c r="D3714" s="1" t="s">
        <v>588</v>
      </c>
      <c r="E3714" s="1" t="s">
        <v>589</v>
      </c>
      <c r="F3714" s="1" t="s">
        <v>588</v>
      </c>
      <c r="G3714" s="1" t="s">
        <v>601</v>
      </c>
      <c r="H3714" s="1" t="s">
        <v>602</v>
      </c>
      <c r="I3714" s="1" t="s">
        <v>11122</v>
      </c>
      <c r="J3714" s="1" t="s">
        <v>2128</v>
      </c>
      <c r="K3714" s="1">
        <v>7</v>
      </c>
      <c r="L3714" s="1" t="s">
        <v>4299</v>
      </c>
      <c r="M3714" s="1">
        <v>3</v>
      </c>
      <c r="N3714" s="1" t="s">
        <v>3241</v>
      </c>
    </row>
    <row r="3715" spans="1:14" x14ac:dyDescent="0.15">
      <c r="A3715" s="1">
        <v>826</v>
      </c>
      <c r="B3715" s="1" t="s">
        <v>588</v>
      </c>
      <c r="C3715" s="1" t="s">
        <v>589</v>
      </c>
      <c r="D3715" s="1" t="s">
        <v>588</v>
      </c>
      <c r="E3715" s="1" t="s">
        <v>589</v>
      </c>
      <c r="F3715" s="1" t="s">
        <v>588</v>
      </c>
      <c r="G3715" s="1" t="s">
        <v>601</v>
      </c>
      <c r="H3715" s="1" t="s">
        <v>602</v>
      </c>
      <c r="I3715" s="1" t="s">
        <v>11129</v>
      </c>
      <c r="J3715" s="1" t="s">
        <v>14472</v>
      </c>
      <c r="K3715" s="1">
        <v>7</v>
      </c>
      <c r="L3715" s="1" t="s">
        <v>4299</v>
      </c>
      <c r="M3715" s="1">
        <v>3</v>
      </c>
      <c r="N3715" s="1" t="s">
        <v>3241</v>
      </c>
    </row>
    <row r="3716" spans="1:14" x14ac:dyDescent="0.15">
      <c r="A3716" s="1">
        <v>826</v>
      </c>
      <c r="B3716" s="1" t="s">
        <v>588</v>
      </c>
      <c r="C3716" s="1" t="s">
        <v>589</v>
      </c>
      <c r="D3716" s="1" t="s">
        <v>588</v>
      </c>
      <c r="E3716" s="1" t="s">
        <v>589</v>
      </c>
      <c r="F3716" s="1" t="s">
        <v>588</v>
      </c>
      <c r="G3716" s="1" t="s">
        <v>601</v>
      </c>
      <c r="H3716" s="1" t="s">
        <v>602</v>
      </c>
      <c r="I3716" s="1" t="s">
        <v>11135</v>
      </c>
      <c r="J3716" s="1" t="s">
        <v>546</v>
      </c>
      <c r="K3716" s="1">
        <v>7</v>
      </c>
      <c r="L3716" s="1" t="s">
        <v>4299</v>
      </c>
      <c r="M3716" s="1">
        <v>3</v>
      </c>
      <c r="N3716" s="1" t="s">
        <v>3241</v>
      </c>
    </row>
    <row r="3717" spans="1:14" x14ac:dyDescent="0.15">
      <c r="A3717" s="1">
        <v>826</v>
      </c>
      <c r="B3717" s="1" t="s">
        <v>588</v>
      </c>
      <c r="C3717" s="1" t="s">
        <v>589</v>
      </c>
      <c r="D3717" s="1" t="s">
        <v>588</v>
      </c>
      <c r="E3717" s="1" t="s">
        <v>589</v>
      </c>
      <c r="F3717" s="1" t="s">
        <v>588</v>
      </c>
      <c r="G3717" s="1" t="s">
        <v>603</v>
      </c>
      <c r="H3717" s="1" t="s">
        <v>604</v>
      </c>
      <c r="I3717" s="1" t="s">
        <v>11057</v>
      </c>
      <c r="J3717" s="1" t="s">
        <v>557</v>
      </c>
      <c r="K3717" s="1">
        <v>7</v>
      </c>
      <c r="L3717" s="1" t="s">
        <v>4299</v>
      </c>
      <c r="M3717" s="1">
        <v>3</v>
      </c>
      <c r="N3717" s="1" t="s">
        <v>3241</v>
      </c>
    </row>
    <row r="3718" spans="1:14" x14ac:dyDescent="0.15">
      <c r="A3718" s="1">
        <v>826</v>
      </c>
      <c r="B3718" s="1" t="s">
        <v>588</v>
      </c>
      <c r="C3718" s="1" t="s">
        <v>589</v>
      </c>
      <c r="D3718" s="1" t="s">
        <v>588</v>
      </c>
      <c r="E3718" s="1" t="s">
        <v>589</v>
      </c>
      <c r="F3718" s="1" t="s">
        <v>588</v>
      </c>
      <c r="G3718" s="1" t="s">
        <v>603</v>
      </c>
      <c r="H3718" s="1" t="s">
        <v>604</v>
      </c>
      <c r="I3718" s="1" t="s">
        <v>11122</v>
      </c>
      <c r="J3718" s="1" t="s">
        <v>2128</v>
      </c>
      <c r="K3718" s="1">
        <v>7</v>
      </c>
      <c r="L3718" s="1" t="s">
        <v>4299</v>
      </c>
      <c r="M3718" s="1">
        <v>3</v>
      </c>
      <c r="N3718" s="1" t="s">
        <v>3241</v>
      </c>
    </row>
    <row r="3719" spans="1:14" x14ac:dyDescent="0.15">
      <c r="A3719" s="1">
        <v>826</v>
      </c>
      <c r="B3719" s="1" t="s">
        <v>588</v>
      </c>
      <c r="C3719" s="1" t="s">
        <v>589</v>
      </c>
      <c r="D3719" s="1" t="s">
        <v>588</v>
      </c>
      <c r="E3719" s="1" t="s">
        <v>589</v>
      </c>
      <c r="F3719" s="1" t="s">
        <v>588</v>
      </c>
      <c r="G3719" s="1" t="s">
        <v>603</v>
      </c>
      <c r="H3719" s="1" t="s">
        <v>604</v>
      </c>
      <c r="I3719" s="1" t="s">
        <v>11129</v>
      </c>
      <c r="J3719" s="1" t="s">
        <v>14472</v>
      </c>
      <c r="K3719" s="1">
        <v>7</v>
      </c>
      <c r="L3719" s="1" t="s">
        <v>4299</v>
      </c>
      <c r="M3719" s="1">
        <v>3</v>
      </c>
      <c r="N3719" s="1" t="s">
        <v>3241</v>
      </c>
    </row>
    <row r="3720" spans="1:14" x14ac:dyDescent="0.15">
      <c r="A3720" s="1">
        <v>826</v>
      </c>
      <c r="B3720" s="1" t="s">
        <v>588</v>
      </c>
      <c r="C3720" s="1" t="s">
        <v>589</v>
      </c>
      <c r="D3720" s="1" t="s">
        <v>588</v>
      </c>
      <c r="E3720" s="1" t="s">
        <v>589</v>
      </c>
      <c r="F3720" s="1" t="s">
        <v>588</v>
      </c>
      <c r="G3720" s="1" t="s">
        <v>603</v>
      </c>
      <c r="H3720" s="1" t="s">
        <v>604</v>
      </c>
      <c r="I3720" s="1" t="s">
        <v>11135</v>
      </c>
      <c r="J3720" s="1" t="s">
        <v>546</v>
      </c>
      <c r="K3720" s="1">
        <v>7</v>
      </c>
      <c r="L3720" s="1" t="s">
        <v>4299</v>
      </c>
      <c r="M3720" s="1">
        <v>3</v>
      </c>
      <c r="N3720" s="1" t="s">
        <v>3241</v>
      </c>
    </row>
    <row r="3721" spans="1:14" x14ac:dyDescent="0.15">
      <c r="A3721" s="1">
        <v>826</v>
      </c>
      <c r="B3721" s="1" t="s">
        <v>588</v>
      </c>
      <c r="C3721" s="1" t="s">
        <v>589</v>
      </c>
      <c r="D3721" s="1" t="s">
        <v>588</v>
      </c>
      <c r="E3721" s="1" t="s">
        <v>589</v>
      </c>
      <c r="F3721" s="1" t="s">
        <v>588</v>
      </c>
      <c r="G3721" s="1" t="s">
        <v>605</v>
      </c>
      <c r="H3721" s="1" t="s">
        <v>606</v>
      </c>
      <c r="I3721" s="1" t="s">
        <v>11057</v>
      </c>
      <c r="J3721" s="1" t="s">
        <v>557</v>
      </c>
      <c r="K3721" s="1">
        <v>7</v>
      </c>
      <c r="L3721" s="1" t="s">
        <v>4299</v>
      </c>
      <c r="M3721" s="1">
        <v>3</v>
      </c>
      <c r="N3721" s="1" t="s">
        <v>3241</v>
      </c>
    </row>
    <row r="3722" spans="1:14" x14ac:dyDescent="0.15">
      <c r="A3722" s="1">
        <v>826</v>
      </c>
      <c r="B3722" s="1" t="s">
        <v>588</v>
      </c>
      <c r="C3722" s="1" t="s">
        <v>589</v>
      </c>
      <c r="D3722" s="1" t="s">
        <v>588</v>
      </c>
      <c r="E3722" s="1" t="s">
        <v>589</v>
      </c>
      <c r="F3722" s="1" t="s">
        <v>588</v>
      </c>
      <c r="G3722" s="1" t="s">
        <v>605</v>
      </c>
      <c r="H3722" s="1" t="s">
        <v>606</v>
      </c>
      <c r="I3722" s="1" t="s">
        <v>11122</v>
      </c>
      <c r="J3722" s="1" t="s">
        <v>2128</v>
      </c>
      <c r="K3722" s="1">
        <v>7</v>
      </c>
      <c r="L3722" s="1" t="s">
        <v>4299</v>
      </c>
      <c r="M3722" s="1">
        <v>3</v>
      </c>
      <c r="N3722" s="1" t="s">
        <v>3241</v>
      </c>
    </row>
    <row r="3723" spans="1:14" x14ac:dyDescent="0.15">
      <c r="A3723" s="1">
        <v>826</v>
      </c>
      <c r="B3723" s="1" t="s">
        <v>588</v>
      </c>
      <c r="C3723" s="1" t="s">
        <v>589</v>
      </c>
      <c r="D3723" s="1" t="s">
        <v>588</v>
      </c>
      <c r="E3723" s="1" t="s">
        <v>589</v>
      </c>
      <c r="F3723" s="1" t="s">
        <v>588</v>
      </c>
      <c r="G3723" s="1" t="s">
        <v>605</v>
      </c>
      <c r="H3723" s="1" t="s">
        <v>606</v>
      </c>
      <c r="I3723" s="1" t="s">
        <v>11129</v>
      </c>
      <c r="J3723" s="1" t="s">
        <v>14472</v>
      </c>
      <c r="K3723" s="1">
        <v>7</v>
      </c>
      <c r="L3723" s="1" t="s">
        <v>4299</v>
      </c>
      <c r="M3723" s="1">
        <v>3</v>
      </c>
      <c r="N3723" s="1" t="s">
        <v>3241</v>
      </c>
    </row>
    <row r="3724" spans="1:14" x14ac:dyDescent="0.15">
      <c r="A3724" s="1">
        <v>826</v>
      </c>
      <c r="B3724" s="1" t="s">
        <v>588</v>
      </c>
      <c r="C3724" s="1" t="s">
        <v>589</v>
      </c>
      <c r="D3724" s="1" t="s">
        <v>588</v>
      </c>
      <c r="E3724" s="1" t="s">
        <v>589</v>
      </c>
      <c r="F3724" s="1" t="s">
        <v>588</v>
      </c>
      <c r="G3724" s="1" t="s">
        <v>605</v>
      </c>
      <c r="H3724" s="1" t="s">
        <v>606</v>
      </c>
      <c r="I3724" s="1" t="s">
        <v>11135</v>
      </c>
      <c r="J3724" s="1" t="s">
        <v>546</v>
      </c>
      <c r="K3724" s="1">
        <v>7</v>
      </c>
      <c r="L3724" s="1" t="s">
        <v>4299</v>
      </c>
      <c r="M3724" s="1">
        <v>3</v>
      </c>
      <c r="N3724" s="1" t="s">
        <v>3241</v>
      </c>
    </row>
    <row r="3725" spans="1:14" x14ac:dyDescent="0.15">
      <c r="A3725" s="1">
        <v>826</v>
      </c>
      <c r="B3725" s="1" t="s">
        <v>588</v>
      </c>
      <c r="C3725" s="1" t="s">
        <v>589</v>
      </c>
      <c r="D3725" s="1" t="s">
        <v>588</v>
      </c>
      <c r="E3725" s="1" t="s">
        <v>589</v>
      </c>
      <c r="F3725" s="1" t="s">
        <v>588</v>
      </c>
      <c r="G3725" s="1" t="s">
        <v>607</v>
      </c>
      <c r="H3725" s="1" t="s">
        <v>608</v>
      </c>
      <c r="I3725" s="1" t="s">
        <v>11057</v>
      </c>
      <c r="J3725" s="1" t="s">
        <v>557</v>
      </c>
      <c r="K3725" s="1">
        <v>7</v>
      </c>
      <c r="L3725" s="1" t="s">
        <v>4299</v>
      </c>
      <c r="M3725" s="1">
        <v>3</v>
      </c>
      <c r="N3725" s="1" t="s">
        <v>3241</v>
      </c>
    </row>
    <row r="3726" spans="1:14" x14ac:dyDescent="0.15">
      <c r="A3726" s="1">
        <v>826</v>
      </c>
      <c r="B3726" s="1" t="s">
        <v>588</v>
      </c>
      <c r="C3726" s="1" t="s">
        <v>589</v>
      </c>
      <c r="D3726" s="1" t="s">
        <v>588</v>
      </c>
      <c r="E3726" s="1" t="s">
        <v>589</v>
      </c>
      <c r="F3726" s="1" t="s">
        <v>588</v>
      </c>
      <c r="G3726" s="1" t="s">
        <v>607</v>
      </c>
      <c r="H3726" s="1" t="s">
        <v>608</v>
      </c>
      <c r="I3726" s="1" t="s">
        <v>11122</v>
      </c>
      <c r="J3726" s="1" t="s">
        <v>2128</v>
      </c>
      <c r="K3726" s="1">
        <v>7</v>
      </c>
      <c r="L3726" s="1" t="s">
        <v>4299</v>
      </c>
      <c r="M3726" s="1">
        <v>3</v>
      </c>
      <c r="N3726" s="1" t="s">
        <v>3241</v>
      </c>
    </row>
    <row r="3727" spans="1:14" x14ac:dyDescent="0.15">
      <c r="A3727" s="1">
        <v>826</v>
      </c>
      <c r="B3727" s="1" t="s">
        <v>588</v>
      </c>
      <c r="C3727" s="1" t="s">
        <v>589</v>
      </c>
      <c r="D3727" s="1" t="s">
        <v>588</v>
      </c>
      <c r="E3727" s="1" t="s">
        <v>589</v>
      </c>
      <c r="F3727" s="1" t="s">
        <v>588</v>
      </c>
      <c r="G3727" s="1" t="s">
        <v>607</v>
      </c>
      <c r="H3727" s="1" t="s">
        <v>608</v>
      </c>
      <c r="I3727" s="1" t="s">
        <v>11129</v>
      </c>
      <c r="J3727" s="1" t="s">
        <v>14472</v>
      </c>
      <c r="K3727" s="1">
        <v>7</v>
      </c>
      <c r="L3727" s="1" t="s">
        <v>4299</v>
      </c>
      <c r="M3727" s="1">
        <v>3</v>
      </c>
      <c r="N3727" s="1" t="s">
        <v>3241</v>
      </c>
    </row>
    <row r="3728" spans="1:14" x14ac:dyDescent="0.15">
      <c r="A3728" s="1">
        <v>826</v>
      </c>
      <c r="B3728" s="1" t="s">
        <v>588</v>
      </c>
      <c r="C3728" s="1" t="s">
        <v>589</v>
      </c>
      <c r="D3728" s="1" t="s">
        <v>588</v>
      </c>
      <c r="E3728" s="1" t="s">
        <v>589</v>
      </c>
      <c r="F3728" s="1" t="s">
        <v>588</v>
      </c>
      <c r="G3728" s="1" t="s">
        <v>607</v>
      </c>
      <c r="H3728" s="1" t="s">
        <v>608</v>
      </c>
      <c r="I3728" s="1" t="s">
        <v>11135</v>
      </c>
      <c r="J3728" s="1" t="s">
        <v>546</v>
      </c>
      <c r="K3728" s="1">
        <v>7</v>
      </c>
      <c r="L3728" s="1" t="s">
        <v>4299</v>
      </c>
      <c r="M3728" s="1">
        <v>3</v>
      </c>
      <c r="N3728" s="1" t="s">
        <v>3241</v>
      </c>
    </row>
    <row r="3729" spans="1:14" x14ac:dyDescent="0.15">
      <c r="A3729" s="1">
        <v>830</v>
      </c>
      <c r="B3729" s="1" t="s">
        <v>609</v>
      </c>
      <c r="C3729" s="1" t="s">
        <v>610</v>
      </c>
      <c r="D3729" s="1" t="s">
        <v>609</v>
      </c>
      <c r="E3729" s="1" t="s">
        <v>610</v>
      </c>
      <c r="F3729" s="1" t="s">
        <v>609</v>
      </c>
      <c r="G3729" s="1" t="s">
        <v>611</v>
      </c>
      <c r="H3729" s="1" t="s">
        <v>609</v>
      </c>
      <c r="I3729" s="1" t="s">
        <v>4494</v>
      </c>
      <c r="J3729" s="1" t="s">
        <v>4495</v>
      </c>
      <c r="K3729" s="1">
        <v>11</v>
      </c>
      <c r="L3729" s="1" t="s">
        <v>4227</v>
      </c>
      <c r="M3729" s="1">
        <v>14</v>
      </c>
      <c r="N3729" s="1" t="s">
        <v>4220</v>
      </c>
    </row>
    <row r="3730" spans="1:14" x14ac:dyDescent="0.15">
      <c r="A3730" s="1">
        <v>830</v>
      </c>
      <c r="B3730" s="1" t="s">
        <v>609</v>
      </c>
      <c r="C3730" s="1" t="s">
        <v>610</v>
      </c>
      <c r="D3730" s="1" t="s">
        <v>609</v>
      </c>
      <c r="E3730" s="1" t="s">
        <v>610</v>
      </c>
      <c r="F3730" s="1" t="s">
        <v>612</v>
      </c>
      <c r="G3730" s="1" t="s">
        <v>613</v>
      </c>
      <c r="H3730" s="1" t="s">
        <v>612</v>
      </c>
      <c r="I3730" s="1" t="s">
        <v>4494</v>
      </c>
      <c r="J3730" s="1" t="s">
        <v>4495</v>
      </c>
      <c r="K3730" s="1">
        <v>11</v>
      </c>
      <c r="L3730" s="1" t="s">
        <v>4227</v>
      </c>
      <c r="M3730" s="1">
        <v>14</v>
      </c>
      <c r="N3730" s="1" t="s">
        <v>4220</v>
      </c>
    </row>
    <row r="3731" spans="1:14" x14ac:dyDescent="0.15">
      <c r="A3731" s="1">
        <v>830</v>
      </c>
      <c r="B3731" s="1" t="s">
        <v>609</v>
      </c>
      <c r="C3731" s="1" t="s">
        <v>610</v>
      </c>
      <c r="D3731" s="1" t="s">
        <v>609</v>
      </c>
      <c r="E3731" s="1" t="s">
        <v>610</v>
      </c>
      <c r="F3731" s="1" t="s">
        <v>614</v>
      </c>
      <c r="G3731" s="1" t="s">
        <v>615</v>
      </c>
      <c r="H3731" s="1" t="s">
        <v>614</v>
      </c>
      <c r="I3731" s="1" t="s">
        <v>4494</v>
      </c>
      <c r="J3731" s="1" t="s">
        <v>4495</v>
      </c>
      <c r="K3731" s="1">
        <v>11</v>
      </c>
      <c r="L3731" s="1" t="s">
        <v>4227</v>
      </c>
      <c r="M3731" s="1">
        <v>14</v>
      </c>
      <c r="N3731" s="1" t="s">
        <v>4220</v>
      </c>
    </row>
    <row r="3732" spans="1:14" x14ac:dyDescent="0.15">
      <c r="A3732" s="1">
        <v>830</v>
      </c>
      <c r="B3732" s="1" t="s">
        <v>609</v>
      </c>
      <c r="C3732" s="1" t="s">
        <v>610</v>
      </c>
      <c r="D3732" s="1" t="s">
        <v>609</v>
      </c>
      <c r="E3732" s="1" t="s">
        <v>610</v>
      </c>
      <c r="F3732" s="1" t="s">
        <v>616</v>
      </c>
      <c r="G3732" s="1" t="s">
        <v>617</v>
      </c>
      <c r="H3732" s="1" t="s">
        <v>616</v>
      </c>
      <c r="I3732" s="1" t="s">
        <v>4494</v>
      </c>
      <c r="J3732" s="1" t="s">
        <v>4495</v>
      </c>
      <c r="K3732" s="1">
        <v>11</v>
      </c>
      <c r="L3732" s="1" t="s">
        <v>4227</v>
      </c>
      <c r="M3732" s="1">
        <v>14</v>
      </c>
      <c r="N3732" s="1" t="s">
        <v>4220</v>
      </c>
    </row>
    <row r="3733" spans="1:14" x14ac:dyDescent="0.15">
      <c r="A3733" s="1">
        <v>831</v>
      </c>
      <c r="B3733" s="1" t="s">
        <v>618</v>
      </c>
      <c r="C3733" s="1" t="s">
        <v>619</v>
      </c>
      <c r="D3733" s="1" t="s">
        <v>618</v>
      </c>
      <c r="E3733" s="1" t="s">
        <v>619</v>
      </c>
      <c r="F3733" s="1" t="s">
        <v>618</v>
      </c>
      <c r="G3733" s="1" t="s">
        <v>620</v>
      </c>
      <c r="H3733" s="1" t="s">
        <v>618</v>
      </c>
      <c r="I3733" s="1" t="s">
        <v>4494</v>
      </c>
      <c r="J3733" s="1" t="s">
        <v>4495</v>
      </c>
      <c r="K3733" s="1">
        <v>11</v>
      </c>
      <c r="L3733" s="1" t="s">
        <v>4227</v>
      </c>
      <c r="M3733" s="1">
        <v>14</v>
      </c>
      <c r="N3733" s="1" t="s">
        <v>4220</v>
      </c>
    </row>
    <row r="3734" spans="1:14" x14ac:dyDescent="0.15">
      <c r="A3734" s="1">
        <v>831</v>
      </c>
      <c r="B3734" s="1" t="s">
        <v>618</v>
      </c>
      <c r="C3734" s="1" t="s">
        <v>619</v>
      </c>
      <c r="D3734" s="1" t="s">
        <v>618</v>
      </c>
      <c r="E3734" s="1" t="s">
        <v>619</v>
      </c>
      <c r="F3734" s="1" t="s">
        <v>621</v>
      </c>
      <c r="G3734" s="1" t="s">
        <v>622</v>
      </c>
      <c r="H3734" s="1" t="s">
        <v>621</v>
      </c>
      <c r="I3734" s="1" t="s">
        <v>4494</v>
      </c>
      <c r="J3734" s="1" t="s">
        <v>4495</v>
      </c>
      <c r="K3734" s="1">
        <v>11</v>
      </c>
      <c r="L3734" s="1" t="s">
        <v>4227</v>
      </c>
      <c r="M3734" s="1">
        <v>14</v>
      </c>
      <c r="N3734" s="1" t="s">
        <v>4220</v>
      </c>
    </row>
    <row r="3735" spans="1:14" x14ac:dyDescent="0.15">
      <c r="A3735" s="1">
        <v>831</v>
      </c>
      <c r="B3735" s="1" t="s">
        <v>618</v>
      </c>
      <c r="C3735" s="1" t="s">
        <v>619</v>
      </c>
      <c r="D3735" s="1" t="s">
        <v>618</v>
      </c>
      <c r="E3735" s="1" t="s">
        <v>619</v>
      </c>
      <c r="F3735" s="1" t="s">
        <v>623</v>
      </c>
      <c r="G3735" s="1" t="s">
        <v>624</v>
      </c>
      <c r="H3735" s="1" t="s">
        <v>623</v>
      </c>
      <c r="I3735" s="1" t="s">
        <v>4494</v>
      </c>
      <c r="J3735" s="1" t="s">
        <v>4495</v>
      </c>
      <c r="K3735" s="1">
        <v>11</v>
      </c>
      <c r="L3735" s="1" t="s">
        <v>4227</v>
      </c>
      <c r="M3735" s="1">
        <v>14</v>
      </c>
      <c r="N3735" s="1" t="s">
        <v>4220</v>
      </c>
    </row>
    <row r="3736" spans="1:14" x14ac:dyDescent="0.15">
      <c r="A3736" s="1">
        <v>831</v>
      </c>
      <c r="B3736" s="1" t="s">
        <v>618</v>
      </c>
      <c r="C3736" s="1" t="s">
        <v>619</v>
      </c>
      <c r="D3736" s="1" t="s">
        <v>618</v>
      </c>
      <c r="E3736" s="1" t="s">
        <v>619</v>
      </c>
      <c r="F3736" s="1" t="s">
        <v>625</v>
      </c>
      <c r="G3736" s="1" t="s">
        <v>626</v>
      </c>
      <c r="H3736" s="1" t="s">
        <v>625</v>
      </c>
      <c r="I3736" s="1" t="s">
        <v>4494</v>
      </c>
      <c r="J3736" s="1" t="s">
        <v>4495</v>
      </c>
      <c r="K3736" s="1">
        <v>11</v>
      </c>
      <c r="L3736" s="1" t="s">
        <v>4227</v>
      </c>
      <c r="M3736" s="1">
        <v>14</v>
      </c>
      <c r="N3736" s="1" t="s">
        <v>4220</v>
      </c>
    </row>
    <row r="3737" spans="1:14" x14ac:dyDescent="0.15">
      <c r="A3737" s="1">
        <v>832</v>
      </c>
      <c r="B3737" s="1" t="s">
        <v>627</v>
      </c>
      <c r="C3737" s="1" t="s">
        <v>628</v>
      </c>
      <c r="D3737" s="1" t="s">
        <v>627</v>
      </c>
      <c r="E3737" s="1" t="s">
        <v>628</v>
      </c>
      <c r="F3737" s="1" t="s">
        <v>627</v>
      </c>
      <c r="G3737" s="1" t="s">
        <v>629</v>
      </c>
      <c r="H3737" s="1" t="s">
        <v>627</v>
      </c>
      <c r="I3737" s="1" t="s">
        <v>4494</v>
      </c>
      <c r="J3737" s="1" t="s">
        <v>4495</v>
      </c>
      <c r="K3737" s="1">
        <v>7</v>
      </c>
      <c r="L3737" s="1" t="s">
        <v>4299</v>
      </c>
      <c r="M3737" s="1">
        <v>13</v>
      </c>
      <c r="N3737" s="1" t="s">
        <v>4300</v>
      </c>
    </row>
    <row r="3738" spans="1:14" x14ac:dyDescent="0.15">
      <c r="A3738" s="1">
        <v>832</v>
      </c>
      <c r="B3738" s="1" t="s">
        <v>627</v>
      </c>
      <c r="C3738" s="1" t="s">
        <v>628</v>
      </c>
      <c r="D3738" s="1" t="s">
        <v>627</v>
      </c>
      <c r="E3738" s="1" t="s">
        <v>628</v>
      </c>
      <c r="F3738" s="1" t="s">
        <v>630</v>
      </c>
      <c r="G3738" s="1" t="s">
        <v>631</v>
      </c>
      <c r="H3738" s="1" t="s">
        <v>630</v>
      </c>
      <c r="I3738" s="1" t="s">
        <v>4494</v>
      </c>
      <c r="J3738" s="1" t="s">
        <v>4495</v>
      </c>
      <c r="K3738" s="1">
        <v>7</v>
      </c>
      <c r="L3738" s="1" t="s">
        <v>4299</v>
      </c>
      <c r="M3738" s="1">
        <v>13</v>
      </c>
      <c r="N3738" s="1" t="s">
        <v>4300</v>
      </c>
    </row>
    <row r="3739" spans="1:14" x14ac:dyDescent="0.15">
      <c r="A3739" s="1">
        <v>832</v>
      </c>
      <c r="B3739" s="1" t="s">
        <v>627</v>
      </c>
      <c r="C3739" s="1" t="s">
        <v>628</v>
      </c>
      <c r="D3739" s="1" t="s">
        <v>627</v>
      </c>
      <c r="E3739" s="1" t="s">
        <v>628</v>
      </c>
      <c r="F3739" s="1" t="s">
        <v>632</v>
      </c>
      <c r="G3739" s="1" t="s">
        <v>633</v>
      </c>
      <c r="H3739" s="1" t="s">
        <v>632</v>
      </c>
      <c r="I3739" s="1" t="s">
        <v>4494</v>
      </c>
      <c r="J3739" s="1" t="s">
        <v>4495</v>
      </c>
      <c r="K3739" s="1">
        <v>7</v>
      </c>
      <c r="L3739" s="1" t="s">
        <v>4299</v>
      </c>
      <c r="M3739" s="1">
        <v>13</v>
      </c>
      <c r="N3739" s="1" t="s">
        <v>4300</v>
      </c>
    </row>
    <row r="3740" spans="1:14" x14ac:dyDescent="0.15">
      <c r="A3740" s="1">
        <v>833</v>
      </c>
      <c r="B3740" s="1" t="s">
        <v>634</v>
      </c>
      <c r="C3740" s="1" t="s">
        <v>635</v>
      </c>
      <c r="D3740" s="1" t="s">
        <v>634</v>
      </c>
      <c r="E3740" s="1" t="s">
        <v>635</v>
      </c>
      <c r="F3740" s="1" t="s">
        <v>634</v>
      </c>
      <c r="G3740" s="1" t="s">
        <v>636</v>
      </c>
      <c r="H3740" s="1" t="s">
        <v>634</v>
      </c>
      <c r="I3740" s="1" t="s">
        <v>14495</v>
      </c>
      <c r="J3740" s="1" t="s">
        <v>637</v>
      </c>
      <c r="K3740" s="1">
        <v>7</v>
      </c>
      <c r="L3740" s="1" t="s">
        <v>4299</v>
      </c>
      <c r="M3740" s="1">
        <v>13</v>
      </c>
      <c r="N3740" s="1" t="s">
        <v>4300</v>
      </c>
    </row>
    <row r="3741" spans="1:14" x14ac:dyDescent="0.15">
      <c r="A3741" s="1">
        <v>833</v>
      </c>
      <c r="B3741" s="1" t="s">
        <v>634</v>
      </c>
      <c r="C3741" s="1" t="s">
        <v>635</v>
      </c>
      <c r="D3741" s="1" t="s">
        <v>634</v>
      </c>
      <c r="E3741" s="1" t="s">
        <v>635</v>
      </c>
      <c r="F3741" s="1" t="s">
        <v>634</v>
      </c>
      <c r="G3741" s="1" t="s">
        <v>636</v>
      </c>
      <c r="H3741" s="1" t="s">
        <v>634</v>
      </c>
      <c r="I3741" s="1" t="s">
        <v>14499</v>
      </c>
      <c r="J3741" s="1" t="s">
        <v>638</v>
      </c>
      <c r="K3741" s="1">
        <v>7</v>
      </c>
      <c r="L3741" s="1" t="s">
        <v>4299</v>
      </c>
      <c r="M3741" s="1">
        <v>13</v>
      </c>
      <c r="N3741" s="1" t="s">
        <v>4300</v>
      </c>
    </row>
    <row r="3742" spans="1:14" x14ac:dyDescent="0.15">
      <c r="A3742" s="1">
        <v>834</v>
      </c>
      <c r="B3742" s="1" t="s">
        <v>639</v>
      </c>
      <c r="C3742" s="1" t="s">
        <v>640</v>
      </c>
      <c r="D3742" s="1" t="s">
        <v>639</v>
      </c>
      <c r="E3742" s="1" t="s">
        <v>640</v>
      </c>
      <c r="F3742" s="1" t="s">
        <v>639</v>
      </c>
      <c r="G3742" s="1" t="s">
        <v>641</v>
      </c>
      <c r="H3742" s="1" t="s">
        <v>639</v>
      </c>
      <c r="I3742" s="1" t="s">
        <v>14495</v>
      </c>
      <c r="J3742" s="1" t="s">
        <v>637</v>
      </c>
      <c r="K3742" s="1">
        <v>7</v>
      </c>
      <c r="L3742" s="1" t="s">
        <v>4299</v>
      </c>
      <c r="M3742" s="1">
        <v>13</v>
      </c>
      <c r="N3742" s="1" t="s">
        <v>4300</v>
      </c>
    </row>
    <row r="3743" spans="1:14" x14ac:dyDescent="0.15">
      <c r="A3743" s="1">
        <v>835</v>
      </c>
      <c r="B3743" s="1" t="s">
        <v>642</v>
      </c>
      <c r="C3743" s="1" t="s">
        <v>643</v>
      </c>
      <c r="D3743" s="1" t="s">
        <v>642</v>
      </c>
      <c r="E3743" s="1" t="s">
        <v>643</v>
      </c>
      <c r="F3743" s="1" t="s">
        <v>642</v>
      </c>
      <c r="G3743" s="1" t="s">
        <v>644</v>
      </c>
      <c r="H3743" s="1" t="s">
        <v>642</v>
      </c>
      <c r="I3743" s="1" t="s">
        <v>11879</v>
      </c>
      <c r="J3743" s="1" t="s">
        <v>4278</v>
      </c>
      <c r="K3743" s="1">
        <v>7</v>
      </c>
      <c r="L3743" s="1" t="s">
        <v>4299</v>
      </c>
      <c r="M3743" s="1">
        <v>13</v>
      </c>
      <c r="N3743" s="1" t="s">
        <v>4300</v>
      </c>
    </row>
    <row r="3744" spans="1:14" x14ac:dyDescent="0.15">
      <c r="A3744" s="1">
        <v>835</v>
      </c>
      <c r="B3744" s="1" t="s">
        <v>642</v>
      </c>
      <c r="C3744" s="1" t="s">
        <v>645</v>
      </c>
      <c r="D3744" s="1" t="s">
        <v>646</v>
      </c>
      <c r="E3744" s="1" t="s">
        <v>645</v>
      </c>
      <c r="F3744" s="1" t="s">
        <v>646</v>
      </c>
      <c r="G3744" s="1" t="s">
        <v>647</v>
      </c>
      <c r="H3744" s="1" t="s">
        <v>646</v>
      </c>
      <c r="I3744" s="1" t="s">
        <v>4494</v>
      </c>
      <c r="J3744" s="1" t="s">
        <v>4495</v>
      </c>
      <c r="K3744" s="1">
        <v>7</v>
      </c>
      <c r="L3744" s="1" t="s">
        <v>4299</v>
      </c>
      <c r="M3744" s="1">
        <v>13</v>
      </c>
      <c r="N3744" s="1" t="s">
        <v>4300</v>
      </c>
    </row>
    <row r="3745" spans="1:14" x14ac:dyDescent="0.15">
      <c r="A3745" s="1">
        <v>835</v>
      </c>
      <c r="B3745" s="1" t="s">
        <v>642</v>
      </c>
      <c r="C3745" s="1" t="s">
        <v>648</v>
      </c>
      <c r="D3745" s="1" t="s">
        <v>649</v>
      </c>
      <c r="E3745" s="1" t="s">
        <v>648</v>
      </c>
      <c r="F3745" s="1" t="s">
        <v>649</v>
      </c>
      <c r="G3745" s="1" t="s">
        <v>650</v>
      </c>
      <c r="H3745" s="1" t="s">
        <v>649</v>
      </c>
      <c r="I3745" s="1" t="s">
        <v>4494</v>
      </c>
      <c r="J3745" s="1" t="s">
        <v>4495</v>
      </c>
      <c r="K3745" s="1">
        <v>11</v>
      </c>
      <c r="L3745" s="1" t="s">
        <v>4227</v>
      </c>
      <c r="M3745" s="1">
        <v>14</v>
      </c>
      <c r="N3745" s="1" t="s">
        <v>4220</v>
      </c>
    </row>
    <row r="3746" spans="1:14" x14ac:dyDescent="0.15">
      <c r="A3746" s="1">
        <v>835</v>
      </c>
      <c r="B3746" s="1" t="s">
        <v>642</v>
      </c>
      <c r="C3746" s="1" t="s">
        <v>648</v>
      </c>
      <c r="D3746" s="1" t="s">
        <v>649</v>
      </c>
      <c r="E3746" s="1" t="s">
        <v>648</v>
      </c>
      <c r="F3746" s="1" t="s">
        <v>651</v>
      </c>
      <c r="G3746" s="1" t="s">
        <v>652</v>
      </c>
      <c r="H3746" s="1" t="s">
        <v>651</v>
      </c>
      <c r="I3746" s="1" t="s">
        <v>4494</v>
      </c>
      <c r="J3746" s="1" t="s">
        <v>4495</v>
      </c>
      <c r="K3746" s="1">
        <v>11</v>
      </c>
      <c r="L3746" s="1" t="s">
        <v>4227</v>
      </c>
      <c r="M3746" s="1">
        <v>14</v>
      </c>
      <c r="N3746" s="1" t="s">
        <v>4220</v>
      </c>
    </row>
    <row r="3747" spans="1:14" x14ac:dyDescent="0.15">
      <c r="A3747" s="1">
        <v>835</v>
      </c>
      <c r="B3747" s="1" t="s">
        <v>642</v>
      </c>
      <c r="C3747" s="1" t="s">
        <v>648</v>
      </c>
      <c r="D3747" s="1" t="s">
        <v>649</v>
      </c>
      <c r="E3747" s="1" t="s">
        <v>648</v>
      </c>
      <c r="F3747" s="1" t="s">
        <v>653</v>
      </c>
      <c r="G3747" s="1" t="s">
        <v>654</v>
      </c>
      <c r="H3747" s="1" t="s">
        <v>653</v>
      </c>
      <c r="I3747" s="1" t="s">
        <v>4494</v>
      </c>
      <c r="J3747" s="1" t="s">
        <v>4495</v>
      </c>
      <c r="K3747" s="1">
        <v>11</v>
      </c>
      <c r="L3747" s="1" t="s">
        <v>4227</v>
      </c>
      <c r="M3747" s="1">
        <v>14</v>
      </c>
      <c r="N3747" s="1" t="s">
        <v>4220</v>
      </c>
    </row>
    <row r="3748" spans="1:14" x14ac:dyDescent="0.15">
      <c r="A3748" s="1">
        <v>836</v>
      </c>
      <c r="B3748" s="1" t="s">
        <v>655</v>
      </c>
      <c r="C3748" s="1" t="s">
        <v>656</v>
      </c>
      <c r="D3748" s="1" t="s">
        <v>655</v>
      </c>
      <c r="E3748" s="1" t="s">
        <v>656</v>
      </c>
      <c r="F3748" s="1" t="s">
        <v>655</v>
      </c>
      <c r="G3748" s="1" t="s">
        <v>657</v>
      </c>
      <c r="H3748" s="1" t="s">
        <v>655</v>
      </c>
      <c r="I3748" s="1" t="s">
        <v>4494</v>
      </c>
      <c r="J3748" s="1" t="s">
        <v>4495</v>
      </c>
      <c r="K3748" s="1">
        <v>7</v>
      </c>
      <c r="L3748" s="1" t="s">
        <v>4299</v>
      </c>
      <c r="M3748" s="1">
        <v>13</v>
      </c>
      <c r="N3748" s="1" t="s">
        <v>4300</v>
      </c>
    </row>
    <row r="3749" spans="1:14" x14ac:dyDescent="0.15">
      <c r="A3749" s="1">
        <v>840</v>
      </c>
      <c r="B3749" s="1" t="s">
        <v>658</v>
      </c>
      <c r="C3749" s="1" t="s">
        <v>659</v>
      </c>
      <c r="D3749" s="1" t="s">
        <v>658</v>
      </c>
      <c r="E3749" s="1" t="s">
        <v>659</v>
      </c>
      <c r="F3749" s="1" t="s">
        <v>658</v>
      </c>
      <c r="G3749" s="1" t="s">
        <v>660</v>
      </c>
      <c r="H3749" s="1" t="s">
        <v>658</v>
      </c>
      <c r="I3749" s="1" t="s">
        <v>14328</v>
      </c>
      <c r="J3749" s="1" t="s">
        <v>2417</v>
      </c>
      <c r="K3749" s="1">
        <v>7</v>
      </c>
      <c r="L3749" s="1" t="s">
        <v>4299</v>
      </c>
      <c r="M3749" s="1">
        <v>13</v>
      </c>
      <c r="N3749" s="1" t="s">
        <v>4300</v>
      </c>
    </row>
    <row r="3750" spans="1:14" x14ac:dyDescent="0.15">
      <c r="A3750" s="1">
        <v>841</v>
      </c>
      <c r="B3750" s="1" t="s">
        <v>661</v>
      </c>
      <c r="C3750" s="1" t="s">
        <v>662</v>
      </c>
      <c r="D3750" s="1" t="s">
        <v>661</v>
      </c>
      <c r="E3750" s="1" t="s">
        <v>662</v>
      </c>
      <c r="F3750" s="1" t="s">
        <v>661</v>
      </c>
      <c r="G3750" s="1" t="s">
        <v>663</v>
      </c>
      <c r="H3750" s="1" t="s">
        <v>661</v>
      </c>
      <c r="I3750" s="1" t="s">
        <v>14328</v>
      </c>
      <c r="J3750" s="1" t="s">
        <v>2417</v>
      </c>
      <c r="K3750" s="1">
        <v>7</v>
      </c>
      <c r="L3750" s="1" t="s">
        <v>4299</v>
      </c>
      <c r="M3750" s="1">
        <v>13</v>
      </c>
      <c r="N3750" s="1" t="s">
        <v>4300</v>
      </c>
    </row>
    <row r="3751" spans="1:14" x14ac:dyDescent="0.15">
      <c r="A3751" s="1">
        <v>842</v>
      </c>
      <c r="B3751" s="1" t="s">
        <v>664</v>
      </c>
      <c r="C3751" s="1" t="s">
        <v>665</v>
      </c>
      <c r="D3751" s="1" t="s">
        <v>664</v>
      </c>
      <c r="E3751" s="1" t="s">
        <v>665</v>
      </c>
      <c r="F3751" s="1" t="s">
        <v>664</v>
      </c>
      <c r="G3751" s="1" t="s">
        <v>666</v>
      </c>
      <c r="H3751" s="1" t="s">
        <v>664</v>
      </c>
      <c r="I3751" s="1" t="s">
        <v>14328</v>
      </c>
      <c r="J3751" s="1" t="s">
        <v>2417</v>
      </c>
      <c r="K3751" s="1">
        <v>7</v>
      </c>
      <c r="L3751" s="1" t="s">
        <v>4299</v>
      </c>
      <c r="M3751" s="1">
        <v>13</v>
      </c>
      <c r="N3751" s="1" t="s">
        <v>4300</v>
      </c>
    </row>
    <row r="3752" spans="1:14" x14ac:dyDescent="0.15">
      <c r="A3752" s="1">
        <v>843</v>
      </c>
      <c r="B3752" s="1" t="s">
        <v>667</v>
      </c>
      <c r="C3752" s="1" t="s">
        <v>668</v>
      </c>
      <c r="D3752" s="1" t="s">
        <v>667</v>
      </c>
      <c r="E3752" s="1" t="s">
        <v>668</v>
      </c>
      <c r="F3752" s="1" t="s">
        <v>667</v>
      </c>
      <c r="G3752" s="1" t="s">
        <v>669</v>
      </c>
      <c r="H3752" s="1" t="s">
        <v>667</v>
      </c>
      <c r="I3752" s="1" t="s">
        <v>4494</v>
      </c>
      <c r="J3752" s="1" t="s">
        <v>4495</v>
      </c>
      <c r="K3752" s="1">
        <v>7</v>
      </c>
      <c r="L3752" s="1" t="s">
        <v>4299</v>
      </c>
      <c r="M3752" s="1">
        <v>13</v>
      </c>
      <c r="N3752" s="1" t="s">
        <v>4300</v>
      </c>
    </row>
    <row r="3753" spans="1:14" x14ac:dyDescent="0.15">
      <c r="A3753" s="1">
        <v>843</v>
      </c>
      <c r="B3753" s="1" t="s">
        <v>667</v>
      </c>
      <c r="C3753" s="1" t="s">
        <v>668</v>
      </c>
      <c r="D3753" s="1" t="s">
        <v>667</v>
      </c>
      <c r="E3753" s="1" t="s">
        <v>668</v>
      </c>
      <c r="F3753" s="1" t="s">
        <v>670</v>
      </c>
      <c r="G3753" s="1" t="s">
        <v>671</v>
      </c>
      <c r="H3753" s="1" t="s">
        <v>670</v>
      </c>
      <c r="I3753" s="1" t="s">
        <v>4494</v>
      </c>
      <c r="J3753" s="1" t="s">
        <v>4495</v>
      </c>
      <c r="K3753" s="1">
        <v>7</v>
      </c>
      <c r="L3753" s="1" t="s">
        <v>4299</v>
      </c>
      <c r="M3753" s="1">
        <v>13</v>
      </c>
      <c r="N3753" s="1" t="s">
        <v>4300</v>
      </c>
    </row>
    <row r="3754" spans="1:14" x14ac:dyDescent="0.15">
      <c r="A3754" s="1">
        <v>844</v>
      </c>
      <c r="B3754" s="1" t="s">
        <v>672</v>
      </c>
      <c r="C3754" s="1" t="s">
        <v>673</v>
      </c>
      <c r="D3754" s="1" t="s">
        <v>672</v>
      </c>
      <c r="E3754" s="1" t="s">
        <v>673</v>
      </c>
      <c r="F3754" s="1" t="s">
        <v>672</v>
      </c>
      <c r="G3754" s="1" t="s">
        <v>674</v>
      </c>
      <c r="H3754" s="1" t="s">
        <v>672</v>
      </c>
      <c r="I3754" s="1" t="s">
        <v>12378</v>
      </c>
      <c r="J3754" s="1" t="s">
        <v>3328</v>
      </c>
      <c r="K3754" s="1">
        <v>7</v>
      </c>
      <c r="L3754" s="1" t="s">
        <v>4299</v>
      </c>
      <c r="M3754" s="1">
        <v>13</v>
      </c>
      <c r="N3754" s="1" t="s">
        <v>4300</v>
      </c>
    </row>
    <row r="3755" spans="1:14" x14ac:dyDescent="0.15">
      <c r="A3755" s="1">
        <v>845</v>
      </c>
      <c r="B3755" s="1" t="s">
        <v>14492</v>
      </c>
      <c r="C3755" s="1" t="s">
        <v>675</v>
      </c>
      <c r="D3755" s="1" t="s">
        <v>14492</v>
      </c>
      <c r="E3755" s="1" t="s">
        <v>675</v>
      </c>
      <c r="F3755" s="1" t="s">
        <v>14492</v>
      </c>
      <c r="G3755" s="1" t="s">
        <v>676</v>
      </c>
      <c r="H3755" s="1" t="s">
        <v>14492</v>
      </c>
      <c r="I3755" s="1" t="s">
        <v>14491</v>
      </c>
      <c r="J3755" s="1" t="s">
        <v>6338</v>
      </c>
      <c r="K3755" s="1">
        <v>7</v>
      </c>
      <c r="L3755" s="1" t="s">
        <v>4299</v>
      </c>
      <c r="M3755" s="1">
        <v>13</v>
      </c>
      <c r="N3755" s="1" t="s">
        <v>4300</v>
      </c>
    </row>
    <row r="3756" spans="1:14" x14ac:dyDescent="0.15">
      <c r="A3756" s="1">
        <v>846</v>
      </c>
      <c r="B3756" s="1" t="s">
        <v>677</v>
      </c>
      <c r="C3756" s="1" t="s">
        <v>678</v>
      </c>
      <c r="D3756" s="1" t="s">
        <v>677</v>
      </c>
      <c r="E3756" s="1" t="s">
        <v>678</v>
      </c>
      <c r="F3756" s="1" t="s">
        <v>677</v>
      </c>
      <c r="G3756" s="1" t="s">
        <v>679</v>
      </c>
      <c r="H3756" s="1" t="s">
        <v>677</v>
      </c>
      <c r="I3756" s="1" t="s">
        <v>12378</v>
      </c>
      <c r="J3756" s="1" t="s">
        <v>3328</v>
      </c>
      <c r="K3756" s="1">
        <v>7</v>
      </c>
      <c r="L3756" s="1" t="s">
        <v>4299</v>
      </c>
      <c r="M3756" s="1">
        <v>13</v>
      </c>
      <c r="N3756" s="1" t="s">
        <v>4300</v>
      </c>
    </row>
    <row r="3757" spans="1:14" x14ac:dyDescent="0.15">
      <c r="A3757" s="1">
        <v>850</v>
      </c>
      <c r="B3757" s="1" t="s">
        <v>680</v>
      </c>
      <c r="C3757" s="1" t="s">
        <v>681</v>
      </c>
      <c r="D3757" s="1" t="s">
        <v>680</v>
      </c>
      <c r="E3757" s="1" t="s">
        <v>681</v>
      </c>
      <c r="F3757" s="1" t="s">
        <v>680</v>
      </c>
      <c r="G3757" s="1" t="s">
        <v>682</v>
      </c>
      <c r="H3757" s="1" t="s">
        <v>680</v>
      </c>
      <c r="I3757" s="1" t="s">
        <v>14542</v>
      </c>
      <c r="J3757" s="1" t="s">
        <v>683</v>
      </c>
      <c r="K3757" s="1">
        <v>7</v>
      </c>
      <c r="L3757" s="1" t="s">
        <v>4299</v>
      </c>
      <c r="M3757" s="1">
        <v>13</v>
      </c>
      <c r="N3757" s="1" t="s">
        <v>4300</v>
      </c>
    </row>
    <row r="3758" spans="1:14" x14ac:dyDescent="0.15">
      <c r="A3758" s="1">
        <v>851</v>
      </c>
      <c r="B3758" s="1" t="s">
        <v>684</v>
      </c>
      <c r="C3758" s="1" t="s">
        <v>685</v>
      </c>
      <c r="D3758" s="1" t="s">
        <v>684</v>
      </c>
      <c r="E3758" s="1" t="s">
        <v>685</v>
      </c>
      <c r="F3758" s="1" t="s">
        <v>684</v>
      </c>
      <c r="G3758" s="1" t="s">
        <v>686</v>
      </c>
      <c r="H3758" s="1" t="s">
        <v>684</v>
      </c>
      <c r="I3758" s="1" t="s">
        <v>14538</v>
      </c>
      <c r="J3758" s="1" t="s">
        <v>687</v>
      </c>
      <c r="K3758" s="1">
        <v>7</v>
      </c>
      <c r="L3758" s="1" t="s">
        <v>4299</v>
      </c>
      <c r="M3758" s="1">
        <v>13</v>
      </c>
      <c r="N3758" s="1" t="s">
        <v>4300</v>
      </c>
    </row>
    <row r="3759" spans="1:14" x14ac:dyDescent="0.15">
      <c r="A3759" s="1">
        <v>852</v>
      </c>
      <c r="B3759" s="1" t="s">
        <v>688</v>
      </c>
      <c r="C3759" s="1" t="s">
        <v>689</v>
      </c>
      <c r="D3759" s="1" t="s">
        <v>688</v>
      </c>
      <c r="E3759" s="1" t="s">
        <v>689</v>
      </c>
      <c r="F3759" s="1" t="s">
        <v>688</v>
      </c>
      <c r="G3759" s="1" t="s">
        <v>690</v>
      </c>
      <c r="H3759" s="1" t="s">
        <v>688</v>
      </c>
      <c r="I3759" s="1" t="s">
        <v>11879</v>
      </c>
      <c r="J3759" s="1" t="s">
        <v>4278</v>
      </c>
      <c r="K3759" s="1">
        <v>7</v>
      </c>
      <c r="L3759" s="1" t="s">
        <v>4299</v>
      </c>
      <c r="M3759" s="1">
        <v>13</v>
      </c>
      <c r="N3759" s="1" t="s">
        <v>4300</v>
      </c>
    </row>
    <row r="3760" spans="1:14" x14ac:dyDescent="0.15">
      <c r="A3760" s="1">
        <v>852</v>
      </c>
      <c r="B3760" s="1" t="s">
        <v>688</v>
      </c>
      <c r="C3760" s="1" t="s">
        <v>691</v>
      </c>
      <c r="D3760" s="1" t="s">
        <v>692</v>
      </c>
      <c r="E3760" s="1" t="s">
        <v>691</v>
      </c>
      <c r="F3760" s="1" t="s">
        <v>692</v>
      </c>
      <c r="G3760" s="1" t="s">
        <v>693</v>
      </c>
      <c r="H3760" s="1" t="s">
        <v>692</v>
      </c>
      <c r="I3760" s="1" t="s">
        <v>14542</v>
      </c>
      <c r="J3760" s="1" t="s">
        <v>683</v>
      </c>
      <c r="K3760" s="1">
        <v>7</v>
      </c>
      <c r="L3760" s="1" t="s">
        <v>4299</v>
      </c>
      <c r="M3760" s="1">
        <v>13</v>
      </c>
      <c r="N3760" s="1" t="s">
        <v>4300</v>
      </c>
    </row>
    <row r="3761" spans="1:14" x14ac:dyDescent="0.15">
      <c r="A3761" s="1">
        <v>852</v>
      </c>
      <c r="B3761" s="1" t="s">
        <v>688</v>
      </c>
      <c r="C3761" s="1" t="s">
        <v>694</v>
      </c>
      <c r="D3761" s="1" t="s">
        <v>695</v>
      </c>
      <c r="E3761" s="1" t="s">
        <v>694</v>
      </c>
      <c r="F3761" s="1" t="s">
        <v>695</v>
      </c>
      <c r="G3761" s="1" t="s">
        <v>696</v>
      </c>
      <c r="H3761" s="1" t="s">
        <v>695</v>
      </c>
      <c r="I3761" s="1" t="s">
        <v>14542</v>
      </c>
      <c r="J3761" s="1" t="s">
        <v>683</v>
      </c>
      <c r="K3761" s="1">
        <v>7</v>
      </c>
      <c r="L3761" s="1" t="s">
        <v>4299</v>
      </c>
      <c r="M3761" s="1">
        <v>13</v>
      </c>
      <c r="N3761" s="1" t="s">
        <v>4300</v>
      </c>
    </row>
    <row r="3762" spans="1:14" x14ac:dyDescent="0.15">
      <c r="A3762" s="1">
        <v>853</v>
      </c>
      <c r="B3762" s="1" t="s">
        <v>697</v>
      </c>
      <c r="C3762" s="1" t="s">
        <v>698</v>
      </c>
      <c r="D3762" s="1" t="s">
        <v>697</v>
      </c>
      <c r="E3762" s="1" t="s">
        <v>698</v>
      </c>
      <c r="F3762" s="1" t="s">
        <v>697</v>
      </c>
      <c r="G3762" s="1" t="s">
        <v>699</v>
      </c>
      <c r="H3762" s="1" t="s">
        <v>697</v>
      </c>
      <c r="I3762" s="1" t="s">
        <v>14542</v>
      </c>
      <c r="J3762" s="1" t="s">
        <v>683</v>
      </c>
      <c r="K3762" s="1">
        <v>7</v>
      </c>
      <c r="L3762" s="1" t="s">
        <v>4299</v>
      </c>
      <c r="M3762" s="1">
        <v>13</v>
      </c>
      <c r="N3762" s="1" t="s">
        <v>4300</v>
      </c>
    </row>
    <row r="3763" spans="1:14" x14ac:dyDescent="0.15">
      <c r="A3763" s="1">
        <v>853</v>
      </c>
      <c r="B3763" s="1" t="s">
        <v>697</v>
      </c>
      <c r="C3763" s="1" t="s">
        <v>698</v>
      </c>
      <c r="D3763" s="1" t="s">
        <v>697</v>
      </c>
      <c r="E3763" s="1" t="s">
        <v>698</v>
      </c>
      <c r="F3763" s="1" t="s">
        <v>697</v>
      </c>
      <c r="G3763" s="1" t="s">
        <v>700</v>
      </c>
      <c r="H3763" s="1" t="s">
        <v>701</v>
      </c>
      <c r="I3763" s="1" t="s">
        <v>14542</v>
      </c>
      <c r="J3763" s="1" t="s">
        <v>683</v>
      </c>
      <c r="K3763" s="1">
        <v>7</v>
      </c>
      <c r="L3763" s="1" t="s">
        <v>4299</v>
      </c>
      <c r="M3763" s="1">
        <v>13</v>
      </c>
      <c r="N3763" s="1" t="s">
        <v>4300</v>
      </c>
    </row>
    <row r="3764" spans="1:14" x14ac:dyDescent="0.15">
      <c r="A3764" s="1">
        <v>853</v>
      </c>
      <c r="B3764" s="1" t="s">
        <v>697</v>
      </c>
      <c r="C3764" s="1" t="s">
        <v>698</v>
      </c>
      <c r="D3764" s="1" t="s">
        <v>697</v>
      </c>
      <c r="E3764" s="1" t="s">
        <v>698</v>
      </c>
      <c r="F3764" s="1" t="s">
        <v>697</v>
      </c>
      <c r="G3764" s="1" t="s">
        <v>702</v>
      </c>
      <c r="H3764" s="1" t="s">
        <v>703</v>
      </c>
      <c r="I3764" s="1" t="s">
        <v>14542</v>
      </c>
      <c r="J3764" s="1" t="s">
        <v>683</v>
      </c>
      <c r="K3764" s="1">
        <v>7</v>
      </c>
      <c r="L3764" s="1" t="s">
        <v>4299</v>
      </c>
      <c r="M3764" s="1">
        <v>13</v>
      </c>
      <c r="N3764" s="1" t="s">
        <v>4300</v>
      </c>
    </row>
    <row r="3765" spans="1:14" x14ac:dyDescent="0.15">
      <c r="A3765" s="1">
        <v>854</v>
      </c>
      <c r="B3765" s="1" t="s">
        <v>704</v>
      </c>
      <c r="C3765" s="1" t="s">
        <v>705</v>
      </c>
      <c r="D3765" s="1" t="s">
        <v>704</v>
      </c>
      <c r="E3765" s="1" t="s">
        <v>705</v>
      </c>
      <c r="F3765" s="1" t="s">
        <v>704</v>
      </c>
      <c r="G3765" s="1" t="s">
        <v>706</v>
      </c>
      <c r="H3765" s="1" t="s">
        <v>704</v>
      </c>
      <c r="I3765" s="1" t="s">
        <v>14534</v>
      </c>
      <c r="J3765" s="1" t="s">
        <v>4875</v>
      </c>
      <c r="K3765" s="1">
        <v>7</v>
      </c>
      <c r="L3765" s="1" t="s">
        <v>4299</v>
      </c>
      <c r="M3765" s="1">
        <v>13</v>
      </c>
      <c r="N3765" s="1" t="s">
        <v>4300</v>
      </c>
    </row>
    <row r="3766" spans="1:14" x14ac:dyDescent="0.15">
      <c r="A3766" s="1">
        <v>854</v>
      </c>
      <c r="B3766" s="1" t="s">
        <v>704</v>
      </c>
      <c r="C3766" s="1" t="s">
        <v>705</v>
      </c>
      <c r="D3766" s="1" t="s">
        <v>704</v>
      </c>
      <c r="E3766" s="1" t="s">
        <v>705</v>
      </c>
      <c r="F3766" s="1" t="s">
        <v>704</v>
      </c>
      <c r="G3766" s="1" t="s">
        <v>706</v>
      </c>
      <c r="H3766" s="1" t="s">
        <v>704</v>
      </c>
      <c r="I3766" s="1" t="s">
        <v>14542</v>
      </c>
      <c r="J3766" s="1" t="s">
        <v>683</v>
      </c>
      <c r="K3766" s="1">
        <v>7</v>
      </c>
      <c r="L3766" s="1" t="s">
        <v>4299</v>
      </c>
      <c r="M3766" s="1">
        <v>13</v>
      </c>
      <c r="N3766" s="1" t="s">
        <v>4300</v>
      </c>
    </row>
    <row r="3767" spans="1:14" x14ac:dyDescent="0.15">
      <c r="A3767" s="1">
        <v>854</v>
      </c>
      <c r="B3767" s="1" t="s">
        <v>704</v>
      </c>
      <c r="C3767" s="1" t="s">
        <v>705</v>
      </c>
      <c r="D3767" s="1" t="s">
        <v>704</v>
      </c>
      <c r="E3767" s="1" t="s">
        <v>705</v>
      </c>
      <c r="F3767" s="1" t="s">
        <v>704</v>
      </c>
      <c r="G3767" s="1" t="s">
        <v>707</v>
      </c>
      <c r="H3767" s="1" t="s">
        <v>708</v>
      </c>
      <c r="I3767" s="1" t="s">
        <v>14542</v>
      </c>
      <c r="J3767" s="1" t="s">
        <v>683</v>
      </c>
      <c r="K3767" s="1">
        <v>7</v>
      </c>
      <c r="L3767" s="1" t="s">
        <v>4299</v>
      </c>
      <c r="M3767" s="1">
        <v>13</v>
      </c>
      <c r="N3767" s="1" t="s">
        <v>4300</v>
      </c>
    </row>
    <row r="3768" spans="1:14" x14ac:dyDescent="0.15">
      <c r="A3768" s="1">
        <v>854</v>
      </c>
      <c r="B3768" s="1" t="s">
        <v>704</v>
      </c>
      <c r="C3768" s="1" t="s">
        <v>705</v>
      </c>
      <c r="D3768" s="1" t="s">
        <v>704</v>
      </c>
      <c r="E3768" s="1" t="s">
        <v>705</v>
      </c>
      <c r="F3768" s="1" t="s">
        <v>704</v>
      </c>
      <c r="G3768" s="1" t="s">
        <v>709</v>
      </c>
      <c r="H3768" s="1" t="s">
        <v>710</v>
      </c>
      <c r="I3768" s="1" t="s">
        <v>14542</v>
      </c>
      <c r="J3768" s="1" t="s">
        <v>683</v>
      </c>
      <c r="K3768" s="1">
        <v>7</v>
      </c>
      <c r="L3768" s="1" t="s">
        <v>4299</v>
      </c>
      <c r="M3768" s="1">
        <v>13</v>
      </c>
      <c r="N3768" s="1" t="s">
        <v>4300</v>
      </c>
    </row>
    <row r="3769" spans="1:14" x14ac:dyDescent="0.15">
      <c r="A3769" s="1">
        <v>855</v>
      </c>
      <c r="B3769" s="1" t="s">
        <v>711</v>
      </c>
      <c r="C3769" s="1" t="s">
        <v>712</v>
      </c>
      <c r="D3769" s="1" t="s">
        <v>711</v>
      </c>
      <c r="E3769" s="1" t="s">
        <v>712</v>
      </c>
      <c r="F3769" s="1" t="s">
        <v>711</v>
      </c>
      <c r="G3769" s="1" t="s">
        <v>713</v>
      </c>
      <c r="H3769" s="1" t="s">
        <v>711</v>
      </c>
      <c r="I3769" s="1" t="s">
        <v>14534</v>
      </c>
      <c r="J3769" s="1" t="s">
        <v>4875</v>
      </c>
      <c r="K3769" s="1">
        <v>7</v>
      </c>
      <c r="L3769" s="1" t="s">
        <v>4299</v>
      </c>
      <c r="M3769" s="1">
        <v>13</v>
      </c>
      <c r="N3769" s="1" t="s">
        <v>4300</v>
      </c>
    </row>
    <row r="3770" spans="1:14" x14ac:dyDescent="0.15">
      <c r="A3770" s="1">
        <v>855</v>
      </c>
      <c r="B3770" s="1" t="s">
        <v>711</v>
      </c>
      <c r="C3770" s="1" t="s">
        <v>712</v>
      </c>
      <c r="D3770" s="1" t="s">
        <v>711</v>
      </c>
      <c r="E3770" s="1" t="s">
        <v>712</v>
      </c>
      <c r="F3770" s="1" t="s">
        <v>711</v>
      </c>
      <c r="G3770" s="1" t="s">
        <v>713</v>
      </c>
      <c r="H3770" s="1" t="s">
        <v>711</v>
      </c>
      <c r="I3770" s="1" t="s">
        <v>14538</v>
      </c>
      <c r="J3770" s="1" t="s">
        <v>687</v>
      </c>
      <c r="K3770" s="1">
        <v>7</v>
      </c>
      <c r="L3770" s="1" t="s">
        <v>4299</v>
      </c>
      <c r="M3770" s="1">
        <v>13</v>
      </c>
      <c r="N3770" s="1" t="s">
        <v>4300</v>
      </c>
    </row>
    <row r="3771" spans="1:14" x14ac:dyDescent="0.15">
      <c r="A3771" s="1">
        <v>855</v>
      </c>
      <c r="B3771" s="1" t="s">
        <v>711</v>
      </c>
      <c r="C3771" s="1" t="s">
        <v>712</v>
      </c>
      <c r="D3771" s="1" t="s">
        <v>711</v>
      </c>
      <c r="E3771" s="1" t="s">
        <v>712</v>
      </c>
      <c r="F3771" s="1" t="s">
        <v>711</v>
      </c>
      <c r="G3771" s="1" t="s">
        <v>713</v>
      </c>
      <c r="H3771" s="1" t="s">
        <v>711</v>
      </c>
      <c r="I3771" s="1" t="s">
        <v>14546</v>
      </c>
      <c r="J3771" s="1" t="s">
        <v>4880</v>
      </c>
      <c r="K3771" s="1">
        <v>7</v>
      </c>
      <c r="L3771" s="1" t="s">
        <v>4299</v>
      </c>
      <c r="M3771" s="1">
        <v>13</v>
      </c>
      <c r="N3771" s="1" t="s">
        <v>4300</v>
      </c>
    </row>
    <row r="3772" spans="1:14" x14ac:dyDescent="0.15">
      <c r="A3772" s="1">
        <v>860</v>
      </c>
      <c r="B3772" s="1" t="s">
        <v>714</v>
      </c>
      <c r="C3772" s="1" t="s">
        <v>715</v>
      </c>
      <c r="D3772" s="1" t="s">
        <v>714</v>
      </c>
      <c r="E3772" s="1" t="s">
        <v>715</v>
      </c>
      <c r="F3772" s="1" t="s">
        <v>714</v>
      </c>
      <c r="G3772" s="1" t="s">
        <v>716</v>
      </c>
      <c r="H3772" s="1" t="s">
        <v>714</v>
      </c>
      <c r="I3772" s="1" t="s">
        <v>11879</v>
      </c>
      <c r="J3772" s="1" t="s">
        <v>4278</v>
      </c>
      <c r="K3772" s="1">
        <v>15</v>
      </c>
      <c r="L3772" s="1" t="s">
        <v>2073</v>
      </c>
      <c r="M3772" s="1">
        <v>1</v>
      </c>
      <c r="N3772" s="1" t="s">
        <v>4318</v>
      </c>
    </row>
    <row r="3773" spans="1:14" x14ac:dyDescent="0.15">
      <c r="A3773" s="1">
        <v>860</v>
      </c>
      <c r="B3773" s="1" t="s">
        <v>714</v>
      </c>
      <c r="C3773" s="1" t="s">
        <v>717</v>
      </c>
      <c r="D3773" s="1" t="s">
        <v>718</v>
      </c>
      <c r="E3773" s="1" t="s">
        <v>717</v>
      </c>
      <c r="F3773" s="1" t="s">
        <v>718</v>
      </c>
      <c r="G3773" s="1" t="s">
        <v>719</v>
      </c>
      <c r="H3773" s="1" t="s">
        <v>718</v>
      </c>
      <c r="I3773" s="1" t="s">
        <v>15113</v>
      </c>
      <c r="J3773" s="1" t="s">
        <v>15114</v>
      </c>
      <c r="K3773" s="1">
        <v>15</v>
      </c>
      <c r="L3773" s="1" t="s">
        <v>2073</v>
      </c>
      <c r="M3773" s="1">
        <v>1</v>
      </c>
      <c r="N3773" s="1" t="s">
        <v>4318</v>
      </c>
    </row>
    <row r="3774" spans="1:14" x14ac:dyDescent="0.15">
      <c r="A3774" s="1">
        <v>860</v>
      </c>
      <c r="B3774" s="1" t="s">
        <v>714</v>
      </c>
      <c r="C3774" s="1" t="s">
        <v>720</v>
      </c>
      <c r="D3774" s="1" t="s">
        <v>721</v>
      </c>
      <c r="E3774" s="1" t="s">
        <v>720</v>
      </c>
      <c r="F3774" s="1" t="s">
        <v>721</v>
      </c>
      <c r="G3774" s="1" t="s">
        <v>722</v>
      </c>
      <c r="H3774" s="1" t="s">
        <v>721</v>
      </c>
      <c r="I3774" s="1" t="s">
        <v>4494</v>
      </c>
      <c r="J3774" s="1" t="s">
        <v>4495</v>
      </c>
      <c r="K3774" s="1">
        <v>15</v>
      </c>
      <c r="L3774" s="1" t="s">
        <v>2073</v>
      </c>
      <c r="M3774" s="1">
        <v>1</v>
      </c>
      <c r="N3774" s="1" t="s">
        <v>4318</v>
      </c>
    </row>
    <row r="3775" spans="1:14" x14ac:dyDescent="0.15">
      <c r="A3775" s="1">
        <v>860</v>
      </c>
      <c r="B3775" s="1" t="s">
        <v>714</v>
      </c>
      <c r="C3775" s="1" t="s">
        <v>723</v>
      </c>
      <c r="D3775" s="1" t="s">
        <v>724</v>
      </c>
      <c r="E3775" s="1" t="s">
        <v>723</v>
      </c>
      <c r="F3775" s="1" t="s">
        <v>724</v>
      </c>
      <c r="G3775" s="1" t="s">
        <v>725</v>
      </c>
      <c r="H3775" s="1" t="s">
        <v>724</v>
      </c>
      <c r="I3775" s="1" t="s">
        <v>4494</v>
      </c>
      <c r="J3775" s="1" t="s">
        <v>4495</v>
      </c>
      <c r="K3775" s="1">
        <v>15</v>
      </c>
      <c r="L3775" s="1" t="s">
        <v>2073</v>
      </c>
      <c r="M3775" s="1">
        <v>1</v>
      </c>
      <c r="N3775" s="1" t="s">
        <v>4318</v>
      </c>
    </row>
    <row r="3776" spans="1:14" x14ac:dyDescent="0.15">
      <c r="A3776" s="1">
        <v>860</v>
      </c>
      <c r="B3776" s="1" t="s">
        <v>714</v>
      </c>
      <c r="C3776" s="1" t="s">
        <v>723</v>
      </c>
      <c r="D3776" s="1" t="s">
        <v>724</v>
      </c>
      <c r="E3776" s="1" t="s">
        <v>723</v>
      </c>
      <c r="F3776" s="1" t="s">
        <v>726</v>
      </c>
      <c r="G3776" s="1" t="s">
        <v>727</v>
      </c>
      <c r="H3776" s="1" t="s">
        <v>726</v>
      </c>
      <c r="I3776" s="1" t="s">
        <v>4494</v>
      </c>
      <c r="J3776" s="1" t="s">
        <v>4495</v>
      </c>
      <c r="K3776" s="1">
        <v>15</v>
      </c>
      <c r="L3776" s="1" t="s">
        <v>2073</v>
      </c>
      <c r="M3776" s="1">
        <v>1</v>
      </c>
      <c r="N3776" s="1" t="s">
        <v>4318</v>
      </c>
    </row>
    <row r="3777" spans="1:14" x14ac:dyDescent="0.15">
      <c r="A3777" s="1">
        <v>860</v>
      </c>
      <c r="B3777" s="1" t="s">
        <v>714</v>
      </c>
      <c r="C3777" s="1" t="s">
        <v>723</v>
      </c>
      <c r="D3777" s="1" t="s">
        <v>724</v>
      </c>
      <c r="E3777" s="1" t="s">
        <v>723</v>
      </c>
      <c r="F3777" s="1" t="s">
        <v>728</v>
      </c>
      <c r="G3777" s="1" t="s">
        <v>729</v>
      </c>
      <c r="H3777" s="1" t="s">
        <v>728</v>
      </c>
      <c r="I3777" s="1" t="s">
        <v>4494</v>
      </c>
      <c r="J3777" s="1" t="s">
        <v>4495</v>
      </c>
      <c r="K3777" s="1">
        <v>7</v>
      </c>
      <c r="L3777" s="1" t="s">
        <v>4299</v>
      </c>
      <c r="M3777" s="1">
        <v>13</v>
      </c>
      <c r="N3777" s="1" t="s">
        <v>4300</v>
      </c>
    </row>
    <row r="3778" spans="1:14" x14ac:dyDescent="0.15">
      <c r="A3778" s="1">
        <v>861</v>
      </c>
      <c r="B3778" s="1" t="s">
        <v>730</v>
      </c>
      <c r="C3778" s="1" t="s">
        <v>731</v>
      </c>
      <c r="D3778" s="1" t="s">
        <v>730</v>
      </c>
      <c r="E3778" s="1" t="s">
        <v>731</v>
      </c>
      <c r="F3778" s="1" t="s">
        <v>730</v>
      </c>
      <c r="G3778" s="1" t="s">
        <v>732</v>
      </c>
      <c r="H3778" s="1" t="s">
        <v>730</v>
      </c>
      <c r="I3778" s="1" t="s">
        <v>4494</v>
      </c>
      <c r="J3778" s="1" t="s">
        <v>4495</v>
      </c>
      <c r="K3778" s="1">
        <v>15</v>
      </c>
      <c r="L3778" s="1" t="s">
        <v>2073</v>
      </c>
      <c r="M3778" s="1">
        <v>1</v>
      </c>
      <c r="N3778" s="1" t="s">
        <v>4318</v>
      </c>
    </row>
    <row r="3779" spans="1:14" x14ac:dyDescent="0.15">
      <c r="A3779" s="1">
        <v>861</v>
      </c>
      <c r="B3779" s="1" t="s">
        <v>730</v>
      </c>
      <c r="C3779" s="1" t="s">
        <v>731</v>
      </c>
      <c r="D3779" s="1" t="s">
        <v>730</v>
      </c>
      <c r="E3779" s="1" t="s">
        <v>731</v>
      </c>
      <c r="F3779" s="1" t="s">
        <v>733</v>
      </c>
      <c r="G3779" s="1" t="s">
        <v>734</v>
      </c>
      <c r="H3779" s="1" t="s">
        <v>733</v>
      </c>
      <c r="I3779" s="1" t="s">
        <v>4494</v>
      </c>
      <c r="J3779" s="1" t="s">
        <v>4495</v>
      </c>
      <c r="K3779" s="1">
        <v>15</v>
      </c>
      <c r="L3779" s="1" t="s">
        <v>2073</v>
      </c>
      <c r="M3779" s="1">
        <v>1</v>
      </c>
      <c r="N3779" s="1" t="s">
        <v>4318</v>
      </c>
    </row>
    <row r="3780" spans="1:14" x14ac:dyDescent="0.15">
      <c r="A3780" s="1">
        <v>861</v>
      </c>
      <c r="B3780" s="1" t="s">
        <v>730</v>
      </c>
      <c r="C3780" s="1" t="s">
        <v>731</v>
      </c>
      <c r="D3780" s="1" t="s">
        <v>730</v>
      </c>
      <c r="E3780" s="1" t="s">
        <v>731</v>
      </c>
      <c r="F3780" s="1" t="s">
        <v>735</v>
      </c>
      <c r="G3780" s="1" t="s">
        <v>736</v>
      </c>
      <c r="H3780" s="1" t="s">
        <v>735</v>
      </c>
      <c r="I3780" s="1" t="s">
        <v>4494</v>
      </c>
      <c r="J3780" s="1" t="s">
        <v>4495</v>
      </c>
      <c r="K3780" s="1">
        <v>15</v>
      </c>
      <c r="L3780" s="1" t="s">
        <v>2073</v>
      </c>
      <c r="M3780" s="1">
        <v>1</v>
      </c>
      <c r="N3780" s="1" t="s">
        <v>4318</v>
      </c>
    </row>
    <row r="3781" spans="1:14" x14ac:dyDescent="0.15">
      <c r="A3781" s="1">
        <v>862</v>
      </c>
      <c r="B3781" s="1" t="s">
        <v>737</v>
      </c>
      <c r="C3781" s="1" t="s">
        <v>738</v>
      </c>
      <c r="D3781" s="1" t="s">
        <v>737</v>
      </c>
      <c r="E3781" s="1" t="s">
        <v>738</v>
      </c>
      <c r="F3781" s="1" t="s">
        <v>737</v>
      </c>
      <c r="G3781" s="1" t="s">
        <v>739</v>
      </c>
      <c r="H3781" s="1" t="s">
        <v>737</v>
      </c>
      <c r="I3781" s="1" t="s">
        <v>16423</v>
      </c>
      <c r="J3781" s="1" t="s">
        <v>740</v>
      </c>
      <c r="K3781" s="1">
        <v>15</v>
      </c>
      <c r="L3781" s="1" t="s">
        <v>2073</v>
      </c>
      <c r="M3781" s="1">
        <v>1</v>
      </c>
      <c r="N3781" s="1" t="s">
        <v>4318</v>
      </c>
    </row>
    <row r="3782" spans="1:14" x14ac:dyDescent="0.15">
      <c r="A3782" s="1">
        <v>863</v>
      </c>
      <c r="B3782" s="1" t="s">
        <v>741</v>
      </c>
      <c r="C3782" s="1" t="s">
        <v>742</v>
      </c>
      <c r="D3782" s="1" t="s">
        <v>741</v>
      </c>
      <c r="E3782" s="1" t="s">
        <v>742</v>
      </c>
      <c r="F3782" s="1" t="s">
        <v>741</v>
      </c>
      <c r="G3782" s="1" t="s">
        <v>743</v>
      </c>
      <c r="H3782" s="1" t="s">
        <v>741</v>
      </c>
      <c r="I3782" s="1" t="s">
        <v>11879</v>
      </c>
      <c r="J3782" s="1" t="s">
        <v>4278</v>
      </c>
      <c r="K3782" s="1">
        <v>15</v>
      </c>
      <c r="L3782" s="1" t="s">
        <v>2073</v>
      </c>
      <c r="M3782" s="1">
        <v>1</v>
      </c>
      <c r="N3782" s="1" t="s">
        <v>4318</v>
      </c>
    </row>
    <row r="3783" spans="1:14" x14ac:dyDescent="0.15">
      <c r="A3783" s="1">
        <v>863</v>
      </c>
      <c r="B3783" s="1" t="s">
        <v>741</v>
      </c>
      <c r="C3783" s="1" t="s">
        <v>744</v>
      </c>
      <c r="D3783" s="1" t="s">
        <v>745</v>
      </c>
      <c r="E3783" s="1" t="s">
        <v>744</v>
      </c>
      <c r="F3783" s="1" t="s">
        <v>745</v>
      </c>
      <c r="G3783" s="1" t="s">
        <v>746</v>
      </c>
      <c r="H3783" s="1" t="s">
        <v>745</v>
      </c>
      <c r="I3783" s="1" t="s">
        <v>15125</v>
      </c>
      <c r="J3783" s="1" t="s">
        <v>15126</v>
      </c>
      <c r="K3783" s="1">
        <v>7</v>
      </c>
      <c r="L3783" s="1" t="s">
        <v>4299</v>
      </c>
      <c r="M3783" s="1">
        <v>13</v>
      </c>
      <c r="N3783" s="1" t="s">
        <v>4300</v>
      </c>
    </row>
    <row r="3784" spans="1:14" x14ac:dyDescent="0.15">
      <c r="A3784" s="1">
        <v>863</v>
      </c>
      <c r="B3784" s="1" t="s">
        <v>741</v>
      </c>
      <c r="C3784" s="1" t="s">
        <v>747</v>
      </c>
      <c r="D3784" s="1" t="s">
        <v>748</v>
      </c>
      <c r="E3784" s="1" t="s">
        <v>747</v>
      </c>
      <c r="F3784" s="1" t="s">
        <v>748</v>
      </c>
      <c r="G3784" s="1" t="s">
        <v>749</v>
      </c>
      <c r="H3784" s="1" t="s">
        <v>748</v>
      </c>
      <c r="I3784" s="1" t="s">
        <v>4494</v>
      </c>
      <c r="J3784" s="1" t="s">
        <v>4495</v>
      </c>
      <c r="K3784" s="1">
        <v>15</v>
      </c>
      <c r="L3784" s="1" t="s">
        <v>2073</v>
      </c>
      <c r="M3784" s="1">
        <v>1</v>
      </c>
      <c r="N3784" s="1" t="s">
        <v>4318</v>
      </c>
    </row>
    <row r="3785" spans="1:14" x14ac:dyDescent="0.15">
      <c r="A3785" s="1">
        <v>863</v>
      </c>
      <c r="B3785" s="1" t="s">
        <v>741</v>
      </c>
      <c r="C3785" s="1" t="s">
        <v>747</v>
      </c>
      <c r="D3785" s="1" t="s">
        <v>748</v>
      </c>
      <c r="E3785" s="1" t="s">
        <v>747</v>
      </c>
      <c r="F3785" s="1" t="s">
        <v>750</v>
      </c>
      <c r="G3785" s="1" t="s">
        <v>751</v>
      </c>
      <c r="H3785" s="1" t="s">
        <v>750</v>
      </c>
      <c r="I3785" s="1" t="s">
        <v>4494</v>
      </c>
      <c r="J3785" s="1" t="s">
        <v>4495</v>
      </c>
      <c r="K3785" s="1">
        <v>15</v>
      </c>
      <c r="L3785" s="1" t="s">
        <v>2073</v>
      </c>
      <c r="M3785" s="1">
        <v>1</v>
      </c>
      <c r="N3785" s="1" t="s">
        <v>4318</v>
      </c>
    </row>
    <row r="3786" spans="1:14" x14ac:dyDescent="0.15">
      <c r="A3786" s="1">
        <v>863</v>
      </c>
      <c r="B3786" s="1" t="s">
        <v>741</v>
      </c>
      <c r="C3786" s="1" t="s">
        <v>747</v>
      </c>
      <c r="D3786" s="1" t="s">
        <v>748</v>
      </c>
      <c r="E3786" s="1" t="s">
        <v>747</v>
      </c>
      <c r="F3786" s="1" t="s">
        <v>752</v>
      </c>
      <c r="G3786" s="1" t="s">
        <v>753</v>
      </c>
      <c r="H3786" s="1" t="s">
        <v>752</v>
      </c>
      <c r="I3786" s="1" t="s">
        <v>4494</v>
      </c>
      <c r="J3786" s="1" t="s">
        <v>4495</v>
      </c>
      <c r="K3786" s="1">
        <v>15</v>
      </c>
      <c r="L3786" s="1" t="s">
        <v>2073</v>
      </c>
      <c r="M3786" s="1">
        <v>1</v>
      </c>
      <c r="N3786" s="1" t="s">
        <v>4318</v>
      </c>
    </row>
    <row r="3787" spans="1:14" x14ac:dyDescent="0.15">
      <c r="A3787" s="1">
        <v>863</v>
      </c>
      <c r="B3787" s="1" t="s">
        <v>741</v>
      </c>
      <c r="C3787" s="1" t="s">
        <v>754</v>
      </c>
      <c r="D3787" s="1" t="s">
        <v>755</v>
      </c>
      <c r="E3787" s="1" t="s">
        <v>754</v>
      </c>
      <c r="F3787" s="1" t="s">
        <v>755</v>
      </c>
      <c r="G3787" s="1" t="s">
        <v>756</v>
      </c>
      <c r="H3787" s="1" t="s">
        <v>755</v>
      </c>
      <c r="I3787" s="1" t="s">
        <v>4494</v>
      </c>
      <c r="J3787" s="1" t="s">
        <v>4495</v>
      </c>
      <c r="K3787" s="1">
        <v>8</v>
      </c>
      <c r="L3787" s="1" t="s">
        <v>2257</v>
      </c>
      <c r="M3787" s="1">
        <v>1</v>
      </c>
      <c r="N3787" s="1" t="s">
        <v>4318</v>
      </c>
    </row>
    <row r="3788" spans="1:14" x14ac:dyDescent="0.15">
      <c r="A3788" s="1">
        <v>863</v>
      </c>
      <c r="B3788" s="1" t="s">
        <v>741</v>
      </c>
      <c r="C3788" s="1" t="s">
        <v>754</v>
      </c>
      <c r="D3788" s="1" t="s">
        <v>755</v>
      </c>
      <c r="E3788" s="1" t="s">
        <v>754</v>
      </c>
      <c r="F3788" s="1" t="s">
        <v>757</v>
      </c>
      <c r="G3788" s="1" t="s">
        <v>758</v>
      </c>
      <c r="H3788" s="1" t="s">
        <v>757</v>
      </c>
      <c r="I3788" s="1" t="s">
        <v>4494</v>
      </c>
      <c r="J3788" s="1" t="s">
        <v>4495</v>
      </c>
      <c r="K3788" s="1">
        <v>8</v>
      </c>
      <c r="L3788" s="1" t="s">
        <v>2257</v>
      </c>
      <c r="M3788" s="1">
        <v>1</v>
      </c>
      <c r="N3788" s="1" t="s">
        <v>4318</v>
      </c>
    </row>
    <row r="3789" spans="1:14" x14ac:dyDescent="0.15">
      <c r="A3789" s="1">
        <v>863</v>
      </c>
      <c r="B3789" s="1" t="s">
        <v>741</v>
      </c>
      <c r="C3789" s="1" t="s">
        <v>754</v>
      </c>
      <c r="D3789" s="1" t="s">
        <v>755</v>
      </c>
      <c r="E3789" s="1" t="s">
        <v>754</v>
      </c>
      <c r="F3789" s="1" t="s">
        <v>759</v>
      </c>
      <c r="G3789" s="1" t="s">
        <v>760</v>
      </c>
      <c r="H3789" s="1" t="s">
        <v>759</v>
      </c>
      <c r="I3789" s="1" t="s">
        <v>4494</v>
      </c>
      <c r="J3789" s="1" t="s">
        <v>4495</v>
      </c>
      <c r="K3789" s="1">
        <v>7</v>
      </c>
      <c r="L3789" s="1" t="s">
        <v>4299</v>
      </c>
      <c r="M3789" s="1">
        <v>13</v>
      </c>
      <c r="N3789" s="1" t="s">
        <v>4300</v>
      </c>
    </row>
    <row r="3790" spans="1:14" x14ac:dyDescent="0.15">
      <c r="A3790" s="1">
        <v>863</v>
      </c>
      <c r="B3790" s="1" t="s">
        <v>741</v>
      </c>
      <c r="C3790" s="1" t="s">
        <v>754</v>
      </c>
      <c r="D3790" s="1" t="s">
        <v>755</v>
      </c>
      <c r="E3790" s="1" t="s">
        <v>754</v>
      </c>
      <c r="F3790" s="1" t="s">
        <v>761</v>
      </c>
      <c r="G3790" s="1" t="s">
        <v>762</v>
      </c>
      <c r="H3790" s="1" t="s">
        <v>761</v>
      </c>
      <c r="I3790" s="1" t="s">
        <v>4494</v>
      </c>
      <c r="J3790" s="1" t="s">
        <v>4495</v>
      </c>
      <c r="K3790" s="1">
        <v>8</v>
      </c>
      <c r="L3790" s="1" t="s">
        <v>2257</v>
      </c>
      <c r="M3790" s="1">
        <v>1</v>
      </c>
      <c r="N3790" s="1" t="s">
        <v>4318</v>
      </c>
    </row>
    <row r="3791" spans="1:14" x14ac:dyDescent="0.15">
      <c r="A3791" s="1">
        <v>863</v>
      </c>
      <c r="B3791" s="1" t="s">
        <v>741</v>
      </c>
      <c r="C3791" s="1" t="s">
        <v>763</v>
      </c>
      <c r="D3791" s="1" t="s">
        <v>764</v>
      </c>
      <c r="E3791" s="1" t="s">
        <v>763</v>
      </c>
      <c r="F3791" s="1" t="s">
        <v>764</v>
      </c>
      <c r="G3791" s="1" t="s">
        <v>763</v>
      </c>
      <c r="H3791" s="1" t="s">
        <v>764</v>
      </c>
      <c r="I3791" s="1" t="s">
        <v>4494</v>
      </c>
      <c r="J3791" s="1" t="s">
        <v>4495</v>
      </c>
      <c r="K3791" s="1">
        <v>7</v>
      </c>
      <c r="L3791" s="1" t="s">
        <v>4299</v>
      </c>
      <c r="M3791" s="1">
        <v>13</v>
      </c>
      <c r="N3791" s="1" t="s">
        <v>4300</v>
      </c>
    </row>
    <row r="3792" spans="1:14" x14ac:dyDescent="0.15">
      <c r="A3792" s="1">
        <v>864</v>
      </c>
      <c r="B3792" s="1" t="s">
        <v>765</v>
      </c>
      <c r="C3792" s="1" t="s">
        <v>766</v>
      </c>
      <c r="D3792" s="1" t="s">
        <v>765</v>
      </c>
      <c r="E3792" s="1" t="s">
        <v>766</v>
      </c>
      <c r="F3792" s="1" t="s">
        <v>765</v>
      </c>
      <c r="G3792" s="1" t="s">
        <v>767</v>
      </c>
      <c r="H3792" s="1" t="s">
        <v>765</v>
      </c>
      <c r="I3792" s="1" t="s">
        <v>11879</v>
      </c>
      <c r="J3792" s="1" t="s">
        <v>4278</v>
      </c>
      <c r="K3792" s="1">
        <v>7</v>
      </c>
      <c r="L3792" s="1" t="s">
        <v>4299</v>
      </c>
      <c r="M3792" s="1">
        <v>13</v>
      </c>
      <c r="N3792" s="1" t="s">
        <v>4300</v>
      </c>
    </row>
    <row r="3793" spans="1:14" x14ac:dyDescent="0.15">
      <c r="A3793" s="1">
        <v>864</v>
      </c>
      <c r="B3793" s="1" t="s">
        <v>765</v>
      </c>
      <c r="C3793" s="1" t="s">
        <v>768</v>
      </c>
      <c r="D3793" s="1" t="s">
        <v>769</v>
      </c>
      <c r="E3793" s="1" t="s">
        <v>768</v>
      </c>
      <c r="F3793" s="1" t="s">
        <v>769</v>
      </c>
      <c r="G3793" s="1" t="s">
        <v>770</v>
      </c>
      <c r="H3793" s="1" t="s">
        <v>769</v>
      </c>
      <c r="I3793" s="1" t="s">
        <v>15125</v>
      </c>
      <c r="J3793" s="1" t="s">
        <v>15126</v>
      </c>
      <c r="K3793" s="1">
        <v>7</v>
      </c>
      <c r="L3793" s="1" t="s">
        <v>4299</v>
      </c>
      <c r="M3793" s="1">
        <v>13</v>
      </c>
      <c r="N3793" s="1" t="s">
        <v>4300</v>
      </c>
    </row>
    <row r="3794" spans="1:14" x14ac:dyDescent="0.15">
      <c r="A3794" s="1">
        <v>864</v>
      </c>
      <c r="B3794" s="1" t="s">
        <v>765</v>
      </c>
      <c r="C3794" s="1" t="s">
        <v>768</v>
      </c>
      <c r="D3794" s="1" t="s">
        <v>769</v>
      </c>
      <c r="E3794" s="1" t="s">
        <v>768</v>
      </c>
      <c r="F3794" s="1" t="s">
        <v>769</v>
      </c>
      <c r="G3794" s="1" t="s">
        <v>771</v>
      </c>
      <c r="H3794" s="1" t="s">
        <v>772</v>
      </c>
      <c r="I3794" s="1" t="s">
        <v>15125</v>
      </c>
      <c r="J3794" s="1" t="s">
        <v>15126</v>
      </c>
      <c r="K3794" s="1">
        <v>7</v>
      </c>
      <c r="L3794" s="1" t="s">
        <v>4299</v>
      </c>
      <c r="M3794" s="1">
        <v>13</v>
      </c>
      <c r="N3794" s="1" t="s">
        <v>4300</v>
      </c>
    </row>
    <row r="3795" spans="1:14" x14ac:dyDescent="0.15">
      <c r="A3795" s="1">
        <v>864</v>
      </c>
      <c r="B3795" s="1" t="s">
        <v>765</v>
      </c>
      <c r="C3795" s="1" t="s">
        <v>768</v>
      </c>
      <c r="D3795" s="1" t="s">
        <v>769</v>
      </c>
      <c r="E3795" s="1" t="s">
        <v>768</v>
      </c>
      <c r="F3795" s="1" t="s">
        <v>769</v>
      </c>
      <c r="G3795" s="1" t="s">
        <v>773</v>
      </c>
      <c r="H3795" s="1" t="s">
        <v>774</v>
      </c>
      <c r="I3795" s="1" t="s">
        <v>15125</v>
      </c>
      <c r="J3795" s="1" t="s">
        <v>15126</v>
      </c>
      <c r="K3795" s="1">
        <v>7</v>
      </c>
      <c r="L3795" s="1" t="s">
        <v>4299</v>
      </c>
      <c r="M3795" s="1">
        <v>13</v>
      </c>
      <c r="N3795" s="1" t="s">
        <v>4300</v>
      </c>
    </row>
    <row r="3796" spans="1:14" x14ac:dyDescent="0.15">
      <c r="A3796" s="1">
        <v>864</v>
      </c>
      <c r="B3796" s="1" t="s">
        <v>765</v>
      </c>
      <c r="C3796" s="1" t="s">
        <v>775</v>
      </c>
      <c r="D3796" s="1" t="s">
        <v>776</v>
      </c>
      <c r="E3796" s="1" t="s">
        <v>775</v>
      </c>
      <c r="F3796" s="1" t="s">
        <v>776</v>
      </c>
      <c r="G3796" s="1" t="s">
        <v>777</v>
      </c>
      <c r="H3796" s="1" t="s">
        <v>776</v>
      </c>
      <c r="I3796" s="1" t="s">
        <v>4494</v>
      </c>
      <c r="J3796" s="1" t="s">
        <v>4495</v>
      </c>
      <c r="K3796" s="1">
        <v>7</v>
      </c>
      <c r="L3796" s="1" t="s">
        <v>4299</v>
      </c>
      <c r="M3796" s="1">
        <v>13</v>
      </c>
      <c r="N3796" s="1" t="s">
        <v>4300</v>
      </c>
    </row>
    <row r="3797" spans="1:14" x14ac:dyDescent="0.15">
      <c r="A3797" s="1">
        <v>865</v>
      </c>
      <c r="B3797" s="1" t="s">
        <v>778</v>
      </c>
      <c r="C3797" s="1" t="s">
        <v>779</v>
      </c>
      <c r="D3797" s="1" t="s">
        <v>778</v>
      </c>
      <c r="E3797" s="1" t="s">
        <v>779</v>
      </c>
      <c r="F3797" s="1" t="s">
        <v>778</v>
      </c>
      <c r="G3797" s="1" t="s">
        <v>780</v>
      </c>
      <c r="H3797" s="1" t="s">
        <v>778</v>
      </c>
      <c r="I3797" s="1" t="s">
        <v>11879</v>
      </c>
      <c r="J3797" s="1" t="s">
        <v>4278</v>
      </c>
      <c r="K3797" s="1">
        <v>7</v>
      </c>
      <c r="L3797" s="1" t="s">
        <v>4299</v>
      </c>
      <c r="M3797" s="1">
        <v>13</v>
      </c>
      <c r="N3797" s="1" t="s">
        <v>4300</v>
      </c>
    </row>
    <row r="3798" spans="1:14" x14ac:dyDescent="0.15">
      <c r="A3798" s="1">
        <v>865</v>
      </c>
      <c r="B3798" s="1" t="s">
        <v>778</v>
      </c>
      <c r="C3798" s="1" t="s">
        <v>781</v>
      </c>
      <c r="D3798" s="1" t="s">
        <v>782</v>
      </c>
      <c r="E3798" s="1" t="s">
        <v>781</v>
      </c>
      <c r="F3798" s="1" t="s">
        <v>782</v>
      </c>
      <c r="G3798" s="1" t="s">
        <v>783</v>
      </c>
      <c r="H3798" s="1" t="s">
        <v>782</v>
      </c>
      <c r="I3798" s="1" t="s">
        <v>4494</v>
      </c>
      <c r="J3798" s="1" t="s">
        <v>4495</v>
      </c>
      <c r="K3798" s="1">
        <v>7</v>
      </c>
      <c r="L3798" s="1" t="s">
        <v>4299</v>
      </c>
      <c r="M3798" s="1">
        <v>13</v>
      </c>
      <c r="N3798" s="1" t="s">
        <v>4300</v>
      </c>
    </row>
    <row r="3799" spans="1:14" x14ac:dyDescent="0.15">
      <c r="A3799" s="1">
        <v>865</v>
      </c>
      <c r="B3799" s="1" t="s">
        <v>778</v>
      </c>
      <c r="C3799" s="1" t="s">
        <v>784</v>
      </c>
      <c r="D3799" s="1" t="s">
        <v>785</v>
      </c>
      <c r="E3799" s="1" t="s">
        <v>784</v>
      </c>
      <c r="F3799" s="1" t="s">
        <v>785</v>
      </c>
      <c r="G3799" s="1" t="s">
        <v>786</v>
      </c>
      <c r="H3799" s="1" t="s">
        <v>785</v>
      </c>
      <c r="I3799" s="1" t="s">
        <v>4494</v>
      </c>
      <c r="J3799" s="1" t="s">
        <v>4495</v>
      </c>
      <c r="K3799" s="1">
        <v>7</v>
      </c>
      <c r="L3799" s="1" t="s">
        <v>4299</v>
      </c>
      <c r="M3799" s="1">
        <v>13</v>
      </c>
      <c r="N3799" s="1" t="s">
        <v>4300</v>
      </c>
    </row>
    <row r="3800" spans="1:14" x14ac:dyDescent="0.15">
      <c r="A3800" s="1">
        <v>865</v>
      </c>
      <c r="B3800" s="1" t="s">
        <v>778</v>
      </c>
      <c r="C3800" s="1" t="s">
        <v>787</v>
      </c>
      <c r="D3800" s="1" t="s">
        <v>788</v>
      </c>
      <c r="E3800" s="1" t="s">
        <v>787</v>
      </c>
      <c r="F3800" s="1" t="s">
        <v>788</v>
      </c>
      <c r="G3800" s="1" t="s">
        <v>789</v>
      </c>
      <c r="H3800" s="1" t="s">
        <v>788</v>
      </c>
      <c r="I3800" s="1" t="s">
        <v>17920</v>
      </c>
      <c r="J3800" s="1" t="s">
        <v>2908</v>
      </c>
      <c r="K3800" s="1">
        <v>7</v>
      </c>
      <c r="L3800" s="1" t="s">
        <v>4299</v>
      </c>
      <c r="M3800" s="1">
        <v>13</v>
      </c>
      <c r="N3800" s="1" t="s">
        <v>4300</v>
      </c>
    </row>
    <row r="3801" spans="1:14" x14ac:dyDescent="0.15">
      <c r="A3801" s="1">
        <v>871</v>
      </c>
      <c r="B3801" s="1" t="s">
        <v>790</v>
      </c>
      <c r="C3801" s="1" t="s">
        <v>791</v>
      </c>
      <c r="D3801" s="1" t="s">
        <v>790</v>
      </c>
      <c r="E3801" s="1" t="s">
        <v>791</v>
      </c>
      <c r="F3801" s="1" t="s">
        <v>790</v>
      </c>
      <c r="G3801" s="1" t="s">
        <v>792</v>
      </c>
      <c r="H3801" s="1" t="s">
        <v>790</v>
      </c>
      <c r="I3801" s="1" t="s">
        <v>11879</v>
      </c>
      <c r="J3801" s="1" t="s">
        <v>4278</v>
      </c>
      <c r="K3801" s="1">
        <v>7</v>
      </c>
      <c r="L3801" s="1" t="s">
        <v>4299</v>
      </c>
      <c r="M3801" s="1">
        <v>13</v>
      </c>
      <c r="N3801" s="1" t="s">
        <v>4300</v>
      </c>
    </row>
    <row r="3802" spans="1:14" x14ac:dyDescent="0.15">
      <c r="A3802" s="1">
        <v>871</v>
      </c>
      <c r="B3802" s="1" t="s">
        <v>790</v>
      </c>
      <c r="C3802" s="1" t="s">
        <v>793</v>
      </c>
      <c r="D3802" s="1" t="s">
        <v>794</v>
      </c>
      <c r="E3802" s="1" t="s">
        <v>793</v>
      </c>
      <c r="F3802" s="1" t="s">
        <v>794</v>
      </c>
      <c r="G3802" s="1" t="s">
        <v>795</v>
      </c>
      <c r="H3802" s="1" t="s">
        <v>794</v>
      </c>
      <c r="I3802" s="1" t="s">
        <v>4494</v>
      </c>
      <c r="J3802" s="1" t="s">
        <v>4495</v>
      </c>
      <c r="K3802" s="1">
        <v>7</v>
      </c>
      <c r="L3802" s="1" t="s">
        <v>4299</v>
      </c>
      <c r="M3802" s="1">
        <v>13</v>
      </c>
      <c r="N3802" s="1" t="s">
        <v>4300</v>
      </c>
    </row>
    <row r="3803" spans="1:14" x14ac:dyDescent="0.15">
      <c r="A3803" s="1">
        <v>871</v>
      </c>
      <c r="B3803" s="1" t="s">
        <v>790</v>
      </c>
      <c r="C3803" s="1" t="s">
        <v>796</v>
      </c>
      <c r="D3803" s="1" t="s">
        <v>797</v>
      </c>
      <c r="E3803" s="1" t="s">
        <v>796</v>
      </c>
      <c r="F3803" s="1" t="s">
        <v>797</v>
      </c>
      <c r="G3803" s="1" t="s">
        <v>798</v>
      </c>
      <c r="H3803" s="1" t="s">
        <v>797</v>
      </c>
      <c r="I3803" s="1" t="s">
        <v>4494</v>
      </c>
      <c r="J3803" s="1" t="s">
        <v>4495</v>
      </c>
      <c r="K3803" s="1">
        <v>7</v>
      </c>
      <c r="L3803" s="1" t="s">
        <v>4299</v>
      </c>
      <c r="M3803" s="1">
        <v>13</v>
      </c>
      <c r="N3803" s="1" t="s">
        <v>4300</v>
      </c>
    </row>
    <row r="3804" spans="1:14" x14ac:dyDescent="0.15">
      <c r="A3804" s="1">
        <v>871</v>
      </c>
      <c r="B3804" s="1" t="s">
        <v>790</v>
      </c>
      <c r="C3804" s="1" t="s">
        <v>796</v>
      </c>
      <c r="D3804" s="1" t="s">
        <v>797</v>
      </c>
      <c r="E3804" s="1" t="s">
        <v>796</v>
      </c>
      <c r="F3804" s="1" t="s">
        <v>799</v>
      </c>
      <c r="G3804" s="1" t="s">
        <v>800</v>
      </c>
      <c r="H3804" s="1" t="s">
        <v>799</v>
      </c>
      <c r="I3804" s="1" t="s">
        <v>4494</v>
      </c>
      <c r="J3804" s="1" t="s">
        <v>4495</v>
      </c>
      <c r="K3804" s="1">
        <v>7</v>
      </c>
      <c r="L3804" s="1" t="s">
        <v>4299</v>
      </c>
      <c r="M3804" s="1">
        <v>13</v>
      </c>
      <c r="N3804" s="1" t="s">
        <v>4300</v>
      </c>
    </row>
    <row r="3805" spans="1:14" x14ac:dyDescent="0.15">
      <c r="A3805" s="1">
        <v>871</v>
      </c>
      <c r="B3805" s="1" t="s">
        <v>790</v>
      </c>
      <c r="C3805" s="1" t="s">
        <v>796</v>
      </c>
      <c r="D3805" s="1" t="s">
        <v>797</v>
      </c>
      <c r="E3805" s="1" t="s">
        <v>796</v>
      </c>
      <c r="F3805" s="1" t="s">
        <v>801</v>
      </c>
      <c r="G3805" s="1" t="s">
        <v>802</v>
      </c>
      <c r="H3805" s="1" t="s">
        <v>801</v>
      </c>
      <c r="I3805" s="1" t="s">
        <v>4494</v>
      </c>
      <c r="J3805" s="1" t="s">
        <v>4495</v>
      </c>
      <c r="K3805" s="1">
        <v>7</v>
      </c>
      <c r="L3805" s="1" t="s">
        <v>4299</v>
      </c>
      <c r="M3805" s="1">
        <v>13</v>
      </c>
      <c r="N3805" s="1" t="s">
        <v>4300</v>
      </c>
    </row>
    <row r="3806" spans="1:14" x14ac:dyDescent="0.15">
      <c r="A3806" s="1">
        <v>871</v>
      </c>
      <c r="B3806" s="1" t="s">
        <v>790</v>
      </c>
      <c r="C3806" s="1" t="s">
        <v>796</v>
      </c>
      <c r="D3806" s="1" t="s">
        <v>797</v>
      </c>
      <c r="E3806" s="1" t="s">
        <v>796</v>
      </c>
      <c r="F3806" s="1" t="s">
        <v>803</v>
      </c>
      <c r="G3806" s="1" t="s">
        <v>804</v>
      </c>
      <c r="H3806" s="1" t="s">
        <v>803</v>
      </c>
      <c r="I3806" s="1" t="s">
        <v>4494</v>
      </c>
      <c r="J3806" s="1" t="s">
        <v>4495</v>
      </c>
      <c r="K3806" s="1">
        <v>7</v>
      </c>
      <c r="L3806" s="1" t="s">
        <v>4299</v>
      </c>
      <c r="M3806" s="1">
        <v>13</v>
      </c>
      <c r="N3806" s="1" t="s">
        <v>4300</v>
      </c>
    </row>
    <row r="3807" spans="1:14" x14ac:dyDescent="0.15">
      <c r="A3807" s="1">
        <v>871</v>
      </c>
      <c r="B3807" s="1" t="s">
        <v>790</v>
      </c>
      <c r="C3807" s="1" t="s">
        <v>796</v>
      </c>
      <c r="D3807" s="1" t="s">
        <v>797</v>
      </c>
      <c r="E3807" s="1" t="s">
        <v>796</v>
      </c>
      <c r="F3807" s="1" t="s">
        <v>805</v>
      </c>
      <c r="G3807" s="1" t="s">
        <v>806</v>
      </c>
      <c r="H3807" s="1" t="s">
        <v>805</v>
      </c>
      <c r="I3807" s="1" t="s">
        <v>4494</v>
      </c>
      <c r="J3807" s="1" t="s">
        <v>4495</v>
      </c>
      <c r="K3807" s="1">
        <v>7</v>
      </c>
      <c r="L3807" s="1" t="s">
        <v>4299</v>
      </c>
      <c r="M3807" s="1">
        <v>13</v>
      </c>
      <c r="N3807" s="1" t="s">
        <v>4300</v>
      </c>
    </row>
    <row r="3808" spans="1:14" x14ac:dyDescent="0.15">
      <c r="A3808" s="1">
        <v>872</v>
      </c>
      <c r="B3808" s="1" t="s">
        <v>807</v>
      </c>
      <c r="C3808" s="1" t="s">
        <v>808</v>
      </c>
      <c r="D3808" s="1" t="s">
        <v>807</v>
      </c>
      <c r="E3808" s="1" t="s">
        <v>808</v>
      </c>
      <c r="F3808" s="1" t="s">
        <v>807</v>
      </c>
      <c r="G3808" s="1" t="s">
        <v>809</v>
      </c>
      <c r="H3808" s="1" t="s">
        <v>807</v>
      </c>
      <c r="I3808" s="1" t="s">
        <v>4494</v>
      </c>
      <c r="J3808" s="1" t="s">
        <v>4495</v>
      </c>
      <c r="K3808" s="1">
        <v>7</v>
      </c>
      <c r="L3808" s="1" t="s">
        <v>4299</v>
      </c>
      <c r="M3808" s="1">
        <v>13</v>
      </c>
      <c r="N3808" s="1" t="s">
        <v>4300</v>
      </c>
    </row>
    <row r="3809" spans="1:14" x14ac:dyDescent="0.15">
      <c r="A3809" s="1">
        <v>872</v>
      </c>
      <c r="B3809" s="1" t="s">
        <v>807</v>
      </c>
      <c r="C3809" s="1" t="s">
        <v>808</v>
      </c>
      <c r="D3809" s="1" t="s">
        <v>807</v>
      </c>
      <c r="E3809" s="1" t="s">
        <v>808</v>
      </c>
      <c r="F3809" s="1" t="s">
        <v>810</v>
      </c>
      <c r="G3809" s="1" t="s">
        <v>811</v>
      </c>
      <c r="H3809" s="1" t="s">
        <v>810</v>
      </c>
      <c r="I3809" s="1" t="s">
        <v>4494</v>
      </c>
      <c r="J3809" s="1" t="s">
        <v>4495</v>
      </c>
      <c r="K3809" s="1">
        <v>7</v>
      </c>
      <c r="L3809" s="1" t="s">
        <v>4299</v>
      </c>
      <c r="M3809" s="1">
        <v>13</v>
      </c>
      <c r="N3809" s="1" t="s">
        <v>4300</v>
      </c>
    </row>
    <row r="3810" spans="1:14" x14ac:dyDescent="0.15">
      <c r="A3810" s="1">
        <v>872</v>
      </c>
      <c r="B3810" s="1" t="s">
        <v>807</v>
      </c>
      <c r="C3810" s="1" t="s">
        <v>808</v>
      </c>
      <c r="D3810" s="1" t="s">
        <v>807</v>
      </c>
      <c r="E3810" s="1" t="s">
        <v>808</v>
      </c>
      <c r="F3810" s="1" t="s">
        <v>812</v>
      </c>
      <c r="G3810" s="1" t="s">
        <v>813</v>
      </c>
      <c r="H3810" s="1" t="s">
        <v>812</v>
      </c>
      <c r="I3810" s="1" t="s">
        <v>4494</v>
      </c>
      <c r="J3810" s="1" t="s">
        <v>4495</v>
      </c>
      <c r="K3810" s="1">
        <v>7</v>
      </c>
      <c r="L3810" s="1" t="s">
        <v>4299</v>
      </c>
      <c r="M3810" s="1">
        <v>13</v>
      </c>
      <c r="N3810" s="1" t="s">
        <v>4300</v>
      </c>
    </row>
    <row r="3811" spans="1:14" x14ac:dyDescent="0.15">
      <c r="A3811" s="1">
        <v>873</v>
      </c>
      <c r="B3811" s="1" t="s">
        <v>814</v>
      </c>
      <c r="C3811" s="1" t="s">
        <v>815</v>
      </c>
      <c r="D3811" s="1" t="s">
        <v>814</v>
      </c>
      <c r="E3811" s="1" t="s">
        <v>815</v>
      </c>
      <c r="F3811" s="1" t="s">
        <v>814</v>
      </c>
      <c r="G3811" s="1" t="s">
        <v>816</v>
      </c>
      <c r="H3811" s="1" t="s">
        <v>814</v>
      </c>
      <c r="I3811" s="1" t="s">
        <v>4494</v>
      </c>
      <c r="J3811" s="1" t="s">
        <v>4495</v>
      </c>
      <c r="K3811" s="1">
        <v>7</v>
      </c>
      <c r="L3811" s="1" t="s">
        <v>4299</v>
      </c>
      <c r="M3811" s="1">
        <v>13</v>
      </c>
      <c r="N3811" s="1" t="s">
        <v>4300</v>
      </c>
    </row>
    <row r="3812" spans="1:14" x14ac:dyDescent="0.15">
      <c r="A3812" s="1">
        <v>874</v>
      </c>
      <c r="B3812" s="1" t="s">
        <v>817</v>
      </c>
      <c r="C3812" s="1" t="s">
        <v>818</v>
      </c>
      <c r="D3812" s="1" t="s">
        <v>817</v>
      </c>
      <c r="E3812" s="1" t="s">
        <v>818</v>
      </c>
      <c r="F3812" s="1" t="s">
        <v>817</v>
      </c>
      <c r="G3812" s="1" t="s">
        <v>819</v>
      </c>
      <c r="H3812" s="1" t="s">
        <v>817</v>
      </c>
      <c r="I3812" s="1" t="s">
        <v>16463</v>
      </c>
      <c r="J3812" s="1" t="s">
        <v>16464</v>
      </c>
      <c r="K3812" s="1">
        <v>7</v>
      </c>
      <c r="L3812" s="1" t="s">
        <v>4299</v>
      </c>
      <c r="M3812" s="1">
        <v>13</v>
      </c>
      <c r="N3812" s="1" t="s">
        <v>4300</v>
      </c>
    </row>
    <row r="3813" spans="1:14" x14ac:dyDescent="0.15">
      <c r="A3813" s="1">
        <v>874</v>
      </c>
      <c r="B3813" s="1" t="s">
        <v>817</v>
      </c>
      <c r="C3813" s="1" t="s">
        <v>818</v>
      </c>
      <c r="D3813" s="1" t="s">
        <v>817</v>
      </c>
      <c r="E3813" s="1" t="s">
        <v>818</v>
      </c>
      <c r="F3813" s="1" t="s">
        <v>817</v>
      </c>
      <c r="G3813" s="1" t="s">
        <v>820</v>
      </c>
      <c r="H3813" s="1" t="s">
        <v>821</v>
      </c>
      <c r="I3813" s="1" t="s">
        <v>16463</v>
      </c>
      <c r="J3813" s="1" t="s">
        <v>16464</v>
      </c>
      <c r="K3813" s="1">
        <v>7</v>
      </c>
      <c r="L3813" s="1" t="s">
        <v>4299</v>
      </c>
      <c r="M3813" s="1">
        <v>13</v>
      </c>
      <c r="N3813" s="1" t="s">
        <v>4300</v>
      </c>
    </row>
    <row r="3814" spans="1:14" x14ac:dyDescent="0.15">
      <c r="A3814" s="1">
        <v>874</v>
      </c>
      <c r="B3814" s="1" t="s">
        <v>817</v>
      </c>
      <c r="C3814" s="1" t="s">
        <v>818</v>
      </c>
      <c r="D3814" s="1" t="s">
        <v>817</v>
      </c>
      <c r="E3814" s="1" t="s">
        <v>818</v>
      </c>
      <c r="F3814" s="1" t="s">
        <v>817</v>
      </c>
      <c r="G3814" s="1" t="s">
        <v>822</v>
      </c>
      <c r="H3814" s="1" t="s">
        <v>823</v>
      </c>
      <c r="I3814" s="1" t="s">
        <v>16463</v>
      </c>
      <c r="J3814" s="1" t="s">
        <v>16464</v>
      </c>
      <c r="K3814" s="1">
        <v>7</v>
      </c>
      <c r="L3814" s="1" t="s">
        <v>4299</v>
      </c>
      <c r="M3814" s="1">
        <v>13</v>
      </c>
      <c r="N3814" s="1" t="s">
        <v>4300</v>
      </c>
    </row>
    <row r="3815" spans="1:14" x14ac:dyDescent="0.15">
      <c r="A3815" s="1">
        <v>874</v>
      </c>
      <c r="B3815" s="1" t="s">
        <v>817</v>
      </c>
      <c r="C3815" s="1" t="s">
        <v>818</v>
      </c>
      <c r="D3815" s="1" t="s">
        <v>817</v>
      </c>
      <c r="E3815" s="1" t="s">
        <v>818</v>
      </c>
      <c r="F3815" s="1" t="s">
        <v>817</v>
      </c>
      <c r="G3815" s="1" t="s">
        <v>824</v>
      </c>
      <c r="H3815" s="1" t="s">
        <v>825</v>
      </c>
      <c r="I3815" s="1" t="s">
        <v>16463</v>
      </c>
      <c r="J3815" s="1" t="s">
        <v>16464</v>
      </c>
      <c r="K3815" s="1">
        <v>7</v>
      </c>
      <c r="L3815" s="1" t="s">
        <v>4299</v>
      </c>
      <c r="M3815" s="1">
        <v>13</v>
      </c>
      <c r="N3815" s="1" t="s">
        <v>4300</v>
      </c>
    </row>
    <row r="3816" spans="1:14" x14ac:dyDescent="0.15">
      <c r="A3816" s="1">
        <v>874</v>
      </c>
      <c r="B3816" s="1" t="s">
        <v>817</v>
      </c>
      <c r="C3816" s="1" t="s">
        <v>818</v>
      </c>
      <c r="D3816" s="1" t="s">
        <v>817</v>
      </c>
      <c r="E3816" s="1" t="s">
        <v>818</v>
      </c>
      <c r="F3816" s="1" t="s">
        <v>817</v>
      </c>
      <c r="G3816" s="1" t="s">
        <v>826</v>
      </c>
      <c r="H3816" s="1" t="s">
        <v>827</v>
      </c>
      <c r="I3816" s="1" t="s">
        <v>16463</v>
      </c>
      <c r="J3816" s="1" t="s">
        <v>16464</v>
      </c>
      <c r="K3816" s="1">
        <v>7</v>
      </c>
      <c r="L3816" s="1" t="s">
        <v>4299</v>
      </c>
      <c r="M3816" s="1">
        <v>13</v>
      </c>
      <c r="N3816" s="1" t="s">
        <v>4300</v>
      </c>
    </row>
    <row r="3817" spans="1:14" x14ac:dyDescent="0.15">
      <c r="A3817" s="1">
        <v>874</v>
      </c>
      <c r="B3817" s="1" t="s">
        <v>817</v>
      </c>
      <c r="C3817" s="1" t="s">
        <v>818</v>
      </c>
      <c r="D3817" s="1" t="s">
        <v>817</v>
      </c>
      <c r="E3817" s="1" t="s">
        <v>818</v>
      </c>
      <c r="F3817" s="1" t="s">
        <v>817</v>
      </c>
      <c r="G3817" s="1" t="s">
        <v>828</v>
      </c>
      <c r="H3817" s="1" t="s">
        <v>829</v>
      </c>
      <c r="I3817" s="1" t="s">
        <v>16463</v>
      </c>
      <c r="J3817" s="1" t="s">
        <v>16464</v>
      </c>
      <c r="K3817" s="1">
        <v>7</v>
      </c>
      <c r="L3817" s="1" t="s">
        <v>4299</v>
      </c>
      <c r="M3817" s="1">
        <v>13</v>
      </c>
      <c r="N3817" s="1" t="s">
        <v>4300</v>
      </c>
    </row>
    <row r="3818" spans="1:14" x14ac:dyDescent="0.15">
      <c r="A3818" s="1">
        <v>875</v>
      </c>
      <c r="B3818" s="1" t="s">
        <v>830</v>
      </c>
      <c r="C3818" s="1" t="s">
        <v>831</v>
      </c>
      <c r="D3818" s="1" t="s">
        <v>830</v>
      </c>
      <c r="E3818" s="1" t="s">
        <v>831</v>
      </c>
      <c r="F3818" s="1" t="s">
        <v>830</v>
      </c>
      <c r="G3818" s="1" t="s">
        <v>832</v>
      </c>
      <c r="H3818" s="1" t="s">
        <v>830</v>
      </c>
      <c r="I3818" s="1" t="s">
        <v>14356</v>
      </c>
      <c r="J3818" s="1" t="s">
        <v>269</v>
      </c>
      <c r="K3818" s="1">
        <v>11</v>
      </c>
      <c r="L3818" s="1" t="s">
        <v>4227</v>
      </c>
      <c r="M3818" s="1">
        <v>14</v>
      </c>
      <c r="N3818" s="1" t="s">
        <v>4220</v>
      </c>
    </row>
    <row r="3819" spans="1:14" x14ac:dyDescent="0.15">
      <c r="A3819" s="1">
        <v>875</v>
      </c>
      <c r="B3819" s="1" t="s">
        <v>830</v>
      </c>
      <c r="C3819" s="1" t="s">
        <v>831</v>
      </c>
      <c r="D3819" s="1" t="s">
        <v>830</v>
      </c>
      <c r="E3819" s="1" t="s">
        <v>831</v>
      </c>
      <c r="F3819" s="1" t="s">
        <v>830</v>
      </c>
      <c r="G3819" s="1" t="s">
        <v>833</v>
      </c>
      <c r="H3819" s="1" t="s">
        <v>834</v>
      </c>
      <c r="I3819" s="1" t="s">
        <v>14356</v>
      </c>
      <c r="J3819" s="1" t="s">
        <v>269</v>
      </c>
      <c r="K3819" s="1">
        <v>11</v>
      </c>
      <c r="L3819" s="1" t="s">
        <v>4227</v>
      </c>
      <c r="M3819" s="1">
        <v>14</v>
      </c>
      <c r="N3819" s="1" t="s">
        <v>4220</v>
      </c>
    </row>
    <row r="3820" spans="1:14" x14ac:dyDescent="0.15">
      <c r="A3820" s="1">
        <v>875</v>
      </c>
      <c r="B3820" s="1" t="s">
        <v>830</v>
      </c>
      <c r="C3820" s="1" t="s">
        <v>831</v>
      </c>
      <c r="D3820" s="1" t="s">
        <v>830</v>
      </c>
      <c r="E3820" s="1" t="s">
        <v>831</v>
      </c>
      <c r="F3820" s="1" t="s">
        <v>830</v>
      </c>
      <c r="G3820" s="1" t="s">
        <v>835</v>
      </c>
      <c r="H3820" s="1" t="s">
        <v>836</v>
      </c>
      <c r="I3820" s="1" t="s">
        <v>14356</v>
      </c>
      <c r="J3820" s="1" t="s">
        <v>269</v>
      </c>
      <c r="K3820" s="1">
        <v>11</v>
      </c>
      <c r="L3820" s="1" t="s">
        <v>4227</v>
      </c>
      <c r="M3820" s="1">
        <v>14</v>
      </c>
      <c r="N3820" s="1" t="s">
        <v>4220</v>
      </c>
    </row>
    <row r="3821" spans="1:14" x14ac:dyDescent="0.15">
      <c r="A3821" s="1">
        <v>875</v>
      </c>
      <c r="B3821" s="1" t="s">
        <v>830</v>
      </c>
      <c r="C3821" s="1" t="s">
        <v>831</v>
      </c>
      <c r="D3821" s="1" t="s">
        <v>830</v>
      </c>
      <c r="E3821" s="1" t="s">
        <v>831</v>
      </c>
      <c r="F3821" s="1" t="s">
        <v>830</v>
      </c>
      <c r="G3821" s="1" t="s">
        <v>837</v>
      </c>
      <c r="H3821" s="1" t="s">
        <v>838</v>
      </c>
      <c r="I3821" s="1" t="s">
        <v>14356</v>
      </c>
      <c r="J3821" s="1" t="s">
        <v>269</v>
      </c>
      <c r="K3821" s="1">
        <v>11</v>
      </c>
      <c r="L3821" s="1" t="s">
        <v>4227</v>
      </c>
      <c r="M3821" s="1">
        <v>14</v>
      </c>
      <c r="N3821" s="1" t="s">
        <v>4220</v>
      </c>
    </row>
    <row r="3822" spans="1:14" x14ac:dyDescent="0.15">
      <c r="A3822" s="1">
        <v>875</v>
      </c>
      <c r="B3822" s="1" t="s">
        <v>830</v>
      </c>
      <c r="C3822" s="1" t="s">
        <v>831</v>
      </c>
      <c r="D3822" s="1" t="s">
        <v>830</v>
      </c>
      <c r="E3822" s="1" t="s">
        <v>831</v>
      </c>
      <c r="F3822" s="1" t="s">
        <v>830</v>
      </c>
      <c r="G3822" s="1" t="s">
        <v>839</v>
      </c>
      <c r="H3822" s="1" t="s">
        <v>840</v>
      </c>
      <c r="I3822" s="1" t="s">
        <v>14356</v>
      </c>
      <c r="J3822" s="1" t="s">
        <v>269</v>
      </c>
      <c r="K3822" s="1">
        <v>11</v>
      </c>
      <c r="L3822" s="1" t="s">
        <v>4227</v>
      </c>
      <c r="M3822" s="1">
        <v>14</v>
      </c>
      <c r="N3822" s="1" t="s">
        <v>4220</v>
      </c>
    </row>
    <row r="3823" spans="1:14" x14ac:dyDescent="0.15">
      <c r="A3823" s="1">
        <v>875</v>
      </c>
      <c r="B3823" s="1" t="s">
        <v>830</v>
      </c>
      <c r="C3823" s="1" t="s">
        <v>831</v>
      </c>
      <c r="D3823" s="1" t="s">
        <v>830</v>
      </c>
      <c r="E3823" s="1" t="s">
        <v>831</v>
      </c>
      <c r="F3823" s="1" t="s">
        <v>830</v>
      </c>
      <c r="G3823" s="1" t="s">
        <v>841</v>
      </c>
      <c r="H3823" s="1" t="s">
        <v>842</v>
      </c>
      <c r="I3823" s="1" t="s">
        <v>14356</v>
      </c>
      <c r="J3823" s="1" t="s">
        <v>269</v>
      </c>
      <c r="K3823" s="1">
        <v>11</v>
      </c>
      <c r="L3823" s="1" t="s">
        <v>4227</v>
      </c>
      <c r="M3823" s="1">
        <v>14</v>
      </c>
      <c r="N3823" s="1" t="s">
        <v>4220</v>
      </c>
    </row>
    <row r="3824" spans="1:14" x14ac:dyDescent="0.15">
      <c r="A3824" s="1">
        <v>875</v>
      </c>
      <c r="B3824" s="1" t="s">
        <v>830</v>
      </c>
      <c r="C3824" s="1" t="s">
        <v>831</v>
      </c>
      <c r="D3824" s="1" t="s">
        <v>830</v>
      </c>
      <c r="E3824" s="1" t="s">
        <v>831</v>
      </c>
      <c r="F3824" s="1" t="s">
        <v>830</v>
      </c>
      <c r="G3824" s="1" t="s">
        <v>843</v>
      </c>
      <c r="H3824" s="1" t="s">
        <v>844</v>
      </c>
      <c r="I3824" s="1" t="s">
        <v>14356</v>
      </c>
      <c r="J3824" s="1" t="s">
        <v>269</v>
      </c>
      <c r="K3824" s="1">
        <v>11</v>
      </c>
      <c r="L3824" s="1" t="s">
        <v>4227</v>
      </c>
      <c r="M3824" s="1">
        <v>14</v>
      </c>
      <c r="N3824" s="1" t="s">
        <v>4220</v>
      </c>
    </row>
    <row r="3825" spans="1:14" x14ac:dyDescent="0.15">
      <c r="A3825" s="1">
        <v>876</v>
      </c>
      <c r="B3825" s="1" t="s">
        <v>845</v>
      </c>
      <c r="C3825" s="1" t="s">
        <v>846</v>
      </c>
      <c r="D3825" s="1" t="s">
        <v>845</v>
      </c>
      <c r="E3825" s="1" t="s">
        <v>846</v>
      </c>
      <c r="F3825" s="1" t="s">
        <v>845</v>
      </c>
      <c r="G3825" s="1" t="s">
        <v>847</v>
      </c>
      <c r="H3825" s="1" t="s">
        <v>845</v>
      </c>
      <c r="I3825" s="1" t="s">
        <v>11879</v>
      </c>
      <c r="J3825" s="1" t="s">
        <v>4278</v>
      </c>
      <c r="K3825" s="1">
        <v>7</v>
      </c>
      <c r="L3825" s="1" t="s">
        <v>4299</v>
      </c>
      <c r="M3825" s="1">
        <v>13</v>
      </c>
      <c r="N3825" s="1" t="s">
        <v>4300</v>
      </c>
    </row>
    <row r="3826" spans="1:14" x14ac:dyDescent="0.15">
      <c r="A3826" s="1">
        <v>876</v>
      </c>
      <c r="B3826" s="1" t="s">
        <v>845</v>
      </c>
      <c r="C3826" s="1" t="s">
        <v>848</v>
      </c>
      <c r="D3826" s="1" t="s">
        <v>849</v>
      </c>
      <c r="E3826" s="1" t="s">
        <v>848</v>
      </c>
      <c r="F3826" s="1" t="s">
        <v>849</v>
      </c>
      <c r="G3826" s="1" t="s">
        <v>850</v>
      </c>
      <c r="H3826" s="1" t="s">
        <v>849</v>
      </c>
      <c r="I3826" s="1" t="s">
        <v>13650</v>
      </c>
      <c r="J3826" s="1" t="s">
        <v>5007</v>
      </c>
      <c r="K3826" s="1">
        <v>7</v>
      </c>
      <c r="L3826" s="1" t="s">
        <v>4299</v>
      </c>
      <c r="M3826" s="1">
        <v>13</v>
      </c>
      <c r="N3826" s="1" t="s">
        <v>4300</v>
      </c>
    </row>
    <row r="3827" spans="1:14" x14ac:dyDescent="0.15">
      <c r="A3827" s="1">
        <v>876</v>
      </c>
      <c r="B3827" s="1" t="s">
        <v>845</v>
      </c>
      <c r="C3827" s="1" t="s">
        <v>851</v>
      </c>
      <c r="D3827" s="1" t="s">
        <v>852</v>
      </c>
      <c r="E3827" s="1" t="s">
        <v>851</v>
      </c>
      <c r="F3827" s="1" t="s">
        <v>852</v>
      </c>
      <c r="G3827" s="1" t="s">
        <v>853</v>
      </c>
      <c r="H3827" s="1" t="s">
        <v>852</v>
      </c>
      <c r="I3827" s="1" t="s">
        <v>13514</v>
      </c>
      <c r="J3827" s="1" t="s">
        <v>5160</v>
      </c>
      <c r="K3827" s="1">
        <v>7</v>
      </c>
      <c r="L3827" s="1" t="s">
        <v>4299</v>
      </c>
      <c r="M3827" s="1">
        <v>13</v>
      </c>
      <c r="N3827" s="1" t="s">
        <v>4300</v>
      </c>
    </row>
    <row r="3828" spans="1:14" x14ac:dyDescent="0.15">
      <c r="A3828" s="1">
        <v>876</v>
      </c>
      <c r="B3828" s="1" t="s">
        <v>845</v>
      </c>
      <c r="C3828" s="1" t="s">
        <v>851</v>
      </c>
      <c r="D3828" s="1" t="s">
        <v>852</v>
      </c>
      <c r="E3828" s="1" t="s">
        <v>851</v>
      </c>
      <c r="F3828" s="1" t="s">
        <v>852</v>
      </c>
      <c r="G3828" s="1" t="s">
        <v>853</v>
      </c>
      <c r="H3828" s="1" t="s">
        <v>852</v>
      </c>
      <c r="I3828" s="1" t="s">
        <v>7973</v>
      </c>
      <c r="J3828" s="1" t="s">
        <v>4777</v>
      </c>
      <c r="K3828" s="1">
        <v>7</v>
      </c>
      <c r="L3828" s="1" t="s">
        <v>4299</v>
      </c>
      <c r="M3828" s="1">
        <v>13</v>
      </c>
      <c r="N3828" s="1" t="s">
        <v>4300</v>
      </c>
    </row>
    <row r="3829" spans="1:14" x14ac:dyDescent="0.15">
      <c r="A3829" s="1">
        <v>876</v>
      </c>
      <c r="B3829" s="1" t="s">
        <v>845</v>
      </c>
      <c r="C3829" s="1" t="s">
        <v>854</v>
      </c>
      <c r="D3829" s="1" t="s">
        <v>855</v>
      </c>
      <c r="E3829" s="1" t="s">
        <v>854</v>
      </c>
      <c r="F3829" s="1" t="s">
        <v>855</v>
      </c>
      <c r="G3829" s="1" t="s">
        <v>856</v>
      </c>
      <c r="H3829" s="1" t="s">
        <v>855</v>
      </c>
      <c r="I3829" s="1" t="s">
        <v>13810</v>
      </c>
      <c r="J3829" s="1" t="s">
        <v>5066</v>
      </c>
      <c r="K3829" s="1">
        <v>7</v>
      </c>
      <c r="L3829" s="1" t="s">
        <v>4299</v>
      </c>
      <c r="M3829" s="1">
        <v>13</v>
      </c>
      <c r="N3829" s="1" t="s">
        <v>4300</v>
      </c>
    </row>
    <row r="3830" spans="1:14" x14ac:dyDescent="0.15">
      <c r="A3830" s="1">
        <v>876</v>
      </c>
      <c r="B3830" s="1" t="s">
        <v>845</v>
      </c>
      <c r="C3830" s="1" t="s">
        <v>854</v>
      </c>
      <c r="D3830" s="1" t="s">
        <v>855</v>
      </c>
      <c r="E3830" s="1" t="s">
        <v>854</v>
      </c>
      <c r="F3830" s="1" t="s">
        <v>855</v>
      </c>
      <c r="G3830" s="1" t="s">
        <v>857</v>
      </c>
      <c r="H3830" s="1" t="s">
        <v>858</v>
      </c>
      <c r="I3830" s="1" t="s">
        <v>13810</v>
      </c>
      <c r="J3830" s="1" t="s">
        <v>5066</v>
      </c>
      <c r="K3830" s="1">
        <v>7</v>
      </c>
      <c r="L3830" s="1" t="s">
        <v>4299</v>
      </c>
      <c r="M3830" s="1">
        <v>13</v>
      </c>
      <c r="N3830" s="1" t="s">
        <v>4300</v>
      </c>
    </row>
    <row r="3831" spans="1:14" x14ac:dyDescent="0.15">
      <c r="A3831" s="1">
        <v>876</v>
      </c>
      <c r="B3831" s="1" t="s">
        <v>845</v>
      </c>
      <c r="C3831" s="1" t="s">
        <v>854</v>
      </c>
      <c r="D3831" s="1" t="s">
        <v>855</v>
      </c>
      <c r="E3831" s="1" t="s">
        <v>854</v>
      </c>
      <c r="F3831" s="1" t="s">
        <v>855</v>
      </c>
      <c r="G3831" s="1" t="s">
        <v>859</v>
      </c>
      <c r="H3831" s="1" t="s">
        <v>860</v>
      </c>
      <c r="I3831" s="1" t="s">
        <v>13810</v>
      </c>
      <c r="J3831" s="1" t="s">
        <v>5066</v>
      </c>
      <c r="K3831" s="1">
        <v>7</v>
      </c>
      <c r="L3831" s="1" t="s">
        <v>4299</v>
      </c>
      <c r="M3831" s="1">
        <v>13</v>
      </c>
      <c r="N3831" s="1" t="s">
        <v>4300</v>
      </c>
    </row>
    <row r="3832" spans="1:14" x14ac:dyDescent="0.15">
      <c r="A3832" s="1">
        <v>880</v>
      </c>
      <c r="B3832" s="1" t="s">
        <v>861</v>
      </c>
      <c r="C3832" s="1" t="s">
        <v>862</v>
      </c>
      <c r="D3832" s="1" t="s">
        <v>861</v>
      </c>
      <c r="E3832" s="1" t="s">
        <v>862</v>
      </c>
      <c r="F3832" s="1" t="s">
        <v>861</v>
      </c>
      <c r="G3832" s="1" t="s">
        <v>863</v>
      </c>
      <c r="H3832" s="1" t="s">
        <v>861</v>
      </c>
      <c r="I3832" s="1" t="s">
        <v>4494</v>
      </c>
      <c r="J3832" s="1" t="s">
        <v>4495</v>
      </c>
      <c r="K3832" s="1">
        <v>7</v>
      </c>
      <c r="L3832" s="1" t="s">
        <v>4299</v>
      </c>
      <c r="M3832" s="1">
        <v>13</v>
      </c>
      <c r="N3832" s="1" t="s">
        <v>4300</v>
      </c>
    </row>
    <row r="3833" spans="1:14" x14ac:dyDescent="0.15">
      <c r="A3833" s="1">
        <v>881</v>
      </c>
      <c r="B3833" s="1" t="s">
        <v>864</v>
      </c>
      <c r="C3833" s="1" t="s">
        <v>865</v>
      </c>
      <c r="D3833" s="1" t="s">
        <v>864</v>
      </c>
      <c r="E3833" s="1" t="s">
        <v>865</v>
      </c>
      <c r="F3833" s="1" t="s">
        <v>864</v>
      </c>
      <c r="G3833" s="1" t="s">
        <v>866</v>
      </c>
      <c r="H3833" s="1" t="s">
        <v>864</v>
      </c>
      <c r="I3833" s="1" t="s">
        <v>11879</v>
      </c>
      <c r="J3833" s="1" t="s">
        <v>4278</v>
      </c>
      <c r="K3833" s="1">
        <v>7</v>
      </c>
      <c r="L3833" s="1" t="s">
        <v>4299</v>
      </c>
      <c r="M3833" s="1">
        <v>13</v>
      </c>
      <c r="N3833" s="1" t="s">
        <v>4300</v>
      </c>
    </row>
    <row r="3834" spans="1:14" x14ac:dyDescent="0.15">
      <c r="A3834" s="1">
        <v>881</v>
      </c>
      <c r="B3834" s="1" t="s">
        <v>864</v>
      </c>
      <c r="C3834" s="1" t="s">
        <v>867</v>
      </c>
      <c r="D3834" s="1" t="s">
        <v>868</v>
      </c>
      <c r="E3834" s="1" t="s">
        <v>867</v>
      </c>
      <c r="F3834" s="1" t="s">
        <v>868</v>
      </c>
      <c r="G3834" s="1" t="s">
        <v>869</v>
      </c>
      <c r="H3834" s="1" t="s">
        <v>868</v>
      </c>
      <c r="I3834" s="1" t="s">
        <v>4494</v>
      </c>
      <c r="J3834" s="1" t="s">
        <v>4495</v>
      </c>
      <c r="K3834" s="1">
        <v>7</v>
      </c>
      <c r="L3834" s="1" t="s">
        <v>4299</v>
      </c>
      <c r="M3834" s="1">
        <v>13</v>
      </c>
      <c r="N3834" s="1" t="s">
        <v>4300</v>
      </c>
    </row>
    <row r="3835" spans="1:14" x14ac:dyDescent="0.15">
      <c r="A3835" s="1">
        <v>881</v>
      </c>
      <c r="B3835" s="1" t="s">
        <v>864</v>
      </c>
      <c r="C3835" s="1" t="s">
        <v>867</v>
      </c>
      <c r="D3835" s="1" t="s">
        <v>868</v>
      </c>
      <c r="E3835" s="1" t="s">
        <v>867</v>
      </c>
      <c r="F3835" s="1" t="s">
        <v>870</v>
      </c>
      <c r="G3835" s="1" t="s">
        <v>871</v>
      </c>
      <c r="H3835" s="1" t="s">
        <v>870</v>
      </c>
      <c r="I3835" s="1" t="s">
        <v>4494</v>
      </c>
      <c r="J3835" s="1" t="s">
        <v>4495</v>
      </c>
      <c r="K3835" s="1">
        <v>7</v>
      </c>
      <c r="L3835" s="1" t="s">
        <v>4299</v>
      </c>
      <c r="M3835" s="1">
        <v>13</v>
      </c>
      <c r="N3835" s="1" t="s">
        <v>4300</v>
      </c>
    </row>
    <row r="3836" spans="1:14" x14ac:dyDescent="0.15">
      <c r="A3836" s="1">
        <v>881</v>
      </c>
      <c r="B3836" s="1" t="s">
        <v>864</v>
      </c>
      <c r="C3836" s="1" t="s">
        <v>867</v>
      </c>
      <c r="D3836" s="1" t="s">
        <v>868</v>
      </c>
      <c r="E3836" s="1" t="s">
        <v>867</v>
      </c>
      <c r="F3836" s="1" t="s">
        <v>872</v>
      </c>
      <c r="G3836" s="1" t="s">
        <v>873</v>
      </c>
      <c r="H3836" s="1" t="s">
        <v>872</v>
      </c>
      <c r="I3836" s="1" t="s">
        <v>4494</v>
      </c>
      <c r="J3836" s="1" t="s">
        <v>4495</v>
      </c>
      <c r="K3836" s="1">
        <v>7</v>
      </c>
      <c r="L3836" s="1" t="s">
        <v>4299</v>
      </c>
      <c r="M3836" s="1">
        <v>13</v>
      </c>
      <c r="N3836" s="1" t="s">
        <v>4300</v>
      </c>
    </row>
    <row r="3837" spans="1:14" x14ac:dyDescent="0.15">
      <c r="A3837" s="1">
        <v>881</v>
      </c>
      <c r="B3837" s="1" t="s">
        <v>864</v>
      </c>
      <c r="C3837" s="1" t="s">
        <v>874</v>
      </c>
      <c r="D3837" s="1" t="s">
        <v>875</v>
      </c>
      <c r="E3837" s="1" t="s">
        <v>874</v>
      </c>
      <c r="F3837" s="1" t="s">
        <v>875</v>
      </c>
      <c r="G3837" s="1" t="s">
        <v>876</v>
      </c>
      <c r="H3837" s="1" t="s">
        <v>875</v>
      </c>
      <c r="I3837" s="1" t="s">
        <v>14376</v>
      </c>
      <c r="J3837" s="1" t="s">
        <v>122</v>
      </c>
      <c r="K3837" s="1">
        <v>7</v>
      </c>
      <c r="L3837" s="1" t="s">
        <v>4299</v>
      </c>
      <c r="M3837" s="1">
        <v>13</v>
      </c>
      <c r="N3837" s="1" t="s">
        <v>4300</v>
      </c>
    </row>
    <row r="3838" spans="1:14" x14ac:dyDescent="0.15">
      <c r="A3838" s="1">
        <v>881</v>
      </c>
      <c r="B3838" s="1" t="s">
        <v>864</v>
      </c>
      <c r="C3838" s="1" t="s">
        <v>877</v>
      </c>
      <c r="D3838" s="1" t="s">
        <v>878</v>
      </c>
      <c r="E3838" s="1" t="s">
        <v>877</v>
      </c>
      <c r="F3838" s="1" t="s">
        <v>878</v>
      </c>
      <c r="G3838" s="1" t="s">
        <v>879</v>
      </c>
      <c r="H3838" s="1" t="s">
        <v>878</v>
      </c>
      <c r="I3838" s="1" t="s">
        <v>11054</v>
      </c>
      <c r="J3838" s="1" t="s">
        <v>3043</v>
      </c>
      <c r="K3838" s="1">
        <v>7</v>
      </c>
      <c r="L3838" s="1" t="s">
        <v>4299</v>
      </c>
      <c r="M3838" s="1">
        <v>13</v>
      </c>
      <c r="N3838" s="1" t="s">
        <v>4300</v>
      </c>
    </row>
    <row r="3839" spans="1:14" x14ac:dyDescent="0.15">
      <c r="A3839" s="1">
        <v>883</v>
      </c>
      <c r="B3839" s="1" t="s">
        <v>880</v>
      </c>
      <c r="C3839" s="1" t="s">
        <v>881</v>
      </c>
      <c r="D3839" s="1" t="s">
        <v>880</v>
      </c>
      <c r="E3839" s="1" t="s">
        <v>881</v>
      </c>
      <c r="F3839" s="1" t="s">
        <v>880</v>
      </c>
      <c r="G3839" s="1" t="s">
        <v>882</v>
      </c>
      <c r="H3839" s="1" t="s">
        <v>880</v>
      </c>
      <c r="I3839" s="1" t="s">
        <v>11879</v>
      </c>
      <c r="J3839" s="1" t="s">
        <v>4278</v>
      </c>
      <c r="K3839" s="1">
        <v>13</v>
      </c>
      <c r="L3839" s="1" t="s">
        <v>4219</v>
      </c>
      <c r="M3839" s="1">
        <v>3</v>
      </c>
      <c r="N3839" s="1" t="s">
        <v>3241</v>
      </c>
    </row>
    <row r="3840" spans="1:14" x14ac:dyDescent="0.15">
      <c r="A3840" s="1">
        <v>883</v>
      </c>
      <c r="B3840" s="1" t="s">
        <v>880</v>
      </c>
      <c r="C3840" s="1" t="s">
        <v>883</v>
      </c>
      <c r="D3840" s="1" t="s">
        <v>884</v>
      </c>
      <c r="E3840" s="1" t="s">
        <v>883</v>
      </c>
      <c r="F3840" s="1" t="s">
        <v>884</v>
      </c>
      <c r="G3840" s="1" t="s">
        <v>885</v>
      </c>
      <c r="H3840" s="1" t="s">
        <v>884</v>
      </c>
      <c r="I3840" s="1" t="s">
        <v>10975</v>
      </c>
      <c r="J3840" s="1" t="s">
        <v>886</v>
      </c>
      <c r="K3840" s="1">
        <v>13</v>
      </c>
      <c r="L3840" s="1" t="s">
        <v>4219</v>
      </c>
      <c r="M3840" s="1">
        <v>3</v>
      </c>
      <c r="N3840" s="1" t="s">
        <v>3241</v>
      </c>
    </row>
    <row r="3841" spans="1:14" x14ac:dyDescent="0.15">
      <c r="A3841" s="1">
        <v>883</v>
      </c>
      <c r="B3841" s="1" t="s">
        <v>880</v>
      </c>
      <c r="C3841" s="1" t="s">
        <v>883</v>
      </c>
      <c r="D3841" s="1" t="s">
        <v>884</v>
      </c>
      <c r="E3841" s="1" t="s">
        <v>883</v>
      </c>
      <c r="F3841" s="1" t="s">
        <v>884</v>
      </c>
      <c r="G3841" s="1" t="s">
        <v>887</v>
      </c>
      <c r="H3841" s="1" t="s">
        <v>888</v>
      </c>
      <c r="I3841" s="1" t="s">
        <v>10975</v>
      </c>
      <c r="J3841" s="1" t="s">
        <v>886</v>
      </c>
      <c r="K3841" s="1">
        <v>13</v>
      </c>
      <c r="L3841" s="1" t="s">
        <v>4219</v>
      </c>
      <c r="M3841" s="1">
        <v>3</v>
      </c>
      <c r="N3841" s="1" t="s">
        <v>3241</v>
      </c>
    </row>
    <row r="3842" spans="1:14" x14ac:dyDescent="0.15">
      <c r="A3842" s="1">
        <v>883</v>
      </c>
      <c r="B3842" s="1" t="s">
        <v>880</v>
      </c>
      <c r="C3842" s="1" t="s">
        <v>883</v>
      </c>
      <c r="D3842" s="1" t="s">
        <v>884</v>
      </c>
      <c r="E3842" s="1" t="s">
        <v>883</v>
      </c>
      <c r="F3842" s="1" t="s">
        <v>884</v>
      </c>
      <c r="G3842" s="1" t="s">
        <v>889</v>
      </c>
      <c r="H3842" s="1" t="s">
        <v>890</v>
      </c>
      <c r="I3842" s="1" t="s">
        <v>10975</v>
      </c>
      <c r="J3842" s="1" t="s">
        <v>886</v>
      </c>
      <c r="K3842" s="1">
        <v>13</v>
      </c>
      <c r="L3842" s="1" t="s">
        <v>4219</v>
      </c>
      <c r="M3842" s="1">
        <v>3</v>
      </c>
      <c r="N3842" s="1" t="s">
        <v>3241</v>
      </c>
    </row>
    <row r="3843" spans="1:14" x14ac:dyDescent="0.15">
      <c r="A3843" s="1">
        <v>883</v>
      </c>
      <c r="B3843" s="1" t="s">
        <v>880</v>
      </c>
      <c r="C3843" s="1" t="s">
        <v>883</v>
      </c>
      <c r="D3843" s="1" t="s">
        <v>884</v>
      </c>
      <c r="E3843" s="1" t="s">
        <v>883</v>
      </c>
      <c r="F3843" s="1" t="s">
        <v>884</v>
      </c>
      <c r="G3843" s="1" t="s">
        <v>891</v>
      </c>
      <c r="H3843" s="1" t="s">
        <v>892</v>
      </c>
      <c r="I3843" s="1" t="s">
        <v>10975</v>
      </c>
      <c r="J3843" s="1" t="s">
        <v>886</v>
      </c>
      <c r="K3843" s="1">
        <v>13</v>
      </c>
      <c r="L3843" s="1" t="s">
        <v>4219</v>
      </c>
      <c r="M3843" s="1">
        <v>3</v>
      </c>
      <c r="N3843" s="1" t="s">
        <v>3241</v>
      </c>
    </row>
    <row r="3844" spans="1:14" x14ac:dyDescent="0.15">
      <c r="A3844" s="1">
        <v>883</v>
      </c>
      <c r="B3844" s="1" t="s">
        <v>880</v>
      </c>
      <c r="C3844" s="1" t="s">
        <v>883</v>
      </c>
      <c r="D3844" s="1" t="s">
        <v>884</v>
      </c>
      <c r="E3844" s="1" t="s">
        <v>883</v>
      </c>
      <c r="F3844" s="1" t="s">
        <v>884</v>
      </c>
      <c r="G3844" s="1" t="s">
        <v>893</v>
      </c>
      <c r="H3844" s="1" t="s">
        <v>894</v>
      </c>
      <c r="I3844" s="1" t="s">
        <v>10975</v>
      </c>
      <c r="J3844" s="1" t="s">
        <v>886</v>
      </c>
      <c r="K3844" s="1">
        <v>13</v>
      </c>
      <c r="L3844" s="1" t="s">
        <v>4219</v>
      </c>
      <c r="M3844" s="1">
        <v>3</v>
      </c>
      <c r="N3844" s="1" t="s">
        <v>3241</v>
      </c>
    </row>
    <row r="3845" spans="1:14" x14ac:dyDescent="0.15">
      <c r="A3845" s="1">
        <v>883</v>
      </c>
      <c r="B3845" s="1" t="s">
        <v>880</v>
      </c>
      <c r="C3845" s="1" t="s">
        <v>895</v>
      </c>
      <c r="D3845" s="1" t="s">
        <v>896</v>
      </c>
      <c r="E3845" s="1" t="s">
        <v>895</v>
      </c>
      <c r="F3845" s="1" t="s">
        <v>896</v>
      </c>
      <c r="G3845" s="1" t="s">
        <v>897</v>
      </c>
      <c r="H3845" s="1" t="s">
        <v>896</v>
      </c>
      <c r="I3845" s="1" t="s">
        <v>10975</v>
      </c>
      <c r="J3845" s="1" t="s">
        <v>886</v>
      </c>
      <c r="K3845" s="1">
        <v>7</v>
      </c>
      <c r="L3845" s="1" t="s">
        <v>4299</v>
      </c>
      <c r="M3845" s="1">
        <v>13</v>
      </c>
      <c r="N3845" s="1" t="s">
        <v>4300</v>
      </c>
    </row>
    <row r="3846" spans="1:14" x14ac:dyDescent="0.15">
      <c r="A3846" s="1">
        <v>884</v>
      </c>
      <c r="B3846" s="1" t="s">
        <v>898</v>
      </c>
      <c r="C3846" s="1" t="s">
        <v>899</v>
      </c>
      <c r="D3846" s="1" t="s">
        <v>898</v>
      </c>
      <c r="E3846" s="1" t="s">
        <v>899</v>
      </c>
      <c r="F3846" s="1" t="s">
        <v>898</v>
      </c>
      <c r="G3846" s="1" t="s">
        <v>900</v>
      </c>
      <c r="H3846" s="1" t="s">
        <v>898</v>
      </c>
      <c r="I3846" s="1" t="s">
        <v>14300</v>
      </c>
      <c r="J3846" s="1" t="s">
        <v>6350</v>
      </c>
      <c r="K3846" s="1">
        <v>7</v>
      </c>
      <c r="L3846" s="1" t="s">
        <v>4299</v>
      </c>
      <c r="M3846" s="1">
        <v>13</v>
      </c>
      <c r="N3846" s="1" t="s">
        <v>4300</v>
      </c>
    </row>
    <row r="3847" spans="1:14" x14ac:dyDescent="0.15">
      <c r="A3847" s="1">
        <v>885</v>
      </c>
      <c r="B3847" s="1" t="s">
        <v>901</v>
      </c>
      <c r="C3847" s="1" t="s">
        <v>902</v>
      </c>
      <c r="D3847" s="1" t="s">
        <v>901</v>
      </c>
      <c r="E3847" s="1" t="s">
        <v>902</v>
      </c>
      <c r="F3847" s="1" t="s">
        <v>901</v>
      </c>
      <c r="G3847" s="1" t="s">
        <v>903</v>
      </c>
      <c r="H3847" s="1" t="s">
        <v>901</v>
      </c>
      <c r="I3847" s="1" t="s">
        <v>4494</v>
      </c>
      <c r="J3847" s="1" t="s">
        <v>4495</v>
      </c>
      <c r="K3847" s="1">
        <v>7</v>
      </c>
      <c r="L3847" s="1" t="s">
        <v>4299</v>
      </c>
      <c r="M3847" s="1">
        <v>13</v>
      </c>
      <c r="N3847" s="1" t="s">
        <v>4300</v>
      </c>
    </row>
    <row r="3848" spans="1:14" x14ac:dyDescent="0.15">
      <c r="A3848" s="1">
        <v>886</v>
      </c>
      <c r="B3848" s="1" t="s">
        <v>904</v>
      </c>
      <c r="C3848" s="1" t="s">
        <v>905</v>
      </c>
      <c r="D3848" s="1" t="s">
        <v>904</v>
      </c>
      <c r="E3848" s="1" t="s">
        <v>905</v>
      </c>
      <c r="F3848" s="1" t="s">
        <v>904</v>
      </c>
      <c r="G3848" s="1" t="s">
        <v>906</v>
      </c>
      <c r="H3848" s="1" t="s">
        <v>904</v>
      </c>
      <c r="I3848" s="1" t="s">
        <v>4494</v>
      </c>
      <c r="J3848" s="1" t="s">
        <v>4495</v>
      </c>
      <c r="K3848" s="1">
        <v>7</v>
      </c>
      <c r="L3848" s="1" t="s">
        <v>4299</v>
      </c>
      <c r="M3848" s="1">
        <v>13</v>
      </c>
      <c r="N3848" s="1" t="s">
        <v>4300</v>
      </c>
    </row>
    <row r="3849" spans="1:14" x14ac:dyDescent="0.15">
      <c r="A3849" s="1">
        <v>890</v>
      </c>
      <c r="B3849" s="1" t="s">
        <v>907</v>
      </c>
      <c r="C3849" s="1" t="s">
        <v>908</v>
      </c>
      <c r="D3849" s="1" t="s">
        <v>907</v>
      </c>
      <c r="E3849" s="1" t="s">
        <v>908</v>
      </c>
      <c r="F3849" s="1" t="s">
        <v>907</v>
      </c>
      <c r="G3849" s="1" t="s">
        <v>909</v>
      </c>
      <c r="H3849" s="1" t="s">
        <v>907</v>
      </c>
      <c r="I3849" s="1" t="s">
        <v>4494</v>
      </c>
      <c r="J3849" s="1" t="s">
        <v>4495</v>
      </c>
      <c r="K3849" s="1">
        <v>7</v>
      </c>
      <c r="L3849" s="1" t="s">
        <v>4299</v>
      </c>
      <c r="M3849" s="1">
        <v>13</v>
      </c>
      <c r="N3849" s="1" t="s">
        <v>4300</v>
      </c>
    </row>
    <row r="3850" spans="1:14" x14ac:dyDescent="0.15">
      <c r="A3850" s="1">
        <v>891</v>
      </c>
      <c r="B3850" s="1" t="s">
        <v>910</v>
      </c>
      <c r="C3850" s="1" t="s">
        <v>911</v>
      </c>
      <c r="D3850" s="1" t="s">
        <v>910</v>
      </c>
      <c r="E3850" s="1" t="s">
        <v>911</v>
      </c>
      <c r="F3850" s="1" t="s">
        <v>910</v>
      </c>
      <c r="G3850" s="1" t="s">
        <v>912</v>
      </c>
      <c r="H3850" s="1" t="s">
        <v>910</v>
      </c>
      <c r="I3850" s="1" t="s">
        <v>11135</v>
      </c>
      <c r="J3850" s="1" t="s">
        <v>546</v>
      </c>
      <c r="K3850" s="1">
        <v>7</v>
      </c>
      <c r="L3850" s="1" t="s">
        <v>4299</v>
      </c>
      <c r="M3850" s="1">
        <v>13</v>
      </c>
      <c r="N3850" s="1" t="s">
        <v>4300</v>
      </c>
    </row>
    <row r="3851" spans="1:14" x14ac:dyDescent="0.15">
      <c r="A3851" s="1">
        <v>891</v>
      </c>
      <c r="B3851" s="1" t="s">
        <v>910</v>
      </c>
      <c r="C3851" s="1" t="s">
        <v>911</v>
      </c>
      <c r="D3851" s="1" t="s">
        <v>910</v>
      </c>
      <c r="E3851" s="1" t="s">
        <v>911</v>
      </c>
      <c r="F3851" s="1" t="s">
        <v>910</v>
      </c>
      <c r="G3851" s="1" t="s">
        <v>913</v>
      </c>
      <c r="H3851" s="1" t="s">
        <v>914</v>
      </c>
      <c r="I3851" s="1" t="s">
        <v>11135</v>
      </c>
      <c r="J3851" s="1" t="s">
        <v>546</v>
      </c>
      <c r="K3851" s="1">
        <v>7</v>
      </c>
      <c r="L3851" s="1" t="s">
        <v>4299</v>
      </c>
      <c r="M3851" s="1">
        <v>13</v>
      </c>
      <c r="N3851" s="1" t="s">
        <v>4300</v>
      </c>
    </row>
    <row r="3852" spans="1:14" x14ac:dyDescent="0.15">
      <c r="A3852" s="1">
        <v>891</v>
      </c>
      <c r="B3852" s="1" t="s">
        <v>910</v>
      </c>
      <c r="C3852" s="1" t="s">
        <v>911</v>
      </c>
      <c r="D3852" s="1" t="s">
        <v>910</v>
      </c>
      <c r="E3852" s="1" t="s">
        <v>911</v>
      </c>
      <c r="F3852" s="1" t="s">
        <v>910</v>
      </c>
      <c r="G3852" s="1" t="s">
        <v>915</v>
      </c>
      <c r="H3852" s="1" t="s">
        <v>916</v>
      </c>
      <c r="I3852" s="1" t="s">
        <v>11135</v>
      </c>
      <c r="J3852" s="1" t="s">
        <v>546</v>
      </c>
      <c r="K3852" s="1">
        <v>7</v>
      </c>
      <c r="L3852" s="1" t="s">
        <v>4299</v>
      </c>
      <c r="M3852" s="1">
        <v>13</v>
      </c>
      <c r="N3852" s="1" t="s">
        <v>4300</v>
      </c>
    </row>
    <row r="3853" spans="1:14" x14ac:dyDescent="0.15">
      <c r="A3853" s="1">
        <v>891</v>
      </c>
      <c r="B3853" s="1" t="s">
        <v>910</v>
      </c>
      <c r="C3853" s="1" t="s">
        <v>911</v>
      </c>
      <c r="D3853" s="1" t="s">
        <v>910</v>
      </c>
      <c r="E3853" s="1" t="s">
        <v>911</v>
      </c>
      <c r="F3853" s="1" t="s">
        <v>910</v>
      </c>
      <c r="G3853" s="1" t="s">
        <v>917</v>
      </c>
      <c r="H3853" s="1" t="s">
        <v>918</v>
      </c>
      <c r="I3853" s="1" t="s">
        <v>11135</v>
      </c>
      <c r="J3853" s="1" t="s">
        <v>546</v>
      </c>
      <c r="K3853" s="1">
        <v>7</v>
      </c>
      <c r="L3853" s="1" t="s">
        <v>4299</v>
      </c>
      <c r="M3853" s="1">
        <v>13</v>
      </c>
      <c r="N3853" s="1" t="s">
        <v>4300</v>
      </c>
    </row>
    <row r="3854" spans="1:14" x14ac:dyDescent="0.15">
      <c r="A3854" s="1">
        <v>891</v>
      </c>
      <c r="B3854" s="1" t="s">
        <v>910</v>
      </c>
      <c r="C3854" s="1" t="s">
        <v>911</v>
      </c>
      <c r="D3854" s="1" t="s">
        <v>910</v>
      </c>
      <c r="E3854" s="1" t="s">
        <v>911</v>
      </c>
      <c r="F3854" s="1" t="s">
        <v>910</v>
      </c>
      <c r="G3854" s="1" t="s">
        <v>919</v>
      </c>
      <c r="H3854" s="1" t="s">
        <v>920</v>
      </c>
      <c r="I3854" s="1" t="s">
        <v>11135</v>
      </c>
      <c r="J3854" s="1" t="s">
        <v>546</v>
      </c>
      <c r="K3854" s="1">
        <v>7</v>
      </c>
      <c r="L3854" s="1" t="s">
        <v>4299</v>
      </c>
      <c r="M3854" s="1">
        <v>13</v>
      </c>
      <c r="N3854" s="1" t="s">
        <v>4300</v>
      </c>
    </row>
    <row r="3855" spans="1:14" x14ac:dyDescent="0.15">
      <c r="A3855" s="1">
        <v>891</v>
      </c>
      <c r="B3855" s="1" t="s">
        <v>910</v>
      </c>
      <c r="C3855" s="1" t="s">
        <v>911</v>
      </c>
      <c r="D3855" s="1" t="s">
        <v>910</v>
      </c>
      <c r="E3855" s="1" t="s">
        <v>911</v>
      </c>
      <c r="F3855" s="1" t="s">
        <v>910</v>
      </c>
      <c r="G3855" s="1" t="s">
        <v>921</v>
      </c>
      <c r="H3855" s="1" t="s">
        <v>922</v>
      </c>
      <c r="I3855" s="1" t="s">
        <v>11135</v>
      </c>
      <c r="J3855" s="1" t="s">
        <v>546</v>
      </c>
      <c r="K3855" s="1">
        <v>7</v>
      </c>
      <c r="L3855" s="1" t="s">
        <v>4299</v>
      </c>
      <c r="M3855" s="1">
        <v>13</v>
      </c>
      <c r="N3855" s="1" t="s">
        <v>4300</v>
      </c>
    </row>
    <row r="3856" spans="1:14" x14ac:dyDescent="0.15">
      <c r="A3856" s="1">
        <v>891</v>
      </c>
      <c r="B3856" s="1" t="s">
        <v>910</v>
      </c>
      <c r="C3856" s="1" t="s">
        <v>911</v>
      </c>
      <c r="D3856" s="1" t="s">
        <v>910</v>
      </c>
      <c r="E3856" s="1" t="s">
        <v>911</v>
      </c>
      <c r="F3856" s="1" t="s">
        <v>910</v>
      </c>
      <c r="G3856" s="1" t="s">
        <v>923</v>
      </c>
      <c r="H3856" s="1" t="s">
        <v>924</v>
      </c>
      <c r="I3856" s="1" t="s">
        <v>11135</v>
      </c>
      <c r="J3856" s="1" t="s">
        <v>546</v>
      </c>
      <c r="K3856" s="1">
        <v>7</v>
      </c>
      <c r="L3856" s="1" t="s">
        <v>4299</v>
      </c>
      <c r="M3856" s="1">
        <v>13</v>
      </c>
      <c r="N3856" s="1" t="s">
        <v>4300</v>
      </c>
    </row>
    <row r="3857" spans="1:14" x14ac:dyDescent="0.15">
      <c r="A3857" s="1">
        <v>892</v>
      </c>
      <c r="B3857" s="1" t="s">
        <v>925</v>
      </c>
      <c r="C3857" s="1" t="s">
        <v>926</v>
      </c>
      <c r="D3857" s="1" t="s">
        <v>925</v>
      </c>
      <c r="E3857" s="1" t="s">
        <v>926</v>
      </c>
      <c r="F3857" s="1" t="s">
        <v>925</v>
      </c>
      <c r="G3857" s="1" t="s">
        <v>927</v>
      </c>
      <c r="H3857" s="1" t="s">
        <v>925</v>
      </c>
      <c r="I3857" s="1" t="s">
        <v>4494</v>
      </c>
      <c r="J3857" s="1" t="s">
        <v>4495</v>
      </c>
      <c r="K3857" s="1">
        <v>7</v>
      </c>
      <c r="L3857" s="1" t="s">
        <v>4299</v>
      </c>
      <c r="M3857" s="1">
        <v>13</v>
      </c>
      <c r="N3857" s="1" t="s">
        <v>4300</v>
      </c>
    </row>
    <row r="3858" spans="1:14" x14ac:dyDescent="0.15">
      <c r="A3858" s="1">
        <v>892</v>
      </c>
      <c r="B3858" s="1" t="s">
        <v>925</v>
      </c>
      <c r="C3858" s="1" t="s">
        <v>926</v>
      </c>
      <c r="D3858" s="1" t="s">
        <v>925</v>
      </c>
      <c r="E3858" s="1" t="s">
        <v>926</v>
      </c>
      <c r="F3858" s="1" t="s">
        <v>928</v>
      </c>
      <c r="G3858" s="1" t="s">
        <v>929</v>
      </c>
      <c r="H3858" s="1" t="s">
        <v>928</v>
      </c>
      <c r="I3858" s="1" t="s">
        <v>4494</v>
      </c>
      <c r="J3858" s="1" t="s">
        <v>4495</v>
      </c>
      <c r="K3858" s="1">
        <v>7</v>
      </c>
      <c r="L3858" s="1" t="s">
        <v>4299</v>
      </c>
      <c r="M3858" s="1">
        <v>13</v>
      </c>
      <c r="N3858" s="1" t="s">
        <v>4300</v>
      </c>
    </row>
    <row r="3859" spans="1:14" x14ac:dyDescent="0.15">
      <c r="A3859" s="1">
        <v>892</v>
      </c>
      <c r="B3859" s="1" t="s">
        <v>925</v>
      </c>
      <c r="C3859" s="1" t="s">
        <v>926</v>
      </c>
      <c r="D3859" s="1" t="s">
        <v>925</v>
      </c>
      <c r="E3859" s="1" t="s">
        <v>926</v>
      </c>
      <c r="F3859" s="1" t="s">
        <v>930</v>
      </c>
      <c r="G3859" s="1" t="s">
        <v>931</v>
      </c>
      <c r="H3859" s="1" t="s">
        <v>930</v>
      </c>
      <c r="I3859" s="1" t="s">
        <v>4494</v>
      </c>
      <c r="J3859" s="1" t="s">
        <v>4495</v>
      </c>
      <c r="K3859" s="1">
        <v>7</v>
      </c>
      <c r="L3859" s="1" t="s">
        <v>4299</v>
      </c>
      <c r="M3859" s="1">
        <v>13</v>
      </c>
      <c r="N3859" s="1" t="s">
        <v>4300</v>
      </c>
    </row>
    <row r="3860" spans="1:14" x14ac:dyDescent="0.15">
      <c r="A3860" s="1">
        <v>892</v>
      </c>
      <c r="B3860" s="1" t="s">
        <v>925</v>
      </c>
      <c r="C3860" s="1" t="s">
        <v>926</v>
      </c>
      <c r="D3860" s="1" t="s">
        <v>925</v>
      </c>
      <c r="E3860" s="1" t="s">
        <v>926</v>
      </c>
      <c r="F3860" s="1" t="s">
        <v>932</v>
      </c>
      <c r="G3860" s="1" t="s">
        <v>933</v>
      </c>
      <c r="H3860" s="1" t="s">
        <v>932</v>
      </c>
      <c r="I3860" s="1" t="s">
        <v>4494</v>
      </c>
      <c r="J3860" s="1" t="s">
        <v>4495</v>
      </c>
      <c r="K3860" s="1">
        <v>7</v>
      </c>
      <c r="L3860" s="1" t="s">
        <v>4299</v>
      </c>
      <c r="M3860" s="1">
        <v>13</v>
      </c>
      <c r="N3860" s="1" t="s">
        <v>4300</v>
      </c>
    </row>
    <row r="3861" spans="1:14" x14ac:dyDescent="0.15">
      <c r="A3861" s="1">
        <v>892</v>
      </c>
      <c r="B3861" s="1" t="s">
        <v>925</v>
      </c>
      <c r="C3861" s="1" t="s">
        <v>926</v>
      </c>
      <c r="D3861" s="1" t="s">
        <v>925</v>
      </c>
      <c r="E3861" s="1" t="s">
        <v>926</v>
      </c>
      <c r="F3861" s="1" t="s">
        <v>934</v>
      </c>
      <c r="G3861" s="1" t="s">
        <v>935</v>
      </c>
      <c r="H3861" s="1" t="s">
        <v>934</v>
      </c>
      <c r="I3861" s="1" t="s">
        <v>4494</v>
      </c>
      <c r="J3861" s="1" t="s">
        <v>4495</v>
      </c>
      <c r="K3861" s="1">
        <v>7</v>
      </c>
      <c r="L3861" s="1" t="s">
        <v>4299</v>
      </c>
      <c r="M3861" s="1">
        <v>13</v>
      </c>
      <c r="N3861" s="1" t="s">
        <v>4300</v>
      </c>
    </row>
    <row r="3862" spans="1:14" x14ac:dyDescent="0.15">
      <c r="A3862" s="1">
        <v>892</v>
      </c>
      <c r="B3862" s="1" t="s">
        <v>925</v>
      </c>
      <c r="C3862" s="1" t="s">
        <v>926</v>
      </c>
      <c r="D3862" s="1" t="s">
        <v>925</v>
      </c>
      <c r="E3862" s="1" t="s">
        <v>926</v>
      </c>
      <c r="F3862" s="1" t="s">
        <v>936</v>
      </c>
      <c r="G3862" s="1" t="s">
        <v>937</v>
      </c>
      <c r="H3862" s="1" t="s">
        <v>936</v>
      </c>
      <c r="I3862" s="1" t="s">
        <v>4494</v>
      </c>
      <c r="J3862" s="1" t="s">
        <v>4495</v>
      </c>
      <c r="K3862" s="1">
        <v>7</v>
      </c>
      <c r="L3862" s="1" t="s">
        <v>4299</v>
      </c>
      <c r="M3862" s="1">
        <v>13</v>
      </c>
      <c r="N3862" s="1" t="s">
        <v>4300</v>
      </c>
    </row>
    <row r="3863" spans="1:14" x14ac:dyDescent="0.15">
      <c r="A3863" s="1">
        <v>892</v>
      </c>
      <c r="B3863" s="1" t="s">
        <v>925</v>
      </c>
      <c r="C3863" s="1" t="s">
        <v>926</v>
      </c>
      <c r="D3863" s="1" t="s">
        <v>925</v>
      </c>
      <c r="E3863" s="1" t="s">
        <v>926</v>
      </c>
      <c r="F3863" s="1" t="s">
        <v>938</v>
      </c>
      <c r="G3863" s="1" t="s">
        <v>939</v>
      </c>
      <c r="H3863" s="1" t="s">
        <v>938</v>
      </c>
      <c r="I3863" s="1" t="s">
        <v>4494</v>
      </c>
      <c r="J3863" s="1" t="s">
        <v>4495</v>
      </c>
      <c r="K3863" s="1">
        <v>7</v>
      </c>
      <c r="L3863" s="1" t="s">
        <v>4299</v>
      </c>
      <c r="M3863" s="1">
        <v>13</v>
      </c>
      <c r="N3863" s="1" t="s">
        <v>4300</v>
      </c>
    </row>
    <row r="3864" spans="1:14" x14ac:dyDescent="0.15">
      <c r="A3864" s="1">
        <v>892</v>
      </c>
      <c r="B3864" s="1" t="s">
        <v>925</v>
      </c>
      <c r="C3864" s="1" t="s">
        <v>926</v>
      </c>
      <c r="D3864" s="1" t="s">
        <v>925</v>
      </c>
      <c r="E3864" s="1" t="s">
        <v>926</v>
      </c>
      <c r="F3864" s="1" t="s">
        <v>940</v>
      </c>
      <c r="G3864" s="1" t="s">
        <v>941</v>
      </c>
      <c r="H3864" s="1" t="s">
        <v>940</v>
      </c>
      <c r="I3864" s="1" t="s">
        <v>4494</v>
      </c>
      <c r="J3864" s="1" t="s">
        <v>4495</v>
      </c>
      <c r="K3864" s="1">
        <v>7</v>
      </c>
      <c r="L3864" s="1" t="s">
        <v>4299</v>
      </c>
      <c r="M3864" s="1">
        <v>13</v>
      </c>
      <c r="N3864" s="1" t="s">
        <v>4300</v>
      </c>
    </row>
    <row r="3865" spans="1:14" x14ac:dyDescent="0.15">
      <c r="A3865" s="1">
        <v>893</v>
      </c>
      <c r="B3865" s="1" t="s">
        <v>942</v>
      </c>
      <c r="C3865" s="1" t="s">
        <v>943</v>
      </c>
      <c r="D3865" s="1" t="s">
        <v>942</v>
      </c>
      <c r="E3865" s="1" t="s">
        <v>943</v>
      </c>
      <c r="F3865" s="1" t="s">
        <v>942</v>
      </c>
      <c r="G3865" s="1" t="s">
        <v>944</v>
      </c>
      <c r="H3865" s="1" t="s">
        <v>942</v>
      </c>
      <c r="I3865" s="1" t="s">
        <v>4494</v>
      </c>
      <c r="J3865" s="1" t="s">
        <v>4495</v>
      </c>
      <c r="K3865" s="1">
        <v>7</v>
      </c>
      <c r="L3865" s="1" t="s">
        <v>4299</v>
      </c>
      <c r="M3865" s="1">
        <v>13</v>
      </c>
      <c r="N3865" s="1" t="s">
        <v>4300</v>
      </c>
    </row>
    <row r="3866" spans="1:14" x14ac:dyDescent="0.15">
      <c r="A3866" s="1">
        <v>894</v>
      </c>
      <c r="B3866" s="1" t="s">
        <v>945</v>
      </c>
      <c r="C3866" s="1" t="s">
        <v>946</v>
      </c>
      <c r="D3866" s="1" t="s">
        <v>945</v>
      </c>
      <c r="E3866" s="1" t="s">
        <v>946</v>
      </c>
      <c r="F3866" s="1" t="s">
        <v>945</v>
      </c>
      <c r="G3866" s="1" t="s">
        <v>947</v>
      </c>
      <c r="H3866" s="1" t="s">
        <v>945</v>
      </c>
      <c r="I3866" s="1" t="s">
        <v>4494</v>
      </c>
      <c r="J3866" s="1" t="s">
        <v>4495</v>
      </c>
      <c r="K3866" s="1">
        <v>7</v>
      </c>
      <c r="L3866" s="1" t="s">
        <v>4299</v>
      </c>
      <c r="M3866" s="1">
        <v>13</v>
      </c>
      <c r="N3866" s="1" t="s">
        <v>4300</v>
      </c>
    </row>
    <row r="3867" spans="1:14" x14ac:dyDescent="0.15">
      <c r="A3867" s="1">
        <v>895</v>
      </c>
      <c r="B3867" s="1" t="s">
        <v>948</v>
      </c>
      <c r="C3867" s="1" t="s">
        <v>949</v>
      </c>
      <c r="D3867" s="1" t="s">
        <v>948</v>
      </c>
      <c r="E3867" s="1" t="s">
        <v>949</v>
      </c>
      <c r="F3867" s="1" t="s">
        <v>948</v>
      </c>
      <c r="G3867" s="1" t="s">
        <v>950</v>
      </c>
      <c r="H3867" s="1" t="s">
        <v>948</v>
      </c>
      <c r="I3867" s="1" t="s">
        <v>4494</v>
      </c>
      <c r="J3867" s="1" t="s">
        <v>4495</v>
      </c>
      <c r="K3867" s="1">
        <v>7</v>
      </c>
      <c r="L3867" s="1" t="s">
        <v>4299</v>
      </c>
      <c r="M3867" s="1">
        <v>13</v>
      </c>
      <c r="N3867" s="1" t="s">
        <v>4300</v>
      </c>
    </row>
    <row r="3868" spans="1:14" x14ac:dyDescent="0.15">
      <c r="A3868" s="1">
        <v>895</v>
      </c>
      <c r="B3868" s="1" t="s">
        <v>948</v>
      </c>
      <c r="C3868" s="1" t="s">
        <v>949</v>
      </c>
      <c r="D3868" s="1" t="s">
        <v>948</v>
      </c>
      <c r="E3868" s="1" t="s">
        <v>949</v>
      </c>
      <c r="F3868" s="1" t="s">
        <v>951</v>
      </c>
      <c r="G3868" s="1" t="s">
        <v>952</v>
      </c>
      <c r="H3868" s="1" t="s">
        <v>951</v>
      </c>
      <c r="I3868" s="1" t="s">
        <v>4494</v>
      </c>
      <c r="J3868" s="1" t="s">
        <v>4495</v>
      </c>
      <c r="K3868" s="1">
        <v>7</v>
      </c>
      <c r="L3868" s="1" t="s">
        <v>4299</v>
      </c>
      <c r="M3868" s="1">
        <v>13</v>
      </c>
      <c r="N3868" s="1" t="s">
        <v>4300</v>
      </c>
    </row>
    <row r="3869" spans="1:14" x14ac:dyDescent="0.15">
      <c r="A3869" s="1">
        <v>895</v>
      </c>
      <c r="B3869" s="1" t="s">
        <v>948</v>
      </c>
      <c r="C3869" s="1" t="s">
        <v>949</v>
      </c>
      <c r="D3869" s="1" t="s">
        <v>948</v>
      </c>
      <c r="E3869" s="1" t="s">
        <v>949</v>
      </c>
      <c r="F3869" s="1" t="s">
        <v>953</v>
      </c>
      <c r="G3869" s="1" t="s">
        <v>954</v>
      </c>
      <c r="H3869" s="1" t="s">
        <v>953</v>
      </c>
      <c r="I3869" s="1" t="s">
        <v>4494</v>
      </c>
      <c r="J3869" s="1" t="s">
        <v>4495</v>
      </c>
      <c r="K3869" s="1">
        <v>7</v>
      </c>
      <c r="L3869" s="1" t="s">
        <v>4299</v>
      </c>
      <c r="M3869" s="1">
        <v>13</v>
      </c>
      <c r="N3869" s="1" t="s">
        <v>4300</v>
      </c>
    </row>
    <row r="3870" spans="1:14" x14ac:dyDescent="0.15">
      <c r="A3870" s="1">
        <v>896</v>
      </c>
      <c r="B3870" s="1" t="s">
        <v>955</v>
      </c>
      <c r="C3870" s="1" t="s">
        <v>956</v>
      </c>
      <c r="D3870" s="1" t="s">
        <v>955</v>
      </c>
      <c r="E3870" s="1" t="s">
        <v>956</v>
      </c>
      <c r="F3870" s="1" t="s">
        <v>955</v>
      </c>
      <c r="G3870" s="1" t="s">
        <v>957</v>
      </c>
      <c r="H3870" s="1" t="s">
        <v>955</v>
      </c>
      <c r="I3870" s="1" t="s">
        <v>4494</v>
      </c>
      <c r="J3870" s="1" t="s">
        <v>4495</v>
      </c>
      <c r="K3870" s="1">
        <v>7</v>
      </c>
      <c r="L3870" s="1" t="s">
        <v>4299</v>
      </c>
      <c r="M3870" s="1">
        <v>13</v>
      </c>
      <c r="N3870" s="1" t="s">
        <v>4300</v>
      </c>
    </row>
    <row r="3871" spans="1:14" x14ac:dyDescent="0.15">
      <c r="A3871" s="1">
        <v>900</v>
      </c>
      <c r="B3871" s="1" t="s">
        <v>958</v>
      </c>
      <c r="C3871" s="1" t="s">
        <v>959</v>
      </c>
      <c r="D3871" s="1" t="s">
        <v>958</v>
      </c>
      <c r="E3871" s="1" t="s">
        <v>959</v>
      </c>
      <c r="F3871" s="1" t="s">
        <v>958</v>
      </c>
      <c r="G3871" s="1" t="s">
        <v>960</v>
      </c>
      <c r="H3871" s="1" t="s">
        <v>958</v>
      </c>
      <c r="I3871" s="1" t="s">
        <v>11879</v>
      </c>
      <c r="J3871" s="1" t="s">
        <v>4278</v>
      </c>
      <c r="K3871" s="1">
        <v>14</v>
      </c>
      <c r="L3871" s="1" t="s">
        <v>4307</v>
      </c>
      <c r="M3871" s="1">
        <v>16</v>
      </c>
      <c r="N3871" s="1" t="s">
        <v>4308</v>
      </c>
    </row>
    <row r="3872" spans="1:14" x14ac:dyDescent="0.15">
      <c r="A3872" s="1">
        <v>900</v>
      </c>
      <c r="B3872" s="1" t="s">
        <v>958</v>
      </c>
      <c r="C3872" s="1" t="s">
        <v>961</v>
      </c>
      <c r="D3872" s="1" t="s">
        <v>962</v>
      </c>
      <c r="E3872" s="1" t="s">
        <v>961</v>
      </c>
      <c r="F3872" s="1" t="s">
        <v>962</v>
      </c>
      <c r="G3872" s="1" t="s">
        <v>963</v>
      </c>
      <c r="H3872" s="1" t="s">
        <v>962</v>
      </c>
      <c r="I3872" s="1" t="s">
        <v>4494</v>
      </c>
      <c r="J3872" s="1" t="s">
        <v>4495</v>
      </c>
      <c r="K3872" s="1">
        <v>14</v>
      </c>
      <c r="L3872" s="1" t="s">
        <v>4307</v>
      </c>
      <c r="M3872" s="1">
        <v>16</v>
      </c>
      <c r="N3872" s="1" t="s">
        <v>4308</v>
      </c>
    </row>
    <row r="3873" spans="1:14" x14ac:dyDescent="0.15">
      <c r="A3873" s="1">
        <v>900</v>
      </c>
      <c r="B3873" s="1" t="s">
        <v>958</v>
      </c>
      <c r="C3873" s="1" t="s">
        <v>964</v>
      </c>
      <c r="D3873" s="1" t="s">
        <v>965</v>
      </c>
      <c r="E3873" s="1" t="s">
        <v>964</v>
      </c>
      <c r="F3873" s="1" t="s">
        <v>965</v>
      </c>
      <c r="G3873" s="1" t="s">
        <v>966</v>
      </c>
      <c r="H3873" s="1" t="s">
        <v>965</v>
      </c>
      <c r="I3873" s="1" t="s">
        <v>4494</v>
      </c>
      <c r="J3873" s="1" t="s">
        <v>4495</v>
      </c>
      <c r="K3873" s="1">
        <v>14</v>
      </c>
      <c r="L3873" s="1" t="s">
        <v>4307</v>
      </c>
      <c r="M3873" s="1">
        <v>16</v>
      </c>
      <c r="N3873" s="1" t="s">
        <v>4308</v>
      </c>
    </row>
    <row r="3874" spans="1:14" x14ac:dyDescent="0.15">
      <c r="A3874" s="1">
        <v>900</v>
      </c>
      <c r="B3874" s="1" t="s">
        <v>958</v>
      </c>
      <c r="C3874" s="1" t="s">
        <v>967</v>
      </c>
      <c r="D3874" s="1" t="s">
        <v>968</v>
      </c>
      <c r="E3874" s="1" t="s">
        <v>967</v>
      </c>
      <c r="F3874" s="1" t="s">
        <v>968</v>
      </c>
      <c r="G3874" s="1" t="s">
        <v>969</v>
      </c>
      <c r="H3874" s="1" t="s">
        <v>968</v>
      </c>
      <c r="I3874" s="1" t="s">
        <v>4494</v>
      </c>
      <c r="J3874" s="1" t="s">
        <v>4495</v>
      </c>
      <c r="K3874" s="1">
        <v>14</v>
      </c>
      <c r="L3874" s="1" t="s">
        <v>4307</v>
      </c>
      <c r="M3874" s="1">
        <v>16</v>
      </c>
      <c r="N3874" s="1" t="s">
        <v>4308</v>
      </c>
    </row>
    <row r="3875" spans="1:14" x14ac:dyDescent="0.15">
      <c r="A3875" s="1">
        <v>903</v>
      </c>
      <c r="B3875" s="1" t="s">
        <v>970</v>
      </c>
      <c r="C3875" s="1" t="s">
        <v>971</v>
      </c>
      <c r="D3875" s="1" t="s">
        <v>970</v>
      </c>
      <c r="E3875" s="1" t="s">
        <v>971</v>
      </c>
      <c r="F3875" s="1" t="s">
        <v>970</v>
      </c>
      <c r="G3875" s="1" t="s">
        <v>972</v>
      </c>
      <c r="H3875" s="1" t="s">
        <v>970</v>
      </c>
      <c r="I3875" s="1" t="s">
        <v>11879</v>
      </c>
      <c r="J3875" s="1" t="s">
        <v>4278</v>
      </c>
      <c r="K3875" s="1">
        <v>14</v>
      </c>
      <c r="L3875" s="1" t="s">
        <v>4307</v>
      </c>
      <c r="M3875" s="1">
        <v>16</v>
      </c>
      <c r="N3875" s="1" t="s">
        <v>4308</v>
      </c>
    </row>
    <row r="3876" spans="1:14" x14ac:dyDescent="0.15">
      <c r="A3876" s="1">
        <v>903</v>
      </c>
      <c r="B3876" s="1" t="s">
        <v>970</v>
      </c>
      <c r="C3876" s="1" t="s">
        <v>973</v>
      </c>
      <c r="D3876" s="1" t="s">
        <v>974</v>
      </c>
      <c r="E3876" s="1" t="s">
        <v>973</v>
      </c>
      <c r="F3876" s="1" t="s">
        <v>974</v>
      </c>
      <c r="G3876" s="1" t="s">
        <v>975</v>
      </c>
      <c r="H3876" s="1" t="s">
        <v>974</v>
      </c>
      <c r="I3876" s="1" t="s">
        <v>14569</v>
      </c>
      <c r="J3876" s="1" t="s">
        <v>976</v>
      </c>
      <c r="K3876" s="1">
        <v>14</v>
      </c>
      <c r="L3876" s="1" t="s">
        <v>4307</v>
      </c>
      <c r="M3876" s="1">
        <v>16</v>
      </c>
      <c r="N3876" s="1" t="s">
        <v>4308</v>
      </c>
    </row>
    <row r="3877" spans="1:14" x14ac:dyDescent="0.15">
      <c r="A3877" s="1">
        <v>903</v>
      </c>
      <c r="B3877" s="1" t="s">
        <v>970</v>
      </c>
      <c r="C3877" s="1" t="s">
        <v>973</v>
      </c>
      <c r="D3877" s="1" t="s">
        <v>974</v>
      </c>
      <c r="E3877" s="1" t="s">
        <v>973</v>
      </c>
      <c r="F3877" s="1" t="s">
        <v>974</v>
      </c>
      <c r="G3877" s="1" t="s">
        <v>975</v>
      </c>
      <c r="H3877" s="1" t="s">
        <v>974</v>
      </c>
      <c r="I3877" s="1" t="s">
        <v>8716</v>
      </c>
      <c r="J3877" s="1" t="s">
        <v>977</v>
      </c>
      <c r="K3877" s="1">
        <v>14</v>
      </c>
      <c r="L3877" s="1" t="s">
        <v>4307</v>
      </c>
      <c r="M3877" s="1">
        <v>16</v>
      </c>
      <c r="N3877" s="1" t="s">
        <v>4308</v>
      </c>
    </row>
    <row r="3878" spans="1:14" x14ac:dyDescent="0.15">
      <c r="A3878" s="1">
        <v>903</v>
      </c>
      <c r="B3878" s="1" t="s">
        <v>970</v>
      </c>
      <c r="C3878" s="1" t="s">
        <v>978</v>
      </c>
      <c r="D3878" s="1" t="s">
        <v>979</v>
      </c>
      <c r="E3878" s="1" t="s">
        <v>978</v>
      </c>
      <c r="F3878" s="1" t="s">
        <v>979</v>
      </c>
      <c r="G3878" s="1" t="s">
        <v>980</v>
      </c>
      <c r="H3878" s="1" t="s">
        <v>979</v>
      </c>
      <c r="I3878" s="1" t="s">
        <v>14569</v>
      </c>
      <c r="J3878" s="1" t="s">
        <v>976</v>
      </c>
      <c r="K3878" s="1">
        <v>14</v>
      </c>
      <c r="L3878" s="1" t="s">
        <v>4307</v>
      </c>
      <c r="M3878" s="1">
        <v>16</v>
      </c>
      <c r="N3878" s="1" t="s">
        <v>4308</v>
      </c>
    </row>
    <row r="3879" spans="1:14" x14ac:dyDescent="0.15">
      <c r="A3879" s="1">
        <v>903</v>
      </c>
      <c r="B3879" s="1" t="s">
        <v>970</v>
      </c>
      <c r="C3879" s="1" t="s">
        <v>978</v>
      </c>
      <c r="D3879" s="1" t="s">
        <v>979</v>
      </c>
      <c r="E3879" s="1" t="s">
        <v>978</v>
      </c>
      <c r="F3879" s="1" t="s">
        <v>979</v>
      </c>
      <c r="G3879" s="1" t="s">
        <v>980</v>
      </c>
      <c r="H3879" s="1" t="s">
        <v>979</v>
      </c>
      <c r="I3879" s="1" t="s">
        <v>8716</v>
      </c>
      <c r="J3879" s="1" t="s">
        <v>977</v>
      </c>
      <c r="K3879" s="1">
        <v>14</v>
      </c>
      <c r="L3879" s="1" t="s">
        <v>4307</v>
      </c>
      <c r="M3879" s="1">
        <v>16</v>
      </c>
      <c r="N3879" s="1" t="s">
        <v>4308</v>
      </c>
    </row>
    <row r="3880" spans="1:14" x14ac:dyDescent="0.15">
      <c r="A3880" s="1">
        <v>904</v>
      </c>
      <c r="B3880" s="1" t="s">
        <v>981</v>
      </c>
      <c r="C3880" s="1" t="s">
        <v>982</v>
      </c>
      <c r="D3880" s="1" t="s">
        <v>981</v>
      </c>
      <c r="E3880" s="1" t="s">
        <v>982</v>
      </c>
      <c r="F3880" s="1" t="s">
        <v>981</v>
      </c>
      <c r="G3880" s="1" t="s">
        <v>983</v>
      </c>
      <c r="H3880" s="1" t="s">
        <v>981</v>
      </c>
      <c r="I3880" s="1" t="s">
        <v>11879</v>
      </c>
      <c r="J3880" s="1" t="s">
        <v>4278</v>
      </c>
      <c r="K3880" s="1">
        <v>14</v>
      </c>
      <c r="L3880" s="1" t="s">
        <v>4307</v>
      </c>
      <c r="M3880" s="1">
        <v>16</v>
      </c>
      <c r="N3880" s="1" t="s">
        <v>4308</v>
      </c>
    </row>
    <row r="3881" spans="1:14" x14ac:dyDescent="0.15">
      <c r="A3881" s="1">
        <v>904</v>
      </c>
      <c r="B3881" s="1" t="s">
        <v>981</v>
      </c>
      <c r="C3881" s="1" t="s">
        <v>984</v>
      </c>
      <c r="D3881" s="1" t="s">
        <v>985</v>
      </c>
      <c r="E3881" s="1" t="s">
        <v>984</v>
      </c>
      <c r="F3881" s="1" t="s">
        <v>985</v>
      </c>
      <c r="G3881" s="1" t="s">
        <v>986</v>
      </c>
      <c r="H3881" s="1" t="s">
        <v>985</v>
      </c>
      <c r="I3881" s="1" t="s">
        <v>13917</v>
      </c>
      <c r="J3881" s="1" t="s">
        <v>13918</v>
      </c>
      <c r="K3881" s="1">
        <v>14</v>
      </c>
      <c r="L3881" s="1" t="s">
        <v>4307</v>
      </c>
      <c r="M3881" s="1">
        <v>16</v>
      </c>
      <c r="N3881" s="1" t="s">
        <v>4308</v>
      </c>
    </row>
    <row r="3882" spans="1:14" x14ac:dyDescent="0.15">
      <c r="A3882" s="1">
        <v>904</v>
      </c>
      <c r="B3882" s="1" t="s">
        <v>981</v>
      </c>
      <c r="C3882" s="1" t="s">
        <v>987</v>
      </c>
      <c r="D3882" s="1" t="s">
        <v>988</v>
      </c>
      <c r="E3882" s="1" t="s">
        <v>987</v>
      </c>
      <c r="F3882" s="1" t="s">
        <v>988</v>
      </c>
      <c r="G3882" s="1" t="s">
        <v>989</v>
      </c>
      <c r="H3882" s="1" t="s">
        <v>988</v>
      </c>
      <c r="I3882" s="1" t="s">
        <v>13917</v>
      </c>
      <c r="J3882" s="1" t="s">
        <v>13918</v>
      </c>
      <c r="K3882" s="1">
        <v>14</v>
      </c>
      <c r="L3882" s="1" t="s">
        <v>4307</v>
      </c>
      <c r="M3882" s="1">
        <v>16</v>
      </c>
      <c r="N3882" s="1" t="s">
        <v>4308</v>
      </c>
    </row>
    <row r="3883" spans="1:14" x14ac:dyDescent="0.15">
      <c r="A3883" s="1">
        <v>911</v>
      </c>
      <c r="B3883" s="1" t="s">
        <v>990</v>
      </c>
      <c r="C3883" s="1" t="s">
        <v>991</v>
      </c>
      <c r="D3883" s="1" t="s">
        <v>990</v>
      </c>
      <c r="E3883" s="1" t="s">
        <v>991</v>
      </c>
      <c r="F3883" s="1" t="s">
        <v>990</v>
      </c>
      <c r="G3883" s="1" t="s">
        <v>992</v>
      </c>
      <c r="H3883" s="1" t="s">
        <v>990</v>
      </c>
      <c r="I3883" s="1" t="s">
        <v>13754</v>
      </c>
      <c r="J3883" s="1" t="s">
        <v>2994</v>
      </c>
      <c r="K3883" s="1">
        <v>14</v>
      </c>
      <c r="L3883" s="1" t="s">
        <v>4307</v>
      </c>
      <c r="M3883" s="1">
        <v>16</v>
      </c>
      <c r="N3883" s="1" t="s">
        <v>4308</v>
      </c>
    </row>
    <row r="3884" spans="1:14" x14ac:dyDescent="0.15">
      <c r="A3884" s="1">
        <v>912</v>
      </c>
      <c r="B3884" s="1" t="s">
        <v>993</v>
      </c>
      <c r="C3884" s="1" t="s">
        <v>994</v>
      </c>
      <c r="D3884" s="1" t="s">
        <v>993</v>
      </c>
      <c r="E3884" s="1" t="s">
        <v>994</v>
      </c>
      <c r="F3884" s="1" t="s">
        <v>993</v>
      </c>
      <c r="G3884" s="1" t="s">
        <v>995</v>
      </c>
      <c r="H3884" s="1" t="s">
        <v>993</v>
      </c>
      <c r="I3884" s="1" t="s">
        <v>11879</v>
      </c>
      <c r="J3884" s="1" t="s">
        <v>4278</v>
      </c>
      <c r="K3884" s="1">
        <v>14</v>
      </c>
      <c r="L3884" s="1" t="s">
        <v>4307</v>
      </c>
      <c r="M3884" s="1">
        <v>16</v>
      </c>
      <c r="N3884" s="1" t="s">
        <v>4308</v>
      </c>
    </row>
    <row r="3885" spans="1:14" x14ac:dyDescent="0.15">
      <c r="A3885" s="1">
        <v>912</v>
      </c>
      <c r="B3885" s="1" t="s">
        <v>993</v>
      </c>
      <c r="C3885" s="1" t="s">
        <v>996</v>
      </c>
      <c r="D3885" s="1" t="s">
        <v>997</v>
      </c>
      <c r="E3885" s="1" t="s">
        <v>996</v>
      </c>
      <c r="F3885" s="1" t="s">
        <v>997</v>
      </c>
      <c r="G3885" s="1" t="s">
        <v>998</v>
      </c>
      <c r="H3885" s="1" t="s">
        <v>997</v>
      </c>
      <c r="I3885" s="1" t="s">
        <v>13941</v>
      </c>
      <c r="J3885" s="1" t="s">
        <v>999</v>
      </c>
      <c r="K3885" s="1">
        <v>14</v>
      </c>
      <c r="L3885" s="1" t="s">
        <v>4307</v>
      </c>
      <c r="M3885" s="1">
        <v>16</v>
      </c>
      <c r="N3885" s="1" t="s">
        <v>4308</v>
      </c>
    </row>
    <row r="3886" spans="1:14" x14ac:dyDescent="0.15">
      <c r="A3886" s="1">
        <v>912</v>
      </c>
      <c r="B3886" s="1" t="s">
        <v>993</v>
      </c>
      <c r="C3886" s="1" t="s">
        <v>1000</v>
      </c>
      <c r="D3886" s="1" t="s">
        <v>1001</v>
      </c>
      <c r="E3886" s="1" t="s">
        <v>1000</v>
      </c>
      <c r="F3886" s="1" t="s">
        <v>1001</v>
      </c>
      <c r="G3886" s="1" t="s">
        <v>1002</v>
      </c>
      <c r="H3886" s="1" t="s">
        <v>1001</v>
      </c>
      <c r="I3886" s="1" t="s">
        <v>13941</v>
      </c>
      <c r="J3886" s="1" t="s">
        <v>999</v>
      </c>
      <c r="K3886" s="1">
        <v>14</v>
      </c>
      <c r="L3886" s="1" t="s">
        <v>4307</v>
      </c>
      <c r="M3886" s="1">
        <v>16</v>
      </c>
      <c r="N3886" s="1" t="s">
        <v>4308</v>
      </c>
    </row>
    <row r="3887" spans="1:14" x14ac:dyDescent="0.15">
      <c r="A3887" s="1">
        <v>913</v>
      </c>
      <c r="B3887" s="1" t="s">
        <v>1003</v>
      </c>
      <c r="C3887" s="1" t="s">
        <v>1004</v>
      </c>
      <c r="D3887" s="1" t="s">
        <v>1005</v>
      </c>
      <c r="E3887" s="1" t="s">
        <v>1004</v>
      </c>
      <c r="F3887" s="1" t="s">
        <v>1005</v>
      </c>
      <c r="G3887" s="1" t="s">
        <v>1006</v>
      </c>
      <c r="H3887" s="1" t="s">
        <v>1005</v>
      </c>
      <c r="I3887" s="1" t="s">
        <v>9995</v>
      </c>
      <c r="J3887" s="1" t="s">
        <v>1831</v>
      </c>
      <c r="K3887" s="1">
        <v>11</v>
      </c>
      <c r="L3887" s="1" t="s">
        <v>4227</v>
      </c>
      <c r="M3887" s="1">
        <v>14</v>
      </c>
      <c r="N3887" s="1" t="s">
        <v>4220</v>
      </c>
    </row>
    <row r="3888" spans="1:14" x14ac:dyDescent="0.15">
      <c r="A3888" s="1">
        <v>913</v>
      </c>
      <c r="B3888" s="1" t="s">
        <v>1003</v>
      </c>
      <c r="C3888" s="1" t="s">
        <v>1007</v>
      </c>
      <c r="D3888" s="1" t="s">
        <v>1008</v>
      </c>
      <c r="E3888" s="1" t="s">
        <v>1007</v>
      </c>
      <c r="F3888" s="1" t="s">
        <v>1008</v>
      </c>
      <c r="G3888" s="1" t="s">
        <v>1009</v>
      </c>
      <c r="H3888" s="1" t="s">
        <v>1008</v>
      </c>
      <c r="I3888" s="1" t="s">
        <v>13941</v>
      </c>
      <c r="J3888" s="1" t="s">
        <v>999</v>
      </c>
      <c r="K3888" s="1">
        <v>14</v>
      </c>
      <c r="L3888" s="1" t="s">
        <v>4307</v>
      </c>
      <c r="M3888" s="1">
        <v>16</v>
      </c>
      <c r="N3888" s="1" t="s">
        <v>4308</v>
      </c>
    </row>
    <row r="3889" spans="1:14" x14ac:dyDescent="0.15">
      <c r="A3889" s="1">
        <v>913</v>
      </c>
      <c r="B3889" s="1" t="s">
        <v>1003</v>
      </c>
      <c r="C3889" s="1" t="s">
        <v>1007</v>
      </c>
      <c r="D3889" s="1" t="s">
        <v>1008</v>
      </c>
      <c r="E3889" s="1" t="s">
        <v>1007</v>
      </c>
      <c r="F3889" s="1" t="s">
        <v>1008</v>
      </c>
      <c r="G3889" s="1" t="s">
        <v>1010</v>
      </c>
      <c r="H3889" s="1" t="s">
        <v>1011</v>
      </c>
      <c r="I3889" s="1" t="s">
        <v>13941</v>
      </c>
      <c r="J3889" s="1" t="s">
        <v>999</v>
      </c>
      <c r="K3889" s="1">
        <v>14</v>
      </c>
      <c r="L3889" s="1" t="s">
        <v>4307</v>
      </c>
      <c r="M3889" s="1">
        <v>16</v>
      </c>
      <c r="N3889" s="1" t="s">
        <v>4308</v>
      </c>
    </row>
    <row r="3890" spans="1:14" x14ac:dyDescent="0.15">
      <c r="A3890" s="1">
        <v>913</v>
      </c>
      <c r="B3890" s="1" t="s">
        <v>1003</v>
      </c>
      <c r="C3890" s="1" t="s">
        <v>1007</v>
      </c>
      <c r="D3890" s="1" t="s">
        <v>1008</v>
      </c>
      <c r="E3890" s="1" t="s">
        <v>1007</v>
      </c>
      <c r="F3890" s="1" t="s">
        <v>1008</v>
      </c>
      <c r="G3890" s="1" t="s">
        <v>1012</v>
      </c>
      <c r="H3890" s="1" t="s">
        <v>1013</v>
      </c>
      <c r="I3890" s="1" t="s">
        <v>13941</v>
      </c>
      <c r="J3890" s="1" t="s">
        <v>999</v>
      </c>
      <c r="K3890" s="1">
        <v>14</v>
      </c>
      <c r="L3890" s="1" t="s">
        <v>4307</v>
      </c>
      <c r="M3890" s="1">
        <v>16</v>
      </c>
      <c r="N3890" s="1" t="s">
        <v>4308</v>
      </c>
    </row>
    <row r="3891" spans="1:14" x14ac:dyDescent="0.15">
      <c r="A3891" s="1">
        <v>913</v>
      </c>
      <c r="B3891" s="1" t="s">
        <v>1003</v>
      </c>
      <c r="C3891" s="1" t="s">
        <v>1014</v>
      </c>
      <c r="D3891" s="1" t="s">
        <v>1015</v>
      </c>
      <c r="E3891" s="1" t="s">
        <v>1014</v>
      </c>
      <c r="F3891" s="1" t="s">
        <v>1015</v>
      </c>
      <c r="G3891" s="1" t="s">
        <v>1016</v>
      </c>
      <c r="H3891" s="1" t="s">
        <v>1015</v>
      </c>
      <c r="I3891" s="1" t="s">
        <v>13941</v>
      </c>
      <c r="J3891" s="1" t="s">
        <v>999</v>
      </c>
      <c r="K3891" s="1">
        <v>14</v>
      </c>
      <c r="L3891" s="1" t="s">
        <v>4307</v>
      </c>
      <c r="M3891" s="1">
        <v>16</v>
      </c>
      <c r="N3891" s="1" t="s">
        <v>4308</v>
      </c>
    </row>
    <row r="3892" spans="1:14" x14ac:dyDescent="0.15">
      <c r="A3892" s="1">
        <v>914</v>
      </c>
      <c r="B3892" s="1" t="s">
        <v>1017</v>
      </c>
      <c r="C3892" s="1" t="s">
        <v>1018</v>
      </c>
      <c r="D3892" s="1" t="s">
        <v>1017</v>
      </c>
      <c r="E3892" s="1" t="s">
        <v>1018</v>
      </c>
      <c r="F3892" s="1" t="s">
        <v>1017</v>
      </c>
      <c r="G3892" s="1" t="s">
        <v>1019</v>
      </c>
      <c r="H3892" s="1" t="s">
        <v>1017</v>
      </c>
      <c r="I3892" s="1" t="s">
        <v>13941</v>
      </c>
      <c r="J3892" s="1" t="s">
        <v>999</v>
      </c>
      <c r="K3892" s="1">
        <v>14</v>
      </c>
      <c r="L3892" s="1" t="s">
        <v>4307</v>
      </c>
      <c r="M3892" s="1">
        <v>16</v>
      </c>
      <c r="N3892" s="1" t="s">
        <v>4308</v>
      </c>
    </row>
    <row r="3893" spans="1:14" x14ac:dyDescent="0.15">
      <c r="A3893" s="1">
        <v>915</v>
      </c>
      <c r="B3893" s="1" t="s">
        <v>1020</v>
      </c>
      <c r="C3893" s="1" t="s">
        <v>1021</v>
      </c>
      <c r="D3893" s="1" t="s">
        <v>1020</v>
      </c>
      <c r="E3893" s="1" t="s">
        <v>1021</v>
      </c>
      <c r="F3893" s="1" t="s">
        <v>1020</v>
      </c>
      <c r="G3893" s="1" t="s">
        <v>1022</v>
      </c>
      <c r="H3893" s="1" t="s">
        <v>1020</v>
      </c>
      <c r="I3893" s="1" t="s">
        <v>13945</v>
      </c>
      <c r="J3893" s="1" t="s">
        <v>13946</v>
      </c>
      <c r="K3893" s="1">
        <v>14</v>
      </c>
      <c r="L3893" s="1" t="s">
        <v>4307</v>
      </c>
      <c r="M3893" s="1">
        <v>16</v>
      </c>
      <c r="N3893" s="1" t="s">
        <v>4308</v>
      </c>
    </row>
    <row r="3894" spans="1:14" x14ac:dyDescent="0.15">
      <c r="A3894" s="1">
        <v>920</v>
      </c>
      <c r="B3894" s="1" t="s">
        <v>1023</v>
      </c>
      <c r="C3894" s="1" t="s">
        <v>1024</v>
      </c>
      <c r="D3894" s="1" t="s">
        <v>1023</v>
      </c>
      <c r="E3894" s="1" t="s">
        <v>1024</v>
      </c>
      <c r="F3894" s="1" t="s">
        <v>1023</v>
      </c>
      <c r="G3894" s="1" t="s">
        <v>1025</v>
      </c>
      <c r="H3894" s="1" t="s">
        <v>1023</v>
      </c>
      <c r="I3894" s="1" t="s">
        <v>11879</v>
      </c>
      <c r="J3894" s="1" t="s">
        <v>4278</v>
      </c>
      <c r="K3894" s="1">
        <v>14</v>
      </c>
      <c r="L3894" s="1" t="s">
        <v>4307</v>
      </c>
      <c r="M3894" s="1">
        <v>16</v>
      </c>
      <c r="N3894" s="1" t="s">
        <v>4308</v>
      </c>
    </row>
    <row r="3895" spans="1:14" x14ac:dyDescent="0.15">
      <c r="A3895" s="1">
        <v>920</v>
      </c>
      <c r="B3895" s="1" t="s">
        <v>1023</v>
      </c>
      <c r="C3895" s="1" t="s">
        <v>1026</v>
      </c>
      <c r="D3895" s="1" t="s">
        <v>1027</v>
      </c>
      <c r="E3895" s="1" t="s">
        <v>1026</v>
      </c>
      <c r="F3895" s="1" t="s">
        <v>1027</v>
      </c>
      <c r="G3895" s="1" t="s">
        <v>1028</v>
      </c>
      <c r="H3895" s="1" t="s">
        <v>1027</v>
      </c>
      <c r="I3895" s="1" t="s">
        <v>13977</v>
      </c>
      <c r="J3895" s="1" t="s">
        <v>1029</v>
      </c>
      <c r="K3895" s="1">
        <v>14</v>
      </c>
      <c r="L3895" s="1" t="s">
        <v>4307</v>
      </c>
      <c r="M3895" s="1">
        <v>16</v>
      </c>
      <c r="N3895" s="1" t="s">
        <v>4308</v>
      </c>
    </row>
    <row r="3896" spans="1:14" x14ac:dyDescent="0.15">
      <c r="A3896" s="1">
        <v>920</v>
      </c>
      <c r="B3896" s="1" t="s">
        <v>1023</v>
      </c>
      <c r="C3896" s="1" t="s">
        <v>1030</v>
      </c>
      <c r="D3896" s="1" t="s">
        <v>1031</v>
      </c>
      <c r="E3896" s="1" t="s">
        <v>1030</v>
      </c>
      <c r="F3896" s="1" t="s">
        <v>1031</v>
      </c>
      <c r="G3896" s="1" t="s">
        <v>1032</v>
      </c>
      <c r="H3896" s="1" t="s">
        <v>1031</v>
      </c>
      <c r="I3896" s="1" t="s">
        <v>13977</v>
      </c>
      <c r="J3896" s="1" t="s">
        <v>1029</v>
      </c>
      <c r="K3896" s="1">
        <v>14</v>
      </c>
      <c r="L3896" s="1" t="s">
        <v>4307</v>
      </c>
      <c r="M3896" s="1">
        <v>16</v>
      </c>
      <c r="N3896" s="1" t="s">
        <v>4308</v>
      </c>
    </row>
    <row r="3897" spans="1:14" x14ac:dyDescent="0.15">
      <c r="A3897" s="1">
        <v>920</v>
      </c>
      <c r="B3897" s="1" t="s">
        <v>1023</v>
      </c>
      <c r="C3897" s="1" t="s">
        <v>1033</v>
      </c>
      <c r="D3897" s="1" t="s">
        <v>1034</v>
      </c>
      <c r="E3897" s="1" t="s">
        <v>1033</v>
      </c>
      <c r="F3897" s="1" t="s">
        <v>1034</v>
      </c>
      <c r="G3897" s="1" t="s">
        <v>1035</v>
      </c>
      <c r="H3897" s="1" t="s">
        <v>1034</v>
      </c>
      <c r="I3897" s="1" t="s">
        <v>13941</v>
      </c>
      <c r="J3897" s="1" t="s">
        <v>999</v>
      </c>
      <c r="K3897" s="1">
        <v>14</v>
      </c>
      <c r="L3897" s="1" t="s">
        <v>4307</v>
      </c>
      <c r="M3897" s="1">
        <v>16</v>
      </c>
      <c r="N3897" s="1" t="s">
        <v>4308</v>
      </c>
    </row>
    <row r="3898" spans="1:14" x14ac:dyDescent="0.15">
      <c r="A3898" s="1">
        <v>923</v>
      </c>
      <c r="B3898" s="1" t="s">
        <v>1036</v>
      </c>
      <c r="C3898" s="1" t="s">
        <v>1037</v>
      </c>
      <c r="D3898" s="1" t="s">
        <v>1036</v>
      </c>
      <c r="E3898" s="1" t="s">
        <v>1037</v>
      </c>
      <c r="F3898" s="1" t="s">
        <v>1036</v>
      </c>
      <c r="G3898" s="1" t="s">
        <v>1038</v>
      </c>
      <c r="H3898" s="1" t="s">
        <v>1036</v>
      </c>
      <c r="I3898" s="1" t="s">
        <v>13941</v>
      </c>
      <c r="J3898" s="1" t="s">
        <v>999</v>
      </c>
      <c r="K3898" s="1">
        <v>14</v>
      </c>
      <c r="L3898" s="1" t="s">
        <v>4307</v>
      </c>
      <c r="M3898" s="1">
        <v>16</v>
      </c>
      <c r="N3898" s="1" t="s">
        <v>4308</v>
      </c>
    </row>
    <row r="3899" spans="1:14" x14ac:dyDescent="0.15">
      <c r="A3899" s="1">
        <v>923</v>
      </c>
      <c r="B3899" s="1" t="s">
        <v>1036</v>
      </c>
      <c r="C3899" s="1" t="s">
        <v>1037</v>
      </c>
      <c r="D3899" s="1" t="s">
        <v>1036</v>
      </c>
      <c r="E3899" s="1" t="s">
        <v>1037</v>
      </c>
      <c r="F3899" s="1" t="s">
        <v>1036</v>
      </c>
      <c r="G3899" s="1" t="s">
        <v>1039</v>
      </c>
      <c r="H3899" s="1" t="s">
        <v>1040</v>
      </c>
      <c r="I3899" s="1" t="s">
        <v>13941</v>
      </c>
      <c r="J3899" s="1" t="s">
        <v>999</v>
      </c>
      <c r="K3899" s="1">
        <v>14</v>
      </c>
      <c r="L3899" s="1" t="s">
        <v>4307</v>
      </c>
      <c r="M3899" s="1">
        <v>16</v>
      </c>
      <c r="N3899" s="1" t="s">
        <v>4308</v>
      </c>
    </row>
    <row r="3900" spans="1:14" x14ac:dyDescent="0.15">
      <c r="A3900" s="1">
        <v>923</v>
      </c>
      <c r="B3900" s="1" t="s">
        <v>1036</v>
      </c>
      <c r="C3900" s="1" t="s">
        <v>1037</v>
      </c>
      <c r="D3900" s="1" t="s">
        <v>1036</v>
      </c>
      <c r="E3900" s="1" t="s">
        <v>1037</v>
      </c>
      <c r="F3900" s="1" t="s">
        <v>1036</v>
      </c>
      <c r="G3900" s="1" t="s">
        <v>1041</v>
      </c>
      <c r="H3900" s="1" t="s">
        <v>1042</v>
      </c>
      <c r="I3900" s="1" t="s">
        <v>13941</v>
      </c>
      <c r="J3900" s="1" t="s">
        <v>999</v>
      </c>
      <c r="K3900" s="1">
        <v>14</v>
      </c>
      <c r="L3900" s="1" t="s">
        <v>4307</v>
      </c>
      <c r="M3900" s="1">
        <v>16</v>
      </c>
      <c r="N3900" s="1" t="s">
        <v>4308</v>
      </c>
    </row>
    <row r="3901" spans="1:14" x14ac:dyDescent="0.15">
      <c r="A3901" s="1">
        <v>924</v>
      </c>
      <c r="B3901" s="1" t="s">
        <v>1043</v>
      </c>
      <c r="C3901" s="1" t="s">
        <v>1044</v>
      </c>
      <c r="D3901" s="1" t="s">
        <v>1043</v>
      </c>
      <c r="E3901" s="1" t="s">
        <v>1044</v>
      </c>
      <c r="F3901" s="1" t="s">
        <v>1043</v>
      </c>
      <c r="G3901" s="1" t="s">
        <v>1045</v>
      </c>
      <c r="H3901" s="1" t="s">
        <v>1043</v>
      </c>
      <c r="I3901" s="1" t="s">
        <v>13941</v>
      </c>
      <c r="J3901" s="1" t="s">
        <v>999</v>
      </c>
      <c r="K3901" s="1">
        <v>14</v>
      </c>
      <c r="L3901" s="1" t="s">
        <v>4307</v>
      </c>
      <c r="M3901" s="1">
        <v>16</v>
      </c>
      <c r="N3901" s="1" t="s">
        <v>4308</v>
      </c>
    </row>
    <row r="3902" spans="1:14" x14ac:dyDescent="0.15">
      <c r="A3902" s="1">
        <v>926</v>
      </c>
      <c r="B3902" s="1" t="s">
        <v>1046</v>
      </c>
      <c r="C3902" s="1" t="s">
        <v>1047</v>
      </c>
      <c r="D3902" s="1" t="s">
        <v>1046</v>
      </c>
      <c r="E3902" s="1" t="s">
        <v>1048</v>
      </c>
      <c r="F3902" s="1" t="s">
        <v>1049</v>
      </c>
      <c r="G3902" s="1" t="s">
        <v>1047</v>
      </c>
      <c r="H3902" s="1" t="s">
        <v>1046</v>
      </c>
      <c r="I3902" s="1" t="s">
        <v>11879</v>
      </c>
      <c r="J3902" s="1" t="s">
        <v>4278</v>
      </c>
      <c r="K3902" s="1">
        <v>14</v>
      </c>
      <c r="L3902" s="1" t="s">
        <v>4307</v>
      </c>
      <c r="M3902" s="1">
        <v>16</v>
      </c>
      <c r="N3902" s="1" t="s">
        <v>4308</v>
      </c>
    </row>
    <row r="3903" spans="1:14" x14ac:dyDescent="0.15">
      <c r="A3903" s="1">
        <v>926</v>
      </c>
      <c r="B3903" s="1" t="s">
        <v>1046</v>
      </c>
      <c r="C3903" s="1" t="s">
        <v>1048</v>
      </c>
      <c r="D3903" s="1" t="s">
        <v>1049</v>
      </c>
      <c r="E3903" s="1" t="s">
        <v>1048</v>
      </c>
      <c r="F3903" s="1" t="s">
        <v>1049</v>
      </c>
      <c r="G3903" s="1" t="s">
        <v>1050</v>
      </c>
      <c r="H3903" s="1" t="s">
        <v>1049</v>
      </c>
      <c r="I3903" s="1" t="s">
        <v>13941</v>
      </c>
      <c r="J3903" s="1" t="s">
        <v>999</v>
      </c>
      <c r="K3903" s="1">
        <v>14</v>
      </c>
      <c r="L3903" s="1" t="s">
        <v>4307</v>
      </c>
      <c r="M3903" s="1">
        <v>16</v>
      </c>
      <c r="N3903" s="1" t="s">
        <v>4308</v>
      </c>
    </row>
    <row r="3904" spans="1:14" x14ac:dyDescent="0.15">
      <c r="A3904" s="1">
        <v>926</v>
      </c>
      <c r="B3904" s="1" t="s">
        <v>1046</v>
      </c>
      <c r="C3904" s="1" t="s">
        <v>1051</v>
      </c>
      <c r="D3904" s="1" t="s">
        <v>1052</v>
      </c>
      <c r="E3904" s="1" t="s">
        <v>1051</v>
      </c>
      <c r="F3904" s="1" t="s">
        <v>1052</v>
      </c>
      <c r="G3904" s="1" t="s">
        <v>1053</v>
      </c>
      <c r="H3904" s="1" t="s">
        <v>1052</v>
      </c>
      <c r="I3904" s="1" t="s">
        <v>13941</v>
      </c>
      <c r="J3904" s="1" t="s">
        <v>999</v>
      </c>
      <c r="K3904" s="1">
        <v>14</v>
      </c>
      <c r="L3904" s="1" t="s">
        <v>4307</v>
      </c>
      <c r="M3904" s="1">
        <v>16</v>
      </c>
      <c r="N3904" s="1" t="s">
        <v>4308</v>
      </c>
    </row>
    <row r="3905" spans="1:14" x14ac:dyDescent="0.15">
      <c r="A3905" s="1">
        <v>930</v>
      </c>
      <c r="B3905" s="1" t="s">
        <v>1054</v>
      </c>
      <c r="C3905" s="1" t="s">
        <v>1055</v>
      </c>
      <c r="D3905" s="1" t="s">
        <v>1054</v>
      </c>
      <c r="E3905" s="1" t="s">
        <v>1055</v>
      </c>
      <c r="F3905" s="1" t="s">
        <v>1054</v>
      </c>
      <c r="G3905" s="1" t="s">
        <v>1056</v>
      </c>
      <c r="H3905" s="1" t="s">
        <v>1054</v>
      </c>
      <c r="I3905" s="1" t="s">
        <v>13969</v>
      </c>
      <c r="J3905" s="1" t="s">
        <v>1057</v>
      </c>
      <c r="K3905" s="1">
        <v>14</v>
      </c>
      <c r="L3905" s="1" t="s">
        <v>4307</v>
      </c>
      <c r="M3905" s="1">
        <v>16</v>
      </c>
      <c r="N3905" s="1" t="s">
        <v>4308</v>
      </c>
    </row>
    <row r="3906" spans="1:14" x14ac:dyDescent="0.15">
      <c r="A3906" s="1">
        <v>930</v>
      </c>
      <c r="B3906" s="1" t="s">
        <v>1054</v>
      </c>
      <c r="C3906" s="1" t="s">
        <v>1055</v>
      </c>
      <c r="D3906" s="1" t="s">
        <v>1054</v>
      </c>
      <c r="E3906" s="1" t="s">
        <v>1055</v>
      </c>
      <c r="F3906" s="1" t="s">
        <v>1054</v>
      </c>
      <c r="G3906" s="1" t="s">
        <v>1058</v>
      </c>
      <c r="H3906" s="1" t="s">
        <v>1059</v>
      </c>
      <c r="I3906" s="1" t="s">
        <v>13969</v>
      </c>
      <c r="J3906" s="1" t="s">
        <v>1057</v>
      </c>
      <c r="K3906" s="1">
        <v>14</v>
      </c>
      <c r="L3906" s="1" t="s">
        <v>4307</v>
      </c>
      <c r="M3906" s="1">
        <v>16</v>
      </c>
      <c r="N3906" s="1" t="s">
        <v>4308</v>
      </c>
    </row>
    <row r="3907" spans="1:14" x14ac:dyDescent="0.15">
      <c r="A3907" s="1">
        <v>930</v>
      </c>
      <c r="B3907" s="1" t="s">
        <v>1054</v>
      </c>
      <c r="C3907" s="1" t="s">
        <v>1055</v>
      </c>
      <c r="D3907" s="1" t="s">
        <v>1054</v>
      </c>
      <c r="E3907" s="1" t="s">
        <v>1055</v>
      </c>
      <c r="F3907" s="1" t="s">
        <v>1054</v>
      </c>
      <c r="G3907" s="1" t="s">
        <v>1060</v>
      </c>
      <c r="H3907" s="1" t="s">
        <v>1061</v>
      </c>
      <c r="I3907" s="1" t="s">
        <v>13969</v>
      </c>
      <c r="J3907" s="1" t="s">
        <v>1057</v>
      </c>
      <c r="K3907" s="1">
        <v>14</v>
      </c>
      <c r="L3907" s="1" t="s">
        <v>4307</v>
      </c>
      <c r="M3907" s="1">
        <v>16</v>
      </c>
      <c r="N3907" s="1" t="s">
        <v>4308</v>
      </c>
    </row>
    <row r="3908" spans="1:14" x14ac:dyDescent="0.15">
      <c r="A3908" s="1">
        <v>931</v>
      </c>
      <c r="B3908" s="1" t="s">
        <v>1062</v>
      </c>
      <c r="C3908" s="1" t="s">
        <v>1063</v>
      </c>
      <c r="D3908" s="1" t="s">
        <v>1062</v>
      </c>
      <c r="E3908" s="1" t="s">
        <v>1063</v>
      </c>
      <c r="F3908" s="1" t="s">
        <v>1062</v>
      </c>
      <c r="G3908" s="1" t="s">
        <v>1064</v>
      </c>
      <c r="H3908" s="1" t="s">
        <v>1062</v>
      </c>
      <c r="I3908" s="1" t="s">
        <v>11879</v>
      </c>
      <c r="J3908" s="1" t="s">
        <v>4278</v>
      </c>
      <c r="K3908" s="1">
        <v>14</v>
      </c>
      <c r="L3908" s="1" t="s">
        <v>4307</v>
      </c>
      <c r="M3908" s="1">
        <v>16</v>
      </c>
      <c r="N3908" s="1" t="s">
        <v>4308</v>
      </c>
    </row>
    <row r="3909" spans="1:14" x14ac:dyDescent="0.15">
      <c r="A3909" s="1">
        <v>931</v>
      </c>
      <c r="B3909" s="1" t="s">
        <v>1062</v>
      </c>
      <c r="C3909" s="1" t="s">
        <v>1065</v>
      </c>
      <c r="D3909" s="1" t="s">
        <v>1066</v>
      </c>
      <c r="E3909" s="1" t="s">
        <v>1065</v>
      </c>
      <c r="F3909" s="1" t="s">
        <v>1066</v>
      </c>
      <c r="G3909" s="1" t="s">
        <v>1067</v>
      </c>
      <c r="H3909" s="1" t="s">
        <v>1066</v>
      </c>
      <c r="I3909" s="1" t="s">
        <v>13953</v>
      </c>
      <c r="J3909" s="1" t="s">
        <v>4908</v>
      </c>
      <c r="K3909" s="1">
        <v>14</v>
      </c>
      <c r="L3909" s="1" t="s">
        <v>4307</v>
      </c>
      <c r="M3909" s="1">
        <v>16</v>
      </c>
      <c r="N3909" s="1" t="s">
        <v>4308</v>
      </c>
    </row>
    <row r="3910" spans="1:14" x14ac:dyDescent="0.15">
      <c r="A3910" s="1">
        <v>931</v>
      </c>
      <c r="B3910" s="1" t="s">
        <v>1062</v>
      </c>
      <c r="C3910" s="1" t="s">
        <v>1065</v>
      </c>
      <c r="D3910" s="1" t="s">
        <v>1066</v>
      </c>
      <c r="E3910" s="1" t="s">
        <v>1065</v>
      </c>
      <c r="F3910" s="1" t="s">
        <v>1066</v>
      </c>
      <c r="G3910" s="1" t="s">
        <v>1067</v>
      </c>
      <c r="H3910" s="1" t="s">
        <v>1066</v>
      </c>
      <c r="I3910" s="1" t="s">
        <v>13965</v>
      </c>
      <c r="J3910" s="1" t="s">
        <v>13966</v>
      </c>
      <c r="K3910" s="1">
        <v>14</v>
      </c>
      <c r="L3910" s="1" t="s">
        <v>4307</v>
      </c>
      <c r="M3910" s="1">
        <v>16</v>
      </c>
      <c r="N3910" s="1" t="s">
        <v>4308</v>
      </c>
    </row>
    <row r="3911" spans="1:14" x14ac:dyDescent="0.15">
      <c r="A3911" s="1">
        <v>931</v>
      </c>
      <c r="B3911" s="1" t="s">
        <v>1062</v>
      </c>
      <c r="C3911" s="1" t="s">
        <v>1065</v>
      </c>
      <c r="D3911" s="1" t="s">
        <v>1066</v>
      </c>
      <c r="E3911" s="1" t="s">
        <v>1065</v>
      </c>
      <c r="F3911" s="1" t="s">
        <v>1066</v>
      </c>
      <c r="G3911" s="1" t="s">
        <v>1067</v>
      </c>
      <c r="H3911" s="1" t="s">
        <v>1066</v>
      </c>
      <c r="I3911" s="1" t="s">
        <v>13969</v>
      </c>
      <c r="J3911" s="1" t="s">
        <v>1057</v>
      </c>
      <c r="K3911" s="1">
        <v>14</v>
      </c>
      <c r="L3911" s="1" t="s">
        <v>4307</v>
      </c>
      <c r="M3911" s="1">
        <v>16</v>
      </c>
      <c r="N3911" s="1" t="s">
        <v>4308</v>
      </c>
    </row>
    <row r="3912" spans="1:14" x14ac:dyDescent="0.15">
      <c r="A3912" s="1">
        <v>931</v>
      </c>
      <c r="B3912" s="1" t="s">
        <v>1062</v>
      </c>
      <c r="C3912" s="1" t="s">
        <v>1065</v>
      </c>
      <c r="D3912" s="1" t="s">
        <v>1066</v>
      </c>
      <c r="E3912" s="1" t="s">
        <v>1065</v>
      </c>
      <c r="F3912" s="1" t="s">
        <v>1066</v>
      </c>
      <c r="G3912" s="1" t="s">
        <v>1068</v>
      </c>
      <c r="H3912" s="1" t="s">
        <v>1069</v>
      </c>
      <c r="I3912" s="1" t="s">
        <v>13953</v>
      </c>
      <c r="J3912" s="1" t="s">
        <v>4908</v>
      </c>
      <c r="K3912" s="1">
        <v>14</v>
      </c>
      <c r="L3912" s="1" t="s">
        <v>4307</v>
      </c>
      <c r="M3912" s="1">
        <v>16</v>
      </c>
      <c r="N3912" s="1" t="s">
        <v>4308</v>
      </c>
    </row>
    <row r="3913" spans="1:14" x14ac:dyDescent="0.15">
      <c r="A3913" s="1">
        <v>931</v>
      </c>
      <c r="B3913" s="1" t="s">
        <v>1062</v>
      </c>
      <c r="C3913" s="1" t="s">
        <v>1065</v>
      </c>
      <c r="D3913" s="1" t="s">
        <v>1066</v>
      </c>
      <c r="E3913" s="1" t="s">
        <v>1065</v>
      </c>
      <c r="F3913" s="1" t="s">
        <v>1066</v>
      </c>
      <c r="G3913" s="1" t="s">
        <v>1068</v>
      </c>
      <c r="H3913" s="1" t="s">
        <v>1069</v>
      </c>
      <c r="I3913" s="1" t="s">
        <v>13965</v>
      </c>
      <c r="J3913" s="1" t="s">
        <v>13966</v>
      </c>
      <c r="K3913" s="1">
        <v>14</v>
      </c>
      <c r="L3913" s="1" t="s">
        <v>4307</v>
      </c>
      <c r="M3913" s="1">
        <v>16</v>
      </c>
      <c r="N3913" s="1" t="s">
        <v>4308</v>
      </c>
    </row>
    <row r="3914" spans="1:14" x14ac:dyDescent="0.15">
      <c r="A3914" s="1">
        <v>931</v>
      </c>
      <c r="B3914" s="1" t="s">
        <v>1062</v>
      </c>
      <c r="C3914" s="1" t="s">
        <v>1065</v>
      </c>
      <c r="D3914" s="1" t="s">
        <v>1066</v>
      </c>
      <c r="E3914" s="1" t="s">
        <v>1065</v>
      </c>
      <c r="F3914" s="1" t="s">
        <v>1066</v>
      </c>
      <c r="G3914" s="1" t="s">
        <v>1068</v>
      </c>
      <c r="H3914" s="1" t="s">
        <v>1069</v>
      </c>
      <c r="I3914" s="1" t="s">
        <v>13969</v>
      </c>
      <c r="J3914" s="1" t="s">
        <v>1057</v>
      </c>
      <c r="K3914" s="1">
        <v>14</v>
      </c>
      <c r="L3914" s="1" t="s">
        <v>4307</v>
      </c>
      <c r="M3914" s="1">
        <v>16</v>
      </c>
      <c r="N3914" s="1" t="s">
        <v>4308</v>
      </c>
    </row>
    <row r="3915" spans="1:14" x14ac:dyDescent="0.15">
      <c r="A3915" s="1">
        <v>931</v>
      </c>
      <c r="B3915" s="1" t="s">
        <v>1062</v>
      </c>
      <c r="C3915" s="1" t="s">
        <v>1065</v>
      </c>
      <c r="D3915" s="1" t="s">
        <v>1066</v>
      </c>
      <c r="E3915" s="1" t="s">
        <v>1065</v>
      </c>
      <c r="F3915" s="1" t="s">
        <v>1066</v>
      </c>
      <c r="G3915" s="1" t="s">
        <v>1070</v>
      </c>
      <c r="H3915" s="1" t="s">
        <v>1071</v>
      </c>
      <c r="I3915" s="1" t="s">
        <v>13953</v>
      </c>
      <c r="J3915" s="1" t="s">
        <v>4908</v>
      </c>
      <c r="K3915" s="1">
        <v>14</v>
      </c>
      <c r="L3915" s="1" t="s">
        <v>4307</v>
      </c>
      <c r="M3915" s="1">
        <v>16</v>
      </c>
      <c r="N3915" s="1" t="s">
        <v>4308</v>
      </c>
    </row>
    <row r="3916" spans="1:14" x14ac:dyDescent="0.15">
      <c r="A3916" s="1">
        <v>931</v>
      </c>
      <c r="B3916" s="1" t="s">
        <v>1062</v>
      </c>
      <c r="C3916" s="1" t="s">
        <v>1065</v>
      </c>
      <c r="D3916" s="1" t="s">
        <v>1066</v>
      </c>
      <c r="E3916" s="1" t="s">
        <v>1065</v>
      </c>
      <c r="F3916" s="1" t="s">
        <v>1066</v>
      </c>
      <c r="G3916" s="1" t="s">
        <v>1070</v>
      </c>
      <c r="H3916" s="1" t="s">
        <v>1071</v>
      </c>
      <c r="I3916" s="1" t="s">
        <v>13965</v>
      </c>
      <c r="J3916" s="1" t="s">
        <v>13966</v>
      </c>
      <c r="K3916" s="1">
        <v>14</v>
      </c>
      <c r="L3916" s="1" t="s">
        <v>4307</v>
      </c>
      <c r="M3916" s="1">
        <v>16</v>
      </c>
      <c r="N3916" s="1" t="s">
        <v>4308</v>
      </c>
    </row>
    <row r="3917" spans="1:14" x14ac:dyDescent="0.15">
      <c r="A3917" s="1">
        <v>931</v>
      </c>
      <c r="B3917" s="1" t="s">
        <v>1062</v>
      </c>
      <c r="C3917" s="1" t="s">
        <v>1065</v>
      </c>
      <c r="D3917" s="1" t="s">
        <v>1066</v>
      </c>
      <c r="E3917" s="1" t="s">
        <v>1065</v>
      </c>
      <c r="F3917" s="1" t="s">
        <v>1066</v>
      </c>
      <c r="G3917" s="1" t="s">
        <v>1070</v>
      </c>
      <c r="H3917" s="1" t="s">
        <v>1071</v>
      </c>
      <c r="I3917" s="1" t="s">
        <v>13969</v>
      </c>
      <c r="J3917" s="1" t="s">
        <v>1057</v>
      </c>
      <c r="K3917" s="1">
        <v>14</v>
      </c>
      <c r="L3917" s="1" t="s">
        <v>4307</v>
      </c>
      <c r="M3917" s="1">
        <v>16</v>
      </c>
      <c r="N3917" s="1" t="s">
        <v>4308</v>
      </c>
    </row>
    <row r="3918" spans="1:14" x14ac:dyDescent="0.15">
      <c r="A3918" s="1">
        <v>931</v>
      </c>
      <c r="B3918" s="1" t="s">
        <v>1062</v>
      </c>
      <c r="C3918" s="1" t="s">
        <v>1065</v>
      </c>
      <c r="D3918" s="1" t="s">
        <v>1066</v>
      </c>
      <c r="E3918" s="1" t="s">
        <v>1065</v>
      </c>
      <c r="F3918" s="1" t="s">
        <v>1066</v>
      </c>
      <c r="G3918" s="1" t="s">
        <v>1072</v>
      </c>
      <c r="H3918" s="1" t="s">
        <v>1073</v>
      </c>
      <c r="I3918" s="1" t="s">
        <v>13953</v>
      </c>
      <c r="J3918" s="1" t="s">
        <v>4908</v>
      </c>
      <c r="K3918" s="1">
        <v>14</v>
      </c>
      <c r="L3918" s="1" t="s">
        <v>4307</v>
      </c>
      <c r="M3918" s="1">
        <v>16</v>
      </c>
      <c r="N3918" s="1" t="s">
        <v>4308</v>
      </c>
    </row>
    <row r="3919" spans="1:14" x14ac:dyDescent="0.15">
      <c r="A3919" s="1">
        <v>931</v>
      </c>
      <c r="B3919" s="1" t="s">
        <v>1062</v>
      </c>
      <c r="C3919" s="1" t="s">
        <v>1065</v>
      </c>
      <c r="D3919" s="1" t="s">
        <v>1066</v>
      </c>
      <c r="E3919" s="1" t="s">
        <v>1065</v>
      </c>
      <c r="F3919" s="1" t="s">
        <v>1066</v>
      </c>
      <c r="G3919" s="1" t="s">
        <v>1072</v>
      </c>
      <c r="H3919" s="1" t="s">
        <v>1073</v>
      </c>
      <c r="I3919" s="1" t="s">
        <v>13965</v>
      </c>
      <c r="J3919" s="1" t="s">
        <v>13966</v>
      </c>
      <c r="K3919" s="1">
        <v>14</v>
      </c>
      <c r="L3919" s="1" t="s">
        <v>4307</v>
      </c>
      <c r="M3919" s="1">
        <v>16</v>
      </c>
      <c r="N3919" s="1" t="s">
        <v>4308</v>
      </c>
    </row>
    <row r="3920" spans="1:14" x14ac:dyDescent="0.15">
      <c r="A3920" s="1">
        <v>931</v>
      </c>
      <c r="B3920" s="1" t="s">
        <v>1062</v>
      </c>
      <c r="C3920" s="1" t="s">
        <v>1065</v>
      </c>
      <c r="D3920" s="1" t="s">
        <v>1066</v>
      </c>
      <c r="E3920" s="1" t="s">
        <v>1065</v>
      </c>
      <c r="F3920" s="1" t="s">
        <v>1066</v>
      </c>
      <c r="G3920" s="1" t="s">
        <v>1072</v>
      </c>
      <c r="H3920" s="1" t="s">
        <v>1073</v>
      </c>
      <c r="I3920" s="1" t="s">
        <v>13969</v>
      </c>
      <c r="J3920" s="1" t="s">
        <v>1057</v>
      </c>
      <c r="K3920" s="1">
        <v>14</v>
      </c>
      <c r="L3920" s="1" t="s">
        <v>4307</v>
      </c>
      <c r="M3920" s="1">
        <v>16</v>
      </c>
      <c r="N3920" s="1" t="s">
        <v>4308</v>
      </c>
    </row>
    <row r="3921" spans="1:14" x14ac:dyDescent="0.15">
      <c r="A3921" s="1">
        <v>931</v>
      </c>
      <c r="B3921" s="1" t="s">
        <v>1062</v>
      </c>
      <c r="C3921" s="1" t="s">
        <v>1074</v>
      </c>
      <c r="D3921" s="1" t="s">
        <v>1075</v>
      </c>
      <c r="E3921" s="1" t="s">
        <v>1074</v>
      </c>
      <c r="F3921" s="1" t="s">
        <v>1075</v>
      </c>
      <c r="G3921" s="1" t="s">
        <v>1076</v>
      </c>
      <c r="H3921" s="1" t="s">
        <v>1075</v>
      </c>
      <c r="I3921" s="1" t="s">
        <v>13969</v>
      </c>
      <c r="J3921" s="1" t="s">
        <v>1057</v>
      </c>
      <c r="K3921" s="1">
        <v>14</v>
      </c>
      <c r="L3921" s="1" t="s">
        <v>4307</v>
      </c>
      <c r="M3921" s="1">
        <v>16</v>
      </c>
      <c r="N3921" s="1" t="s">
        <v>4308</v>
      </c>
    </row>
    <row r="3922" spans="1:14" x14ac:dyDescent="0.15">
      <c r="A3922" s="1">
        <v>933</v>
      </c>
      <c r="B3922" s="1" t="s">
        <v>1077</v>
      </c>
      <c r="C3922" s="1" t="s">
        <v>1078</v>
      </c>
      <c r="D3922" s="1" t="s">
        <v>1077</v>
      </c>
      <c r="E3922" s="1" t="s">
        <v>1078</v>
      </c>
      <c r="F3922" s="1" t="s">
        <v>1077</v>
      </c>
      <c r="G3922" s="1" t="s">
        <v>1079</v>
      </c>
      <c r="H3922" s="1" t="s">
        <v>1077</v>
      </c>
      <c r="I3922" s="1" t="s">
        <v>4494</v>
      </c>
      <c r="J3922" s="1" t="s">
        <v>4495</v>
      </c>
      <c r="K3922" s="1">
        <v>14</v>
      </c>
      <c r="L3922" s="1" t="s">
        <v>4307</v>
      </c>
      <c r="M3922" s="1">
        <v>16</v>
      </c>
      <c r="N3922" s="1" t="s">
        <v>4308</v>
      </c>
    </row>
    <row r="3923" spans="1:14" x14ac:dyDescent="0.15">
      <c r="A3923" s="1">
        <v>934</v>
      </c>
      <c r="B3923" s="1" t="s">
        <v>1080</v>
      </c>
      <c r="C3923" s="1" t="s">
        <v>1081</v>
      </c>
      <c r="D3923" s="1" t="s">
        <v>1080</v>
      </c>
      <c r="E3923" s="1" t="s">
        <v>1081</v>
      </c>
      <c r="F3923" s="1" t="s">
        <v>1080</v>
      </c>
      <c r="G3923" s="1" t="s">
        <v>1082</v>
      </c>
      <c r="H3923" s="1" t="s">
        <v>1080</v>
      </c>
      <c r="I3923" s="1" t="s">
        <v>4494</v>
      </c>
      <c r="J3923" s="1" t="s">
        <v>4495</v>
      </c>
      <c r="K3923" s="1">
        <v>14</v>
      </c>
      <c r="L3923" s="1" t="s">
        <v>4307</v>
      </c>
      <c r="M3923" s="1">
        <v>16</v>
      </c>
      <c r="N3923" s="1" t="s">
        <v>4308</v>
      </c>
    </row>
    <row r="3924" spans="1:14" x14ac:dyDescent="0.15">
      <c r="A3924" s="1">
        <v>935</v>
      </c>
      <c r="B3924" s="1" t="s">
        <v>1083</v>
      </c>
      <c r="C3924" s="1" t="s">
        <v>1084</v>
      </c>
      <c r="D3924" s="1" t="s">
        <v>1083</v>
      </c>
      <c r="E3924" s="1" t="s">
        <v>1084</v>
      </c>
      <c r="F3924" s="1" t="s">
        <v>1083</v>
      </c>
      <c r="G3924" s="1" t="s">
        <v>1085</v>
      </c>
      <c r="H3924" s="1" t="s">
        <v>1083</v>
      </c>
      <c r="I3924" s="1" t="s">
        <v>4494</v>
      </c>
      <c r="J3924" s="1" t="s">
        <v>4495</v>
      </c>
      <c r="K3924" s="1">
        <v>11</v>
      </c>
      <c r="L3924" s="1" t="s">
        <v>4227</v>
      </c>
      <c r="M3924" s="1">
        <v>14</v>
      </c>
      <c r="N3924" s="1" t="s">
        <v>4220</v>
      </c>
    </row>
    <row r="3925" spans="1:14" x14ac:dyDescent="0.15">
      <c r="A3925" s="1">
        <v>936</v>
      </c>
      <c r="B3925" s="1" t="s">
        <v>1086</v>
      </c>
      <c r="C3925" s="1" t="s">
        <v>1087</v>
      </c>
      <c r="D3925" s="1" t="s">
        <v>1086</v>
      </c>
      <c r="E3925" s="1" t="s">
        <v>1087</v>
      </c>
      <c r="F3925" s="1" t="s">
        <v>1086</v>
      </c>
      <c r="G3925" s="1" t="s">
        <v>1088</v>
      </c>
      <c r="H3925" s="1" t="s">
        <v>1086</v>
      </c>
      <c r="I3925" s="1" t="s">
        <v>4494</v>
      </c>
      <c r="J3925" s="1" t="s">
        <v>4495</v>
      </c>
      <c r="K3925" s="1">
        <v>11</v>
      </c>
      <c r="L3925" s="1" t="s">
        <v>4227</v>
      </c>
      <c r="M3925" s="1">
        <v>14</v>
      </c>
      <c r="N3925" s="1" t="s">
        <v>4220</v>
      </c>
    </row>
    <row r="3926" spans="1:14" x14ac:dyDescent="0.15">
      <c r="A3926" s="1">
        <v>931</v>
      </c>
      <c r="B3926" s="1" t="s">
        <v>1062</v>
      </c>
      <c r="C3926" s="1" t="s">
        <v>1089</v>
      </c>
      <c r="D3926" s="1" t="s">
        <v>1090</v>
      </c>
      <c r="E3926" s="1" t="s">
        <v>1089</v>
      </c>
      <c r="F3926" s="1" t="s">
        <v>1090</v>
      </c>
      <c r="G3926" s="1" t="s">
        <v>1091</v>
      </c>
      <c r="H3926" s="1" t="s">
        <v>1090</v>
      </c>
      <c r="I3926" s="1" t="s">
        <v>11879</v>
      </c>
      <c r="J3926" s="1" t="s">
        <v>4278</v>
      </c>
      <c r="K3926" s="1">
        <v>9</v>
      </c>
      <c r="L3926" s="1" t="s">
        <v>4199</v>
      </c>
      <c r="M3926" s="1">
        <v>16</v>
      </c>
      <c r="N3926" s="1" t="s">
        <v>4308</v>
      </c>
    </row>
    <row r="3927" spans="1:14" x14ac:dyDescent="0.15">
      <c r="A3927" s="1">
        <v>931</v>
      </c>
      <c r="B3927" s="1" t="s">
        <v>1062</v>
      </c>
      <c r="C3927" s="1" t="s">
        <v>1089</v>
      </c>
      <c r="D3927" s="1" t="s">
        <v>1090</v>
      </c>
      <c r="E3927" s="1" t="s">
        <v>1089</v>
      </c>
      <c r="F3927" s="1" t="s">
        <v>1092</v>
      </c>
      <c r="G3927" s="1" t="s">
        <v>1093</v>
      </c>
      <c r="H3927" s="1" t="s">
        <v>1092</v>
      </c>
      <c r="I3927" s="1" t="s">
        <v>4494</v>
      </c>
      <c r="J3927" s="1" t="s">
        <v>4495</v>
      </c>
      <c r="K3927" s="1">
        <v>9</v>
      </c>
      <c r="L3927" s="1" t="s">
        <v>4199</v>
      </c>
      <c r="M3927" s="1">
        <v>16</v>
      </c>
      <c r="N3927" s="1" t="s">
        <v>4308</v>
      </c>
    </row>
    <row r="3928" spans="1:14" x14ac:dyDescent="0.15">
      <c r="A3928" s="1">
        <v>931</v>
      </c>
      <c r="B3928" s="1" t="s">
        <v>1062</v>
      </c>
      <c r="C3928" s="1" t="s">
        <v>1089</v>
      </c>
      <c r="D3928" s="1" t="s">
        <v>1090</v>
      </c>
      <c r="E3928" s="1" t="s">
        <v>1089</v>
      </c>
      <c r="F3928" s="1" t="s">
        <v>1094</v>
      </c>
      <c r="G3928" s="1" t="s">
        <v>1095</v>
      </c>
      <c r="H3928" s="1" t="s">
        <v>1094</v>
      </c>
      <c r="I3928" s="1" t="s">
        <v>4494</v>
      </c>
      <c r="J3928" s="1" t="s">
        <v>4495</v>
      </c>
      <c r="K3928" s="1">
        <v>9</v>
      </c>
      <c r="L3928" s="1" t="s">
        <v>4199</v>
      </c>
      <c r="M3928" s="1">
        <v>16</v>
      </c>
      <c r="N3928" s="1" t="s">
        <v>4308</v>
      </c>
    </row>
    <row r="3929" spans="1:14" x14ac:dyDescent="0.15">
      <c r="A3929" s="1">
        <v>931</v>
      </c>
      <c r="B3929" s="1" t="s">
        <v>1062</v>
      </c>
      <c r="C3929" s="1" t="s">
        <v>1089</v>
      </c>
      <c r="D3929" s="1" t="s">
        <v>1090</v>
      </c>
      <c r="E3929" s="1" t="s">
        <v>1089</v>
      </c>
      <c r="F3929" s="1" t="s">
        <v>1096</v>
      </c>
      <c r="G3929" s="1" t="s">
        <v>1097</v>
      </c>
      <c r="H3929" s="1" t="s">
        <v>1096</v>
      </c>
      <c r="I3929" s="1" t="s">
        <v>4494</v>
      </c>
      <c r="J3929" s="1" t="s">
        <v>4495</v>
      </c>
      <c r="K3929" s="1">
        <v>9</v>
      </c>
      <c r="L3929" s="1" t="s">
        <v>4199</v>
      </c>
      <c r="M3929" s="1">
        <v>16</v>
      </c>
      <c r="N3929" s="1" t="s">
        <v>4308</v>
      </c>
    </row>
    <row r="3930" spans="1:14" x14ac:dyDescent="0.15">
      <c r="A3930" s="1">
        <v>931</v>
      </c>
      <c r="B3930" s="1" t="s">
        <v>1062</v>
      </c>
      <c r="C3930" s="1" t="s">
        <v>1089</v>
      </c>
      <c r="D3930" s="1" t="s">
        <v>1090</v>
      </c>
      <c r="E3930" s="1" t="s">
        <v>1089</v>
      </c>
      <c r="F3930" s="1" t="s">
        <v>1098</v>
      </c>
      <c r="G3930" s="1" t="s">
        <v>1099</v>
      </c>
      <c r="H3930" s="1" t="s">
        <v>1098</v>
      </c>
      <c r="I3930" s="1" t="s">
        <v>4494</v>
      </c>
      <c r="J3930" s="1" t="s">
        <v>4495</v>
      </c>
      <c r="K3930" s="1">
        <v>9</v>
      </c>
      <c r="L3930" s="1" t="s">
        <v>4199</v>
      </c>
      <c r="M3930" s="1">
        <v>16</v>
      </c>
      <c r="N3930" s="1" t="s">
        <v>4308</v>
      </c>
    </row>
    <row r="3931" spans="1:14" x14ac:dyDescent="0.15">
      <c r="A3931" s="1">
        <v>931</v>
      </c>
      <c r="B3931" s="1" t="s">
        <v>1062</v>
      </c>
      <c r="C3931" s="1" t="s">
        <v>1089</v>
      </c>
      <c r="D3931" s="1" t="s">
        <v>1090</v>
      </c>
      <c r="E3931" s="1" t="s">
        <v>1089</v>
      </c>
      <c r="F3931" s="1" t="s">
        <v>1100</v>
      </c>
      <c r="G3931" s="1" t="s">
        <v>1101</v>
      </c>
      <c r="H3931" s="1" t="s">
        <v>1100</v>
      </c>
      <c r="I3931" s="1" t="s">
        <v>4494</v>
      </c>
      <c r="J3931" s="1" t="s">
        <v>4495</v>
      </c>
      <c r="K3931" s="1">
        <v>9</v>
      </c>
      <c r="L3931" s="1" t="s">
        <v>4199</v>
      </c>
      <c r="M3931" s="1">
        <v>16</v>
      </c>
      <c r="N3931" s="1" t="s">
        <v>4308</v>
      </c>
    </row>
    <row r="3932" spans="1:14" x14ac:dyDescent="0.15">
      <c r="A3932" s="1">
        <v>931</v>
      </c>
      <c r="B3932" s="1" t="s">
        <v>1062</v>
      </c>
      <c r="C3932" s="1" t="s">
        <v>1089</v>
      </c>
      <c r="D3932" s="1" t="s">
        <v>1090</v>
      </c>
      <c r="E3932" s="1" t="s">
        <v>1089</v>
      </c>
      <c r="F3932" s="1" t="s">
        <v>1102</v>
      </c>
      <c r="G3932" s="1" t="s">
        <v>1103</v>
      </c>
      <c r="H3932" s="1" t="s">
        <v>1102</v>
      </c>
      <c r="I3932" s="1" t="s">
        <v>4494</v>
      </c>
      <c r="J3932" s="1" t="s">
        <v>4495</v>
      </c>
      <c r="K3932" s="1">
        <v>9</v>
      </c>
      <c r="L3932" s="1" t="s">
        <v>4199</v>
      </c>
      <c r="M3932" s="1">
        <v>16</v>
      </c>
      <c r="N3932" s="1" t="s">
        <v>4308</v>
      </c>
    </row>
    <row r="3933" spans="1:14" x14ac:dyDescent="0.15">
      <c r="A3933" s="1">
        <v>942</v>
      </c>
      <c r="B3933" s="1" t="s">
        <v>1104</v>
      </c>
      <c r="C3933" s="1" t="s">
        <v>1105</v>
      </c>
      <c r="D3933" s="1" t="s">
        <v>1104</v>
      </c>
      <c r="E3933" s="1" t="s">
        <v>1105</v>
      </c>
      <c r="F3933" s="1" t="s">
        <v>1104</v>
      </c>
      <c r="G3933" s="1" t="s">
        <v>1106</v>
      </c>
      <c r="H3933" s="1" t="s">
        <v>1104</v>
      </c>
      <c r="I3933" s="1" t="s">
        <v>11879</v>
      </c>
      <c r="J3933" s="1" t="s">
        <v>4278</v>
      </c>
      <c r="K3933" s="1">
        <v>14</v>
      </c>
      <c r="L3933" s="1" t="s">
        <v>4307</v>
      </c>
      <c r="M3933" s="1">
        <v>16</v>
      </c>
      <c r="N3933" s="1" t="s">
        <v>4308</v>
      </c>
    </row>
    <row r="3934" spans="1:14" x14ac:dyDescent="0.15">
      <c r="A3934" s="1">
        <v>942</v>
      </c>
      <c r="B3934" s="1" t="s">
        <v>1104</v>
      </c>
      <c r="C3934" s="1" t="s">
        <v>1107</v>
      </c>
      <c r="D3934" s="1" t="s">
        <v>1108</v>
      </c>
      <c r="E3934" s="1" t="s">
        <v>1107</v>
      </c>
      <c r="F3934" s="1" t="s">
        <v>1108</v>
      </c>
      <c r="G3934" s="1" t="s">
        <v>1109</v>
      </c>
      <c r="H3934" s="1" t="s">
        <v>1108</v>
      </c>
      <c r="I3934" s="1" t="s">
        <v>7538</v>
      </c>
      <c r="J3934" s="1" t="s">
        <v>1110</v>
      </c>
      <c r="K3934" s="1">
        <v>14</v>
      </c>
      <c r="L3934" s="1" t="s">
        <v>4307</v>
      </c>
      <c r="M3934" s="1">
        <v>16</v>
      </c>
      <c r="N3934" s="1" t="s">
        <v>4308</v>
      </c>
    </row>
    <row r="3935" spans="1:14" x14ac:dyDescent="0.15">
      <c r="A3935" s="1">
        <v>942</v>
      </c>
      <c r="B3935" s="1" t="s">
        <v>1104</v>
      </c>
      <c r="C3935" s="1" t="s">
        <v>1111</v>
      </c>
      <c r="D3935" s="1" t="s">
        <v>1112</v>
      </c>
      <c r="E3935" s="1" t="s">
        <v>1111</v>
      </c>
      <c r="F3935" s="1" t="s">
        <v>1112</v>
      </c>
      <c r="G3935" s="1" t="s">
        <v>1113</v>
      </c>
      <c r="H3935" s="1" t="s">
        <v>1112</v>
      </c>
      <c r="I3935" s="1" t="s">
        <v>4494</v>
      </c>
      <c r="J3935" s="1" t="s">
        <v>4495</v>
      </c>
      <c r="K3935" s="1">
        <v>14</v>
      </c>
      <c r="L3935" s="1" t="s">
        <v>4307</v>
      </c>
      <c r="M3935" s="1">
        <v>16</v>
      </c>
      <c r="N3935" s="1" t="s">
        <v>4308</v>
      </c>
    </row>
    <row r="3936" spans="1:14" x14ac:dyDescent="0.15">
      <c r="A3936" s="1">
        <v>950</v>
      </c>
      <c r="B3936" s="1" t="s">
        <v>1114</v>
      </c>
      <c r="C3936" s="1" t="s">
        <v>1115</v>
      </c>
      <c r="D3936" s="1" t="s">
        <v>1114</v>
      </c>
      <c r="E3936" s="1" t="s">
        <v>1115</v>
      </c>
      <c r="F3936" s="1" t="s">
        <v>1114</v>
      </c>
      <c r="G3936" s="1" t="s">
        <v>1116</v>
      </c>
      <c r="H3936" s="1" t="s">
        <v>1114</v>
      </c>
      <c r="I3936" s="1" t="s">
        <v>13945</v>
      </c>
      <c r="J3936" s="1" t="s">
        <v>13946</v>
      </c>
      <c r="K3936" s="1">
        <v>3</v>
      </c>
      <c r="L3936" s="1" t="s">
        <v>4282</v>
      </c>
      <c r="M3936" s="1">
        <v>2</v>
      </c>
      <c r="N3936" s="1" t="s">
        <v>4283</v>
      </c>
    </row>
    <row r="3937" spans="1:14" x14ac:dyDescent="0.15">
      <c r="A3937" s="1">
        <v>951</v>
      </c>
      <c r="B3937" s="1" t="s">
        <v>1117</v>
      </c>
      <c r="C3937" s="1" t="s">
        <v>1118</v>
      </c>
      <c r="D3937" s="1" t="s">
        <v>1117</v>
      </c>
      <c r="E3937" s="1" t="s">
        <v>1118</v>
      </c>
      <c r="F3937" s="1" t="s">
        <v>1117</v>
      </c>
      <c r="G3937" s="1" t="s">
        <v>1119</v>
      </c>
      <c r="H3937" s="1" t="s">
        <v>1117</v>
      </c>
      <c r="I3937" s="1" t="s">
        <v>13937</v>
      </c>
      <c r="J3937" s="1" t="s">
        <v>4901</v>
      </c>
      <c r="K3937" s="1">
        <v>3</v>
      </c>
      <c r="L3937" s="1" t="s">
        <v>4282</v>
      </c>
      <c r="M3937" s="1">
        <v>2</v>
      </c>
      <c r="N3937" s="1" t="s">
        <v>4283</v>
      </c>
    </row>
    <row r="3938" spans="1:14" x14ac:dyDescent="0.15">
      <c r="A3938" s="1">
        <v>951</v>
      </c>
      <c r="B3938" s="1" t="s">
        <v>1117</v>
      </c>
      <c r="C3938" s="1" t="s">
        <v>1118</v>
      </c>
      <c r="D3938" s="1" t="s">
        <v>1117</v>
      </c>
      <c r="E3938" s="1" t="s">
        <v>1118</v>
      </c>
      <c r="F3938" s="1" t="s">
        <v>1117</v>
      </c>
      <c r="G3938" s="1" t="s">
        <v>1119</v>
      </c>
      <c r="H3938" s="1" t="s">
        <v>1117</v>
      </c>
      <c r="I3938" s="1" t="s">
        <v>8728</v>
      </c>
      <c r="J3938" s="1" t="s">
        <v>2316</v>
      </c>
      <c r="K3938" s="1">
        <v>3</v>
      </c>
      <c r="L3938" s="1" t="s">
        <v>4282</v>
      </c>
      <c r="M3938" s="1">
        <v>2</v>
      </c>
      <c r="N3938" s="1" t="s">
        <v>4283</v>
      </c>
    </row>
    <row r="3939" spans="1:14" x14ac:dyDescent="0.15">
      <c r="A3939" s="1">
        <v>952</v>
      </c>
      <c r="B3939" s="1" t="s">
        <v>1120</v>
      </c>
      <c r="C3939" s="1" t="s">
        <v>1121</v>
      </c>
      <c r="D3939" s="1" t="s">
        <v>1120</v>
      </c>
      <c r="E3939" s="1" t="s">
        <v>1121</v>
      </c>
      <c r="F3939" s="1" t="s">
        <v>1120</v>
      </c>
      <c r="G3939" s="1" t="s">
        <v>1122</v>
      </c>
      <c r="H3939" s="1" t="s">
        <v>1120</v>
      </c>
      <c r="I3939" s="1" t="s">
        <v>11879</v>
      </c>
      <c r="J3939" s="1" t="s">
        <v>4278</v>
      </c>
      <c r="K3939" s="1">
        <v>3</v>
      </c>
      <c r="L3939" s="1" t="s">
        <v>4282</v>
      </c>
      <c r="M3939" s="1">
        <v>2</v>
      </c>
      <c r="N3939" s="1" t="s">
        <v>4283</v>
      </c>
    </row>
    <row r="3940" spans="1:14" x14ac:dyDescent="0.15">
      <c r="A3940" s="1">
        <v>952</v>
      </c>
      <c r="B3940" s="1" t="s">
        <v>1120</v>
      </c>
      <c r="C3940" s="1" t="s">
        <v>1123</v>
      </c>
      <c r="D3940" s="1" t="s">
        <v>1124</v>
      </c>
      <c r="E3940" s="1" t="s">
        <v>1123</v>
      </c>
      <c r="F3940" s="1" t="s">
        <v>1124</v>
      </c>
      <c r="G3940" s="1" t="s">
        <v>1125</v>
      </c>
      <c r="H3940" s="1" t="s">
        <v>1124</v>
      </c>
      <c r="I3940" s="1" t="s">
        <v>13937</v>
      </c>
      <c r="J3940" s="1" t="s">
        <v>4901</v>
      </c>
      <c r="K3940" s="1">
        <v>3</v>
      </c>
      <c r="L3940" s="1" t="s">
        <v>4282</v>
      </c>
      <c r="M3940" s="1">
        <v>2</v>
      </c>
      <c r="N3940" s="1" t="s">
        <v>4283</v>
      </c>
    </row>
    <row r="3941" spans="1:14" x14ac:dyDescent="0.15">
      <c r="A3941" s="1">
        <v>952</v>
      </c>
      <c r="B3941" s="1" t="s">
        <v>1120</v>
      </c>
      <c r="C3941" s="1" t="s">
        <v>1126</v>
      </c>
      <c r="D3941" s="1" t="s">
        <v>1127</v>
      </c>
      <c r="E3941" s="1" t="s">
        <v>1126</v>
      </c>
      <c r="F3941" s="1" t="s">
        <v>1127</v>
      </c>
      <c r="G3941" s="1" t="s">
        <v>1128</v>
      </c>
      <c r="H3941" s="1" t="s">
        <v>1127</v>
      </c>
      <c r="I3941" s="1" t="s">
        <v>13937</v>
      </c>
      <c r="J3941" s="1" t="s">
        <v>4901</v>
      </c>
      <c r="K3941" s="1">
        <v>3</v>
      </c>
      <c r="L3941" s="1" t="s">
        <v>4282</v>
      </c>
      <c r="M3941" s="1">
        <v>2</v>
      </c>
      <c r="N3941" s="1" t="s">
        <v>4283</v>
      </c>
    </row>
    <row r="3942" spans="1:14" x14ac:dyDescent="0.15">
      <c r="A3942" s="1">
        <v>952</v>
      </c>
      <c r="B3942" s="1" t="s">
        <v>1120</v>
      </c>
      <c r="C3942" s="1" t="s">
        <v>1126</v>
      </c>
      <c r="D3942" s="1" t="s">
        <v>1127</v>
      </c>
      <c r="E3942" s="1" t="s">
        <v>1126</v>
      </c>
      <c r="F3942" s="1" t="s">
        <v>1127</v>
      </c>
      <c r="G3942" s="1" t="s">
        <v>1129</v>
      </c>
      <c r="H3942" s="1" t="s">
        <v>1130</v>
      </c>
      <c r="I3942" s="1" t="s">
        <v>13937</v>
      </c>
      <c r="J3942" s="1" t="s">
        <v>4901</v>
      </c>
      <c r="K3942" s="1">
        <v>3</v>
      </c>
      <c r="L3942" s="1" t="s">
        <v>4282</v>
      </c>
      <c r="M3942" s="1">
        <v>2</v>
      </c>
      <c r="N3942" s="1" t="s">
        <v>4283</v>
      </c>
    </row>
    <row r="3943" spans="1:14" x14ac:dyDescent="0.15">
      <c r="A3943" s="1">
        <v>952</v>
      </c>
      <c r="B3943" s="1" t="s">
        <v>1120</v>
      </c>
      <c r="C3943" s="1" t="s">
        <v>1126</v>
      </c>
      <c r="D3943" s="1" t="s">
        <v>1127</v>
      </c>
      <c r="E3943" s="1" t="s">
        <v>1126</v>
      </c>
      <c r="F3943" s="1" t="s">
        <v>1127</v>
      </c>
      <c r="G3943" s="1" t="s">
        <v>1131</v>
      </c>
      <c r="H3943" s="1" t="s">
        <v>1132</v>
      </c>
      <c r="I3943" s="1" t="s">
        <v>13937</v>
      </c>
      <c r="J3943" s="1" t="s">
        <v>4901</v>
      </c>
      <c r="K3943" s="1">
        <v>3</v>
      </c>
      <c r="L3943" s="1" t="s">
        <v>4282</v>
      </c>
      <c r="M3943" s="1">
        <v>2</v>
      </c>
      <c r="N3943" s="1" t="s">
        <v>4283</v>
      </c>
    </row>
    <row r="3944" spans="1:14" x14ac:dyDescent="0.15">
      <c r="A3944" s="1">
        <v>952</v>
      </c>
      <c r="B3944" s="1" t="s">
        <v>1120</v>
      </c>
      <c r="C3944" s="1" t="s">
        <v>1133</v>
      </c>
      <c r="D3944" s="1" t="s">
        <v>1134</v>
      </c>
      <c r="E3944" s="1" t="s">
        <v>1133</v>
      </c>
      <c r="F3944" s="1" t="s">
        <v>1134</v>
      </c>
      <c r="G3944" s="1" t="s">
        <v>1135</v>
      </c>
      <c r="H3944" s="1" t="s">
        <v>1134</v>
      </c>
      <c r="I3944" s="1" t="s">
        <v>13945</v>
      </c>
      <c r="J3944" s="1" t="s">
        <v>13946</v>
      </c>
      <c r="K3944" s="1">
        <v>8</v>
      </c>
      <c r="L3944" s="1" t="s">
        <v>2257</v>
      </c>
      <c r="M3944" s="1">
        <v>1</v>
      </c>
      <c r="N3944" s="1" t="s">
        <v>4318</v>
      </c>
    </row>
    <row r="3945" spans="1:14" x14ac:dyDescent="0.15">
      <c r="A3945" s="1">
        <v>956</v>
      </c>
      <c r="B3945" s="1" t="s">
        <v>1136</v>
      </c>
      <c r="C3945" s="1" t="s">
        <v>1137</v>
      </c>
      <c r="D3945" s="1" t="s">
        <v>1136</v>
      </c>
      <c r="E3945" s="1" t="s">
        <v>1137</v>
      </c>
      <c r="F3945" s="1" t="s">
        <v>1136</v>
      </c>
      <c r="G3945" s="1" t="s">
        <v>1138</v>
      </c>
      <c r="H3945" s="1" t="s">
        <v>1136</v>
      </c>
      <c r="I3945" s="1" t="s">
        <v>13937</v>
      </c>
      <c r="J3945" s="1" t="s">
        <v>4901</v>
      </c>
      <c r="K3945" s="1">
        <v>3</v>
      </c>
      <c r="L3945" s="1" t="s">
        <v>4282</v>
      </c>
      <c r="M3945" s="1">
        <v>2</v>
      </c>
      <c r="N3945" s="1" t="s">
        <v>4283</v>
      </c>
    </row>
    <row r="3946" spans="1:14" x14ac:dyDescent="0.15">
      <c r="A3946" s="1">
        <v>960</v>
      </c>
      <c r="B3946" s="1" t="s">
        <v>1139</v>
      </c>
      <c r="C3946" s="1" t="s">
        <v>1140</v>
      </c>
      <c r="D3946" s="1" t="s">
        <v>1139</v>
      </c>
      <c r="E3946" s="1" t="s">
        <v>1140</v>
      </c>
      <c r="F3946" s="1" t="s">
        <v>1139</v>
      </c>
      <c r="G3946" s="1" t="s">
        <v>1141</v>
      </c>
      <c r="H3946" s="1" t="s">
        <v>1139</v>
      </c>
      <c r="I3946" s="1" t="s">
        <v>13945</v>
      </c>
      <c r="J3946" s="1" t="s">
        <v>13946</v>
      </c>
      <c r="K3946" s="1">
        <v>7</v>
      </c>
      <c r="L3946" s="1" t="s">
        <v>4299</v>
      </c>
      <c r="M3946" s="1">
        <v>16</v>
      </c>
      <c r="N3946" s="1" t="s">
        <v>4308</v>
      </c>
    </row>
    <row r="3947" spans="1:14" x14ac:dyDescent="0.15">
      <c r="A3947" s="1">
        <v>961</v>
      </c>
      <c r="B3947" s="1" t="s">
        <v>1142</v>
      </c>
      <c r="C3947" s="1" t="s">
        <v>1143</v>
      </c>
      <c r="D3947" s="1" t="s">
        <v>1142</v>
      </c>
      <c r="E3947" s="1" t="s">
        <v>1143</v>
      </c>
      <c r="F3947" s="1" t="s">
        <v>1142</v>
      </c>
      <c r="G3947" s="1" t="s">
        <v>1144</v>
      </c>
      <c r="H3947" s="1" t="s">
        <v>1142</v>
      </c>
      <c r="I3947" s="1" t="s">
        <v>4494</v>
      </c>
      <c r="J3947" s="1" t="s">
        <v>4495</v>
      </c>
      <c r="K3947" s="1">
        <v>14</v>
      </c>
      <c r="L3947" s="1" t="s">
        <v>4307</v>
      </c>
      <c r="M3947" s="1">
        <v>16</v>
      </c>
      <c r="N3947" s="1" t="s">
        <v>4308</v>
      </c>
    </row>
    <row r="3948" spans="1:14" x14ac:dyDescent="0.15">
      <c r="A3948" s="1">
        <v>962</v>
      </c>
      <c r="B3948" s="1" t="s">
        <v>1145</v>
      </c>
      <c r="C3948" s="1" t="s">
        <v>1146</v>
      </c>
      <c r="D3948" s="1" t="s">
        <v>1145</v>
      </c>
      <c r="E3948" s="1" t="s">
        <v>1146</v>
      </c>
      <c r="F3948" s="1" t="s">
        <v>1145</v>
      </c>
      <c r="G3948" s="1" t="s">
        <v>1147</v>
      </c>
      <c r="H3948" s="1" t="s">
        <v>1145</v>
      </c>
      <c r="I3948" s="1" t="s">
        <v>4494</v>
      </c>
      <c r="J3948" s="1" t="s">
        <v>4495</v>
      </c>
      <c r="K3948" s="1">
        <v>14</v>
      </c>
      <c r="L3948" s="1" t="s">
        <v>4307</v>
      </c>
      <c r="M3948" s="1">
        <v>16</v>
      </c>
      <c r="N3948" s="1" t="s">
        <v>4308</v>
      </c>
    </row>
    <row r="3949" spans="1:14" x14ac:dyDescent="0.15">
      <c r="A3949" s="1">
        <v>962</v>
      </c>
      <c r="B3949" s="1" t="s">
        <v>1145</v>
      </c>
      <c r="C3949" s="1" t="s">
        <v>1146</v>
      </c>
      <c r="D3949" s="1" t="s">
        <v>1145</v>
      </c>
      <c r="E3949" s="1" t="s">
        <v>1146</v>
      </c>
      <c r="F3949" s="1" t="s">
        <v>1148</v>
      </c>
      <c r="G3949" s="1" t="s">
        <v>1149</v>
      </c>
      <c r="H3949" s="1" t="s">
        <v>1148</v>
      </c>
      <c r="I3949" s="1" t="s">
        <v>4494</v>
      </c>
      <c r="J3949" s="1" t="s">
        <v>4495</v>
      </c>
      <c r="K3949" s="1">
        <v>14</v>
      </c>
      <c r="L3949" s="1" t="s">
        <v>4307</v>
      </c>
      <c r="M3949" s="1">
        <v>16</v>
      </c>
      <c r="N3949" s="1" t="s">
        <v>4308</v>
      </c>
    </row>
    <row r="3950" spans="1:14" x14ac:dyDescent="0.15">
      <c r="A3950" s="1">
        <v>962</v>
      </c>
      <c r="B3950" s="1" t="s">
        <v>1145</v>
      </c>
      <c r="C3950" s="1" t="s">
        <v>1146</v>
      </c>
      <c r="D3950" s="1" t="s">
        <v>1145</v>
      </c>
      <c r="E3950" s="1" t="s">
        <v>1146</v>
      </c>
      <c r="F3950" s="1" t="s">
        <v>1150</v>
      </c>
      <c r="G3950" s="1" t="s">
        <v>1151</v>
      </c>
      <c r="H3950" s="1" t="s">
        <v>1150</v>
      </c>
      <c r="I3950" s="1" t="s">
        <v>4494</v>
      </c>
      <c r="J3950" s="1" t="s">
        <v>4495</v>
      </c>
      <c r="K3950" s="1">
        <v>13</v>
      </c>
      <c r="L3950" s="1" t="s">
        <v>4219</v>
      </c>
      <c r="M3950" s="1">
        <v>3</v>
      </c>
      <c r="N3950" s="1" t="s">
        <v>3241</v>
      </c>
    </row>
    <row r="3951" spans="1:14" x14ac:dyDescent="0.15">
      <c r="A3951" s="1">
        <v>962</v>
      </c>
      <c r="B3951" s="1" t="s">
        <v>1145</v>
      </c>
      <c r="C3951" s="1" t="s">
        <v>1146</v>
      </c>
      <c r="D3951" s="1" t="s">
        <v>1145</v>
      </c>
      <c r="E3951" s="1" t="s">
        <v>1146</v>
      </c>
      <c r="F3951" s="1" t="s">
        <v>1152</v>
      </c>
      <c r="G3951" s="1" t="s">
        <v>1153</v>
      </c>
      <c r="H3951" s="1" t="s">
        <v>1152</v>
      </c>
      <c r="I3951" s="1" t="s">
        <v>4494</v>
      </c>
      <c r="J3951" s="1" t="s">
        <v>4495</v>
      </c>
      <c r="K3951" s="1">
        <v>14</v>
      </c>
      <c r="L3951" s="1" t="s">
        <v>4307</v>
      </c>
      <c r="M3951" s="1">
        <v>16</v>
      </c>
      <c r="N3951" s="1" t="s">
        <v>4308</v>
      </c>
    </row>
    <row r="3952" spans="1:14" x14ac:dyDescent="0.15">
      <c r="A3952" s="1">
        <v>963</v>
      </c>
      <c r="B3952" s="1" t="s">
        <v>1154</v>
      </c>
      <c r="C3952" s="1" t="s">
        <v>1155</v>
      </c>
      <c r="D3952" s="1" t="s">
        <v>1154</v>
      </c>
      <c r="E3952" s="1" t="s">
        <v>1155</v>
      </c>
      <c r="F3952" s="1" t="s">
        <v>1154</v>
      </c>
      <c r="G3952" s="1" t="s">
        <v>1156</v>
      </c>
      <c r="H3952" s="1" t="s">
        <v>1154</v>
      </c>
      <c r="I3952" s="1" t="s">
        <v>4494</v>
      </c>
      <c r="J3952" s="1" t="s">
        <v>4495</v>
      </c>
      <c r="K3952" s="1">
        <v>7</v>
      </c>
      <c r="L3952" s="1" t="s">
        <v>4299</v>
      </c>
      <c r="M3952" s="1">
        <v>13</v>
      </c>
      <c r="N3952" s="1" t="s">
        <v>4300</v>
      </c>
    </row>
    <row r="3953" spans="1:14" x14ac:dyDescent="0.15">
      <c r="A3953" s="1">
        <v>964</v>
      </c>
      <c r="B3953" s="1" t="s">
        <v>1157</v>
      </c>
      <c r="C3953" s="1" t="s">
        <v>1158</v>
      </c>
      <c r="D3953" s="1" t="s">
        <v>1157</v>
      </c>
      <c r="E3953" s="1" t="s">
        <v>1158</v>
      </c>
      <c r="F3953" s="1" t="s">
        <v>1157</v>
      </c>
      <c r="G3953" s="1" t="s">
        <v>1159</v>
      </c>
      <c r="H3953" s="1" t="s">
        <v>1157</v>
      </c>
      <c r="I3953" s="1" t="s">
        <v>4494</v>
      </c>
      <c r="J3953" s="1" t="s">
        <v>4495</v>
      </c>
      <c r="K3953" s="1">
        <v>7</v>
      </c>
      <c r="L3953" s="1" t="s">
        <v>4299</v>
      </c>
      <c r="M3953" s="1">
        <v>13</v>
      </c>
      <c r="N3953" s="1" t="s">
        <v>4300</v>
      </c>
    </row>
    <row r="3954" spans="1:14" x14ac:dyDescent="0.15">
      <c r="A3954" s="1">
        <v>965</v>
      </c>
      <c r="B3954" s="1" t="s">
        <v>1160</v>
      </c>
      <c r="C3954" s="1" t="s">
        <v>1161</v>
      </c>
      <c r="D3954" s="1" t="s">
        <v>1160</v>
      </c>
      <c r="E3954" s="1" t="s">
        <v>1161</v>
      </c>
      <c r="F3954" s="1" t="s">
        <v>1160</v>
      </c>
      <c r="G3954" s="1" t="s">
        <v>1162</v>
      </c>
      <c r="H3954" s="1" t="s">
        <v>1160</v>
      </c>
      <c r="I3954" s="1" t="s">
        <v>11879</v>
      </c>
      <c r="J3954" s="1" t="s">
        <v>4278</v>
      </c>
      <c r="K3954" s="1">
        <v>14</v>
      </c>
      <c r="L3954" s="1" t="s">
        <v>4307</v>
      </c>
      <c r="M3954" s="1">
        <v>16</v>
      </c>
      <c r="N3954" s="1" t="s">
        <v>4308</v>
      </c>
    </row>
    <row r="3955" spans="1:14" x14ac:dyDescent="0.15">
      <c r="A3955" s="1">
        <v>965</v>
      </c>
      <c r="B3955" s="1" t="s">
        <v>1160</v>
      </c>
      <c r="C3955" s="1" t="s">
        <v>1163</v>
      </c>
      <c r="D3955" s="1" t="s">
        <v>1164</v>
      </c>
      <c r="E3955" s="1" t="s">
        <v>1163</v>
      </c>
      <c r="F3955" s="1" t="s">
        <v>1164</v>
      </c>
      <c r="G3955" s="1" t="s">
        <v>1165</v>
      </c>
      <c r="H3955" s="1" t="s">
        <v>1164</v>
      </c>
      <c r="I3955" s="1" t="s">
        <v>4494</v>
      </c>
      <c r="J3955" s="1" t="s">
        <v>4495</v>
      </c>
      <c r="K3955" s="1">
        <v>14</v>
      </c>
      <c r="L3955" s="1" t="s">
        <v>4307</v>
      </c>
      <c r="M3955" s="1">
        <v>16</v>
      </c>
      <c r="N3955" s="1" t="s">
        <v>4308</v>
      </c>
    </row>
    <row r="3956" spans="1:14" x14ac:dyDescent="0.15">
      <c r="A3956" s="1">
        <v>965</v>
      </c>
      <c r="B3956" s="1" t="s">
        <v>1160</v>
      </c>
      <c r="C3956" s="1" t="s">
        <v>1163</v>
      </c>
      <c r="D3956" s="1" t="s">
        <v>1164</v>
      </c>
      <c r="E3956" s="1" t="s">
        <v>1163</v>
      </c>
      <c r="F3956" s="1" t="s">
        <v>1166</v>
      </c>
      <c r="G3956" s="1" t="s">
        <v>1167</v>
      </c>
      <c r="H3956" s="1" t="s">
        <v>1166</v>
      </c>
      <c r="I3956" s="1" t="s">
        <v>4494</v>
      </c>
      <c r="J3956" s="1" t="s">
        <v>4495</v>
      </c>
      <c r="K3956" s="1">
        <v>14</v>
      </c>
      <c r="L3956" s="1" t="s">
        <v>4307</v>
      </c>
      <c r="M3956" s="1">
        <v>16</v>
      </c>
      <c r="N3956" s="1" t="s">
        <v>4308</v>
      </c>
    </row>
    <row r="3957" spans="1:14" x14ac:dyDescent="0.15">
      <c r="A3957" s="1">
        <v>965</v>
      </c>
      <c r="B3957" s="1" t="s">
        <v>1160</v>
      </c>
      <c r="C3957" s="1" t="s">
        <v>1163</v>
      </c>
      <c r="D3957" s="1" t="s">
        <v>1164</v>
      </c>
      <c r="E3957" s="1" t="s">
        <v>1163</v>
      </c>
      <c r="F3957" s="1" t="s">
        <v>1168</v>
      </c>
      <c r="G3957" s="1" t="s">
        <v>1169</v>
      </c>
      <c r="H3957" s="1" t="s">
        <v>1168</v>
      </c>
      <c r="I3957" s="1" t="s">
        <v>4494</v>
      </c>
      <c r="J3957" s="1" t="s">
        <v>4495</v>
      </c>
      <c r="K3957" s="1">
        <v>14</v>
      </c>
      <c r="L3957" s="1" t="s">
        <v>4307</v>
      </c>
      <c r="M3957" s="1">
        <v>16</v>
      </c>
      <c r="N3957" s="1" t="s">
        <v>4308</v>
      </c>
    </row>
    <row r="3958" spans="1:14" x14ac:dyDescent="0.15">
      <c r="A3958" s="1">
        <v>965</v>
      </c>
      <c r="B3958" s="1" t="s">
        <v>1160</v>
      </c>
      <c r="C3958" s="1" t="s">
        <v>1170</v>
      </c>
      <c r="D3958" s="1" t="s">
        <v>1171</v>
      </c>
      <c r="E3958" s="1" t="s">
        <v>1170</v>
      </c>
      <c r="F3958" s="1" t="s">
        <v>1171</v>
      </c>
      <c r="G3958" s="1" t="s">
        <v>1172</v>
      </c>
      <c r="H3958" s="1" t="s">
        <v>1171</v>
      </c>
      <c r="I3958" s="1" t="s">
        <v>4494</v>
      </c>
      <c r="J3958" s="1" t="s">
        <v>4495</v>
      </c>
      <c r="K3958" s="1">
        <v>14</v>
      </c>
      <c r="L3958" s="1" t="s">
        <v>4307</v>
      </c>
      <c r="M3958" s="1">
        <v>16</v>
      </c>
      <c r="N3958" s="1" t="s">
        <v>4308</v>
      </c>
    </row>
    <row r="3959" spans="1:14" x14ac:dyDescent="0.15">
      <c r="A3959" s="1">
        <v>965</v>
      </c>
      <c r="B3959" s="1" t="s">
        <v>1160</v>
      </c>
      <c r="C3959" s="1" t="s">
        <v>1173</v>
      </c>
      <c r="D3959" s="1" t="s">
        <v>1174</v>
      </c>
      <c r="E3959" s="1" t="s">
        <v>1173</v>
      </c>
      <c r="F3959" s="1" t="s">
        <v>1174</v>
      </c>
      <c r="G3959" s="1" t="s">
        <v>1175</v>
      </c>
      <c r="H3959" s="1" t="s">
        <v>1174</v>
      </c>
      <c r="I3959" s="1" t="s">
        <v>4494</v>
      </c>
      <c r="J3959" s="1" t="s">
        <v>4495</v>
      </c>
      <c r="K3959" s="1">
        <v>8</v>
      </c>
      <c r="L3959" s="1" t="s">
        <v>2257</v>
      </c>
      <c r="M3959" s="1">
        <v>1</v>
      </c>
      <c r="N3959" s="1" t="s">
        <v>4318</v>
      </c>
    </row>
    <row r="3960" spans="1:14" x14ac:dyDescent="0.15">
      <c r="A3960" s="1">
        <v>972</v>
      </c>
      <c r="B3960" s="1" t="s">
        <v>1176</v>
      </c>
      <c r="C3960" s="1" t="s">
        <v>1177</v>
      </c>
      <c r="D3960" s="1" t="s">
        <v>1176</v>
      </c>
      <c r="E3960" s="1" t="s">
        <v>1177</v>
      </c>
      <c r="F3960" s="1" t="s">
        <v>1176</v>
      </c>
      <c r="G3960" s="1" t="s">
        <v>1178</v>
      </c>
      <c r="H3960" s="1" t="s">
        <v>1176</v>
      </c>
      <c r="I3960" s="1" t="s">
        <v>4494</v>
      </c>
      <c r="J3960" s="1" t="s">
        <v>4495</v>
      </c>
      <c r="K3960" s="1">
        <v>14</v>
      </c>
      <c r="L3960" s="1" t="s">
        <v>4307</v>
      </c>
      <c r="M3960" s="1">
        <v>16</v>
      </c>
      <c r="N3960" s="1" t="s">
        <v>4308</v>
      </c>
    </row>
    <row r="3961" spans="1:14" x14ac:dyDescent="0.15">
      <c r="A3961" s="1">
        <v>973</v>
      </c>
      <c r="B3961" s="1" t="s">
        <v>1179</v>
      </c>
      <c r="C3961" s="1" t="s">
        <v>1180</v>
      </c>
      <c r="D3961" s="1" t="s">
        <v>1179</v>
      </c>
      <c r="E3961" s="1" t="s">
        <v>1180</v>
      </c>
      <c r="F3961" s="1" t="s">
        <v>1179</v>
      </c>
      <c r="G3961" s="1" t="s">
        <v>1181</v>
      </c>
      <c r="H3961" s="1" t="s">
        <v>1179</v>
      </c>
      <c r="I3961" s="1" t="s">
        <v>4494</v>
      </c>
      <c r="J3961" s="1" t="s">
        <v>4495</v>
      </c>
      <c r="K3961" s="1">
        <v>14</v>
      </c>
      <c r="L3961" s="1" t="s">
        <v>4307</v>
      </c>
      <c r="M3961" s="1">
        <v>16</v>
      </c>
      <c r="N3961" s="1" t="s">
        <v>4308</v>
      </c>
    </row>
    <row r="3962" spans="1:14" x14ac:dyDescent="0.15">
      <c r="A3962" s="1">
        <v>974</v>
      </c>
      <c r="B3962" s="1" t="s">
        <v>1182</v>
      </c>
      <c r="C3962" s="1" t="s">
        <v>1183</v>
      </c>
      <c r="D3962" s="1" t="s">
        <v>1182</v>
      </c>
      <c r="E3962" s="1" t="s">
        <v>1183</v>
      </c>
      <c r="F3962" s="1" t="s">
        <v>1182</v>
      </c>
      <c r="G3962" s="1" t="s">
        <v>1184</v>
      </c>
      <c r="H3962" s="1" t="s">
        <v>1182</v>
      </c>
      <c r="I3962" s="1" t="s">
        <v>4494</v>
      </c>
      <c r="J3962" s="1" t="s">
        <v>4495</v>
      </c>
      <c r="K3962" s="1">
        <v>14</v>
      </c>
      <c r="L3962" s="1" t="s">
        <v>4307</v>
      </c>
      <c r="M3962" s="1">
        <v>16</v>
      </c>
      <c r="N3962" s="1" t="s">
        <v>4308</v>
      </c>
    </row>
    <row r="3963" spans="1:14" x14ac:dyDescent="0.15">
      <c r="A3963" s="1">
        <v>975</v>
      </c>
      <c r="B3963" s="1" t="s">
        <v>1185</v>
      </c>
      <c r="C3963" s="1" t="s">
        <v>1186</v>
      </c>
      <c r="D3963" s="1" t="s">
        <v>1185</v>
      </c>
      <c r="E3963" s="1" t="s">
        <v>1186</v>
      </c>
      <c r="F3963" s="1" t="s">
        <v>1185</v>
      </c>
      <c r="G3963" s="1" t="s">
        <v>1187</v>
      </c>
      <c r="H3963" s="1" t="s">
        <v>1185</v>
      </c>
      <c r="I3963" s="1" t="s">
        <v>4494</v>
      </c>
      <c r="J3963" s="1" t="s">
        <v>4495</v>
      </c>
      <c r="K3963" s="1">
        <v>14</v>
      </c>
      <c r="L3963" s="1" t="s">
        <v>4307</v>
      </c>
      <c r="M3963" s="1">
        <v>16</v>
      </c>
      <c r="N3963" s="1" t="s">
        <v>4308</v>
      </c>
    </row>
  </sheetData>
  <phoneticPr fontId="0" type="noConversion"/>
  <pageMargins left="0.75" right="0.75" top="1" bottom="1" header="0.5" footer="0.5"/>
  <pageSetup orientation="portrait"/>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5"/>
  <sheetViews>
    <sheetView workbookViewId="0">
      <pane ySplit="1" topLeftCell="A2" activePane="bottomLeft" state="frozenSplit"/>
      <selection pane="bottomLeft" activeCell="A2" sqref="A2"/>
    </sheetView>
  </sheetViews>
  <sheetFormatPr baseColWidth="10" defaultRowHeight="13" x14ac:dyDescent="0.15"/>
  <cols>
    <col min="1" max="1" width="8.83203125" customWidth="1"/>
    <col min="2" max="2" width="36.5" customWidth="1"/>
    <col min="3" max="3" width="18.5" customWidth="1"/>
    <col min="4" max="256" width="8.83203125" customWidth="1"/>
  </cols>
  <sheetData>
    <row r="1" spans="1:4" s="3" customFormat="1" x14ac:dyDescent="0.15">
      <c r="A1" s="2" t="s">
        <v>11886</v>
      </c>
      <c r="B1" s="2" t="s">
        <v>17844</v>
      </c>
      <c r="C1" s="2" t="s">
        <v>17842</v>
      </c>
      <c r="D1" s="2" t="s">
        <v>17846</v>
      </c>
    </row>
    <row r="2" spans="1:4" x14ac:dyDescent="0.15">
      <c r="A2" s="1" t="s">
        <v>11887</v>
      </c>
      <c r="B2" s="1" t="s">
        <v>11888</v>
      </c>
      <c r="C2" s="1" t="s">
        <v>11889</v>
      </c>
      <c r="D2" s="1" t="s">
        <v>11890</v>
      </c>
    </row>
    <row r="3" spans="1:4" x14ac:dyDescent="0.15">
      <c r="A3" s="1" t="s">
        <v>17856</v>
      </c>
      <c r="B3" s="1" t="s">
        <v>11891</v>
      </c>
      <c r="C3" s="1" t="s">
        <v>17847</v>
      </c>
      <c r="D3" s="1" t="s">
        <v>17859</v>
      </c>
    </row>
    <row r="4" spans="1:4" x14ac:dyDescent="0.15">
      <c r="A4" s="1" t="s">
        <v>17864</v>
      </c>
      <c r="B4" s="1" t="s">
        <v>17865</v>
      </c>
      <c r="C4" s="1" t="s">
        <v>17847</v>
      </c>
      <c r="D4" s="1" t="s">
        <v>17867</v>
      </c>
    </row>
    <row r="5" spans="1:4" x14ac:dyDescent="0.15">
      <c r="A5" s="1" t="s">
        <v>17872</v>
      </c>
      <c r="B5" s="1" t="s">
        <v>11892</v>
      </c>
      <c r="C5" s="1" t="s">
        <v>17847</v>
      </c>
      <c r="D5" s="1" t="s">
        <v>17875</v>
      </c>
    </row>
    <row r="6" spans="1:4" x14ac:dyDescent="0.15">
      <c r="A6" s="1" t="s">
        <v>17880</v>
      </c>
      <c r="B6" s="1" t="s">
        <v>11893</v>
      </c>
      <c r="C6" s="1" t="s">
        <v>17847</v>
      </c>
      <c r="D6" s="1" t="s">
        <v>17883</v>
      </c>
    </row>
    <row r="7" spans="1:4" x14ac:dyDescent="0.15">
      <c r="A7" s="1" t="s">
        <v>17896</v>
      </c>
      <c r="B7" s="1" t="s">
        <v>11894</v>
      </c>
      <c r="C7" s="1" t="s">
        <v>17847</v>
      </c>
      <c r="D7" s="1" t="s">
        <v>17899</v>
      </c>
    </row>
    <row r="8" spans="1:4" x14ac:dyDescent="0.15">
      <c r="A8" s="1" t="s">
        <v>17936</v>
      </c>
      <c r="B8" s="1" t="s">
        <v>11895</v>
      </c>
      <c r="C8" s="1" t="s">
        <v>17847</v>
      </c>
      <c r="D8" s="1" t="s">
        <v>17939</v>
      </c>
    </row>
    <row r="9" spans="1:4" x14ac:dyDescent="0.15">
      <c r="A9" s="1" t="s">
        <v>17980</v>
      </c>
      <c r="B9" s="1" t="s">
        <v>11896</v>
      </c>
      <c r="C9" s="1" t="s">
        <v>17847</v>
      </c>
      <c r="D9" s="1" t="s">
        <v>17982</v>
      </c>
    </row>
    <row r="10" spans="1:4" x14ac:dyDescent="0.15">
      <c r="A10" s="1" t="s">
        <v>17998</v>
      </c>
      <c r="B10" s="1" t="s">
        <v>11897</v>
      </c>
      <c r="C10" s="1" t="s">
        <v>17989</v>
      </c>
      <c r="D10" s="1" t="s">
        <v>18001</v>
      </c>
    </row>
    <row r="11" spans="1:4" x14ac:dyDescent="0.15">
      <c r="A11" s="1" t="s">
        <v>18010</v>
      </c>
      <c r="B11" s="1" t="s">
        <v>11898</v>
      </c>
      <c r="C11" s="1" t="s">
        <v>17989</v>
      </c>
      <c r="D11" s="1" t="s">
        <v>18013</v>
      </c>
    </row>
    <row r="12" spans="1:4" x14ac:dyDescent="0.15">
      <c r="A12" s="1" t="s">
        <v>18030</v>
      </c>
      <c r="B12" s="1" t="s">
        <v>11899</v>
      </c>
      <c r="C12" s="1" t="s">
        <v>17989</v>
      </c>
      <c r="D12" s="1" t="s">
        <v>18033</v>
      </c>
    </row>
    <row r="13" spans="1:4" x14ac:dyDescent="0.15">
      <c r="A13" s="1" t="s">
        <v>18034</v>
      </c>
      <c r="B13" s="1" t="s">
        <v>11900</v>
      </c>
      <c r="C13" s="1" t="s">
        <v>17989</v>
      </c>
      <c r="D13" s="1" t="s">
        <v>18037</v>
      </c>
    </row>
    <row r="14" spans="1:4" x14ac:dyDescent="0.15">
      <c r="A14" s="1" t="s">
        <v>18038</v>
      </c>
      <c r="B14" s="1" t="s">
        <v>18039</v>
      </c>
      <c r="C14" s="1" t="s">
        <v>17989</v>
      </c>
      <c r="D14" s="1" t="s">
        <v>18041</v>
      </c>
    </row>
    <row r="15" spans="1:4" x14ac:dyDescent="0.15">
      <c r="A15" s="1" t="s">
        <v>18046</v>
      </c>
      <c r="B15" s="1" t="s">
        <v>11901</v>
      </c>
      <c r="C15" s="1" t="s">
        <v>17989</v>
      </c>
      <c r="D15" s="1" t="s">
        <v>18048</v>
      </c>
    </row>
    <row r="16" spans="1:4" x14ac:dyDescent="0.15">
      <c r="A16" s="1" t="s">
        <v>18053</v>
      </c>
      <c r="B16" s="1" t="s">
        <v>18054</v>
      </c>
      <c r="C16" s="1" t="s">
        <v>17989</v>
      </c>
      <c r="D16" s="1" t="s">
        <v>18056</v>
      </c>
    </row>
    <row r="17" spans="1:4" x14ac:dyDescent="0.15">
      <c r="A17" s="1" t="s">
        <v>18057</v>
      </c>
      <c r="B17" s="1" t="s">
        <v>11902</v>
      </c>
      <c r="C17" s="1" t="s">
        <v>17989</v>
      </c>
      <c r="D17" s="1" t="s">
        <v>18060</v>
      </c>
    </row>
    <row r="18" spans="1:4" x14ac:dyDescent="0.15">
      <c r="A18" s="1" t="s">
        <v>18061</v>
      </c>
      <c r="B18" s="1" t="s">
        <v>18062</v>
      </c>
      <c r="C18" s="1" t="s">
        <v>17989</v>
      </c>
      <c r="D18" s="1" t="s">
        <v>18064</v>
      </c>
    </row>
    <row r="19" spans="1:4" x14ac:dyDescent="0.15">
      <c r="A19" s="1" t="s">
        <v>18111</v>
      </c>
      <c r="B19" s="1" t="s">
        <v>11903</v>
      </c>
      <c r="C19" s="1" t="s">
        <v>18102</v>
      </c>
      <c r="D19" s="1" t="s">
        <v>18114</v>
      </c>
    </row>
    <row r="20" spans="1:4" x14ac:dyDescent="0.15">
      <c r="A20" s="1" t="s">
        <v>18123</v>
      </c>
      <c r="B20" s="1" t="s">
        <v>11904</v>
      </c>
      <c r="C20" s="1" t="s">
        <v>18102</v>
      </c>
      <c r="D20" s="1" t="s">
        <v>18126</v>
      </c>
    </row>
    <row r="21" spans="1:4" x14ac:dyDescent="0.15">
      <c r="A21" s="1" t="s">
        <v>18131</v>
      </c>
      <c r="B21" s="1" t="s">
        <v>11905</v>
      </c>
      <c r="C21" s="1" t="s">
        <v>18102</v>
      </c>
      <c r="D21" s="1" t="s">
        <v>18134</v>
      </c>
    </row>
    <row r="22" spans="1:4" x14ac:dyDescent="0.15">
      <c r="A22" s="1" t="s">
        <v>11906</v>
      </c>
      <c r="B22" s="1" t="s">
        <v>11907</v>
      </c>
      <c r="C22" s="1" t="s">
        <v>18102</v>
      </c>
      <c r="D22" s="1" t="s">
        <v>11908</v>
      </c>
    </row>
    <row r="23" spans="1:4" x14ac:dyDescent="0.15">
      <c r="A23" s="1" t="s">
        <v>18146</v>
      </c>
      <c r="B23" s="1" t="s">
        <v>11909</v>
      </c>
      <c r="C23" s="1" t="s">
        <v>18102</v>
      </c>
      <c r="D23" s="1" t="s">
        <v>18149</v>
      </c>
    </row>
    <row r="24" spans="1:4" x14ac:dyDescent="0.15">
      <c r="A24" s="1" t="s">
        <v>18150</v>
      </c>
      <c r="B24" s="1" t="s">
        <v>11910</v>
      </c>
      <c r="C24" s="1" t="s">
        <v>18102</v>
      </c>
      <c r="D24" s="1" t="s">
        <v>18153</v>
      </c>
    </row>
    <row r="25" spans="1:4" x14ac:dyDescent="0.15">
      <c r="A25" s="1" t="s">
        <v>11911</v>
      </c>
      <c r="B25" s="1" t="s">
        <v>11912</v>
      </c>
      <c r="C25" s="1" t="s">
        <v>18102</v>
      </c>
      <c r="D25" s="1" t="s">
        <v>11913</v>
      </c>
    </row>
    <row r="26" spans="1:4" x14ac:dyDescent="0.15">
      <c r="A26" s="1" t="s">
        <v>18166</v>
      </c>
      <c r="B26" s="1" t="s">
        <v>11914</v>
      </c>
      <c r="C26" s="1" t="s">
        <v>18102</v>
      </c>
      <c r="D26" s="1" t="s">
        <v>18169</v>
      </c>
    </row>
    <row r="27" spans="1:4" x14ac:dyDescent="0.15">
      <c r="A27" s="1" t="s">
        <v>18209</v>
      </c>
      <c r="B27" s="1" t="s">
        <v>18206</v>
      </c>
      <c r="C27" s="1" t="s">
        <v>18200</v>
      </c>
      <c r="D27" s="1" t="s">
        <v>18211</v>
      </c>
    </row>
    <row r="28" spans="1:4" x14ac:dyDescent="0.15">
      <c r="A28" s="1" t="s">
        <v>18216</v>
      </c>
      <c r="B28" s="1" t="s">
        <v>11915</v>
      </c>
      <c r="C28" s="1" t="s">
        <v>18200</v>
      </c>
      <c r="D28" s="1" t="s">
        <v>18218</v>
      </c>
    </row>
    <row r="29" spans="1:4" x14ac:dyDescent="0.15">
      <c r="A29" s="1" t="s">
        <v>18223</v>
      </c>
      <c r="B29" s="1" t="s">
        <v>11916</v>
      </c>
      <c r="C29" s="1" t="s">
        <v>18200</v>
      </c>
      <c r="D29" s="1" t="s">
        <v>18225</v>
      </c>
    </row>
    <row r="30" spans="1:4" x14ac:dyDescent="0.15">
      <c r="A30" s="1" t="s">
        <v>18230</v>
      </c>
      <c r="B30" s="1" t="s">
        <v>14031</v>
      </c>
      <c r="C30" s="1" t="s">
        <v>18200</v>
      </c>
      <c r="D30" s="1" t="s">
        <v>17382</v>
      </c>
    </row>
    <row r="31" spans="1:4" x14ac:dyDescent="0.15">
      <c r="A31" s="1" t="s">
        <v>17387</v>
      </c>
      <c r="B31" s="1" t="s">
        <v>17384</v>
      </c>
      <c r="C31" s="1" t="s">
        <v>18200</v>
      </c>
      <c r="D31" s="1" t="s">
        <v>17389</v>
      </c>
    </row>
    <row r="32" spans="1:4" x14ac:dyDescent="0.15">
      <c r="A32" s="1" t="s">
        <v>17394</v>
      </c>
      <c r="B32" s="1" t="s">
        <v>11917</v>
      </c>
      <c r="C32" s="1" t="s">
        <v>18200</v>
      </c>
      <c r="D32" s="1" t="s">
        <v>17396</v>
      </c>
    </row>
    <row r="33" spans="1:4" x14ac:dyDescent="0.15">
      <c r="A33" s="1" t="s">
        <v>17401</v>
      </c>
      <c r="B33" s="1" t="s">
        <v>11918</v>
      </c>
      <c r="C33" s="1" t="s">
        <v>18200</v>
      </c>
      <c r="D33" s="1" t="s">
        <v>17403</v>
      </c>
    </row>
    <row r="34" spans="1:4" x14ac:dyDescent="0.15">
      <c r="A34" s="1" t="s">
        <v>17413</v>
      </c>
      <c r="B34" s="1" t="s">
        <v>17414</v>
      </c>
      <c r="C34" s="1" t="s">
        <v>17404</v>
      </c>
      <c r="D34" s="1" t="s">
        <v>17416</v>
      </c>
    </row>
    <row r="35" spans="1:4" x14ac:dyDescent="0.15">
      <c r="A35" s="1" t="s">
        <v>17417</v>
      </c>
      <c r="B35" s="1" t="s">
        <v>11919</v>
      </c>
      <c r="C35" s="1" t="s">
        <v>17404</v>
      </c>
      <c r="D35" s="1" t="s">
        <v>17420</v>
      </c>
    </row>
    <row r="36" spans="1:4" x14ac:dyDescent="0.15">
      <c r="A36" s="1" t="s">
        <v>17421</v>
      </c>
      <c r="B36" s="1" t="s">
        <v>11920</v>
      </c>
      <c r="C36" s="1" t="s">
        <v>17404</v>
      </c>
      <c r="D36" s="1" t="s">
        <v>17424</v>
      </c>
    </row>
    <row r="37" spans="1:4" x14ac:dyDescent="0.15">
      <c r="A37" s="1" t="s">
        <v>17425</v>
      </c>
      <c r="B37" s="1" t="s">
        <v>17426</v>
      </c>
      <c r="C37" s="1" t="s">
        <v>17404</v>
      </c>
      <c r="D37" s="1" t="s">
        <v>17428</v>
      </c>
    </row>
    <row r="38" spans="1:4" x14ac:dyDescent="0.15">
      <c r="A38" s="1" t="s">
        <v>17433</v>
      </c>
      <c r="B38" s="1" t="s">
        <v>11921</v>
      </c>
      <c r="C38" s="1" t="s">
        <v>17404</v>
      </c>
      <c r="D38" s="1" t="s">
        <v>17436</v>
      </c>
    </row>
    <row r="39" spans="1:4" x14ac:dyDescent="0.15">
      <c r="A39" s="1" t="s">
        <v>17437</v>
      </c>
      <c r="B39" s="1" t="s">
        <v>17438</v>
      </c>
      <c r="C39" s="1" t="s">
        <v>17404</v>
      </c>
      <c r="D39" s="1" t="s">
        <v>17440</v>
      </c>
    </row>
    <row r="40" spans="1:4" x14ac:dyDescent="0.15">
      <c r="A40" s="1" t="s">
        <v>17449</v>
      </c>
      <c r="B40" s="1" t="s">
        <v>11922</v>
      </c>
      <c r="C40" s="1" t="s">
        <v>17404</v>
      </c>
      <c r="D40" s="1" t="s">
        <v>17452</v>
      </c>
    </row>
    <row r="41" spans="1:4" x14ac:dyDescent="0.15">
      <c r="A41" s="1" t="s">
        <v>17465</v>
      </c>
      <c r="B41" s="1" t="s">
        <v>11923</v>
      </c>
      <c r="C41" s="1" t="s">
        <v>17404</v>
      </c>
      <c r="D41" s="1" t="s">
        <v>17468</v>
      </c>
    </row>
    <row r="42" spans="1:4" x14ac:dyDescent="0.15">
      <c r="A42" s="1" t="s">
        <v>17473</v>
      </c>
      <c r="B42" s="1" t="s">
        <v>17474</v>
      </c>
      <c r="C42" s="1" t="s">
        <v>17404</v>
      </c>
      <c r="D42" s="1" t="s">
        <v>17476</v>
      </c>
    </row>
    <row r="43" spans="1:4" x14ac:dyDescent="0.15">
      <c r="A43" s="1" t="s">
        <v>17481</v>
      </c>
      <c r="B43" s="1" t="s">
        <v>11924</v>
      </c>
      <c r="C43" s="1" t="s">
        <v>17404</v>
      </c>
      <c r="D43" s="1" t="s">
        <v>17484</v>
      </c>
    </row>
    <row r="44" spans="1:4" x14ac:dyDescent="0.15">
      <c r="A44" s="1" t="s">
        <v>17517</v>
      </c>
      <c r="B44" s="1" t="s">
        <v>11925</v>
      </c>
      <c r="C44" s="1" t="s">
        <v>17404</v>
      </c>
      <c r="D44" s="1" t="s">
        <v>17518</v>
      </c>
    </row>
    <row r="45" spans="1:4" x14ac:dyDescent="0.15">
      <c r="A45" s="1" t="s">
        <v>11926</v>
      </c>
      <c r="B45" s="1" t="s">
        <v>11927</v>
      </c>
      <c r="C45" s="1" t="s">
        <v>11928</v>
      </c>
      <c r="D45" s="1" t="s">
        <v>11929</v>
      </c>
    </row>
    <row r="46" spans="1:4" x14ac:dyDescent="0.15">
      <c r="A46" s="1" t="s">
        <v>11930</v>
      </c>
      <c r="B46" s="1" t="s">
        <v>12759</v>
      </c>
      <c r="C46" s="1" t="s">
        <v>11928</v>
      </c>
      <c r="D46" s="1" t="s">
        <v>11931</v>
      </c>
    </row>
    <row r="47" spans="1:4" x14ac:dyDescent="0.15">
      <c r="A47" s="1" t="s">
        <v>11932</v>
      </c>
      <c r="B47" s="1" t="s">
        <v>11933</v>
      </c>
      <c r="C47" s="1" t="s">
        <v>11928</v>
      </c>
      <c r="D47" s="1" t="s">
        <v>11934</v>
      </c>
    </row>
    <row r="48" spans="1:4" x14ac:dyDescent="0.15">
      <c r="A48" s="1" t="s">
        <v>11935</v>
      </c>
      <c r="B48" s="1" t="s">
        <v>11936</v>
      </c>
      <c r="C48" s="1" t="s">
        <v>11928</v>
      </c>
      <c r="D48" s="1" t="s">
        <v>11937</v>
      </c>
    </row>
    <row r="49" spans="1:4" x14ac:dyDescent="0.15">
      <c r="A49" s="1" t="s">
        <v>11938</v>
      </c>
      <c r="B49" s="1" t="s">
        <v>11939</v>
      </c>
      <c r="C49" s="1" t="s">
        <v>11928</v>
      </c>
      <c r="D49" s="1" t="s">
        <v>11940</v>
      </c>
    </row>
    <row r="50" spans="1:4" x14ac:dyDescent="0.15">
      <c r="A50" s="1" t="s">
        <v>11941</v>
      </c>
      <c r="B50" s="1" t="s">
        <v>11942</v>
      </c>
      <c r="C50" s="1" t="s">
        <v>11928</v>
      </c>
      <c r="D50" s="1" t="s">
        <v>11943</v>
      </c>
    </row>
    <row r="51" spans="1:4" x14ac:dyDescent="0.15">
      <c r="A51" s="1" t="s">
        <v>11944</v>
      </c>
      <c r="B51" s="1" t="s">
        <v>11936</v>
      </c>
      <c r="C51" s="1" t="s">
        <v>11928</v>
      </c>
      <c r="D51" s="1" t="s">
        <v>11945</v>
      </c>
    </row>
    <row r="52" spans="1:4" x14ac:dyDescent="0.15">
      <c r="A52" s="1" t="s">
        <v>11946</v>
      </c>
      <c r="B52" s="1" t="s">
        <v>11947</v>
      </c>
      <c r="C52" s="1" t="s">
        <v>11928</v>
      </c>
      <c r="D52" s="1" t="s">
        <v>11948</v>
      </c>
    </row>
    <row r="53" spans="1:4" x14ac:dyDescent="0.15">
      <c r="A53" s="1" t="s">
        <v>11949</v>
      </c>
      <c r="B53" s="1" t="s">
        <v>11950</v>
      </c>
      <c r="C53" s="1" t="s">
        <v>11928</v>
      </c>
      <c r="D53" s="1" t="s">
        <v>11951</v>
      </c>
    </row>
    <row r="54" spans="1:4" x14ac:dyDescent="0.15">
      <c r="A54" s="1" t="s">
        <v>11952</v>
      </c>
      <c r="B54" s="1" t="s">
        <v>11953</v>
      </c>
      <c r="C54" s="1" t="s">
        <v>11928</v>
      </c>
      <c r="D54" s="1" t="s">
        <v>11954</v>
      </c>
    </row>
    <row r="55" spans="1:4" x14ac:dyDescent="0.15">
      <c r="A55" s="1" t="s">
        <v>11955</v>
      </c>
      <c r="B55" s="1" t="s">
        <v>11956</v>
      </c>
      <c r="C55" s="1" t="s">
        <v>11928</v>
      </c>
      <c r="D55" s="1" t="s">
        <v>11957</v>
      </c>
    </row>
    <row r="56" spans="1:4" x14ac:dyDescent="0.15">
      <c r="A56" s="1" t="s">
        <v>11958</v>
      </c>
      <c r="B56" s="1" t="s">
        <v>11959</v>
      </c>
      <c r="C56" s="1" t="s">
        <v>11928</v>
      </c>
      <c r="D56" s="1" t="s">
        <v>11960</v>
      </c>
    </row>
    <row r="57" spans="1:4" x14ac:dyDescent="0.15">
      <c r="A57" s="1" t="s">
        <v>11961</v>
      </c>
      <c r="B57" s="1" t="s">
        <v>11962</v>
      </c>
      <c r="C57" s="1" t="s">
        <v>11928</v>
      </c>
      <c r="D57" s="1" t="s">
        <v>11963</v>
      </c>
    </row>
    <row r="58" spans="1:4" x14ac:dyDescent="0.15">
      <c r="A58" s="1" t="s">
        <v>11964</v>
      </c>
      <c r="B58" s="1" t="s">
        <v>12923</v>
      </c>
      <c r="C58" s="1" t="s">
        <v>11928</v>
      </c>
      <c r="D58" s="1" t="s">
        <v>11965</v>
      </c>
    </row>
    <row r="59" spans="1:4" x14ac:dyDescent="0.15">
      <c r="A59" s="1" t="s">
        <v>11966</v>
      </c>
      <c r="B59" s="1" t="s">
        <v>11967</v>
      </c>
      <c r="C59" s="1" t="s">
        <v>11928</v>
      </c>
      <c r="D59" s="1" t="s">
        <v>11968</v>
      </c>
    </row>
    <row r="60" spans="1:4" x14ac:dyDescent="0.15">
      <c r="A60" s="1" t="s">
        <v>11969</v>
      </c>
      <c r="B60" s="1" t="s">
        <v>11970</v>
      </c>
      <c r="C60" s="1" t="s">
        <v>11928</v>
      </c>
      <c r="D60" s="1" t="s">
        <v>11971</v>
      </c>
    </row>
    <row r="61" spans="1:4" x14ac:dyDescent="0.15">
      <c r="A61" s="1" t="s">
        <v>11972</v>
      </c>
      <c r="B61" s="1" t="s">
        <v>11973</v>
      </c>
      <c r="C61" s="1" t="s">
        <v>11928</v>
      </c>
      <c r="D61" s="1" t="s">
        <v>11974</v>
      </c>
    </row>
    <row r="62" spans="1:4" x14ac:dyDescent="0.15">
      <c r="A62" s="1" t="s">
        <v>11975</v>
      </c>
      <c r="B62" s="1" t="s">
        <v>11976</v>
      </c>
      <c r="C62" s="1" t="s">
        <v>11928</v>
      </c>
      <c r="D62" s="1" t="s">
        <v>11977</v>
      </c>
    </row>
    <row r="63" spans="1:4" x14ac:dyDescent="0.15">
      <c r="A63" s="1" t="s">
        <v>11978</v>
      </c>
      <c r="B63" s="1" t="s">
        <v>11979</v>
      </c>
      <c r="C63" s="1" t="s">
        <v>11928</v>
      </c>
      <c r="D63" s="1" t="s">
        <v>11980</v>
      </c>
    </row>
    <row r="64" spans="1:4" x14ac:dyDescent="0.15">
      <c r="A64" s="1" t="s">
        <v>11981</v>
      </c>
      <c r="B64" s="1" t="s">
        <v>11982</v>
      </c>
      <c r="C64" s="1" t="s">
        <v>11928</v>
      </c>
      <c r="D64" s="1" t="s">
        <v>11983</v>
      </c>
    </row>
    <row r="65" spans="1:4" x14ac:dyDescent="0.15">
      <c r="A65" s="1" t="s">
        <v>11984</v>
      </c>
      <c r="B65" s="1" t="s">
        <v>11798</v>
      </c>
      <c r="C65" s="1" t="s">
        <v>11928</v>
      </c>
      <c r="D65" s="1" t="s">
        <v>11985</v>
      </c>
    </row>
    <row r="66" spans="1:4" x14ac:dyDescent="0.15">
      <c r="A66" s="1" t="s">
        <v>11986</v>
      </c>
      <c r="B66" s="1" t="s">
        <v>11987</v>
      </c>
      <c r="C66" s="1" t="s">
        <v>11928</v>
      </c>
      <c r="D66" s="1" t="s">
        <v>11988</v>
      </c>
    </row>
    <row r="67" spans="1:4" x14ac:dyDescent="0.15">
      <c r="A67" s="1" t="s">
        <v>11989</v>
      </c>
      <c r="B67" s="1" t="s">
        <v>11990</v>
      </c>
      <c r="C67" s="1" t="s">
        <v>11928</v>
      </c>
      <c r="D67" s="1" t="s">
        <v>11991</v>
      </c>
    </row>
    <row r="68" spans="1:4" x14ac:dyDescent="0.15">
      <c r="A68" s="1" t="s">
        <v>11992</v>
      </c>
      <c r="B68" s="1" t="s">
        <v>11810</v>
      </c>
      <c r="C68" s="1" t="s">
        <v>11928</v>
      </c>
      <c r="D68" s="1" t="s">
        <v>11993</v>
      </c>
    </row>
    <row r="69" spans="1:4" x14ac:dyDescent="0.15">
      <c r="A69" s="1" t="s">
        <v>11994</v>
      </c>
      <c r="B69" s="1" t="s">
        <v>11995</v>
      </c>
      <c r="C69" s="1" t="s">
        <v>11928</v>
      </c>
      <c r="D69" s="1" t="s">
        <v>11996</v>
      </c>
    </row>
    <row r="70" spans="1:4" x14ac:dyDescent="0.15">
      <c r="A70" s="1" t="s">
        <v>11997</v>
      </c>
      <c r="B70" s="1" t="s">
        <v>11998</v>
      </c>
      <c r="C70" s="1" t="s">
        <v>11928</v>
      </c>
      <c r="D70" s="1" t="s">
        <v>11999</v>
      </c>
    </row>
    <row r="71" spans="1:4" x14ac:dyDescent="0.15">
      <c r="A71" s="1" t="s">
        <v>12000</v>
      </c>
      <c r="B71" s="1" t="s">
        <v>11817</v>
      </c>
      <c r="C71" s="1" t="s">
        <v>11928</v>
      </c>
      <c r="D71" s="1" t="s">
        <v>12001</v>
      </c>
    </row>
    <row r="72" spans="1:4" x14ac:dyDescent="0.15">
      <c r="A72" s="1" t="s">
        <v>12002</v>
      </c>
      <c r="B72" s="1" t="s">
        <v>12003</v>
      </c>
      <c r="C72" s="1" t="s">
        <v>11928</v>
      </c>
      <c r="D72" s="1" t="s">
        <v>12004</v>
      </c>
    </row>
    <row r="73" spans="1:4" x14ac:dyDescent="0.15">
      <c r="A73" s="1" t="s">
        <v>12005</v>
      </c>
      <c r="B73" s="1" t="s">
        <v>12006</v>
      </c>
      <c r="C73" s="1" t="s">
        <v>11928</v>
      </c>
      <c r="D73" s="1" t="s">
        <v>12007</v>
      </c>
    </row>
    <row r="74" spans="1:4" x14ac:dyDescent="0.15">
      <c r="A74" s="1" t="s">
        <v>12008</v>
      </c>
      <c r="B74" s="1" t="s">
        <v>12009</v>
      </c>
      <c r="C74" s="1" t="s">
        <v>12010</v>
      </c>
      <c r="D74" s="1" t="s">
        <v>12011</v>
      </c>
    </row>
    <row r="75" spans="1:4" x14ac:dyDescent="0.15">
      <c r="A75" s="1" t="s">
        <v>12012</v>
      </c>
      <c r="B75" s="1" t="s">
        <v>12013</v>
      </c>
      <c r="C75" s="1" t="s">
        <v>12010</v>
      </c>
      <c r="D75" s="1" t="s">
        <v>12014</v>
      </c>
    </row>
    <row r="76" spans="1:4" x14ac:dyDescent="0.15">
      <c r="A76" s="1" t="s">
        <v>12015</v>
      </c>
      <c r="B76" s="1" t="s">
        <v>12016</v>
      </c>
      <c r="C76" s="1" t="s">
        <v>12010</v>
      </c>
      <c r="D76" s="1" t="s">
        <v>12017</v>
      </c>
    </row>
    <row r="77" spans="1:4" x14ac:dyDescent="0.15">
      <c r="A77" s="1" t="s">
        <v>12018</v>
      </c>
      <c r="B77" s="1" t="s">
        <v>12019</v>
      </c>
      <c r="C77" s="1" t="s">
        <v>12010</v>
      </c>
      <c r="D77" s="1" t="s">
        <v>12020</v>
      </c>
    </row>
    <row r="78" spans="1:4" x14ac:dyDescent="0.15">
      <c r="A78" s="1" t="s">
        <v>12021</v>
      </c>
      <c r="B78" s="1" t="s">
        <v>12022</v>
      </c>
      <c r="C78" s="1" t="s">
        <v>12010</v>
      </c>
      <c r="D78" s="1" t="s">
        <v>12023</v>
      </c>
    </row>
    <row r="79" spans="1:4" x14ac:dyDescent="0.15">
      <c r="A79" s="1" t="s">
        <v>12024</v>
      </c>
      <c r="B79" s="1" t="s">
        <v>12025</v>
      </c>
      <c r="C79" s="1" t="s">
        <v>12010</v>
      </c>
      <c r="D79" s="1" t="s">
        <v>12026</v>
      </c>
    </row>
    <row r="80" spans="1:4" x14ac:dyDescent="0.15">
      <c r="A80" s="1" t="s">
        <v>12027</v>
      </c>
      <c r="B80" s="1" t="s">
        <v>12028</v>
      </c>
      <c r="C80" s="1" t="s">
        <v>12010</v>
      </c>
      <c r="D80" s="1" t="s">
        <v>12029</v>
      </c>
    </row>
    <row r="81" spans="1:4" x14ac:dyDescent="0.15">
      <c r="A81" s="1" t="s">
        <v>12030</v>
      </c>
      <c r="B81" s="1" t="s">
        <v>12031</v>
      </c>
      <c r="C81" s="1" t="s">
        <v>12010</v>
      </c>
      <c r="D81" s="1" t="s">
        <v>12032</v>
      </c>
    </row>
    <row r="82" spans="1:4" x14ac:dyDescent="0.15">
      <c r="A82" s="1" t="s">
        <v>12033</v>
      </c>
      <c r="B82" s="1" t="s">
        <v>12034</v>
      </c>
      <c r="C82" s="1" t="s">
        <v>12010</v>
      </c>
      <c r="D82" s="1" t="s">
        <v>12035</v>
      </c>
    </row>
    <row r="83" spans="1:4" x14ac:dyDescent="0.15">
      <c r="A83" s="1" t="s">
        <v>12036</v>
      </c>
      <c r="B83" s="1" t="s">
        <v>12037</v>
      </c>
      <c r="C83" s="1" t="s">
        <v>12010</v>
      </c>
      <c r="D83" s="1" t="s">
        <v>12038</v>
      </c>
    </row>
    <row r="84" spans="1:4" x14ac:dyDescent="0.15">
      <c r="A84" s="1" t="s">
        <v>12039</v>
      </c>
      <c r="B84" s="1" t="s">
        <v>12040</v>
      </c>
      <c r="C84" s="1" t="s">
        <v>12010</v>
      </c>
      <c r="D84" s="1" t="s">
        <v>12041</v>
      </c>
    </row>
    <row r="85" spans="1:4" x14ac:dyDescent="0.15">
      <c r="A85" s="1" t="s">
        <v>12042</v>
      </c>
      <c r="B85" s="1" t="s">
        <v>12043</v>
      </c>
      <c r="C85" s="1" t="s">
        <v>12010</v>
      </c>
      <c r="D85" s="1" t="s">
        <v>12044</v>
      </c>
    </row>
    <row r="86" spans="1:4" x14ac:dyDescent="0.15">
      <c r="A86" s="1" t="s">
        <v>12045</v>
      </c>
      <c r="B86" s="1" t="s">
        <v>12046</v>
      </c>
      <c r="C86" s="1" t="s">
        <v>12010</v>
      </c>
      <c r="D86" s="1" t="s">
        <v>12047</v>
      </c>
    </row>
    <row r="87" spans="1:4" x14ac:dyDescent="0.15">
      <c r="A87" s="1" t="s">
        <v>12048</v>
      </c>
      <c r="B87" s="1" t="s">
        <v>12049</v>
      </c>
      <c r="C87" s="1" t="s">
        <v>12010</v>
      </c>
      <c r="D87" s="1" t="s">
        <v>12050</v>
      </c>
    </row>
    <row r="88" spans="1:4" x14ac:dyDescent="0.15">
      <c r="A88" s="1" t="s">
        <v>12051</v>
      </c>
      <c r="B88" s="1" t="s">
        <v>12052</v>
      </c>
      <c r="C88" s="1" t="s">
        <v>12010</v>
      </c>
      <c r="D88" s="1" t="s">
        <v>12053</v>
      </c>
    </row>
    <row r="89" spans="1:4" x14ac:dyDescent="0.15">
      <c r="A89" s="1" t="s">
        <v>17528</v>
      </c>
      <c r="B89" s="1" t="s">
        <v>12054</v>
      </c>
      <c r="C89" s="1" t="s">
        <v>17519</v>
      </c>
      <c r="D89" s="1" t="s">
        <v>17531</v>
      </c>
    </row>
    <row r="90" spans="1:4" x14ac:dyDescent="0.15">
      <c r="A90" s="1" t="s">
        <v>17532</v>
      </c>
      <c r="B90" s="1" t="s">
        <v>17533</v>
      </c>
      <c r="C90" s="1" t="s">
        <v>17519</v>
      </c>
      <c r="D90" s="1" t="s">
        <v>17535</v>
      </c>
    </row>
    <row r="91" spans="1:4" x14ac:dyDescent="0.15">
      <c r="A91" s="1" t="s">
        <v>12055</v>
      </c>
      <c r="B91" s="1" t="s">
        <v>12056</v>
      </c>
      <c r="C91" s="1" t="s">
        <v>17519</v>
      </c>
      <c r="D91" s="1" t="s">
        <v>12057</v>
      </c>
    </row>
    <row r="92" spans="1:4" x14ac:dyDescent="0.15">
      <c r="A92" s="1" t="s">
        <v>17585</v>
      </c>
      <c r="B92" s="1" t="s">
        <v>12058</v>
      </c>
      <c r="C92" s="1" t="s">
        <v>17519</v>
      </c>
      <c r="D92" s="1" t="s">
        <v>17587</v>
      </c>
    </row>
    <row r="93" spans="1:4" x14ac:dyDescent="0.15">
      <c r="A93" s="1" t="s">
        <v>17600</v>
      </c>
      <c r="B93" s="1" t="s">
        <v>12059</v>
      </c>
      <c r="C93" s="1" t="s">
        <v>17519</v>
      </c>
      <c r="D93" s="1" t="s">
        <v>17603</v>
      </c>
    </row>
    <row r="94" spans="1:4" x14ac:dyDescent="0.15">
      <c r="A94" s="1" t="s">
        <v>17640</v>
      </c>
      <c r="B94" s="1" t="s">
        <v>12060</v>
      </c>
      <c r="C94" s="1" t="s">
        <v>17519</v>
      </c>
      <c r="D94" s="1" t="s">
        <v>17643</v>
      </c>
    </row>
    <row r="95" spans="1:4" x14ac:dyDescent="0.15">
      <c r="A95" s="1" t="s">
        <v>12061</v>
      </c>
      <c r="B95" s="1" t="s">
        <v>12062</v>
      </c>
      <c r="C95" s="1" t="s">
        <v>17519</v>
      </c>
      <c r="D95" s="1" t="s">
        <v>12063</v>
      </c>
    </row>
    <row r="96" spans="1:4" x14ac:dyDescent="0.15">
      <c r="A96" s="1" t="s">
        <v>17671</v>
      </c>
      <c r="B96" s="1" t="s">
        <v>12064</v>
      </c>
      <c r="C96" s="1" t="s">
        <v>17519</v>
      </c>
      <c r="D96" s="1" t="s">
        <v>17674</v>
      </c>
    </row>
    <row r="97" spans="1:4" x14ac:dyDescent="0.15">
      <c r="A97" s="1" t="s">
        <v>17714</v>
      </c>
      <c r="B97" s="1" t="s">
        <v>12065</v>
      </c>
      <c r="C97" s="1" t="s">
        <v>17519</v>
      </c>
      <c r="D97" s="1" t="s">
        <v>17715</v>
      </c>
    </row>
    <row r="98" spans="1:4" x14ac:dyDescent="0.15">
      <c r="A98" s="1" t="s">
        <v>17725</v>
      </c>
      <c r="B98" s="1" t="s">
        <v>17722</v>
      </c>
      <c r="C98" s="1" t="s">
        <v>17716</v>
      </c>
      <c r="D98" s="1" t="s">
        <v>17727</v>
      </c>
    </row>
    <row r="99" spans="1:4" x14ac:dyDescent="0.15">
      <c r="A99" s="1" t="s">
        <v>17739</v>
      </c>
      <c r="B99" s="1" t="s">
        <v>12066</v>
      </c>
      <c r="C99" s="1" t="s">
        <v>17716</v>
      </c>
      <c r="D99" s="1" t="s">
        <v>17742</v>
      </c>
    </row>
    <row r="100" spans="1:4" x14ac:dyDescent="0.15">
      <c r="A100" s="1" t="s">
        <v>17759</v>
      </c>
      <c r="B100" s="1" t="s">
        <v>12067</v>
      </c>
      <c r="C100" s="1" t="s">
        <v>17716</v>
      </c>
      <c r="D100" s="1" t="s">
        <v>17761</v>
      </c>
    </row>
    <row r="101" spans="1:4" x14ac:dyDescent="0.15">
      <c r="A101" s="1" t="s">
        <v>12068</v>
      </c>
      <c r="B101" s="1" t="s">
        <v>12069</v>
      </c>
      <c r="C101" s="1" t="s">
        <v>17716</v>
      </c>
      <c r="D101" s="1" t="s">
        <v>12070</v>
      </c>
    </row>
    <row r="102" spans="1:4" x14ac:dyDescent="0.15">
      <c r="A102" s="1" t="s">
        <v>12071</v>
      </c>
      <c r="B102" s="1" t="s">
        <v>12072</v>
      </c>
      <c r="C102" s="1" t="s">
        <v>17716</v>
      </c>
      <c r="D102" s="1" t="s">
        <v>12073</v>
      </c>
    </row>
    <row r="103" spans="1:4" x14ac:dyDescent="0.15">
      <c r="A103" s="1" t="s">
        <v>17773</v>
      </c>
      <c r="B103" s="1" t="s">
        <v>17770</v>
      </c>
      <c r="C103" s="1" t="s">
        <v>17716</v>
      </c>
      <c r="D103" s="1" t="s">
        <v>17774</v>
      </c>
    </row>
    <row r="104" spans="1:4" x14ac:dyDescent="0.15">
      <c r="A104" s="1" t="s">
        <v>17791</v>
      </c>
      <c r="B104" s="1" t="s">
        <v>12074</v>
      </c>
      <c r="C104" s="1" t="s">
        <v>17775</v>
      </c>
      <c r="D104" s="1" t="s">
        <v>17794</v>
      </c>
    </row>
    <row r="105" spans="1:4" x14ac:dyDescent="0.15">
      <c r="A105" s="1" t="s">
        <v>17808</v>
      </c>
      <c r="B105" s="1" t="s">
        <v>12075</v>
      </c>
      <c r="C105" s="1" t="s">
        <v>17799</v>
      </c>
      <c r="D105" s="1" t="s">
        <v>17810</v>
      </c>
    </row>
    <row r="106" spans="1:4" x14ac:dyDescent="0.15">
      <c r="A106" s="1" t="s">
        <v>17815</v>
      </c>
      <c r="B106" s="1" t="s">
        <v>17812</v>
      </c>
      <c r="C106" s="1" t="s">
        <v>17799</v>
      </c>
      <c r="D106" s="1" t="s">
        <v>17817</v>
      </c>
    </row>
    <row r="107" spans="1:4" x14ac:dyDescent="0.15">
      <c r="A107" s="1" t="s">
        <v>17822</v>
      </c>
      <c r="B107" s="1" t="s">
        <v>12076</v>
      </c>
      <c r="C107" s="1" t="s">
        <v>17799</v>
      </c>
      <c r="D107" s="1" t="s">
        <v>17824</v>
      </c>
    </row>
    <row r="108" spans="1:4" x14ac:dyDescent="0.15">
      <c r="A108" s="1" t="s">
        <v>17829</v>
      </c>
      <c r="B108" s="1" t="s">
        <v>12077</v>
      </c>
      <c r="C108" s="1" t="s">
        <v>17799</v>
      </c>
      <c r="D108" s="1" t="s">
        <v>17831</v>
      </c>
    </row>
    <row r="109" spans="1:4" x14ac:dyDescent="0.15">
      <c r="A109" s="1" t="s">
        <v>17836</v>
      </c>
      <c r="B109" s="1" t="s">
        <v>12078</v>
      </c>
      <c r="C109" s="1" t="s">
        <v>17799</v>
      </c>
      <c r="D109" s="1" t="s">
        <v>17838</v>
      </c>
    </row>
    <row r="110" spans="1:4" x14ac:dyDescent="0.15">
      <c r="A110" s="1" t="s">
        <v>17097</v>
      </c>
      <c r="B110" s="1" t="s">
        <v>12079</v>
      </c>
      <c r="C110" s="1" t="s">
        <v>17799</v>
      </c>
      <c r="D110" s="1" t="s">
        <v>17099</v>
      </c>
    </row>
    <row r="111" spans="1:4" x14ac:dyDescent="0.15">
      <c r="A111" s="1" t="s">
        <v>17125</v>
      </c>
      <c r="B111" s="1" t="s">
        <v>12080</v>
      </c>
      <c r="C111" s="1" t="s">
        <v>17100</v>
      </c>
      <c r="D111" s="1" t="s">
        <v>17127</v>
      </c>
    </row>
    <row r="112" spans="1:4" x14ac:dyDescent="0.15">
      <c r="A112" s="1" t="s">
        <v>16921</v>
      </c>
      <c r="B112" s="1" t="s">
        <v>16918</v>
      </c>
      <c r="C112" s="1" t="s">
        <v>16912</v>
      </c>
      <c r="D112" s="1" t="s">
        <v>16923</v>
      </c>
    </row>
    <row r="113" spans="1:4" x14ac:dyDescent="0.15">
      <c r="A113" s="1" t="s">
        <v>16935</v>
      </c>
      <c r="B113" s="1" t="s">
        <v>12081</v>
      </c>
      <c r="C113" s="1" t="s">
        <v>16912</v>
      </c>
      <c r="D113" s="1" t="s">
        <v>16937</v>
      </c>
    </row>
    <row r="114" spans="1:4" x14ac:dyDescent="0.15">
      <c r="A114" s="1" t="s">
        <v>16942</v>
      </c>
      <c r="B114" s="1" t="s">
        <v>12082</v>
      </c>
      <c r="C114" s="1" t="s">
        <v>16912</v>
      </c>
      <c r="D114" s="1" t="s">
        <v>16945</v>
      </c>
    </row>
    <row r="115" spans="1:4" x14ac:dyDescent="0.15">
      <c r="A115" s="1" t="s">
        <v>16946</v>
      </c>
      <c r="B115" s="1" t="s">
        <v>12083</v>
      </c>
      <c r="C115" s="1" t="s">
        <v>16912</v>
      </c>
      <c r="D115" s="1" t="s">
        <v>16949</v>
      </c>
    </row>
    <row r="116" spans="1:4" x14ac:dyDescent="0.15">
      <c r="A116" s="1" t="s">
        <v>16954</v>
      </c>
      <c r="B116" s="1" t="s">
        <v>16955</v>
      </c>
      <c r="C116" s="1" t="s">
        <v>16912</v>
      </c>
      <c r="D116" s="1" t="s">
        <v>16957</v>
      </c>
    </row>
    <row r="117" spans="1:4" x14ac:dyDescent="0.15">
      <c r="A117" s="1" t="s">
        <v>16962</v>
      </c>
      <c r="B117" s="1" t="s">
        <v>12084</v>
      </c>
      <c r="C117" s="1" t="s">
        <v>16912</v>
      </c>
      <c r="D117" s="1" t="s">
        <v>16965</v>
      </c>
    </row>
    <row r="118" spans="1:4" x14ac:dyDescent="0.15">
      <c r="A118" s="1" t="s">
        <v>16966</v>
      </c>
      <c r="B118" s="1" t="s">
        <v>12085</v>
      </c>
      <c r="C118" s="1" t="s">
        <v>16912</v>
      </c>
      <c r="D118" s="1" t="s">
        <v>16969</v>
      </c>
    </row>
    <row r="119" spans="1:4" x14ac:dyDescent="0.15">
      <c r="A119" s="1" t="s">
        <v>16970</v>
      </c>
      <c r="B119" s="1" t="s">
        <v>12086</v>
      </c>
      <c r="C119" s="1" t="s">
        <v>16912</v>
      </c>
      <c r="D119" s="1" t="s">
        <v>16973</v>
      </c>
    </row>
    <row r="120" spans="1:4" x14ac:dyDescent="0.15">
      <c r="A120" s="1" t="s">
        <v>16978</v>
      </c>
      <c r="B120" s="1" t="s">
        <v>12087</v>
      </c>
      <c r="C120" s="1" t="s">
        <v>16912</v>
      </c>
      <c r="D120" s="1" t="s">
        <v>16980</v>
      </c>
    </row>
    <row r="121" spans="1:4" x14ac:dyDescent="0.15">
      <c r="A121" s="1" t="s">
        <v>16989</v>
      </c>
      <c r="B121" s="1" t="s">
        <v>12088</v>
      </c>
      <c r="C121" s="1" t="s">
        <v>16912</v>
      </c>
      <c r="D121" s="1" t="s">
        <v>16992</v>
      </c>
    </row>
    <row r="122" spans="1:4" x14ac:dyDescent="0.15">
      <c r="A122" s="1" t="s">
        <v>17005</v>
      </c>
      <c r="B122" s="1" t="s">
        <v>12089</v>
      </c>
      <c r="C122" s="1" t="s">
        <v>16912</v>
      </c>
      <c r="D122" s="1" t="s">
        <v>17007</v>
      </c>
    </row>
    <row r="123" spans="1:4" x14ac:dyDescent="0.15">
      <c r="A123" s="1" t="s">
        <v>12090</v>
      </c>
      <c r="B123" s="1" t="s">
        <v>17361</v>
      </c>
      <c r="C123" s="1" t="s">
        <v>16912</v>
      </c>
      <c r="D123" s="1" t="s">
        <v>12091</v>
      </c>
    </row>
    <row r="124" spans="1:4" x14ac:dyDescent="0.15">
      <c r="A124" s="1" t="s">
        <v>17026</v>
      </c>
      <c r="B124" s="1" t="s">
        <v>12092</v>
      </c>
      <c r="C124" s="1" t="s">
        <v>16912</v>
      </c>
      <c r="D124" s="1" t="s">
        <v>17029</v>
      </c>
    </row>
    <row r="125" spans="1:4" x14ac:dyDescent="0.15">
      <c r="A125" s="1" t="s">
        <v>17030</v>
      </c>
      <c r="B125" s="1" t="s">
        <v>12093</v>
      </c>
      <c r="C125" s="1" t="s">
        <v>16912</v>
      </c>
      <c r="D125" s="1" t="s">
        <v>17033</v>
      </c>
    </row>
    <row r="126" spans="1:4" x14ac:dyDescent="0.15">
      <c r="A126" s="1" t="s">
        <v>17034</v>
      </c>
      <c r="B126" s="1" t="s">
        <v>12094</v>
      </c>
      <c r="C126" s="1" t="s">
        <v>16912</v>
      </c>
      <c r="D126" s="1" t="s">
        <v>17037</v>
      </c>
    </row>
    <row r="127" spans="1:4" x14ac:dyDescent="0.15">
      <c r="A127" s="1" t="s">
        <v>17038</v>
      </c>
      <c r="B127" s="1" t="s">
        <v>12095</v>
      </c>
      <c r="C127" s="1" t="s">
        <v>16912</v>
      </c>
      <c r="D127" s="1" t="s">
        <v>17041</v>
      </c>
    </row>
    <row r="128" spans="1:4" x14ac:dyDescent="0.15">
      <c r="A128" s="1" t="s">
        <v>17042</v>
      </c>
      <c r="B128" s="1" t="s">
        <v>12096</v>
      </c>
      <c r="C128" s="1" t="s">
        <v>16912</v>
      </c>
      <c r="D128" s="1" t="s">
        <v>17045</v>
      </c>
    </row>
    <row r="129" spans="1:4" x14ac:dyDescent="0.15">
      <c r="A129" s="1" t="s">
        <v>17046</v>
      </c>
      <c r="B129" s="1" t="s">
        <v>12097</v>
      </c>
      <c r="C129" s="1" t="s">
        <v>16912</v>
      </c>
      <c r="D129" s="1" t="s">
        <v>17049</v>
      </c>
    </row>
    <row r="130" spans="1:4" x14ac:dyDescent="0.15">
      <c r="A130" s="1" t="s">
        <v>17050</v>
      </c>
      <c r="B130" s="1" t="s">
        <v>12098</v>
      </c>
      <c r="C130" s="1" t="s">
        <v>16912</v>
      </c>
      <c r="D130" s="1" t="s">
        <v>17053</v>
      </c>
    </row>
    <row r="131" spans="1:4" x14ac:dyDescent="0.15">
      <c r="A131" s="1" t="s">
        <v>17058</v>
      </c>
      <c r="B131" s="1" t="s">
        <v>12099</v>
      </c>
      <c r="C131" s="1" t="s">
        <v>16912</v>
      </c>
      <c r="D131" s="1" t="s">
        <v>17061</v>
      </c>
    </row>
    <row r="132" spans="1:4" x14ac:dyDescent="0.15">
      <c r="A132" s="1" t="s">
        <v>17062</v>
      </c>
      <c r="B132" s="1" t="s">
        <v>12100</v>
      </c>
      <c r="C132" s="1" t="s">
        <v>16912</v>
      </c>
      <c r="D132" s="1" t="s">
        <v>17065</v>
      </c>
    </row>
    <row r="133" spans="1:4" x14ac:dyDescent="0.15">
      <c r="A133" s="1" t="s">
        <v>17070</v>
      </c>
      <c r="B133" s="1" t="s">
        <v>12101</v>
      </c>
      <c r="C133" s="1" t="s">
        <v>16912</v>
      </c>
      <c r="D133" s="1" t="s">
        <v>17073</v>
      </c>
    </row>
    <row r="134" spans="1:4" x14ac:dyDescent="0.15">
      <c r="A134" s="1" t="s">
        <v>17078</v>
      </c>
      <c r="B134" s="1" t="s">
        <v>12102</v>
      </c>
      <c r="C134" s="1" t="s">
        <v>16912</v>
      </c>
      <c r="D134" s="1" t="s">
        <v>17081</v>
      </c>
    </row>
    <row r="135" spans="1:4" x14ac:dyDescent="0.15">
      <c r="A135" s="1" t="s">
        <v>16495</v>
      </c>
      <c r="B135" s="1" t="s">
        <v>12103</v>
      </c>
      <c r="C135" s="1" t="s">
        <v>16912</v>
      </c>
      <c r="D135" s="1" t="s">
        <v>16498</v>
      </c>
    </row>
    <row r="136" spans="1:4" x14ac:dyDescent="0.15">
      <c r="A136" s="1" t="s">
        <v>16499</v>
      </c>
      <c r="B136" s="1" t="s">
        <v>12104</v>
      </c>
      <c r="C136" s="1" t="s">
        <v>16912</v>
      </c>
      <c r="D136" s="1" t="s">
        <v>16502</v>
      </c>
    </row>
    <row r="137" spans="1:4" x14ac:dyDescent="0.15">
      <c r="A137" s="1" t="s">
        <v>16503</v>
      </c>
      <c r="B137" s="1" t="s">
        <v>12105</v>
      </c>
      <c r="C137" s="1" t="s">
        <v>16912</v>
      </c>
      <c r="D137" s="1" t="s">
        <v>16506</v>
      </c>
    </row>
    <row r="138" spans="1:4" x14ac:dyDescent="0.15">
      <c r="A138" s="1" t="s">
        <v>16507</v>
      </c>
      <c r="B138" s="1" t="s">
        <v>12106</v>
      </c>
      <c r="C138" s="1" t="s">
        <v>16912</v>
      </c>
      <c r="D138" s="1" t="s">
        <v>16510</v>
      </c>
    </row>
    <row r="139" spans="1:4" x14ac:dyDescent="0.15">
      <c r="A139" s="1" t="s">
        <v>16511</v>
      </c>
      <c r="B139" s="1" t="s">
        <v>12107</v>
      </c>
      <c r="C139" s="1" t="s">
        <v>16912</v>
      </c>
      <c r="D139" s="1" t="s">
        <v>16514</v>
      </c>
    </row>
    <row r="140" spans="1:4" x14ac:dyDescent="0.15">
      <c r="A140" s="1" t="s">
        <v>16519</v>
      </c>
      <c r="B140" s="1" t="s">
        <v>12108</v>
      </c>
      <c r="C140" s="1" t="s">
        <v>16912</v>
      </c>
      <c r="D140" s="1" t="s">
        <v>16522</v>
      </c>
    </row>
    <row r="141" spans="1:4" x14ac:dyDescent="0.15">
      <c r="A141" s="1" t="s">
        <v>16527</v>
      </c>
      <c r="B141" s="1" t="s">
        <v>12109</v>
      </c>
      <c r="C141" s="1" t="s">
        <v>16912</v>
      </c>
      <c r="D141" s="1" t="s">
        <v>16530</v>
      </c>
    </row>
    <row r="142" spans="1:4" x14ac:dyDescent="0.15">
      <c r="A142" s="1" t="s">
        <v>16531</v>
      </c>
      <c r="B142" s="1" t="s">
        <v>12110</v>
      </c>
      <c r="C142" s="1" t="s">
        <v>16912</v>
      </c>
      <c r="D142" s="1" t="s">
        <v>16534</v>
      </c>
    </row>
    <row r="143" spans="1:4" x14ac:dyDescent="0.15">
      <c r="A143" s="1" t="s">
        <v>16535</v>
      </c>
      <c r="B143" s="1" t="s">
        <v>12111</v>
      </c>
      <c r="C143" s="1" t="s">
        <v>16912</v>
      </c>
      <c r="D143" s="1" t="s">
        <v>16538</v>
      </c>
    </row>
    <row r="144" spans="1:4" x14ac:dyDescent="0.15">
      <c r="A144" s="1" t="s">
        <v>16543</v>
      </c>
      <c r="B144" s="1" t="s">
        <v>12112</v>
      </c>
      <c r="C144" s="1" t="s">
        <v>16912</v>
      </c>
      <c r="D144" s="1" t="s">
        <v>16546</v>
      </c>
    </row>
    <row r="145" spans="1:4" x14ac:dyDescent="0.15">
      <c r="A145" s="1" t="s">
        <v>16547</v>
      </c>
      <c r="B145" s="1" t="s">
        <v>12113</v>
      </c>
      <c r="C145" s="1" t="s">
        <v>16912</v>
      </c>
      <c r="D145" s="1" t="s">
        <v>16550</v>
      </c>
    </row>
    <row r="146" spans="1:4" x14ac:dyDescent="0.15">
      <c r="A146" s="1" t="s">
        <v>16551</v>
      </c>
      <c r="B146" s="1" t="s">
        <v>12114</v>
      </c>
      <c r="C146" s="1" t="s">
        <v>16912</v>
      </c>
      <c r="D146" s="1" t="s">
        <v>16554</v>
      </c>
    </row>
    <row r="147" spans="1:4" x14ac:dyDescent="0.15">
      <c r="A147" s="1" t="s">
        <v>16555</v>
      </c>
      <c r="B147" s="1" t="s">
        <v>12115</v>
      </c>
      <c r="C147" s="1" t="s">
        <v>16912</v>
      </c>
      <c r="D147" s="1" t="s">
        <v>16558</v>
      </c>
    </row>
    <row r="148" spans="1:4" x14ac:dyDescent="0.15">
      <c r="A148" s="1" t="s">
        <v>16559</v>
      </c>
      <c r="B148" s="1" t="s">
        <v>12116</v>
      </c>
      <c r="C148" s="1" t="s">
        <v>16912</v>
      </c>
      <c r="D148" s="1" t="s">
        <v>16562</v>
      </c>
    </row>
    <row r="149" spans="1:4" x14ac:dyDescent="0.15">
      <c r="A149" s="1" t="s">
        <v>16563</v>
      </c>
      <c r="B149" s="1" t="s">
        <v>12117</v>
      </c>
      <c r="C149" s="1" t="s">
        <v>16912</v>
      </c>
      <c r="D149" s="1" t="s">
        <v>16566</v>
      </c>
    </row>
    <row r="150" spans="1:4" x14ac:dyDescent="0.15">
      <c r="A150" s="1" t="s">
        <v>16567</v>
      </c>
      <c r="B150" s="1" t="s">
        <v>12118</v>
      </c>
      <c r="C150" s="1" t="s">
        <v>16912</v>
      </c>
      <c r="D150" s="1" t="s">
        <v>16570</v>
      </c>
    </row>
    <row r="151" spans="1:4" x14ac:dyDescent="0.15">
      <c r="A151" s="1" t="s">
        <v>16571</v>
      </c>
      <c r="B151" s="1" t="s">
        <v>12119</v>
      </c>
      <c r="C151" s="1" t="s">
        <v>16912</v>
      </c>
      <c r="D151" s="1" t="s">
        <v>16574</v>
      </c>
    </row>
    <row r="152" spans="1:4" x14ac:dyDescent="0.15">
      <c r="A152" s="1" t="s">
        <v>16575</v>
      </c>
      <c r="B152" s="1" t="s">
        <v>12120</v>
      </c>
      <c r="C152" s="1" t="s">
        <v>16912</v>
      </c>
      <c r="D152" s="1" t="s">
        <v>16578</v>
      </c>
    </row>
    <row r="153" spans="1:4" x14ac:dyDescent="0.15">
      <c r="A153" s="1" t="s">
        <v>16579</v>
      </c>
      <c r="B153" s="1" t="s">
        <v>12121</v>
      </c>
      <c r="C153" s="1" t="s">
        <v>16912</v>
      </c>
      <c r="D153" s="1" t="s">
        <v>16582</v>
      </c>
    </row>
    <row r="154" spans="1:4" x14ac:dyDescent="0.15">
      <c r="A154" s="1" t="s">
        <v>16583</v>
      </c>
      <c r="B154" s="1" t="s">
        <v>12122</v>
      </c>
      <c r="C154" s="1" t="s">
        <v>16912</v>
      </c>
      <c r="D154" s="1" t="s">
        <v>16586</v>
      </c>
    </row>
    <row r="155" spans="1:4" x14ac:dyDescent="0.15">
      <c r="A155" s="1" t="s">
        <v>16587</v>
      </c>
      <c r="B155" s="1" t="s">
        <v>12123</v>
      </c>
      <c r="C155" s="1" t="s">
        <v>16912</v>
      </c>
      <c r="D155" s="1" t="s">
        <v>16590</v>
      </c>
    </row>
    <row r="156" spans="1:4" x14ac:dyDescent="0.15">
      <c r="A156" s="1" t="s">
        <v>16591</v>
      </c>
      <c r="B156" s="1" t="s">
        <v>12124</v>
      </c>
      <c r="C156" s="1" t="s">
        <v>16912</v>
      </c>
      <c r="D156" s="1" t="s">
        <v>16594</v>
      </c>
    </row>
    <row r="157" spans="1:4" x14ac:dyDescent="0.15">
      <c r="A157" s="1" t="s">
        <v>16599</v>
      </c>
      <c r="B157" s="1" t="s">
        <v>12125</v>
      </c>
      <c r="C157" s="1" t="s">
        <v>16912</v>
      </c>
      <c r="D157" s="1" t="s">
        <v>16602</v>
      </c>
    </row>
    <row r="158" spans="1:4" x14ac:dyDescent="0.15">
      <c r="A158" s="1" t="s">
        <v>16603</v>
      </c>
      <c r="B158" s="1" t="s">
        <v>12126</v>
      </c>
      <c r="C158" s="1" t="s">
        <v>16912</v>
      </c>
      <c r="D158" s="1" t="s">
        <v>16606</v>
      </c>
    </row>
    <row r="159" spans="1:4" x14ac:dyDescent="0.15">
      <c r="A159" s="1" t="s">
        <v>16647</v>
      </c>
      <c r="B159" s="1" t="s">
        <v>12127</v>
      </c>
      <c r="C159" s="1" t="s">
        <v>16912</v>
      </c>
      <c r="D159" s="1" t="s">
        <v>16650</v>
      </c>
    </row>
    <row r="160" spans="1:4" x14ac:dyDescent="0.15">
      <c r="A160" s="1" t="s">
        <v>16655</v>
      </c>
      <c r="B160" s="1" t="s">
        <v>12128</v>
      </c>
      <c r="C160" s="1" t="s">
        <v>16912</v>
      </c>
      <c r="D160" s="1" t="s">
        <v>16657</v>
      </c>
    </row>
    <row r="161" spans="1:4" x14ac:dyDescent="0.15">
      <c r="A161" s="1" t="s">
        <v>16669</v>
      </c>
      <c r="B161" s="1" t="s">
        <v>16666</v>
      </c>
      <c r="C161" s="1" t="s">
        <v>16912</v>
      </c>
      <c r="D161" s="1" t="s">
        <v>16671</v>
      </c>
    </row>
    <row r="162" spans="1:4" x14ac:dyDescent="0.15">
      <c r="A162" s="1" t="s">
        <v>16681</v>
      </c>
      <c r="B162" s="1" t="s">
        <v>16678</v>
      </c>
      <c r="C162" s="1" t="s">
        <v>16672</v>
      </c>
      <c r="D162" s="1" t="s">
        <v>16683</v>
      </c>
    </row>
    <row r="163" spans="1:4" x14ac:dyDescent="0.15">
      <c r="A163" s="1" t="s">
        <v>16688</v>
      </c>
      <c r="B163" s="1" t="s">
        <v>12129</v>
      </c>
      <c r="C163" s="1" t="s">
        <v>16672</v>
      </c>
      <c r="D163" s="1" t="s">
        <v>16690</v>
      </c>
    </row>
    <row r="164" spans="1:4" x14ac:dyDescent="0.15">
      <c r="A164" s="1" t="s">
        <v>16695</v>
      </c>
      <c r="B164" s="1" t="s">
        <v>12130</v>
      </c>
      <c r="C164" s="1" t="s">
        <v>16672</v>
      </c>
      <c r="D164" s="1" t="s">
        <v>16697</v>
      </c>
    </row>
    <row r="165" spans="1:4" x14ac:dyDescent="0.15">
      <c r="A165" s="1" t="s">
        <v>16709</v>
      </c>
      <c r="B165" s="1" t="s">
        <v>12131</v>
      </c>
      <c r="C165" s="1" t="s">
        <v>16672</v>
      </c>
      <c r="D165" s="1" t="s">
        <v>16711</v>
      </c>
    </row>
    <row r="166" spans="1:4" x14ac:dyDescent="0.15">
      <c r="A166" s="1" t="s">
        <v>16723</v>
      </c>
      <c r="B166" s="1" t="s">
        <v>16720</v>
      </c>
      <c r="C166" s="1" t="s">
        <v>16672</v>
      </c>
      <c r="D166" s="1" t="s">
        <v>16725</v>
      </c>
    </row>
    <row r="167" spans="1:4" x14ac:dyDescent="0.15">
      <c r="A167" s="1" t="s">
        <v>16730</v>
      </c>
      <c r="B167" s="1" t="s">
        <v>16727</v>
      </c>
      <c r="C167" s="1" t="s">
        <v>16672</v>
      </c>
      <c r="D167" s="1" t="s">
        <v>16733</v>
      </c>
    </row>
    <row r="168" spans="1:4" x14ac:dyDescent="0.15">
      <c r="A168" s="1" t="s">
        <v>16758</v>
      </c>
      <c r="B168" s="1" t="s">
        <v>16755</v>
      </c>
      <c r="C168" s="1" t="s">
        <v>16672</v>
      </c>
      <c r="D168" s="1" t="s">
        <v>16760</v>
      </c>
    </row>
    <row r="169" spans="1:4" x14ac:dyDescent="0.15">
      <c r="A169" s="1" t="s">
        <v>16765</v>
      </c>
      <c r="B169" s="1" t="s">
        <v>12132</v>
      </c>
      <c r="C169" s="1" t="s">
        <v>16672</v>
      </c>
      <c r="D169" s="1" t="s">
        <v>16767</v>
      </c>
    </row>
    <row r="170" spans="1:4" x14ac:dyDescent="0.15">
      <c r="A170" s="1" t="s">
        <v>16772</v>
      </c>
      <c r="B170" s="1" t="s">
        <v>16769</v>
      </c>
      <c r="C170" s="1" t="s">
        <v>16672</v>
      </c>
      <c r="D170" s="1" t="s">
        <v>16774</v>
      </c>
    </row>
    <row r="171" spans="1:4" x14ac:dyDescent="0.15">
      <c r="A171" s="1" t="s">
        <v>16779</v>
      </c>
      <c r="B171" s="1" t="s">
        <v>16776</v>
      </c>
      <c r="C171" s="1" t="s">
        <v>16672</v>
      </c>
      <c r="D171" s="1" t="s">
        <v>16781</v>
      </c>
    </row>
    <row r="172" spans="1:4" x14ac:dyDescent="0.15">
      <c r="A172" s="1" t="s">
        <v>16786</v>
      </c>
      <c r="B172" s="1" t="s">
        <v>12133</v>
      </c>
      <c r="C172" s="1" t="s">
        <v>16672</v>
      </c>
      <c r="D172" s="1" t="s">
        <v>16788</v>
      </c>
    </row>
    <row r="173" spans="1:4" x14ac:dyDescent="0.15">
      <c r="A173" s="1" t="s">
        <v>16793</v>
      </c>
      <c r="B173" s="1" t="s">
        <v>12134</v>
      </c>
      <c r="C173" s="1" t="s">
        <v>16672</v>
      </c>
      <c r="D173" s="1" t="s">
        <v>16795</v>
      </c>
    </row>
    <row r="174" spans="1:4" x14ac:dyDescent="0.15">
      <c r="A174" s="1" t="s">
        <v>16814</v>
      </c>
      <c r="B174" s="1" t="s">
        <v>12135</v>
      </c>
      <c r="C174" s="1" t="s">
        <v>16672</v>
      </c>
      <c r="D174" s="1" t="s">
        <v>16816</v>
      </c>
    </row>
    <row r="175" spans="1:4" x14ac:dyDescent="0.15">
      <c r="A175" s="1" t="s">
        <v>16821</v>
      </c>
      <c r="B175" s="1" t="s">
        <v>16818</v>
      </c>
      <c r="C175" s="1" t="s">
        <v>16672</v>
      </c>
      <c r="D175" s="1" t="s">
        <v>16823</v>
      </c>
    </row>
    <row r="176" spans="1:4" x14ac:dyDescent="0.15">
      <c r="A176" s="1" t="s">
        <v>16828</v>
      </c>
      <c r="B176" s="1" t="s">
        <v>16825</v>
      </c>
      <c r="C176" s="1" t="s">
        <v>16672</v>
      </c>
      <c r="D176" s="1" t="s">
        <v>16830</v>
      </c>
    </row>
    <row r="177" spans="1:4" x14ac:dyDescent="0.15">
      <c r="A177" s="1" t="s">
        <v>12136</v>
      </c>
      <c r="B177" s="1" t="s">
        <v>12137</v>
      </c>
      <c r="C177" s="1" t="s">
        <v>16672</v>
      </c>
      <c r="D177" s="1" t="s">
        <v>12138</v>
      </c>
    </row>
    <row r="178" spans="1:4" x14ac:dyDescent="0.15">
      <c r="A178" s="1" t="s">
        <v>16258</v>
      </c>
      <c r="B178" s="1" t="s">
        <v>12139</v>
      </c>
      <c r="C178" s="1" t="s">
        <v>16672</v>
      </c>
      <c r="D178" s="1" t="s">
        <v>16260</v>
      </c>
    </row>
    <row r="179" spans="1:4" x14ac:dyDescent="0.15">
      <c r="A179" s="1" t="s">
        <v>16272</v>
      </c>
      <c r="B179" s="1" t="s">
        <v>16269</v>
      </c>
      <c r="C179" s="1" t="s">
        <v>16672</v>
      </c>
      <c r="D179" s="1" t="s">
        <v>16274</v>
      </c>
    </row>
    <row r="180" spans="1:4" x14ac:dyDescent="0.15">
      <c r="A180" s="1" t="s">
        <v>16293</v>
      </c>
      <c r="B180" s="1" t="s">
        <v>16290</v>
      </c>
      <c r="C180" s="1" t="s">
        <v>16672</v>
      </c>
      <c r="D180" s="1" t="s">
        <v>16295</v>
      </c>
    </row>
    <row r="181" spans="1:4" x14ac:dyDescent="0.15">
      <c r="A181" s="1" t="s">
        <v>12140</v>
      </c>
      <c r="B181" s="1" t="s">
        <v>12141</v>
      </c>
      <c r="C181" s="1" t="s">
        <v>16672</v>
      </c>
      <c r="D181" s="1" t="s">
        <v>12142</v>
      </c>
    </row>
    <row r="182" spans="1:4" x14ac:dyDescent="0.15">
      <c r="A182" s="1" t="s">
        <v>12143</v>
      </c>
      <c r="B182" s="1" t="s">
        <v>12144</v>
      </c>
      <c r="C182" s="1" t="s">
        <v>16672</v>
      </c>
      <c r="D182" s="1" t="s">
        <v>12145</v>
      </c>
    </row>
    <row r="183" spans="1:4" x14ac:dyDescent="0.15">
      <c r="A183" s="1" t="s">
        <v>16300</v>
      </c>
      <c r="B183" s="1" t="s">
        <v>12146</v>
      </c>
      <c r="C183" s="1" t="s">
        <v>16672</v>
      </c>
      <c r="D183" s="1" t="s">
        <v>16302</v>
      </c>
    </row>
    <row r="184" spans="1:4" x14ac:dyDescent="0.15">
      <c r="A184" s="1" t="s">
        <v>12147</v>
      </c>
      <c r="B184" s="1" t="s">
        <v>12148</v>
      </c>
      <c r="C184" s="1" t="s">
        <v>16672</v>
      </c>
      <c r="D184" s="1" t="s">
        <v>12149</v>
      </c>
    </row>
    <row r="185" spans="1:4" x14ac:dyDescent="0.15">
      <c r="A185" s="1" t="s">
        <v>16335</v>
      </c>
      <c r="B185" s="1" t="s">
        <v>16332</v>
      </c>
      <c r="C185" s="1" t="s">
        <v>16672</v>
      </c>
      <c r="D185" s="1" t="s">
        <v>16337</v>
      </c>
    </row>
    <row r="186" spans="1:4" x14ac:dyDescent="0.15">
      <c r="A186" s="1" t="s">
        <v>16347</v>
      </c>
      <c r="B186" s="1" t="s">
        <v>12150</v>
      </c>
      <c r="C186" s="1" t="s">
        <v>16338</v>
      </c>
      <c r="D186" s="1" t="s">
        <v>16350</v>
      </c>
    </row>
    <row r="187" spans="1:4" x14ac:dyDescent="0.15">
      <c r="A187" s="1" t="s">
        <v>12151</v>
      </c>
      <c r="B187" s="1" t="s">
        <v>11967</v>
      </c>
      <c r="C187" s="1" t="s">
        <v>16338</v>
      </c>
      <c r="D187" s="1" t="s">
        <v>12152</v>
      </c>
    </row>
    <row r="188" spans="1:4" x14ac:dyDescent="0.15">
      <c r="A188" s="1" t="s">
        <v>16355</v>
      </c>
      <c r="B188" s="1" t="s">
        <v>12153</v>
      </c>
      <c r="C188" s="1" t="s">
        <v>16338</v>
      </c>
      <c r="D188" s="1" t="s">
        <v>16358</v>
      </c>
    </row>
    <row r="189" spans="1:4" x14ac:dyDescent="0.15">
      <c r="A189" s="1" t="s">
        <v>12154</v>
      </c>
      <c r="B189" s="1" t="s">
        <v>12155</v>
      </c>
      <c r="C189" s="1" t="s">
        <v>16338</v>
      </c>
      <c r="D189" s="1" t="s">
        <v>12156</v>
      </c>
    </row>
    <row r="190" spans="1:4" x14ac:dyDescent="0.15">
      <c r="A190" s="1" t="s">
        <v>12157</v>
      </c>
      <c r="B190" s="1" t="s">
        <v>12158</v>
      </c>
      <c r="C190" s="1" t="s">
        <v>16338</v>
      </c>
      <c r="D190" s="1" t="s">
        <v>12159</v>
      </c>
    </row>
    <row r="191" spans="1:4" x14ac:dyDescent="0.15">
      <c r="A191" s="1" t="s">
        <v>16363</v>
      </c>
      <c r="B191" s="1" t="s">
        <v>12160</v>
      </c>
      <c r="C191" s="1" t="s">
        <v>16338</v>
      </c>
      <c r="D191" s="1" t="s">
        <v>16366</v>
      </c>
    </row>
    <row r="192" spans="1:4" x14ac:dyDescent="0.15">
      <c r="A192" s="1" t="s">
        <v>16367</v>
      </c>
      <c r="B192" s="1" t="s">
        <v>12161</v>
      </c>
      <c r="C192" s="1" t="s">
        <v>16338</v>
      </c>
      <c r="D192" s="1" t="s">
        <v>16370</v>
      </c>
    </row>
    <row r="193" spans="1:4" x14ac:dyDescent="0.15">
      <c r="A193" s="1" t="s">
        <v>16375</v>
      </c>
      <c r="B193" s="1" t="s">
        <v>12162</v>
      </c>
      <c r="C193" s="1" t="s">
        <v>16338</v>
      </c>
      <c r="D193" s="1" t="s">
        <v>16378</v>
      </c>
    </row>
    <row r="194" spans="1:4" x14ac:dyDescent="0.15">
      <c r="A194" s="1" t="s">
        <v>16383</v>
      </c>
      <c r="B194" s="1" t="s">
        <v>12163</v>
      </c>
      <c r="C194" s="1" t="s">
        <v>16338</v>
      </c>
      <c r="D194" s="1" t="s">
        <v>16386</v>
      </c>
    </row>
    <row r="195" spans="1:4" x14ac:dyDescent="0.15">
      <c r="A195" s="1" t="s">
        <v>16387</v>
      </c>
      <c r="B195" s="1" t="s">
        <v>12164</v>
      </c>
      <c r="C195" s="1" t="s">
        <v>16338</v>
      </c>
      <c r="D195" s="1" t="s">
        <v>16390</v>
      </c>
    </row>
    <row r="196" spans="1:4" x14ac:dyDescent="0.15">
      <c r="A196" s="1" t="s">
        <v>16431</v>
      </c>
      <c r="B196" s="1" t="s">
        <v>12165</v>
      </c>
      <c r="C196" s="1" t="s">
        <v>16338</v>
      </c>
      <c r="D196" s="1" t="s">
        <v>16434</v>
      </c>
    </row>
    <row r="197" spans="1:4" x14ac:dyDescent="0.15">
      <c r="A197" s="1" t="s">
        <v>16439</v>
      </c>
      <c r="B197" s="1" t="s">
        <v>12166</v>
      </c>
      <c r="C197" s="1" t="s">
        <v>16338</v>
      </c>
      <c r="D197" s="1" t="s">
        <v>16442</v>
      </c>
    </row>
    <row r="198" spans="1:4" x14ac:dyDescent="0.15">
      <c r="A198" s="1" t="s">
        <v>16451</v>
      </c>
      <c r="B198" s="1" t="s">
        <v>12167</v>
      </c>
      <c r="C198" s="1" t="s">
        <v>16338</v>
      </c>
      <c r="D198" s="1" t="s">
        <v>16454</v>
      </c>
    </row>
    <row r="199" spans="1:4" x14ac:dyDescent="0.15">
      <c r="A199" s="1" t="s">
        <v>16459</v>
      </c>
      <c r="B199" s="1" t="s">
        <v>12168</v>
      </c>
      <c r="C199" s="1" t="s">
        <v>16338</v>
      </c>
      <c r="D199" s="1" t="s">
        <v>16462</v>
      </c>
    </row>
    <row r="200" spans="1:4" x14ac:dyDescent="0.15">
      <c r="A200" s="1" t="s">
        <v>16487</v>
      </c>
      <c r="B200" s="1" t="s">
        <v>12169</v>
      </c>
      <c r="C200" s="1" t="s">
        <v>16338</v>
      </c>
      <c r="D200" s="1" t="s">
        <v>16490</v>
      </c>
    </row>
    <row r="201" spans="1:4" x14ac:dyDescent="0.15">
      <c r="A201" s="1" t="s">
        <v>15918</v>
      </c>
      <c r="B201" s="1" t="s">
        <v>12170</v>
      </c>
      <c r="C201" s="1" t="s">
        <v>16338</v>
      </c>
      <c r="D201" s="1" t="s">
        <v>15921</v>
      </c>
    </row>
    <row r="202" spans="1:4" x14ac:dyDescent="0.15">
      <c r="A202" s="1" t="s">
        <v>15958</v>
      </c>
      <c r="B202" s="1" t="s">
        <v>12171</v>
      </c>
      <c r="C202" s="1" t="s">
        <v>16338</v>
      </c>
      <c r="D202" s="1" t="s">
        <v>15961</v>
      </c>
    </row>
    <row r="203" spans="1:4" x14ac:dyDescent="0.15">
      <c r="A203" s="1" t="s">
        <v>15971</v>
      </c>
      <c r="B203" s="1" t="s">
        <v>12172</v>
      </c>
      <c r="C203" s="1" t="s">
        <v>15962</v>
      </c>
      <c r="D203" s="1" t="s">
        <v>15974</v>
      </c>
    </row>
    <row r="204" spans="1:4" x14ac:dyDescent="0.15">
      <c r="A204" s="1" t="s">
        <v>16003</v>
      </c>
      <c r="B204" s="1" t="s">
        <v>12173</v>
      </c>
      <c r="C204" s="1" t="s">
        <v>15962</v>
      </c>
      <c r="D204" s="1" t="s">
        <v>16006</v>
      </c>
    </row>
    <row r="205" spans="1:4" x14ac:dyDescent="0.15">
      <c r="A205" s="1" t="s">
        <v>16007</v>
      </c>
      <c r="B205" s="1" t="s">
        <v>12174</v>
      </c>
      <c r="C205" s="1" t="s">
        <v>15962</v>
      </c>
      <c r="D205" s="1" t="s">
        <v>16010</v>
      </c>
    </row>
    <row r="206" spans="1:4" x14ac:dyDescent="0.15">
      <c r="A206" s="1" t="s">
        <v>16021</v>
      </c>
      <c r="B206" s="1" t="s">
        <v>12175</v>
      </c>
      <c r="C206" s="1" t="s">
        <v>15962</v>
      </c>
      <c r="D206" s="1" t="s">
        <v>16024</v>
      </c>
    </row>
    <row r="207" spans="1:4" x14ac:dyDescent="0.15">
      <c r="A207" s="1" t="s">
        <v>16037</v>
      </c>
      <c r="B207" s="1" t="s">
        <v>12176</v>
      </c>
      <c r="C207" s="1" t="s">
        <v>15962</v>
      </c>
      <c r="D207" s="1" t="s">
        <v>16039</v>
      </c>
    </row>
    <row r="208" spans="1:4" x14ac:dyDescent="0.15">
      <c r="A208" s="1" t="s">
        <v>16051</v>
      </c>
      <c r="B208" s="1" t="s">
        <v>12177</v>
      </c>
      <c r="C208" s="1" t="s">
        <v>15962</v>
      </c>
      <c r="D208" s="1" t="s">
        <v>16054</v>
      </c>
    </row>
    <row r="209" spans="1:4" x14ac:dyDescent="0.15">
      <c r="A209" s="1" t="s">
        <v>16055</v>
      </c>
      <c r="B209" s="1" t="s">
        <v>12178</v>
      </c>
      <c r="C209" s="1" t="s">
        <v>15962</v>
      </c>
      <c r="D209" s="1" t="s">
        <v>16058</v>
      </c>
    </row>
    <row r="210" spans="1:4" x14ac:dyDescent="0.15">
      <c r="A210" s="1" t="s">
        <v>12179</v>
      </c>
      <c r="B210" s="1" t="s">
        <v>12180</v>
      </c>
      <c r="C210" s="1" t="s">
        <v>15962</v>
      </c>
      <c r="D210" s="1" t="s">
        <v>12181</v>
      </c>
    </row>
    <row r="211" spans="1:4" x14ac:dyDescent="0.15">
      <c r="A211" s="1" t="s">
        <v>16063</v>
      </c>
      <c r="B211" s="1" t="s">
        <v>12182</v>
      </c>
      <c r="C211" s="1" t="s">
        <v>15962</v>
      </c>
      <c r="D211" s="1" t="s">
        <v>16066</v>
      </c>
    </row>
    <row r="212" spans="1:4" x14ac:dyDescent="0.15">
      <c r="A212" s="1" t="s">
        <v>16111</v>
      </c>
      <c r="B212" s="1" t="s">
        <v>12183</v>
      </c>
      <c r="C212" s="1" t="s">
        <v>15962</v>
      </c>
      <c r="D212" s="1" t="s">
        <v>16112</v>
      </c>
    </row>
    <row r="213" spans="1:4" x14ac:dyDescent="0.15">
      <c r="A213" s="1" t="s">
        <v>12184</v>
      </c>
      <c r="B213" s="1" t="s">
        <v>12185</v>
      </c>
      <c r="C213" s="1" t="s">
        <v>12186</v>
      </c>
      <c r="D213" s="1" t="s">
        <v>12187</v>
      </c>
    </row>
    <row r="214" spans="1:4" x14ac:dyDescent="0.15">
      <c r="A214" s="1" t="s">
        <v>12188</v>
      </c>
      <c r="B214" s="1" t="s">
        <v>12189</v>
      </c>
      <c r="C214" s="1" t="s">
        <v>12186</v>
      </c>
      <c r="D214" s="1" t="s">
        <v>12190</v>
      </c>
    </row>
    <row r="215" spans="1:4" x14ac:dyDescent="0.15">
      <c r="A215" s="1" t="s">
        <v>12191</v>
      </c>
      <c r="B215" s="1" t="s">
        <v>12192</v>
      </c>
      <c r="C215" s="1" t="s">
        <v>12186</v>
      </c>
      <c r="D215" s="1" t="s">
        <v>12193</v>
      </c>
    </row>
    <row r="216" spans="1:4" x14ac:dyDescent="0.15">
      <c r="A216" s="1" t="s">
        <v>12194</v>
      </c>
      <c r="B216" s="1" t="s">
        <v>12195</v>
      </c>
      <c r="C216" s="1" t="s">
        <v>12186</v>
      </c>
      <c r="D216" s="1" t="s">
        <v>12196</v>
      </c>
    </row>
    <row r="217" spans="1:4" x14ac:dyDescent="0.15">
      <c r="A217" s="1" t="s">
        <v>12197</v>
      </c>
      <c r="B217" s="1" t="s">
        <v>12198</v>
      </c>
      <c r="C217" s="1" t="s">
        <v>12186</v>
      </c>
      <c r="D217" s="1" t="s">
        <v>12199</v>
      </c>
    </row>
    <row r="218" spans="1:4" x14ac:dyDescent="0.15">
      <c r="A218" s="1" t="s">
        <v>12200</v>
      </c>
      <c r="B218" s="1" t="s">
        <v>12201</v>
      </c>
      <c r="C218" s="1" t="s">
        <v>12186</v>
      </c>
      <c r="D218" s="1" t="s">
        <v>12202</v>
      </c>
    </row>
    <row r="219" spans="1:4" x14ac:dyDescent="0.15">
      <c r="A219" s="1" t="s">
        <v>12203</v>
      </c>
      <c r="B219" s="1" t="s">
        <v>12204</v>
      </c>
      <c r="C219" s="1" t="s">
        <v>12186</v>
      </c>
      <c r="D219" s="1" t="s">
        <v>12205</v>
      </c>
    </row>
    <row r="220" spans="1:4" x14ac:dyDescent="0.15">
      <c r="A220" s="1" t="s">
        <v>12206</v>
      </c>
      <c r="B220" s="1" t="s">
        <v>12207</v>
      </c>
      <c r="C220" s="1" t="s">
        <v>12186</v>
      </c>
      <c r="D220" s="1" t="s">
        <v>12208</v>
      </c>
    </row>
    <row r="221" spans="1:4" x14ac:dyDescent="0.15">
      <c r="A221" s="1" t="s">
        <v>12209</v>
      </c>
      <c r="B221" s="1" t="s">
        <v>12210</v>
      </c>
      <c r="C221" s="1" t="s">
        <v>12186</v>
      </c>
      <c r="D221" s="1" t="s">
        <v>12211</v>
      </c>
    </row>
    <row r="222" spans="1:4" x14ac:dyDescent="0.15">
      <c r="A222" s="1" t="s">
        <v>12212</v>
      </c>
      <c r="B222" s="1" t="s">
        <v>12213</v>
      </c>
      <c r="C222" s="1" t="s">
        <v>12186</v>
      </c>
      <c r="D222" s="1" t="s">
        <v>12214</v>
      </c>
    </row>
    <row r="223" spans="1:4" x14ac:dyDescent="0.15">
      <c r="A223" s="1" t="s">
        <v>12215</v>
      </c>
      <c r="B223" s="1" t="s">
        <v>12216</v>
      </c>
      <c r="C223" s="1" t="s">
        <v>12186</v>
      </c>
      <c r="D223" s="1" t="s">
        <v>12217</v>
      </c>
    </row>
    <row r="224" spans="1:4" x14ac:dyDescent="0.15">
      <c r="A224" s="1" t="s">
        <v>12218</v>
      </c>
      <c r="B224" s="1" t="s">
        <v>12219</v>
      </c>
      <c r="C224" s="1" t="s">
        <v>12186</v>
      </c>
      <c r="D224" s="1" t="s">
        <v>12220</v>
      </c>
    </row>
    <row r="225" spans="1:4" x14ac:dyDescent="0.15">
      <c r="A225" s="1" t="s">
        <v>12221</v>
      </c>
      <c r="B225" s="1" t="s">
        <v>12222</v>
      </c>
      <c r="C225" s="1" t="s">
        <v>12186</v>
      </c>
      <c r="D225" s="1" t="s">
        <v>12223</v>
      </c>
    </row>
    <row r="226" spans="1:4" x14ac:dyDescent="0.15">
      <c r="A226" s="1" t="s">
        <v>12224</v>
      </c>
      <c r="B226" s="1" t="s">
        <v>13807</v>
      </c>
      <c r="C226" s="1" t="s">
        <v>12186</v>
      </c>
      <c r="D226" s="1" t="s">
        <v>12225</v>
      </c>
    </row>
    <row r="227" spans="1:4" x14ac:dyDescent="0.15">
      <c r="A227" s="1" t="s">
        <v>12226</v>
      </c>
      <c r="B227" s="1" t="s">
        <v>12227</v>
      </c>
      <c r="C227" s="1" t="s">
        <v>12186</v>
      </c>
      <c r="D227" s="1" t="s">
        <v>12228</v>
      </c>
    </row>
    <row r="228" spans="1:4" x14ac:dyDescent="0.15">
      <c r="A228" s="1" t="s">
        <v>12229</v>
      </c>
      <c r="B228" s="1" t="s">
        <v>12230</v>
      </c>
      <c r="C228" s="1" t="s">
        <v>12186</v>
      </c>
      <c r="D228" s="1" t="s">
        <v>12231</v>
      </c>
    </row>
    <row r="229" spans="1:4" x14ac:dyDescent="0.15">
      <c r="A229" s="1" t="s">
        <v>12232</v>
      </c>
      <c r="B229" s="1" t="s">
        <v>12233</v>
      </c>
      <c r="C229" s="1" t="s">
        <v>12186</v>
      </c>
      <c r="D229" s="1" t="s">
        <v>12234</v>
      </c>
    </row>
    <row r="230" spans="1:4" x14ac:dyDescent="0.15">
      <c r="A230" s="1" t="s">
        <v>12235</v>
      </c>
      <c r="B230" s="1" t="s">
        <v>12236</v>
      </c>
      <c r="C230" s="1" t="s">
        <v>12186</v>
      </c>
      <c r="D230" s="1" t="s">
        <v>12237</v>
      </c>
    </row>
    <row r="231" spans="1:4" x14ac:dyDescent="0.15">
      <c r="A231" s="1" t="s">
        <v>12238</v>
      </c>
      <c r="B231" s="1" t="s">
        <v>12239</v>
      </c>
      <c r="C231" s="1" t="s">
        <v>12186</v>
      </c>
      <c r="D231" s="1" t="s">
        <v>12240</v>
      </c>
    </row>
    <row r="232" spans="1:4" x14ac:dyDescent="0.15">
      <c r="A232" s="1" t="s">
        <v>12241</v>
      </c>
      <c r="B232" s="1" t="s">
        <v>12242</v>
      </c>
      <c r="C232" s="1" t="s">
        <v>12186</v>
      </c>
      <c r="D232" s="1" t="s">
        <v>12243</v>
      </c>
    </row>
    <row r="233" spans="1:4" x14ac:dyDescent="0.15">
      <c r="A233" s="1" t="s">
        <v>12244</v>
      </c>
      <c r="B233" s="1" t="s">
        <v>12245</v>
      </c>
      <c r="C233" s="1" t="s">
        <v>12186</v>
      </c>
      <c r="D233" s="1" t="s">
        <v>12246</v>
      </c>
    </row>
    <row r="234" spans="1:4" x14ac:dyDescent="0.15">
      <c r="A234" s="1" t="s">
        <v>12247</v>
      </c>
      <c r="B234" s="1" t="s">
        <v>12248</v>
      </c>
      <c r="C234" s="1" t="s">
        <v>12186</v>
      </c>
      <c r="D234" s="1" t="s">
        <v>12249</v>
      </c>
    </row>
    <row r="235" spans="1:4" x14ac:dyDescent="0.15">
      <c r="A235" s="1" t="s">
        <v>12250</v>
      </c>
      <c r="B235" s="1" t="s">
        <v>13727</v>
      </c>
      <c r="C235" s="1" t="s">
        <v>12186</v>
      </c>
      <c r="D235" s="1" t="s">
        <v>12251</v>
      </c>
    </row>
    <row r="236" spans="1:4" x14ac:dyDescent="0.15">
      <c r="A236" s="1" t="s">
        <v>12252</v>
      </c>
      <c r="B236" s="1" t="s">
        <v>12253</v>
      </c>
      <c r="C236" s="1" t="s">
        <v>12186</v>
      </c>
      <c r="D236" s="1" t="s">
        <v>12254</v>
      </c>
    </row>
    <row r="237" spans="1:4" x14ac:dyDescent="0.15">
      <c r="A237" s="1" t="s">
        <v>12255</v>
      </c>
      <c r="B237" s="1" t="s">
        <v>12256</v>
      </c>
      <c r="C237" s="1" t="s">
        <v>12186</v>
      </c>
      <c r="D237" s="1" t="s">
        <v>12257</v>
      </c>
    </row>
    <row r="238" spans="1:4" x14ac:dyDescent="0.15">
      <c r="A238" s="1" t="s">
        <v>12258</v>
      </c>
      <c r="B238" s="1" t="s">
        <v>12259</v>
      </c>
      <c r="C238" s="1" t="s">
        <v>12186</v>
      </c>
      <c r="D238" s="1" t="s">
        <v>12260</v>
      </c>
    </row>
    <row r="239" spans="1:4" x14ac:dyDescent="0.15">
      <c r="A239" s="1" t="s">
        <v>12261</v>
      </c>
      <c r="B239" s="1" t="s">
        <v>13491</v>
      </c>
      <c r="C239" s="1" t="s">
        <v>12186</v>
      </c>
      <c r="D239" s="1" t="s">
        <v>12262</v>
      </c>
    </row>
    <row r="240" spans="1:4" x14ac:dyDescent="0.15">
      <c r="A240" s="1" t="s">
        <v>12263</v>
      </c>
      <c r="B240" s="1" t="s">
        <v>13507</v>
      </c>
      <c r="C240" s="1" t="s">
        <v>12186</v>
      </c>
      <c r="D240" s="1" t="s">
        <v>12264</v>
      </c>
    </row>
    <row r="241" spans="1:4" x14ac:dyDescent="0.15">
      <c r="A241" s="1" t="s">
        <v>12265</v>
      </c>
      <c r="B241" s="1" t="s">
        <v>13511</v>
      </c>
      <c r="C241" s="1" t="s">
        <v>12186</v>
      </c>
      <c r="D241" s="1" t="s">
        <v>12266</v>
      </c>
    </row>
    <row r="242" spans="1:4" x14ac:dyDescent="0.15">
      <c r="A242" s="1" t="s">
        <v>12267</v>
      </c>
      <c r="B242" s="1" t="s">
        <v>12268</v>
      </c>
      <c r="C242" s="1" t="s">
        <v>12186</v>
      </c>
      <c r="D242" s="1" t="s">
        <v>12269</v>
      </c>
    </row>
    <row r="243" spans="1:4" x14ac:dyDescent="0.15">
      <c r="A243" s="1" t="s">
        <v>12270</v>
      </c>
      <c r="B243" s="1" t="s">
        <v>13519</v>
      </c>
      <c r="C243" s="1" t="s">
        <v>12186</v>
      </c>
      <c r="D243" s="1" t="s">
        <v>12271</v>
      </c>
    </row>
    <row r="244" spans="1:4" x14ac:dyDescent="0.15">
      <c r="A244" s="1" t="s">
        <v>12272</v>
      </c>
      <c r="B244" s="1" t="s">
        <v>12273</v>
      </c>
      <c r="C244" s="1" t="s">
        <v>12186</v>
      </c>
      <c r="D244" s="1" t="s">
        <v>12274</v>
      </c>
    </row>
    <row r="245" spans="1:4" x14ac:dyDescent="0.15">
      <c r="A245" s="1" t="s">
        <v>12275</v>
      </c>
      <c r="B245" s="1" t="s">
        <v>13523</v>
      </c>
      <c r="C245" s="1" t="s">
        <v>12186</v>
      </c>
      <c r="D245" s="1" t="s">
        <v>12276</v>
      </c>
    </row>
    <row r="246" spans="1:4" x14ac:dyDescent="0.15">
      <c r="A246" s="1" t="s">
        <v>12277</v>
      </c>
      <c r="B246" s="1" t="s">
        <v>12278</v>
      </c>
      <c r="C246" s="1" t="s">
        <v>12186</v>
      </c>
      <c r="D246" s="1" t="s">
        <v>12279</v>
      </c>
    </row>
    <row r="247" spans="1:4" x14ac:dyDescent="0.15">
      <c r="A247" s="1" t="s">
        <v>12280</v>
      </c>
      <c r="B247" s="1" t="s">
        <v>12281</v>
      </c>
      <c r="C247" s="1" t="s">
        <v>12186</v>
      </c>
      <c r="D247" s="1" t="s">
        <v>12282</v>
      </c>
    </row>
    <row r="248" spans="1:4" x14ac:dyDescent="0.15">
      <c r="A248" s="1" t="s">
        <v>12283</v>
      </c>
      <c r="B248" s="1" t="s">
        <v>12284</v>
      </c>
      <c r="C248" s="1" t="s">
        <v>12186</v>
      </c>
      <c r="D248" s="1" t="s">
        <v>12285</v>
      </c>
    </row>
    <row r="249" spans="1:4" x14ac:dyDescent="0.15">
      <c r="A249" s="1" t="s">
        <v>12286</v>
      </c>
      <c r="B249" s="1" t="s">
        <v>12287</v>
      </c>
      <c r="C249" s="1" t="s">
        <v>12186</v>
      </c>
      <c r="D249" s="1" t="s">
        <v>12288</v>
      </c>
    </row>
    <row r="250" spans="1:4" x14ac:dyDescent="0.15">
      <c r="A250" s="1" t="s">
        <v>12289</v>
      </c>
      <c r="B250" s="1" t="s">
        <v>12290</v>
      </c>
      <c r="C250" s="1" t="s">
        <v>12291</v>
      </c>
      <c r="D250" s="1" t="s">
        <v>12292</v>
      </c>
    </row>
    <row r="251" spans="1:4" x14ac:dyDescent="0.15">
      <c r="A251" s="1" t="s">
        <v>12293</v>
      </c>
      <c r="B251" s="1" t="s">
        <v>12294</v>
      </c>
      <c r="C251" s="1" t="s">
        <v>12291</v>
      </c>
      <c r="D251" s="1" t="s">
        <v>12295</v>
      </c>
    </row>
    <row r="252" spans="1:4" x14ac:dyDescent="0.15">
      <c r="A252" s="1" t="s">
        <v>12296</v>
      </c>
      <c r="B252" s="1" t="s">
        <v>12297</v>
      </c>
      <c r="C252" s="1" t="s">
        <v>12291</v>
      </c>
      <c r="D252" s="1" t="s">
        <v>12298</v>
      </c>
    </row>
    <row r="253" spans="1:4" x14ac:dyDescent="0.15">
      <c r="A253" s="1" t="s">
        <v>12299</v>
      </c>
      <c r="B253" s="1" t="s">
        <v>12300</v>
      </c>
      <c r="C253" s="1" t="s">
        <v>12291</v>
      </c>
      <c r="D253" s="1" t="s">
        <v>12301</v>
      </c>
    </row>
    <row r="254" spans="1:4" x14ac:dyDescent="0.15">
      <c r="A254" s="1" t="s">
        <v>12302</v>
      </c>
      <c r="B254" s="1" t="s">
        <v>12303</v>
      </c>
      <c r="C254" s="1" t="s">
        <v>12291</v>
      </c>
      <c r="D254" s="1" t="s">
        <v>12304</v>
      </c>
    </row>
    <row r="255" spans="1:4" x14ac:dyDescent="0.15">
      <c r="A255" s="1" t="s">
        <v>12305</v>
      </c>
      <c r="B255" s="1" t="s">
        <v>12306</v>
      </c>
      <c r="C255" s="1" t="s">
        <v>12291</v>
      </c>
      <c r="D255" s="1" t="s">
        <v>12307</v>
      </c>
    </row>
    <row r="256" spans="1:4" x14ac:dyDescent="0.15">
      <c r="A256" s="1" t="s">
        <v>12308</v>
      </c>
      <c r="B256" s="1" t="s">
        <v>12309</v>
      </c>
      <c r="C256" s="1" t="s">
        <v>12291</v>
      </c>
      <c r="D256" s="1" t="s">
        <v>12310</v>
      </c>
    </row>
    <row r="257" spans="1:4" x14ac:dyDescent="0.15">
      <c r="A257" s="1" t="s">
        <v>12311</v>
      </c>
      <c r="B257" s="1" t="s">
        <v>12306</v>
      </c>
      <c r="C257" s="1" t="s">
        <v>12291</v>
      </c>
      <c r="D257" s="1" t="s">
        <v>12312</v>
      </c>
    </row>
    <row r="258" spans="1:4" x14ac:dyDescent="0.15">
      <c r="A258" s="1" t="s">
        <v>12313</v>
      </c>
      <c r="B258" s="1" t="s">
        <v>13807</v>
      </c>
      <c r="C258" s="1" t="s">
        <v>12291</v>
      </c>
      <c r="D258" s="1" t="s">
        <v>12314</v>
      </c>
    </row>
    <row r="259" spans="1:4" x14ac:dyDescent="0.15">
      <c r="A259" s="1" t="s">
        <v>12315</v>
      </c>
      <c r="B259" s="1" t="s">
        <v>12316</v>
      </c>
      <c r="C259" s="1" t="s">
        <v>12291</v>
      </c>
      <c r="D259" s="1" t="s">
        <v>12317</v>
      </c>
    </row>
    <row r="260" spans="1:4" x14ac:dyDescent="0.15">
      <c r="A260" s="1" t="s">
        <v>12318</v>
      </c>
      <c r="B260" s="1" t="s">
        <v>12319</v>
      </c>
      <c r="C260" s="1" t="s">
        <v>12291</v>
      </c>
      <c r="D260" s="1" t="s">
        <v>12320</v>
      </c>
    </row>
    <row r="261" spans="1:4" x14ac:dyDescent="0.15">
      <c r="A261" s="1" t="s">
        <v>12321</v>
      </c>
      <c r="B261" s="1" t="s">
        <v>12322</v>
      </c>
      <c r="C261" s="1" t="s">
        <v>12291</v>
      </c>
      <c r="D261" s="1" t="s">
        <v>12323</v>
      </c>
    </row>
    <row r="262" spans="1:4" x14ac:dyDescent="0.15">
      <c r="A262" s="1" t="s">
        <v>12324</v>
      </c>
      <c r="B262" s="1" t="s">
        <v>12325</v>
      </c>
      <c r="C262" s="1" t="s">
        <v>12291</v>
      </c>
      <c r="D262" s="1" t="s">
        <v>12326</v>
      </c>
    </row>
    <row r="263" spans="1:4" x14ac:dyDescent="0.15">
      <c r="A263" s="1" t="s">
        <v>12327</v>
      </c>
      <c r="B263" s="1" t="s">
        <v>12328</v>
      </c>
      <c r="C263" s="1" t="s">
        <v>12291</v>
      </c>
      <c r="D263" s="1" t="s">
        <v>12329</v>
      </c>
    </row>
    <row r="264" spans="1:4" x14ac:dyDescent="0.15">
      <c r="A264" s="1" t="s">
        <v>12330</v>
      </c>
      <c r="B264" s="1" t="s">
        <v>13451</v>
      </c>
      <c r="C264" s="1" t="s">
        <v>12291</v>
      </c>
      <c r="D264" s="1" t="s">
        <v>12331</v>
      </c>
    </row>
    <row r="265" spans="1:4" x14ac:dyDescent="0.15">
      <c r="A265" s="1" t="s">
        <v>12332</v>
      </c>
      <c r="B265" s="1" t="s">
        <v>13381</v>
      </c>
      <c r="C265" s="1" t="s">
        <v>12291</v>
      </c>
      <c r="D265" s="1" t="s">
        <v>12333</v>
      </c>
    </row>
    <row r="266" spans="1:4" x14ac:dyDescent="0.15">
      <c r="A266" s="1" t="s">
        <v>12334</v>
      </c>
      <c r="B266" s="1" t="s">
        <v>13424</v>
      </c>
      <c r="C266" s="1" t="s">
        <v>12291</v>
      </c>
      <c r="D266" s="1" t="s">
        <v>12335</v>
      </c>
    </row>
    <row r="267" spans="1:4" x14ac:dyDescent="0.15">
      <c r="A267" s="1" t="s">
        <v>12336</v>
      </c>
      <c r="B267" s="1" t="s">
        <v>12337</v>
      </c>
      <c r="C267" s="1" t="s">
        <v>12291</v>
      </c>
      <c r="D267" s="1" t="s">
        <v>12338</v>
      </c>
    </row>
    <row r="268" spans="1:4" x14ac:dyDescent="0.15">
      <c r="A268" s="1" t="s">
        <v>12339</v>
      </c>
      <c r="B268" s="1" t="s">
        <v>12340</v>
      </c>
      <c r="C268" s="1" t="s">
        <v>12291</v>
      </c>
      <c r="D268" s="1" t="s">
        <v>12341</v>
      </c>
    </row>
    <row r="269" spans="1:4" x14ac:dyDescent="0.15">
      <c r="A269" s="1" t="s">
        <v>12342</v>
      </c>
      <c r="B269" s="1" t="s">
        <v>12343</v>
      </c>
      <c r="C269" s="1" t="s">
        <v>12291</v>
      </c>
      <c r="D269" s="1" t="s">
        <v>12344</v>
      </c>
    </row>
    <row r="270" spans="1:4" x14ac:dyDescent="0.15">
      <c r="A270" s="1" t="s">
        <v>12345</v>
      </c>
      <c r="B270" s="1" t="s">
        <v>12346</v>
      </c>
      <c r="C270" s="1" t="s">
        <v>12291</v>
      </c>
      <c r="D270" s="1" t="s">
        <v>12347</v>
      </c>
    </row>
    <row r="271" spans="1:4" x14ac:dyDescent="0.15">
      <c r="A271" s="1" t="s">
        <v>12348</v>
      </c>
      <c r="B271" s="1" t="s">
        <v>12349</v>
      </c>
      <c r="C271" s="1" t="s">
        <v>12291</v>
      </c>
      <c r="D271" s="1" t="s">
        <v>12350</v>
      </c>
    </row>
    <row r="272" spans="1:4" x14ac:dyDescent="0.15">
      <c r="A272" s="1" t="s">
        <v>12351</v>
      </c>
      <c r="B272" s="1" t="s">
        <v>12352</v>
      </c>
      <c r="C272" s="1" t="s">
        <v>12291</v>
      </c>
      <c r="D272" s="1" t="s">
        <v>12353</v>
      </c>
    </row>
    <row r="273" spans="1:4" x14ac:dyDescent="0.15">
      <c r="A273" s="1" t="s">
        <v>12354</v>
      </c>
      <c r="B273" s="1" t="s">
        <v>13483</v>
      </c>
      <c r="C273" s="1" t="s">
        <v>12291</v>
      </c>
      <c r="D273" s="1" t="s">
        <v>12355</v>
      </c>
    </row>
    <row r="274" spans="1:4" x14ac:dyDescent="0.15">
      <c r="A274" s="1" t="s">
        <v>12356</v>
      </c>
      <c r="B274" s="1" t="s">
        <v>12357</v>
      </c>
      <c r="C274" s="1" t="s">
        <v>12291</v>
      </c>
      <c r="D274" s="1" t="s">
        <v>12358</v>
      </c>
    </row>
    <row r="275" spans="1:4" x14ac:dyDescent="0.15">
      <c r="A275" s="1" t="s">
        <v>12359</v>
      </c>
      <c r="B275" s="1" t="s">
        <v>12360</v>
      </c>
      <c r="C275" s="1" t="s">
        <v>12291</v>
      </c>
      <c r="D275" s="1" t="s">
        <v>12361</v>
      </c>
    </row>
    <row r="276" spans="1:4" x14ac:dyDescent="0.15">
      <c r="A276" s="1" t="s">
        <v>12362</v>
      </c>
      <c r="B276" s="1" t="s">
        <v>12363</v>
      </c>
      <c r="C276" s="1" t="s">
        <v>12291</v>
      </c>
      <c r="D276" s="1" t="s">
        <v>12364</v>
      </c>
    </row>
    <row r="277" spans="1:4" x14ac:dyDescent="0.15">
      <c r="A277" s="1" t="s">
        <v>17137</v>
      </c>
      <c r="B277" s="1" t="s">
        <v>17138</v>
      </c>
      <c r="C277" s="1" t="s">
        <v>17136</v>
      </c>
      <c r="D277" s="1" t="s">
        <v>17140</v>
      </c>
    </row>
    <row r="278" spans="1:4" x14ac:dyDescent="0.15">
      <c r="A278" s="1" t="s">
        <v>17145</v>
      </c>
      <c r="B278" s="1" t="s">
        <v>17146</v>
      </c>
      <c r="C278" s="1" t="s">
        <v>17136</v>
      </c>
      <c r="D278" s="1" t="s">
        <v>17148</v>
      </c>
    </row>
    <row r="279" spans="1:4" x14ac:dyDescent="0.15">
      <c r="A279" s="1" t="s">
        <v>17157</v>
      </c>
      <c r="B279" s="1" t="s">
        <v>12365</v>
      </c>
      <c r="C279" s="1" t="s">
        <v>17136</v>
      </c>
      <c r="D279" s="1" t="s">
        <v>17159</v>
      </c>
    </row>
    <row r="280" spans="1:4" x14ac:dyDescent="0.15">
      <c r="A280" s="1" t="s">
        <v>17164</v>
      </c>
      <c r="B280" s="1" t="s">
        <v>12366</v>
      </c>
      <c r="C280" s="1" t="s">
        <v>17136</v>
      </c>
      <c r="D280" s="1" t="s">
        <v>17167</v>
      </c>
    </row>
    <row r="281" spans="1:4" x14ac:dyDescent="0.15">
      <c r="A281" s="1" t="s">
        <v>17168</v>
      </c>
      <c r="B281" s="1" t="s">
        <v>12367</v>
      </c>
      <c r="C281" s="1" t="s">
        <v>17136</v>
      </c>
      <c r="D281" s="1" t="s">
        <v>17171</v>
      </c>
    </row>
    <row r="282" spans="1:4" x14ac:dyDescent="0.15">
      <c r="A282" s="1" t="s">
        <v>17180</v>
      </c>
      <c r="B282" s="1" t="s">
        <v>12368</v>
      </c>
      <c r="C282" s="1" t="s">
        <v>17136</v>
      </c>
      <c r="D282" s="1" t="s">
        <v>17183</v>
      </c>
    </row>
    <row r="283" spans="1:4" x14ac:dyDescent="0.15">
      <c r="A283" s="1" t="s">
        <v>17188</v>
      </c>
      <c r="B283" s="1" t="s">
        <v>12369</v>
      </c>
      <c r="C283" s="1" t="s">
        <v>17136</v>
      </c>
      <c r="D283" s="1" t="s">
        <v>17191</v>
      </c>
    </row>
    <row r="284" spans="1:4" x14ac:dyDescent="0.15">
      <c r="A284" s="1" t="s">
        <v>12370</v>
      </c>
      <c r="B284" s="1" t="s">
        <v>12371</v>
      </c>
      <c r="C284" s="1" t="s">
        <v>17136</v>
      </c>
      <c r="D284" s="1" t="s">
        <v>12372</v>
      </c>
    </row>
    <row r="285" spans="1:4" x14ac:dyDescent="0.15">
      <c r="A285" s="1" t="s">
        <v>17196</v>
      </c>
      <c r="B285" s="1" t="s">
        <v>12373</v>
      </c>
      <c r="C285" s="1" t="s">
        <v>17136</v>
      </c>
      <c r="D285" s="1" t="s">
        <v>17199</v>
      </c>
    </row>
    <row r="286" spans="1:4" x14ac:dyDescent="0.15">
      <c r="A286" s="1" t="s">
        <v>17204</v>
      </c>
      <c r="B286" s="1" t="s">
        <v>12374</v>
      </c>
      <c r="C286" s="1" t="s">
        <v>17136</v>
      </c>
      <c r="D286" s="1" t="s">
        <v>17207</v>
      </c>
    </row>
    <row r="287" spans="1:4" x14ac:dyDescent="0.15">
      <c r="A287" s="1" t="s">
        <v>17208</v>
      </c>
      <c r="B287" s="1" t="s">
        <v>12375</v>
      </c>
      <c r="C287" s="1" t="s">
        <v>17136</v>
      </c>
      <c r="D287" s="1" t="s">
        <v>17211</v>
      </c>
    </row>
    <row r="288" spans="1:4" x14ac:dyDescent="0.15">
      <c r="A288" s="1" t="s">
        <v>17220</v>
      </c>
      <c r="B288" s="1" t="s">
        <v>12376</v>
      </c>
      <c r="C288" s="1" t="s">
        <v>17136</v>
      </c>
      <c r="D288" s="1" t="s">
        <v>17223</v>
      </c>
    </row>
    <row r="289" spans="1:4" x14ac:dyDescent="0.15">
      <c r="A289" s="1" t="s">
        <v>16127</v>
      </c>
      <c r="B289" s="1" t="s">
        <v>16128</v>
      </c>
      <c r="C289" s="1" t="s">
        <v>17136</v>
      </c>
      <c r="D289" s="1" t="s">
        <v>16130</v>
      </c>
    </row>
    <row r="290" spans="1:4" x14ac:dyDescent="0.15">
      <c r="A290" s="1" t="s">
        <v>16143</v>
      </c>
      <c r="B290" s="1" t="s">
        <v>12377</v>
      </c>
      <c r="C290" s="1" t="s">
        <v>17136</v>
      </c>
      <c r="D290" s="1" t="s">
        <v>16145</v>
      </c>
    </row>
    <row r="291" spans="1:4" x14ac:dyDescent="0.15">
      <c r="A291" s="1" t="s">
        <v>12378</v>
      </c>
      <c r="B291" s="1" t="s">
        <v>12379</v>
      </c>
      <c r="C291" s="1" t="s">
        <v>17136</v>
      </c>
      <c r="D291" s="1" t="s">
        <v>12380</v>
      </c>
    </row>
    <row r="292" spans="1:4" x14ac:dyDescent="0.15">
      <c r="A292" s="1" t="s">
        <v>16150</v>
      </c>
      <c r="B292" s="1" t="s">
        <v>12381</v>
      </c>
      <c r="C292" s="1" t="s">
        <v>17136</v>
      </c>
      <c r="D292" s="1" t="s">
        <v>16152</v>
      </c>
    </row>
    <row r="293" spans="1:4" x14ac:dyDescent="0.15">
      <c r="A293" s="1" t="s">
        <v>16230</v>
      </c>
      <c r="B293" s="1" t="s">
        <v>12382</v>
      </c>
      <c r="C293" s="1" t="s">
        <v>16153</v>
      </c>
      <c r="D293" s="1" t="s">
        <v>16233</v>
      </c>
    </row>
    <row r="294" spans="1:4" x14ac:dyDescent="0.15">
      <c r="A294" s="1" t="s">
        <v>12383</v>
      </c>
      <c r="B294" s="1" t="s">
        <v>12384</v>
      </c>
      <c r="C294" s="1" t="s">
        <v>16153</v>
      </c>
      <c r="D294" s="1" t="s">
        <v>12385</v>
      </c>
    </row>
    <row r="295" spans="1:4" x14ac:dyDescent="0.15">
      <c r="A295" s="1" t="s">
        <v>12386</v>
      </c>
      <c r="B295" s="1" t="s">
        <v>12387</v>
      </c>
      <c r="C295" s="1" t="s">
        <v>15645</v>
      </c>
      <c r="D295" s="1" t="s">
        <v>12388</v>
      </c>
    </row>
    <row r="296" spans="1:4" x14ac:dyDescent="0.15">
      <c r="A296" s="1" t="s">
        <v>15665</v>
      </c>
      <c r="B296" s="1" t="s">
        <v>12389</v>
      </c>
      <c r="C296" s="1" t="s">
        <v>15656</v>
      </c>
      <c r="D296" s="1" t="s">
        <v>15668</v>
      </c>
    </row>
    <row r="297" spans="1:4" x14ac:dyDescent="0.15">
      <c r="A297" s="1" t="s">
        <v>15669</v>
      </c>
      <c r="B297" s="1" t="s">
        <v>12390</v>
      </c>
      <c r="C297" s="1" t="s">
        <v>15656</v>
      </c>
      <c r="D297" s="1" t="s">
        <v>15672</v>
      </c>
    </row>
    <row r="298" spans="1:4" x14ac:dyDescent="0.15">
      <c r="A298" s="1" t="s">
        <v>15673</v>
      </c>
      <c r="B298" s="1" t="s">
        <v>12391</v>
      </c>
      <c r="C298" s="1" t="s">
        <v>15656</v>
      </c>
      <c r="D298" s="1" t="s">
        <v>15676</v>
      </c>
    </row>
    <row r="299" spans="1:4" x14ac:dyDescent="0.15">
      <c r="A299" s="1" t="s">
        <v>15681</v>
      </c>
      <c r="B299" s="1" t="s">
        <v>12392</v>
      </c>
      <c r="C299" s="1" t="s">
        <v>15656</v>
      </c>
      <c r="D299" s="1" t="s">
        <v>15684</v>
      </c>
    </row>
    <row r="300" spans="1:4" x14ac:dyDescent="0.15">
      <c r="A300" s="1" t="s">
        <v>15694</v>
      </c>
      <c r="B300" s="1" t="s">
        <v>12393</v>
      </c>
      <c r="C300" s="1" t="s">
        <v>15685</v>
      </c>
      <c r="D300" s="1" t="s">
        <v>15696</v>
      </c>
    </row>
    <row r="301" spans="1:4" x14ac:dyDescent="0.15">
      <c r="A301" s="1" t="s">
        <v>12394</v>
      </c>
      <c r="B301" s="1" t="s">
        <v>12395</v>
      </c>
      <c r="C301" s="1" t="s">
        <v>15685</v>
      </c>
      <c r="D301" s="1" t="s">
        <v>12396</v>
      </c>
    </row>
    <row r="302" spans="1:4" x14ac:dyDescent="0.15">
      <c r="A302" s="1" t="s">
        <v>15701</v>
      </c>
      <c r="B302" s="1" t="s">
        <v>15698</v>
      </c>
      <c r="C302" s="1" t="s">
        <v>15685</v>
      </c>
      <c r="D302" s="1" t="s">
        <v>15703</v>
      </c>
    </row>
    <row r="303" spans="1:4" x14ac:dyDescent="0.15">
      <c r="A303" s="1" t="s">
        <v>15715</v>
      </c>
      <c r="B303" s="1" t="s">
        <v>12397</v>
      </c>
      <c r="C303" s="1" t="s">
        <v>15685</v>
      </c>
      <c r="D303" s="1" t="s">
        <v>15717</v>
      </c>
    </row>
    <row r="304" spans="1:4" x14ac:dyDescent="0.15">
      <c r="A304" s="1" t="s">
        <v>12398</v>
      </c>
      <c r="B304" s="1" t="s">
        <v>12399</v>
      </c>
      <c r="C304" s="1" t="s">
        <v>15685</v>
      </c>
      <c r="D304" s="1" t="s">
        <v>12400</v>
      </c>
    </row>
    <row r="305" spans="1:4" x14ac:dyDescent="0.15">
      <c r="A305" s="1" t="s">
        <v>15729</v>
      </c>
      <c r="B305" s="1" t="s">
        <v>12401</v>
      </c>
      <c r="C305" s="1" t="s">
        <v>15685</v>
      </c>
      <c r="D305" s="1" t="s">
        <v>15731</v>
      </c>
    </row>
    <row r="306" spans="1:4" x14ac:dyDescent="0.15">
      <c r="A306" s="1" t="s">
        <v>12402</v>
      </c>
      <c r="B306" s="1" t="s">
        <v>12403</v>
      </c>
      <c r="C306" s="1" t="s">
        <v>15685</v>
      </c>
      <c r="D306" s="1" t="s">
        <v>12404</v>
      </c>
    </row>
    <row r="307" spans="1:4" x14ac:dyDescent="0.15">
      <c r="A307" s="1" t="s">
        <v>15736</v>
      </c>
      <c r="B307" s="1" t="s">
        <v>12405</v>
      </c>
      <c r="C307" s="1" t="s">
        <v>15685</v>
      </c>
      <c r="D307" s="1" t="s">
        <v>15738</v>
      </c>
    </row>
    <row r="308" spans="1:4" x14ac:dyDescent="0.15">
      <c r="A308" s="1" t="s">
        <v>15743</v>
      </c>
      <c r="B308" s="1" t="s">
        <v>12406</v>
      </c>
      <c r="C308" s="1" t="s">
        <v>15685</v>
      </c>
      <c r="D308" s="1" t="s">
        <v>15745</v>
      </c>
    </row>
    <row r="309" spans="1:4" x14ac:dyDescent="0.15">
      <c r="A309" s="1" t="s">
        <v>15750</v>
      </c>
      <c r="B309" s="1" t="s">
        <v>12407</v>
      </c>
      <c r="C309" s="1" t="s">
        <v>15685</v>
      </c>
      <c r="D309" s="1" t="s">
        <v>15752</v>
      </c>
    </row>
    <row r="310" spans="1:4" x14ac:dyDescent="0.15">
      <c r="A310" s="1" t="s">
        <v>15762</v>
      </c>
      <c r="B310" s="1" t="s">
        <v>12408</v>
      </c>
      <c r="C310" s="1" t="s">
        <v>15753</v>
      </c>
      <c r="D310" s="1" t="s">
        <v>15765</v>
      </c>
    </row>
    <row r="311" spans="1:4" x14ac:dyDescent="0.15">
      <c r="A311" s="1" t="s">
        <v>15766</v>
      </c>
      <c r="B311" s="1" t="s">
        <v>15767</v>
      </c>
      <c r="C311" s="1" t="s">
        <v>15753</v>
      </c>
      <c r="D311" s="1" t="s">
        <v>15769</v>
      </c>
    </row>
    <row r="312" spans="1:4" x14ac:dyDescent="0.15">
      <c r="A312" s="1" t="s">
        <v>12409</v>
      </c>
      <c r="B312" s="1" t="s">
        <v>12410</v>
      </c>
      <c r="C312" s="1" t="s">
        <v>15753</v>
      </c>
      <c r="D312" s="1" t="s">
        <v>12411</v>
      </c>
    </row>
    <row r="313" spans="1:4" x14ac:dyDescent="0.15">
      <c r="A313" s="1" t="s">
        <v>15774</v>
      </c>
      <c r="B313" s="1" t="s">
        <v>12412</v>
      </c>
      <c r="C313" s="1" t="s">
        <v>15753</v>
      </c>
      <c r="D313" s="1" t="s">
        <v>15777</v>
      </c>
    </row>
    <row r="314" spans="1:4" x14ac:dyDescent="0.15">
      <c r="A314" s="1" t="s">
        <v>12413</v>
      </c>
      <c r="B314" s="1" t="s">
        <v>11967</v>
      </c>
      <c r="C314" s="1" t="s">
        <v>15753</v>
      </c>
      <c r="D314" s="1" t="s">
        <v>12414</v>
      </c>
    </row>
    <row r="315" spans="1:4" x14ac:dyDescent="0.15">
      <c r="A315" s="1" t="s">
        <v>12415</v>
      </c>
      <c r="B315" s="1" t="s">
        <v>12416</v>
      </c>
      <c r="C315" s="1" t="s">
        <v>15778</v>
      </c>
      <c r="D315" s="1" t="s">
        <v>12417</v>
      </c>
    </row>
    <row r="316" spans="1:4" x14ac:dyDescent="0.15">
      <c r="A316" s="1" t="s">
        <v>15794</v>
      </c>
      <c r="B316" s="1" t="s">
        <v>12418</v>
      </c>
      <c r="C316" s="1" t="s">
        <v>15778</v>
      </c>
      <c r="D316" s="1" t="s">
        <v>15796</v>
      </c>
    </row>
    <row r="317" spans="1:4" x14ac:dyDescent="0.15">
      <c r="A317" s="1" t="s">
        <v>12419</v>
      </c>
      <c r="B317" s="1" t="s">
        <v>15780</v>
      </c>
      <c r="C317" s="1" t="s">
        <v>15778</v>
      </c>
      <c r="D317" s="1" t="s">
        <v>12420</v>
      </c>
    </row>
    <row r="318" spans="1:4" x14ac:dyDescent="0.15">
      <c r="A318" s="1" t="s">
        <v>15812</v>
      </c>
      <c r="B318" s="1" t="s">
        <v>15809</v>
      </c>
      <c r="C318" s="1" t="s">
        <v>15803</v>
      </c>
      <c r="D318" s="1" t="s">
        <v>15814</v>
      </c>
    </row>
    <row r="319" spans="1:4" x14ac:dyDescent="0.15">
      <c r="A319" s="1" t="s">
        <v>12421</v>
      </c>
      <c r="B319" s="1" t="s">
        <v>12422</v>
      </c>
      <c r="C319" s="1" t="s">
        <v>15803</v>
      </c>
      <c r="D319" s="1" t="s">
        <v>12423</v>
      </c>
    </row>
    <row r="320" spans="1:4" x14ac:dyDescent="0.15">
      <c r="A320" s="1" t="s">
        <v>15823</v>
      </c>
      <c r="B320" s="1" t="s">
        <v>15824</v>
      </c>
      <c r="C320" s="1" t="s">
        <v>15803</v>
      </c>
      <c r="D320" s="1" t="s">
        <v>15826</v>
      </c>
    </row>
    <row r="321" spans="1:4" x14ac:dyDescent="0.15">
      <c r="A321" s="1" t="s">
        <v>15831</v>
      </c>
      <c r="B321" s="1" t="s">
        <v>15832</v>
      </c>
      <c r="C321" s="1" t="s">
        <v>15803</v>
      </c>
      <c r="D321" s="1" t="s">
        <v>15834</v>
      </c>
    </row>
    <row r="322" spans="1:4" x14ac:dyDescent="0.15">
      <c r="A322" s="1" t="s">
        <v>12424</v>
      </c>
      <c r="B322" s="1" t="s">
        <v>12425</v>
      </c>
      <c r="C322" s="1" t="s">
        <v>15803</v>
      </c>
      <c r="D322" s="1" t="s">
        <v>12426</v>
      </c>
    </row>
    <row r="323" spans="1:4" x14ac:dyDescent="0.15">
      <c r="A323" s="1" t="s">
        <v>15835</v>
      </c>
      <c r="B323" s="1" t="s">
        <v>15836</v>
      </c>
      <c r="C323" s="1" t="s">
        <v>15803</v>
      </c>
      <c r="D323" s="1" t="s">
        <v>15838</v>
      </c>
    </row>
    <row r="324" spans="1:4" x14ac:dyDescent="0.15">
      <c r="A324" s="1" t="s">
        <v>15867</v>
      </c>
      <c r="B324" s="1" t="s">
        <v>12427</v>
      </c>
      <c r="C324" s="1" t="s">
        <v>15803</v>
      </c>
      <c r="D324" s="1" t="s">
        <v>15869</v>
      </c>
    </row>
    <row r="325" spans="1:4" x14ac:dyDescent="0.15">
      <c r="A325" s="1" t="s">
        <v>15874</v>
      </c>
      <c r="B325" s="1" t="s">
        <v>15875</v>
      </c>
      <c r="C325" s="1" t="s">
        <v>15803</v>
      </c>
      <c r="D325" s="1" t="s">
        <v>15877</v>
      </c>
    </row>
    <row r="326" spans="1:4" x14ac:dyDescent="0.15">
      <c r="A326" s="1" t="s">
        <v>12428</v>
      </c>
      <c r="B326" s="1" t="s">
        <v>12429</v>
      </c>
      <c r="C326" s="1" t="s">
        <v>15803</v>
      </c>
      <c r="D326" s="1" t="s">
        <v>12430</v>
      </c>
    </row>
    <row r="327" spans="1:4" x14ac:dyDescent="0.15">
      <c r="A327" s="1" t="s">
        <v>15878</v>
      </c>
      <c r="B327" s="1" t="s">
        <v>15879</v>
      </c>
      <c r="C327" s="1" t="s">
        <v>15803</v>
      </c>
      <c r="D327" s="1" t="s">
        <v>15881</v>
      </c>
    </row>
    <row r="328" spans="1:4" x14ac:dyDescent="0.15">
      <c r="A328" s="1" t="s">
        <v>15882</v>
      </c>
      <c r="B328" s="1" t="s">
        <v>12431</v>
      </c>
      <c r="C328" s="1" t="s">
        <v>15803</v>
      </c>
      <c r="D328" s="1" t="s">
        <v>15885</v>
      </c>
    </row>
    <row r="329" spans="1:4" x14ac:dyDescent="0.15">
      <c r="A329" s="1" t="s">
        <v>15886</v>
      </c>
      <c r="B329" s="1" t="s">
        <v>12432</v>
      </c>
      <c r="C329" s="1" t="s">
        <v>15803</v>
      </c>
      <c r="D329" s="1" t="s">
        <v>15889</v>
      </c>
    </row>
    <row r="330" spans="1:4" x14ac:dyDescent="0.15">
      <c r="A330" s="1" t="s">
        <v>12433</v>
      </c>
      <c r="B330" s="1" t="s">
        <v>13459</v>
      </c>
      <c r="C330" s="1" t="s">
        <v>15803</v>
      </c>
      <c r="D330" s="1" t="s">
        <v>12434</v>
      </c>
    </row>
    <row r="331" spans="1:4" x14ac:dyDescent="0.15">
      <c r="A331" s="1" t="s">
        <v>15161</v>
      </c>
      <c r="B331" s="1" t="s">
        <v>12435</v>
      </c>
      <c r="C331" s="1" t="s">
        <v>15803</v>
      </c>
      <c r="D331" s="1" t="s">
        <v>15164</v>
      </c>
    </row>
    <row r="332" spans="1:4" x14ac:dyDescent="0.15">
      <c r="A332" s="1" t="s">
        <v>15169</v>
      </c>
      <c r="B332" s="1" t="s">
        <v>15170</v>
      </c>
      <c r="C332" s="1" t="s">
        <v>15803</v>
      </c>
      <c r="D332" s="1" t="s">
        <v>15172</v>
      </c>
    </row>
    <row r="333" spans="1:4" x14ac:dyDescent="0.15">
      <c r="A333" s="1" t="s">
        <v>15173</v>
      </c>
      <c r="B333" s="1" t="s">
        <v>15174</v>
      </c>
      <c r="C333" s="1" t="s">
        <v>15803</v>
      </c>
      <c r="D333" s="1" t="s">
        <v>15176</v>
      </c>
    </row>
    <row r="334" spans="1:4" x14ac:dyDescent="0.15">
      <c r="A334" s="1" t="s">
        <v>12436</v>
      </c>
      <c r="B334" s="1" t="s">
        <v>12437</v>
      </c>
      <c r="C334" s="1" t="s">
        <v>15803</v>
      </c>
      <c r="D334" s="1" t="s">
        <v>12438</v>
      </c>
    </row>
    <row r="335" spans="1:4" x14ac:dyDescent="0.15">
      <c r="A335" s="1" t="s">
        <v>15177</v>
      </c>
      <c r="B335" s="1" t="s">
        <v>12439</v>
      </c>
      <c r="C335" s="1" t="s">
        <v>15803</v>
      </c>
      <c r="D335" s="1" t="s">
        <v>15180</v>
      </c>
    </row>
    <row r="336" spans="1:4" x14ac:dyDescent="0.15">
      <c r="A336" s="1" t="s">
        <v>15181</v>
      </c>
      <c r="B336" s="1" t="s">
        <v>12440</v>
      </c>
      <c r="C336" s="1" t="s">
        <v>15803</v>
      </c>
      <c r="D336" s="1" t="s">
        <v>15184</v>
      </c>
    </row>
    <row r="337" spans="1:4" x14ac:dyDescent="0.15">
      <c r="A337" s="1" t="s">
        <v>15185</v>
      </c>
      <c r="B337" s="1" t="s">
        <v>12441</v>
      </c>
      <c r="C337" s="1" t="s">
        <v>15803</v>
      </c>
      <c r="D337" s="1" t="s">
        <v>15188</v>
      </c>
    </row>
    <row r="338" spans="1:4" x14ac:dyDescent="0.15">
      <c r="A338" s="1" t="s">
        <v>15197</v>
      </c>
      <c r="B338" s="1" t="s">
        <v>12442</v>
      </c>
      <c r="C338" s="1" t="s">
        <v>15803</v>
      </c>
      <c r="D338" s="1" t="s">
        <v>15198</v>
      </c>
    </row>
    <row r="339" spans="1:4" x14ac:dyDescent="0.15">
      <c r="A339" s="1" t="s">
        <v>15207</v>
      </c>
      <c r="B339" s="1" t="s">
        <v>12443</v>
      </c>
      <c r="C339" s="1" t="s">
        <v>15199</v>
      </c>
      <c r="D339" s="1" t="s">
        <v>15209</v>
      </c>
    </row>
    <row r="340" spans="1:4" x14ac:dyDescent="0.15">
      <c r="A340" s="1" t="s">
        <v>15214</v>
      </c>
      <c r="B340" s="1" t="s">
        <v>15211</v>
      </c>
      <c r="C340" s="1" t="s">
        <v>15199</v>
      </c>
      <c r="D340" s="1" t="s">
        <v>15217</v>
      </c>
    </row>
    <row r="341" spans="1:4" x14ac:dyDescent="0.15">
      <c r="A341" s="1" t="s">
        <v>15230</v>
      </c>
      <c r="B341" s="1" t="s">
        <v>12444</v>
      </c>
      <c r="C341" s="1" t="s">
        <v>15199</v>
      </c>
      <c r="D341" s="1" t="s">
        <v>15232</v>
      </c>
    </row>
    <row r="342" spans="1:4" x14ac:dyDescent="0.15">
      <c r="A342" s="1" t="s">
        <v>15237</v>
      </c>
      <c r="B342" s="1" t="s">
        <v>15234</v>
      </c>
      <c r="C342" s="1" t="s">
        <v>15199</v>
      </c>
      <c r="D342" s="1" t="s">
        <v>15239</v>
      </c>
    </row>
    <row r="343" spans="1:4" x14ac:dyDescent="0.15">
      <c r="A343" s="1" t="s">
        <v>12445</v>
      </c>
      <c r="B343" s="1" t="s">
        <v>12446</v>
      </c>
      <c r="C343" s="1" t="s">
        <v>17224</v>
      </c>
      <c r="D343" s="1" t="s">
        <v>12447</v>
      </c>
    </row>
    <row r="344" spans="1:4" x14ac:dyDescent="0.15">
      <c r="A344" s="1" t="s">
        <v>17244</v>
      </c>
      <c r="B344" s="1" t="s">
        <v>12448</v>
      </c>
      <c r="C344" s="1" t="s">
        <v>17235</v>
      </c>
      <c r="D344" s="1" t="s">
        <v>17246</v>
      </c>
    </row>
    <row r="345" spans="1:4" x14ac:dyDescent="0.15">
      <c r="A345" s="1" t="s">
        <v>12449</v>
      </c>
      <c r="B345" s="1" t="s">
        <v>12450</v>
      </c>
      <c r="C345" s="1" t="s">
        <v>17235</v>
      </c>
      <c r="D345" s="1" t="s">
        <v>12451</v>
      </c>
    </row>
    <row r="346" spans="1:4" x14ac:dyDescent="0.15">
      <c r="A346" s="1" t="s">
        <v>12452</v>
      </c>
      <c r="B346" s="1" t="s">
        <v>12453</v>
      </c>
      <c r="C346" s="1" t="s">
        <v>17235</v>
      </c>
      <c r="D346" s="1" t="s">
        <v>12454</v>
      </c>
    </row>
    <row r="347" spans="1:4" x14ac:dyDescent="0.15">
      <c r="A347" s="1" t="s">
        <v>12455</v>
      </c>
      <c r="B347" s="1" t="s">
        <v>12456</v>
      </c>
      <c r="C347" s="1" t="s">
        <v>17235</v>
      </c>
      <c r="D347" s="1" t="s">
        <v>12457</v>
      </c>
    </row>
    <row r="348" spans="1:4" x14ac:dyDescent="0.15">
      <c r="A348" s="1" t="s">
        <v>17251</v>
      </c>
      <c r="B348" s="1" t="s">
        <v>12458</v>
      </c>
      <c r="C348" s="1" t="s">
        <v>17235</v>
      </c>
      <c r="D348" s="1" t="s">
        <v>17253</v>
      </c>
    </row>
    <row r="349" spans="1:4" x14ac:dyDescent="0.15">
      <c r="A349" s="1" t="s">
        <v>12459</v>
      </c>
      <c r="B349" s="1" t="s">
        <v>12460</v>
      </c>
      <c r="C349" s="1" t="s">
        <v>17235</v>
      </c>
      <c r="D349" s="1" t="s">
        <v>12461</v>
      </c>
    </row>
    <row r="350" spans="1:4" x14ac:dyDescent="0.15">
      <c r="A350" s="1" t="s">
        <v>17265</v>
      </c>
      <c r="B350" s="1" t="s">
        <v>12462</v>
      </c>
      <c r="C350" s="1" t="s">
        <v>17235</v>
      </c>
      <c r="D350" s="1" t="s">
        <v>17267</v>
      </c>
    </row>
    <row r="351" spans="1:4" x14ac:dyDescent="0.15">
      <c r="A351" s="1" t="s">
        <v>12463</v>
      </c>
      <c r="B351" s="1" t="s">
        <v>12464</v>
      </c>
      <c r="C351" s="1" t="s">
        <v>17235</v>
      </c>
      <c r="D351" s="1" t="s">
        <v>12465</v>
      </c>
    </row>
    <row r="352" spans="1:4" x14ac:dyDescent="0.15">
      <c r="A352" s="1" t="s">
        <v>12466</v>
      </c>
      <c r="B352" s="1" t="s">
        <v>12467</v>
      </c>
      <c r="C352" s="1" t="s">
        <v>17235</v>
      </c>
      <c r="D352" s="1" t="s">
        <v>12468</v>
      </c>
    </row>
    <row r="353" spans="1:4" x14ac:dyDescent="0.15">
      <c r="A353" s="1" t="s">
        <v>15280</v>
      </c>
      <c r="B353" s="1" t="s">
        <v>12469</v>
      </c>
      <c r="C353" s="1" t="s">
        <v>17235</v>
      </c>
      <c r="D353" s="1" t="s">
        <v>15281</v>
      </c>
    </row>
    <row r="354" spans="1:4" x14ac:dyDescent="0.15">
      <c r="A354" s="1" t="s">
        <v>15291</v>
      </c>
      <c r="B354" s="1" t="s">
        <v>12470</v>
      </c>
      <c r="C354" s="1" t="s">
        <v>15282</v>
      </c>
      <c r="D354" s="1" t="s">
        <v>15293</v>
      </c>
    </row>
    <row r="355" spans="1:4" x14ac:dyDescent="0.15">
      <c r="A355" s="1" t="s">
        <v>12471</v>
      </c>
      <c r="B355" s="1" t="s">
        <v>12472</v>
      </c>
      <c r="C355" s="1" t="s">
        <v>15282</v>
      </c>
      <c r="D355" s="1" t="s">
        <v>12473</v>
      </c>
    </row>
    <row r="356" spans="1:4" x14ac:dyDescent="0.15">
      <c r="A356" s="1" t="s">
        <v>15298</v>
      </c>
      <c r="B356" s="1" t="s">
        <v>12474</v>
      </c>
      <c r="C356" s="1" t="s">
        <v>15282</v>
      </c>
      <c r="D356" s="1" t="s">
        <v>15300</v>
      </c>
    </row>
    <row r="357" spans="1:4" x14ac:dyDescent="0.15">
      <c r="A357" s="1" t="s">
        <v>15337</v>
      </c>
      <c r="B357" s="1" t="s">
        <v>12475</v>
      </c>
      <c r="C357" s="1" t="s">
        <v>15282</v>
      </c>
      <c r="D357" s="1" t="s">
        <v>15339</v>
      </c>
    </row>
    <row r="358" spans="1:4" x14ac:dyDescent="0.15">
      <c r="A358" s="1" t="s">
        <v>15420</v>
      </c>
      <c r="B358" s="1" t="s">
        <v>12476</v>
      </c>
      <c r="C358" s="1" t="s">
        <v>15399</v>
      </c>
      <c r="D358" s="1" t="s">
        <v>15423</v>
      </c>
    </row>
    <row r="359" spans="1:4" x14ac:dyDescent="0.15">
      <c r="A359" s="1" t="s">
        <v>15458</v>
      </c>
      <c r="B359" s="1" t="s">
        <v>12477</v>
      </c>
      <c r="C359" s="1" t="s">
        <v>15449</v>
      </c>
      <c r="D359" s="1" t="s">
        <v>15461</v>
      </c>
    </row>
    <row r="360" spans="1:4" x14ac:dyDescent="0.15">
      <c r="A360" s="1" t="s">
        <v>15482</v>
      </c>
      <c r="B360" s="1" t="s">
        <v>12478</v>
      </c>
      <c r="C360" s="1" t="s">
        <v>15449</v>
      </c>
      <c r="D360" s="1" t="s">
        <v>15485</v>
      </c>
    </row>
    <row r="361" spans="1:4" x14ac:dyDescent="0.15">
      <c r="A361" s="1" t="s">
        <v>15568</v>
      </c>
      <c r="B361" s="1" t="s">
        <v>15565</v>
      </c>
      <c r="C361" s="1" t="s">
        <v>15559</v>
      </c>
      <c r="D361" s="1" t="s">
        <v>15570</v>
      </c>
    </row>
    <row r="362" spans="1:4" x14ac:dyDescent="0.15">
      <c r="A362" s="1" t="s">
        <v>15575</v>
      </c>
      <c r="B362" s="1" t="s">
        <v>12479</v>
      </c>
      <c r="C362" s="1" t="s">
        <v>15559</v>
      </c>
      <c r="D362" s="1" t="s">
        <v>14847</v>
      </c>
    </row>
    <row r="363" spans="1:4" x14ac:dyDescent="0.15">
      <c r="A363" s="1" t="s">
        <v>14852</v>
      </c>
      <c r="B363" s="1" t="s">
        <v>12480</v>
      </c>
      <c r="C363" s="1" t="s">
        <v>15559</v>
      </c>
      <c r="D363" s="1" t="s">
        <v>14854</v>
      </c>
    </row>
    <row r="364" spans="1:4" x14ac:dyDescent="0.15">
      <c r="A364" s="1" t="s">
        <v>14871</v>
      </c>
      <c r="B364" s="1" t="s">
        <v>12481</v>
      </c>
      <c r="C364" s="1" t="s">
        <v>14855</v>
      </c>
      <c r="D364" s="1" t="s">
        <v>14873</v>
      </c>
    </row>
    <row r="365" spans="1:4" x14ac:dyDescent="0.15">
      <c r="A365" s="1" t="s">
        <v>14878</v>
      </c>
      <c r="B365" s="1" t="s">
        <v>12482</v>
      </c>
      <c r="C365" s="1" t="s">
        <v>14855</v>
      </c>
      <c r="D365" s="1" t="s">
        <v>14880</v>
      </c>
    </row>
    <row r="366" spans="1:4" x14ac:dyDescent="0.15">
      <c r="A366" s="1" t="s">
        <v>14885</v>
      </c>
      <c r="B366" s="1" t="s">
        <v>14882</v>
      </c>
      <c r="C366" s="1" t="s">
        <v>14855</v>
      </c>
      <c r="D366" s="1" t="s">
        <v>14887</v>
      </c>
    </row>
    <row r="367" spans="1:4" x14ac:dyDescent="0.15">
      <c r="A367" s="1" t="s">
        <v>14892</v>
      </c>
      <c r="B367" s="1" t="s">
        <v>12483</v>
      </c>
      <c r="C367" s="1" t="s">
        <v>14855</v>
      </c>
      <c r="D367" s="1" t="s">
        <v>14894</v>
      </c>
    </row>
    <row r="368" spans="1:4" x14ac:dyDescent="0.15">
      <c r="A368" s="1" t="s">
        <v>14899</v>
      </c>
      <c r="B368" s="1" t="s">
        <v>12484</v>
      </c>
      <c r="C368" s="1" t="s">
        <v>14855</v>
      </c>
      <c r="D368" s="1" t="s">
        <v>14902</v>
      </c>
    </row>
    <row r="369" spans="1:4" x14ac:dyDescent="0.15">
      <c r="A369" s="1" t="s">
        <v>14930</v>
      </c>
      <c r="B369" s="1" t="s">
        <v>12485</v>
      </c>
      <c r="C369" s="1" t="s">
        <v>14855</v>
      </c>
      <c r="D369" s="1" t="s">
        <v>14932</v>
      </c>
    </row>
    <row r="370" spans="1:4" x14ac:dyDescent="0.15">
      <c r="A370" s="1" t="s">
        <v>14942</v>
      </c>
      <c r="B370" s="1" t="s">
        <v>12486</v>
      </c>
      <c r="C370" s="1" t="s">
        <v>14933</v>
      </c>
      <c r="D370" s="1" t="s">
        <v>14944</v>
      </c>
    </row>
    <row r="371" spans="1:4" x14ac:dyDescent="0.15">
      <c r="A371" s="1" t="s">
        <v>14949</v>
      </c>
      <c r="B371" s="1" t="s">
        <v>14946</v>
      </c>
      <c r="C371" s="1" t="s">
        <v>14933</v>
      </c>
      <c r="D371" s="1" t="s">
        <v>14951</v>
      </c>
    </row>
    <row r="372" spans="1:4" x14ac:dyDescent="0.15">
      <c r="A372" s="1" t="s">
        <v>14970</v>
      </c>
      <c r="B372" s="1" t="s">
        <v>14971</v>
      </c>
      <c r="C372" s="1" t="s">
        <v>14933</v>
      </c>
      <c r="D372" s="1" t="s">
        <v>14973</v>
      </c>
    </row>
    <row r="373" spans="1:4" x14ac:dyDescent="0.15">
      <c r="A373" s="1" t="s">
        <v>14986</v>
      </c>
      <c r="B373" s="1" t="s">
        <v>12487</v>
      </c>
      <c r="C373" s="1" t="s">
        <v>14933</v>
      </c>
      <c r="D373" s="1" t="s">
        <v>14989</v>
      </c>
    </row>
    <row r="374" spans="1:4" x14ac:dyDescent="0.15">
      <c r="A374" s="1" t="s">
        <v>15006</v>
      </c>
      <c r="B374" s="1" t="s">
        <v>15007</v>
      </c>
      <c r="C374" s="1" t="s">
        <v>14933</v>
      </c>
      <c r="D374" s="1" t="s">
        <v>15009</v>
      </c>
    </row>
    <row r="375" spans="1:4" x14ac:dyDescent="0.15">
      <c r="A375" s="1" t="s">
        <v>15014</v>
      </c>
      <c r="B375" s="1" t="s">
        <v>15015</v>
      </c>
      <c r="C375" s="1" t="s">
        <v>14933</v>
      </c>
      <c r="D375" s="1" t="s">
        <v>15017</v>
      </c>
    </row>
    <row r="376" spans="1:4" x14ac:dyDescent="0.15">
      <c r="A376" s="1" t="s">
        <v>15022</v>
      </c>
      <c r="B376" s="1" t="s">
        <v>12488</v>
      </c>
      <c r="C376" s="1" t="s">
        <v>14933</v>
      </c>
      <c r="D376" s="1" t="s">
        <v>15025</v>
      </c>
    </row>
    <row r="377" spans="1:4" x14ac:dyDescent="0.15">
      <c r="A377" s="1" t="s">
        <v>15034</v>
      </c>
      <c r="B377" s="1" t="s">
        <v>15035</v>
      </c>
      <c r="C377" s="1" t="s">
        <v>14933</v>
      </c>
      <c r="D377" s="1" t="s">
        <v>15037</v>
      </c>
    </row>
    <row r="378" spans="1:4" x14ac:dyDescent="0.15">
      <c r="A378" s="1" t="s">
        <v>15038</v>
      </c>
      <c r="B378" s="1" t="s">
        <v>12489</v>
      </c>
      <c r="C378" s="1" t="s">
        <v>14933</v>
      </c>
      <c r="D378" s="1" t="s">
        <v>15041</v>
      </c>
    </row>
    <row r="379" spans="1:4" x14ac:dyDescent="0.15">
      <c r="A379" s="1" t="s">
        <v>12490</v>
      </c>
      <c r="B379" s="1" t="s">
        <v>12491</v>
      </c>
      <c r="C379" s="1" t="s">
        <v>14933</v>
      </c>
      <c r="D379" s="1" t="s">
        <v>12492</v>
      </c>
    </row>
    <row r="380" spans="1:4" x14ac:dyDescent="0.15">
      <c r="A380" s="1" t="s">
        <v>15046</v>
      </c>
      <c r="B380" s="1" t="s">
        <v>15047</v>
      </c>
      <c r="C380" s="1" t="s">
        <v>14933</v>
      </c>
      <c r="D380" s="1" t="s">
        <v>15049</v>
      </c>
    </row>
    <row r="381" spans="1:4" x14ac:dyDescent="0.15">
      <c r="A381" s="1" t="s">
        <v>15082</v>
      </c>
      <c r="B381" s="1" t="s">
        <v>15083</v>
      </c>
      <c r="C381" s="1" t="s">
        <v>14933</v>
      </c>
      <c r="D381" s="1" t="s">
        <v>15085</v>
      </c>
    </row>
    <row r="382" spans="1:4" x14ac:dyDescent="0.15">
      <c r="A382" s="1" t="s">
        <v>15090</v>
      </c>
      <c r="B382" s="1" t="s">
        <v>12493</v>
      </c>
      <c r="C382" s="1" t="s">
        <v>14933</v>
      </c>
      <c r="D382" s="1" t="s">
        <v>15091</v>
      </c>
    </row>
    <row r="383" spans="1:4" x14ac:dyDescent="0.15">
      <c r="A383" s="1" t="s">
        <v>15101</v>
      </c>
      <c r="B383" s="1" t="s">
        <v>12494</v>
      </c>
      <c r="C383" s="1" t="s">
        <v>15092</v>
      </c>
      <c r="D383" s="1" t="s">
        <v>15104</v>
      </c>
    </row>
    <row r="384" spans="1:4" x14ac:dyDescent="0.15">
      <c r="A384" s="1" t="s">
        <v>15117</v>
      </c>
      <c r="B384" s="1" t="s">
        <v>12495</v>
      </c>
      <c r="C384" s="1" t="s">
        <v>15092</v>
      </c>
      <c r="D384" s="1" t="s">
        <v>15120</v>
      </c>
    </row>
    <row r="385" spans="1:4" x14ac:dyDescent="0.15">
      <c r="A385" s="1" t="s">
        <v>15137</v>
      </c>
      <c r="B385" s="1" t="s">
        <v>12496</v>
      </c>
      <c r="C385" s="1" t="s">
        <v>15092</v>
      </c>
      <c r="D385" s="1" t="s">
        <v>15139</v>
      </c>
    </row>
    <row r="386" spans="1:4" x14ac:dyDescent="0.15">
      <c r="A386" s="1" t="s">
        <v>14580</v>
      </c>
      <c r="B386" s="1" t="s">
        <v>14577</v>
      </c>
      <c r="C386" s="1" t="s">
        <v>17303</v>
      </c>
      <c r="D386" s="1" t="s">
        <v>14582</v>
      </c>
    </row>
    <row r="387" spans="1:4" x14ac:dyDescent="0.15">
      <c r="A387" s="1" t="s">
        <v>14587</v>
      </c>
      <c r="B387" s="1" t="s">
        <v>14584</v>
      </c>
      <c r="C387" s="1" t="s">
        <v>17303</v>
      </c>
      <c r="D387" s="1" t="s">
        <v>14589</v>
      </c>
    </row>
    <row r="388" spans="1:4" x14ac:dyDescent="0.15">
      <c r="A388" s="1" t="s">
        <v>17308</v>
      </c>
      <c r="B388" s="1" t="s">
        <v>12497</v>
      </c>
      <c r="C388" s="1" t="s">
        <v>17303</v>
      </c>
      <c r="D388" s="1" t="s">
        <v>17310</v>
      </c>
    </row>
    <row r="389" spans="1:4" x14ac:dyDescent="0.15">
      <c r="A389" s="1" t="s">
        <v>17315</v>
      </c>
      <c r="B389" s="1" t="s">
        <v>17312</v>
      </c>
      <c r="C389" s="1" t="s">
        <v>17303</v>
      </c>
      <c r="D389" s="1" t="s">
        <v>17317</v>
      </c>
    </row>
    <row r="390" spans="1:4" x14ac:dyDescent="0.15">
      <c r="A390" s="1" t="s">
        <v>17322</v>
      </c>
      <c r="B390" s="1" t="s">
        <v>17319</v>
      </c>
      <c r="C390" s="1" t="s">
        <v>17303</v>
      </c>
      <c r="D390" s="1" t="s">
        <v>17324</v>
      </c>
    </row>
    <row r="391" spans="1:4" x14ac:dyDescent="0.15">
      <c r="A391" s="1" t="s">
        <v>17343</v>
      </c>
      <c r="B391" s="1" t="s">
        <v>12498</v>
      </c>
      <c r="C391" s="1" t="s">
        <v>17303</v>
      </c>
      <c r="D391" s="1" t="s">
        <v>17345</v>
      </c>
    </row>
    <row r="392" spans="1:4" x14ac:dyDescent="0.15">
      <c r="A392" s="1" t="s">
        <v>17350</v>
      </c>
      <c r="B392" s="1" t="s">
        <v>12499</v>
      </c>
      <c r="C392" s="1" t="s">
        <v>17303</v>
      </c>
      <c r="D392" s="1" t="s">
        <v>17352</v>
      </c>
    </row>
    <row r="393" spans="1:4" x14ac:dyDescent="0.15">
      <c r="A393" s="1" t="s">
        <v>17371</v>
      </c>
      <c r="B393" s="1" t="s">
        <v>17368</v>
      </c>
      <c r="C393" s="1" t="s">
        <v>17303</v>
      </c>
      <c r="D393" s="1" t="s">
        <v>17373</v>
      </c>
    </row>
    <row r="394" spans="1:4" x14ac:dyDescent="0.15">
      <c r="A394" s="1" t="s">
        <v>14590</v>
      </c>
      <c r="B394" s="1" t="s">
        <v>12500</v>
      </c>
      <c r="C394" s="1" t="s">
        <v>17374</v>
      </c>
      <c r="D394" s="1" t="s">
        <v>14593</v>
      </c>
    </row>
    <row r="395" spans="1:4" x14ac:dyDescent="0.15">
      <c r="A395" s="1" t="s">
        <v>14594</v>
      </c>
      <c r="B395" s="1" t="s">
        <v>12501</v>
      </c>
      <c r="C395" s="1" t="s">
        <v>17374</v>
      </c>
      <c r="D395" s="1" t="s">
        <v>14597</v>
      </c>
    </row>
    <row r="396" spans="1:4" x14ac:dyDescent="0.15">
      <c r="A396" s="1" t="s">
        <v>14598</v>
      </c>
      <c r="B396" s="1" t="s">
        <v>12502</v>
      </c>
      <c r="C396" s="1" t="s">
        <v>17374</v>
      </c>
      <c r="D396" s="1" t="s">
        <v>14601</v>
      </c>
    </row>
    <row r="397" spans="1:4" x14ac:dyDescent="0.15">
      <c r="A397" s="1" t="s">
        <v>14602</v>
      </c>
      <c r="B397" s="1" t="s">
        <v>12503</v>
      </c>
      <c r="C397" s="1" t="s">
        <v>17374</v>
      </c>
      <c r="D397" s="1" t="s">
        <v>14605</v>
      </c>
    </row>
    <row r="398" spans="1:4" x14ac:dyDescent="0.15">
      <c r="A398" s="1" t="s">
        <v>12504</v>
      </c>
      <c r="B398" s="1" t="s">
        <v>12505</v>
      </c>
      <c r="C398" s="1" t="s">
        <v>17374</v>
      </c>
      <c r="D398" s="1" t="s">
        <v>12506</v>
      </c>
    </row>
    <row r="399" spans="1:4" x14ac:dyDescent="0.15">
      <c r="A399" s="1" t="s">
        <v>14610</v>
      </c>
      <c r="B399" s="1" t="s">
        <v>12507</v>
      </c>
      <c r="C399" s="1" t="s">
        <v>17374</v>
      </c>
      <c r="D399" s="1" t="s">
        <v>14613</v>
      </c>
    </row>
    <row r="400" spans="1:4" x14ac:dyDescent="0.15">
      <c r="A400" s="1" t="s">
        <v>14630</v>
      </c>
      <c r="B400" s="1" t="s">
        <v>14631</v>
      </c>
      <c r="C400" s="1" t="s">
        <v>17374</v>
      </c>
      <c r="D400" s="1" t="s">
        <v>14633</v>
      </c>
    </row>
    <row r="401" spans="1:4" x14ac:dyDescent="0.15">
      <c r="A401" s="1" t="s">
        <v>14638</v>
      </c>
      <c r="B401" s="1" t="s">
        <v>12508</v>
      </c>
      <c r="C401" s="1" t="s">
        <v>17374</v>
      </c>
      <c r="D401" s="1" t="s">
        <v>14640</v>
      </c>
    </row>
    <row r="402" spans="1:4" x14ac:dyDescent="0.15">
      <c r="A402" s="1" t="s">
        <v>12509</v>
      </c>
      <c r="B402" s="1" t="s">
        <v>12510</v>
      </c>
      <c r="C402" s="1" t="s">
        <v>14641</v>
      </c>
      <c r="D402" s="1" t="s">
        <v>12511</v>
      </c>
    </row>
    <row r="403" spans="1:4" x14ac:dyDescent="0.15">
      <c r="A403" s="1" t="s">
        <v>14650</v>
      </c>
      <c r="B403" s="1" t="s">
        <v>12512</v>
      </c>
      <c r="C403" s="1" t="s">
        <v>14641</v>
      </c>
      <c r="D403" s="1" t="s">
        <v>14652</v>
      </c>
    </row>
    <row r="404" spans="1:4" x14ac:dyDescent="0.15">
      <c r="A404" s="1" t="s">
        <v>14657</v>
      </c>
      <c r="B404" s="1" t="s">
        <v>14654</v>
      </c>
      <c r="C404" s="1" t="s">
        <v>14641</v>
      </c>
      <c r="D404" s="1" t="s">
        <v>14659</v>
      </c>
    </row>
    <row r="405" spans="1:4" x14ac:dyDescent="0.15">
      <c r="A405" s="1" t="s">
        <v>14664</v>
      </c>
      <c r="B405" s="1" t="s">
        <v>12513</v>
      </c>
      <c r="C405" s="1" t="s">
        <v>14641</v>
      </c>
      <c r="D405" s="1" t="s">
        <v>14666</v>
      </c>
    </row>
    <row r="406" spans="1:4" x14ac:dyDescent="0.15">
      <c r="A406" s="1" t="s">
        <v>14671</v>
      </c>
      <c r="B406" s="1" t="s">
        <v>12514</v>
      </c>
      <c r="C406" s="1" t="s">
        <v>14641</v>
      </c>
      <c r="D406" s="1" t="s">
        <v>14673</v>
      </c>
    </row>
    <row r="407" spans="1:4" x14ac:dyDescent="0.15">
      <c r="A407" s="1" t="s">
        <v>12515</v>
      </c>
      <c r="B407" s="1" t="s">
        <v>12516</v>
      </c>
      <c r="C407" s="1" t="s">
        <v>14641</v>
      </c>
      <c r="D407" s="1" t="s">
        <v>12517</v>
      </c>
    </row>
    <row r="408" spans="1:4" x14ac:dyDescent="0.15">
      <c r="A408" s="1" t="s">
        <v>12518</v>
      </c>
      <c r="B408" s="1" t="s">
        <v>12519</v>
      </c>
      <c r="C408" s="1" t="s">
        <v>14641</v>
      </c>
      <c r="D408" s="1" t="s">
        <v>12520</v>
      </c>
    </row>
    <row r="409" spans="1:4" x14ac:dyDescent="0.15">
      <c r="A409" s="1" t="s">
        <v>14678</v>
      </c>
      <c r="B409" s="1" t="s">
        <v>12521</v>
      </c>
      <c r="C409" s="1" t="s">
        <v>14641</v>
      </c>
      <c r="D409" s="1" t="s">
        <v>14680</v>
      </c>
    </row>
    <row r="410" spans="1:4" x14ac:dyDescent="0.15">
      <c r="A410" s="1" t="s">
        <v>14690</v>
      </c>
      <c r="B410" s="1" t="s">
        <v>12522</v>
      </c>
      <c r="C410" s="1" t="s">
        <v>14681</v>
      </c>
      <c r="D410" s="1" t="s">
        <v>14692</v>
      </c>
    </row>
    <row r="411" spans="1:4" x14ac:dyDescent="0.15">
      <c r="A411" s="1" t="s">
        <v>14697</v>
      </c>
      <c r="B411" s="1" t="s">
        <v>14694</v>
      </c>
      <c r="C411" s="1" t="s">
        <v>14681</v>
      </c>
      <c r="D411" s="1" t="s">
        <v>14699</v>
      </c>
    </row>
    <row r="412" spans="1:4" x14ac:dyDescent="0.15">
      <c r="A412" s="1" t="s">
        <v>14704</v>
      </c>
      <c r="B412" s="1" t="s">
        <v>14701</v>
      </c>
      <c r="C412" s="1" t="s">
        <v>14681</v>
      </c>
      <c r="D412" s="1" t="s">
        <v>14706</v>
      </c>
    </row>
    <row r="413" spans="1:4" x14ac:dyDescent="0.15">
      <c r="A413" s="1" t="s">
        <v>14711</v>
      </c>
      <c r="B413" s="1" t="s">
        <v>14708</v>
      </c>
      <c r="C413" s="1" t="s">
        <v>14681</v>
      </c>
      <c r="D413" s="1" t="s">
        <v>14713</v>
      </c>
    </row>
    <row r="414" spans="1:4" x14ac:dyDescent="0.15">
      <c r="A414" s="1" t="s">
        <v>14725</v>
      </c>
      <c r="B414" s="1" t="s">
        <v>14722</v>
      </c>
      <c r="C414" s="1" t="s">
        <v>14681</v>
      </c>
      <c r="D414" s="1" t="s">
        <v>14728</v>
      </c>
    </row>
    <row r="415" spans="1:4" x14ac:dyDescent="0.15">
      <c r="A415" s="1" t="s">
        <v>14753</v>
      </c>
      <c r="B415" s="1" t="s">
        <v>14750</v>
      </c>
      <c r="C415" s="1" t="s">
        <v>14681</v>
      </c>
      <c r="D415" s="1" t="s">
        <v>14755</v>
      </c>
    </row>
    <row r="416" spans="1:4" x14ac:dyDescent="0.15">
      <c r="A416" s="1" t="s">
        <v>14764</v>
      </c>
      <c r="B416" s="1" t="s">
        <v>14761</v>
      </c>
      <c r="C416" s="1" t="s">
        <v>14681</v>
      </c>
      <c r="D416" s="1" t="s">
        <v>14767</v>
      </c>
    </row>
    <row r="417" spans="1:4" x14ac:dyDescent="0.15">
      <c r="A417" s="1" t="s">
        <v>14792</v>
      </c>
      <c r="B417" s="1" t="s">
        <v>12523</v>
      </c>
      <c r="C417" s="1" t="s">
        <v>14681</v>
      </c>
      <c r="D417" s="1" t="s">
        <v>14794</v>
      </c>
    </row>
    <row r="418" spans="1:4" x14ac:dyDescent="0.15">
      <c r="A418" s="1" t="s">
        <v>14799</v>
      </c>
      <c r="B418" s="1" t="s">
        <v>12524</v>
      </c>
      <c r="C418" s="1" t="s">
        <v>14681</v>
      </c>
      <c r="D418" s="1" t="s">
        <v>14802</v>
      </c>
    </row>
    <row r="419" spans="1:4" x14ac:dyDescent="0.15">
      <c r="A419" s="1" t="s">
        <v>14807</v>
      </c>
      <c r="B419" s="1" t="s">
        <v>12525</v>
      </c>
      <c r="C419" s="1" t="s">
        <v>14681</v>
      </c>
      <c r="D419" s="1" t="s">
        <v>14810</v>
      </c>
    </row>
    <row r="420" spans="1:4" x14ac:dyDescent="0.15">
      <c r="A420" s="1" t="s">
        <v>14815</v>
      </c>
      <c r="B420" s="1" t="s">
        <v>14812</v>
      </c>
      <c r="C420" s="1" t="s">
        <v>14681</v>
      </c>
      <c r="D420" s="1" t="s">
        <v>14817</v>
      </c>
    </row>
    <row r="421" spans="1:4" x14ac:dyDescent="0.15">
      <c r="A421" s="1" t="s">
        <v>14822</v>
      </c>
      <c r="B421" s="1" t="s">
        <v>12526</v>
      </c>
      <c r="C421" s="1" t="s">
        <v>14681</v>
      </c>
      <c r="D421" s="1" t="s">
        <v>14824</v>
      </c>
    </row>
    <row r="422" spans="1:4" x14ac:dyDescent="0.15">
      <c r="A422" s="1" t="s">
        <v>14829</v>
      </c>
      <c r="B422" s="1" t="s">
        <v>14830</v>
      </c>
      <c r="C422" s="1" t="s">
        <v>14681</v>
      </c>
      <c r="D422" s="1" t="s">
        <v>14832</v>
      </c>
    </row>
    <row r="423" spans="1:4" x14ac:dyDescent="0.15">
      <c r="A423" s="1" t="s">
        <v>14257</v>
      </c>
      <c r="B423" s="1" t="s">
        <v>12527</v>
      </c>
      <c r="C423" s="1" t="s">
        <v>14833</v>
      </c>
      <c r="D423" s="1" t="s">
        <v>14260</v>
      </c>
    </row>
    <row r="424" spans="1:4" x14ac:dyDescent="0.15">
      <c r="A424" s="1" t="s">
        <v>14296</v>
      </c>
      <c r="B424" s="1" t="s">
        <v>12528</v>
      </c>
      <c r="C424" s="1" t="s">
        <v>14275</v>
      </c>
      <c r="D424" s="1" t="s">
        <v>14299</v>
      </c>
    </row>
    <row r="425" spans="1:4" x14ac:dyDescent="0.15">
      <c r="A425" s="1" t="s">
        <v>12529</v>
      </c>
      <c r="B425" s="1" t="s">
        <v>12530</v>
      </c>
      <c r="C425" s="1" t="s">
        <v>14275</v>
      </c>
      <c r="D425" s="1" t="s">
        <v>12531</v>
      </c>
    </row>
    <row r="426" spans="1:4" x14ac:dyDescent="0.15">
      <c r="A426" s="1" t="s">
        <v>14352</v>
      </c>
      <c r="B426" s="1" t="s">
        <v>12532</v>
      </c>
      <c r="C426" s="1" t="s">
        <v>14275</v>
      </c>
      <c r="D426" s="1" t="s">
        <v>14355</v>
      </c>
    </row>
    <row r="427" spans="1:4" x14ac:dyDescent="0.15">
      <c r="A427" s="1" t="s">
        <v>14392</v>
      </c>
      <c r="B427" s="1" t="s">
        <v>12533</v>
      </c>
      <c r="C427" s="1" t="s">
        <v>14275</v>
      </c>
      <c r="D427" s="1" t="s">
        <v>14395</v>
      </c>
    </row>
    <row r="428" spans="1:4" x14ac:dyDescent="0.15">
      <c r="A428" s="1" t="s">
        <v>14396</v>
      </c>
      <c r="B428" s="1" t="s">
        <v>12534</v>
      </c>
      <c r="C428" s="1" t="s">
        <v>14275</v>
      </c>
      <c r="D428" s="1" t="s">
        <v>14399</v>
      </c>
    </row>
    <row r="429" spans="1:4" x14ac:dyDescent="0.15">
      <c r="A429" s="1" t="s">
        <v>14412</v>
      </c>
      <c r="B429" s="1" t="s">
        <v>12535</v>
      </c>
      <c r="C429" s="1" t="s">
        <v>14275</v>
      </c>
      <c r="D429" s="1" t="s">
        <v>14415</v>
      </c>
    </row>
    <row r="430" spans="1:4" x14ac:dyDescent="0.15">
      <c r="A430" s="1" t="s">
        <v>14459</v>
      </c>
      <c r="B430" s="1" t="s">
        <v>12536</v>
      </c>
      <c r="C430" s="1" t="s">
        <v>14422</v>
      </c>
      <c r="D430" s="1" t="s">
        <v>14462</v>
      </c>
    </row>
    <row r="431" spans="1:4" x14ac:dyDescent="0.15">
      <c r="A431" s="1" t="s">
        <v>12537</v>
      </c>
      <c r="B431" s="1" t="s">
        <v>12538</v>
      </c>
      <c r="C431" s="1" t="s">
        <v>14422</v>
      </c>
      <c r="D431" s="1" t="s">
        <v>12539</v>
      </c>
    </row>
    <row r="432" spans="1:4" x14ac:dyDescent="0.15">
      <c r="A432" s="1" t="s">
        <v>14565</v>
      </c>
      <c r="B432" s="1" t="s">
        <v>12540</v>
      </c>
      <c r="C432" s="1" t="s">
        <v>14556</v>
      </c>
      <c r="D432" s="1" t="s">
        <v>14568</v>
      </c>
    </row>
    <row r="433" spans="1:4" x14ac:dyDescent="0.15">
      <c r="A433" s="1" t="s">
        <v>14573</v>
      </c>
      <c r="B433" s="1" t="s">
        <v>14574</v>
      </c>
      <c r="C433" s="1" t="s">
        <v>14556</v>
      </c>
      <c r="D433" s="1" t="s">
        <v>13916</v>
      </c>
    </row>
    <row r="434" spans="1:4" x14ac:dyDescent="0.15">
      <c r="A434" s="1" t="s">
        <v>13917</v>
      </c>
      <c r="B434" s="1" t="s">
        <v>12541</v>
      </c>
      <c r="C434" s="1" t="s">
        <v>14556</v>
      </c>
      <c r="D434" s="1" t="s">
        <v>13920</v>
      </c>
    </row>
    <row r="435" spans="1:4" x14ac:dyDescent="0.15">
      <c r="A435" s="1" t="s">
        <v>13941</v>
      </c>
      <c r="B435" s="1" t="s">
        <v>12542</v>
      </c>
      <c r="C435" s="1" t="s">
        <v>14556</v>
      </c>
      <c r="D435" s="1" t="s">
        <v>13944</v>
      </c>
    </row>
    <row r="436" spans="1:4" x14ac:dyDescent="0.15">
      <c r="A436" s="1" t="s">
        <v>13977</v>
      </c>
      <c r="B436" s="1" t="s">
        <v>12543</v>
      </c>
      <c r="C436" s="1" t="s">
        <v>14556</v>
      </c>
      <c r="D436" s="1" t="s">
        <v>13979</v>
      </c>
    </row>
    <row r="437" spans="1:4" x14ac:dyDescent="0.15">
      <c r="A437" s="1" t="s">
        <v>13989</v>
      </c>
      <c r="B437" s="1" t="s">
        <v>12544</v>
      </c>
      <c r="C437" s="1" t="s">
        <v>13980</v>
      </c>
      <c r="D437" s="1" t="s">
        <v>13991</v>
      </c>
    </row>
    <row r="438" spans="1:4" x14ac:dyDescent="0.15">
      <c r="A438" s="1" t="s">
        <v>13996</v>
      </c>
      <c r="B438" s="1" t="s">
        <v>12545</v>
      </c>
      <c r="C438" s="1" t="s">
        <v>13980</v>
      </c>
      <c r="D438" s="1" t="s">
        <v>13998</v>
      </c>
    </row>
    <row r="439" spans="1:4" x14ac:dyDescent="0.15">
      <c r="A439" s="1" t="s">
        <v>14003</v>
      </c>
      <c r="B439" s="1" t="s">
        <v>14000</v>
      </c>
      <c r="C439" s="1" t="s">
        <v>13980</v>
      </c>
      <c r="D439" s="1" t="s">
        <v>14005</v>
      </c>
    </row>
    <row r="440" spans="1:4" x14ac:dyDescent="0.15">
      <c r="A440" s="1" t="s">
        <v>14010</v>
      </c>
      <c r="B440" s="1" t="s">
        <v>12546</v>
      </c>
      <c r="C440" s="1" t="s">
        <v>13980</v>
      </c>
      <c r="D440" s="1" t="s">
        <v>14013</v>
      </c>
    </row>
    <row r="441" spans="1:4" x14ac:dyDescent="0.15">
      <c r="A441" s="1" t="s">
        <v>14014</v>
      </c>
      <c r="B441" s="1" t="s">
        <v>12547</v>
      </c>
      <c r="C441" s="1" t="s">
        <v>13980</v>
      </c>
      <c r="D441" s="1" t="s">
        <v>14017</v>
      </c>
    </row>
    <row r="442" spans="1:4" x14ac:dyDescent="0.15">
      <c r="A442" s="1" t="s">
        <v>12548</v>
      </c>
      <c r="B442" s="1" t="s">
        <v>12549</v>
      </c>
      <c r="C442" s="1" t="s">
        <v>13980</v>
      </c>
      <c r="D442" s="1" t="s">
        <v>12550</v>
      </c>
    </row>
    <row r="443" spans="1:4" x14ac:dyDescent="0.15">
      <c r="A443" s="1" t="s">
        <v>14034</v>
      </c>
      <c r="B443" s="1" t="s">
        <v>12551</v>
      </c>
      <c r="C443" s="1" t="s">
        <v>13980</v>
      </c>
      <c r="D443" s="1" t="s">
        <v>14037</v>
      </c>
    </row>
    <row r="444" spans="1:4" x14ac:dyDescent="0.15">
      <c r="A444" s="1" t="s">
        <v>14042</v>
      </c>
      <c r="B444" s="1" t="s">
        <v>12552</v>
      </c>
      <c r="C444" s="1" t="s">
        <v>13980</v>
      </c>
      <c r="D444" s="1" t="s">
        <v>14045</v>
      </c>
    </row>
    <row r="445" spans="1:4" x14ac:dyDescent="0.15">
      <c r="A445" s="1" t="s">
        <v>14070</v>
      </c>
      <c r="B445" s="1" t="s">
        <v>12553</v>
      </c>
      <c r="C445" s="1" t="s">
        <v>13980</v>
      </c>
      <c r="D445" s="1" t="s">
        <v>14073</v>
      </c>
    </row>
    <row r="446" spans="1:4" x14ac:dyDescent="0.15">
      <c r="A446" s="1" t="s">
        <v>12554</v>
      </c>
      <c r="B446" s="1" t="s">
        <v>12555</v>
      </c>
      <c r="C446" s="1" t="s">
        <v>13980</v>
      </c>
      <c r="D446" s="1" t="s">
        <v>12556</v>
      </c>
    </row>
    <row r="447" spans="1:4" x14ac:dyDescent="0.15">
      <c r="A447" s="1" t="s">
        <v>14078</v>
      </c>
      <c r="B447" s="1" t="s">
        <v>14079</v>
      </c>
      <c r="C447" s="1" t="s">
        <v>13980</v>
      </c>
      <c r="D447" s="1" t="s">
        <v>14081</v>
      </c>
    </row>
    <row r="448" spans="1:4" x14ac:dyDescent="0.15">
      <c r="A448" s="1" t="s">
        <v>14082</v>
      </c>
      <c r="B448" s="1" t="s">
        <v>12557</v>
      </c>
      <c r="C448" s="1" t="s">
        <v>13980</v>
      </c>
      <c r="D448" s="1" t="s">
        <v>14085</v>
      </c>
    </row>
    <row r="449" spans="1:4" x14ac:dyDescent="0.15">
      <c r="A449" s="1" t="s">
        <v>14090</v>
      </c>
      <c r="B449" s="1" t="s">
        <v>12558</v>
      </c>
      <c r="C449" s="1" t="s">
        <v>13980</v>
      </c>
      <c r="D449" s="1" t="s">
        <v>14093</v>
      </c>
    </row>
    <row r="450" spans="1:4" x14ac:dyDescent="0.15">
      <c r="A450" s="1" t="s">
        <v>14098</v>
      </c>
      <c r="B450" s="1" t="s">
        <v>12559</v>
      </c>
      <c r="C450" s="1" t="s">
        <v>13980</v>
      </c>
      <c r="D450" s="1" t="s">
        <v>14101</v>
      </c>
    </row>
    <row r="451" spans="1:4" x14ac:dyDescent="0.15">
      <c r="A451" s="1" t="s">
        <v>14102</v>
      </c>
      <c r="B451" s="1" t="s">
        <v>14103</v>
      </c>
      <c r="C451" s="1" t="s">
        <v>13980</v>
      </c>
      <c r="D451" s="1" t="s">
        <v>14105</v>
      </c>
    </row>
    <row r="452" spans="1:4" x14ac:dyDescent="0.15">
      <c r="A452" s="1" t="s">
        <v>14110</v>
      </c>
      <c r="B452" s="1" t="s">
        <v>14111</v>
      </c>
      <c r="C452" s="1" t="s">
        <v>13980</v>
      </c>
      <c r="D452" s="1" t="s">
        <v>14113</v>
      </c>
    </row>
    <row r="453" spans="1:4" x14ac:dyDescent="0.15">
      <c r="A453" s="1" t="s">
        <v>14114</v>
      </c>
      <c r="B453" s="1" t="s">
        <v>14115</v>
      </c>
      <c r="C453" s="1" t="s">
        <v>13980</v>
      </c>
      <c r="D453" s="1" t="s">
        <v>14117</v>
      </c>
    </row>
    <row r="454" spans="1:4" x14ac:dyDescent="0.15">
      <c r="A454" s="1" t="s">
        <v>14118</v>
      </c>
      <c r="B454" s="1" t="s">
        <v>14119</v>
      </c>
      <c r="C454" s="1" t="s">
        <v>13980</v>
      </c>
      <c r="D454" s="1" t="s">
        <v>14121</v>
      </c>
    </row>
    <row r="455" spans="1:4" x14ac:dyDescent="0.15">
      <c r="A455" s="1" t="s">
        <v>14138</v>
      </c>
      <c r="B455" s="1" t="s">
        <v>12560</v>
      </c>
      <c r="C455" s="1" t="s">
        <v>13980</v>
      </c>
      <c r="D455" s="1" t="s">
        <v>14141</v>
      </c>
    </row>
    <row r="456" spans="1:4" x14ac:dyDescent="0.15">
      <c r="A456" s="1" t="s">
        <v>14145</v>
      </c>
      <c r="B456" s="1" t="s">
        <v>14146</v>
      </c>
      <c r="C456" s="1" t="s">
        <v>13980</v>
      </c>
      <c r="D456" s="1" t="s">
        <v>14148</v>
      </c>
    </row>
    <row r="457" spans="1:4" x14ac:dyDescent="0.15">
      <c r="A457" s="1" t="s">
        <v>14149</v>
      </c>
      <c r="B457" s="1" t="s">
        <v>12561</v>
      </c>
      <c r="C457" s="1" t="s">
        <v>13980</v>
      </c>
      <c r="D457" s="1" t="s">
        <v>14152</v>
      </c>
    </row>
    <row r="458" spans="1:4" x14ac:dyDescent="0.15">
      <c r="A458" s="1" t="s">
        <v>14153</v>
      </c>
      <c r="B458" s="1" t="s">
        <v>12562</v>
      </c>
      <c r="C458" s="1" t="s">
        <v>13980</v>
      </c>
      <c r="D458" s="1" t="s">
        <v>14156</v>
      </c>
    </row>
    <row r="459" spans="1:4" x14ac:dyDescent="0.15">
      <c r="A459" s="1" t="s">
        <v>14157</v>
      </c>
      <c r="B459" s="1" t="s">
        <v>12563</v>
      </c>
      <c r="C459" s="1" t="s">
        <v>13980</v>
      </c>
      <c r="D459" s="1" t="s">
        <v>14160</v>
      </c>
    </row>
    <row r="460" spans="1:4" x14ac:dyDescent="0.15">
      <c r="A460" s="1" t="s">
        <v>12564</v>
      </c>
      <c r="B460" s="1" t="s">
        <v>12565</v>
      </c>
      <c r="C460" s="1" t="s">
        <v>13980</v>
      </c>
      <c r="D460" s="1" t="s">
        <v>12566</v>
      </c>
    </row>
    <row r="461" spans="1:4" x14ac:dyDescent="0.15">
      <c r="A461" s="1" t="s">
        <v>14181</v>
      </c>
      <c r="B461" s="1" t="s">
        <v>14182</v>
      </c>
      <c r="C461" s="1" t="s">
        <v>13980</v>
      </c>
      <c r="D461" s="1" t="s">
        <v>14184</v>
      </c>
    </row>
    <row r="462" spans="1:4" x14ac:dyDescent="0.15">
      <c r="A462" s="1" t="s">
        <v>14189</v>
      </c>
      <c r="B462" s="1" t="s">
        <v>12567</v>
      </c>
      <c r="C462" s="1" t="s">
        <v>13980</v>
      </c>
      <c r="D462" s="1" t="s">
        <v>14190</v>
      </c>
    </row>
    <row r="463" spans="1:4" x14ac:dyDescent="0.15">
      <c r="A463" s="1" t="s">
        <v>12568</v>
      </c>
      <c r="B463" s="1" t="s">
        <v>12569</v>
      </c>
      <c r="C463" s="1" t="s">
        <v>12570</v>
      </c>
      <c r="D463" s="1" t="s">
        <v>12571</v>
      </c>
    </row>
    <row r="464" spans="1:4" x14ac:dyDescent="0.15">
      <c r="A464" s="1" t="s">
        <v>12572</v>
      </c>
      <c r="B464" s="1" t="s">
        <v>12573</v>
      </c>
      <c r="C464" s="1" t="s">
        <v>12574</v>
      </c>
      <c r="D464" s="1" t="s">
        <v>12575</v>
      </c>
    </row>
    <row r="465" spans="1:4" x14ac:dyDescent="0.15">
      <c r="A465" s="1" t="s">
        <v>12576</v>
      </c>
      <c r="B465" s="1" t="s">
        <v>12577</v>
      </c>
      <c r="C465" s="1" t="s">
        <v>12574</v>
      </c>
      <c r="D465" s="1" t="s">
        <v>12578</v>
      </c>
    </row>
  </sheetData>
  <phoneticPr fontId="0" type="noConversion"/>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39"/>
  <sheetViews>
    <sheetView tabSelected="1" workbookViewId="0">
      <pane ySplit="1" topLeftCell="A2010" activePane="bottomLeft" state="frozenSplit"/>
      <selection pane="bottomLeft" activeCell="A2032" sqref="A2032"/>
    </sheetView>
  </sheetViews>
  <sheetFormatPr baseColWidth="10" defaultRowHeight="13" x14ac:dyDescent="0.15"/>
  <cols>
    <col min="1" max="1" width="8.83203125" customWidth="1"/>
    <col min="2" max="2" width="16.5" customWidth="1"/>
    <col min="3" max="3" width="12.33203125" customWidth="1"/>
    <col min="4" max="4" width="15.6640625" customWidth="1"/>
    <col min="5" max="5" width="13.6640625" customWidth="1"/>
    <col min="6" max="6" width="23" customWidth="1"/>
    <col min="7" max="7" width="21.33203125" customWidth="1"/>
    <col min="8" max="256" width="8.83203125" customWidth="1"/>
  </cols>
  <sheetData>
    <row r="1" spans="1:7" s="3" customFormat="1" x14ac:dyDescent="0.15">
      <c r="A1" s="2" t="s">
        <v>17841</v>
      </c>
      <c r="B1" s="2" t="s">
        <v>17842</v>
      </c>
      <c r="C1" s="2" t="s">
        <v>12579</v>
      </c>
      <c r="D1" s="2" t="s">
        <v>12580</v>
      </c>
      <c r="E1" s="2" t="s">
        <v>12581</v>
      </c>
      <c r="F1" s="2" t="s">
        <v>17844</v>
      </c>
      <c r="G1" s="2" t="s">
        <v>17845</v>
      </c>
    </row>
    <row r="2" spans="1:7" x14ac:dyDescent="0.15">
      <c r="A2" s="1">
        <v>1</v>
      </c>
      <c r="B2" s="1" t="s">
        <v>17847</v>
      </c>
      <c r="C2" s="1" t="s">
        <v>11572</v>
      </c>
      <c r="F2" s="1" t="s">
        <v>11573</v>
      </c>
      <c r="G2" s="1" t="s">
        <v>11574</v>
      </c>
    </row>
    <row r="3" spans="1:7" x14ac:dyDescent="0.15">
      <c r="A3" s="1">
        <v>4</v>
      </c>
      <c r="B3" s="1" t="s">
        <v>17847</v>
      </c>
      <c r="C3" s="1" t="s">
        <v>11579</v>
      </c>
      <c r="D3" s="1" t="s">
        <v>12625</v>
      </c>
      <c r="F3" s="1" t="s">
        <v>11580</v>
      </c>
      <c r="G3" s="1" t="s">
        <v>11581</v>
      </c>
    </row>
    <row r="4" spans="1:7" x14ac:dyDescent="0.15">
      <c r="A4" s="1">
        <v>5</v>
      </c>
      <c r="B4" s="1" t="s">
        <v>17847</v>
      </c>
      <c r="C4" s="1" t="s">
        <v>17848</v>
      </c>
      <c r="D4" s="1" t="s">
        <v>11582</v>
      </c>
      <c r="F4" s="1" t="s">
        <v>11580</v>
      </c>
      <c r="G4" s="1" t="s">
        <v>11583</v>
      </c>
    </row>
    <row r="5" spans="1:7" x14ac:dyDescent="0.15">
      <c r="A5" s="1">
        <v>6</v>
      </c>
      <c r="B5" s="1" t="s">
        <v>17847</v>
      </c>
      <c r="C5" s="1" t="s">
        <v>11584</v>
      </c>
      <c r="F5" s="1" t="s">
        <v>11585</v>
      </c>
      <c r="G5" s="1" t="s">
        <v>11586</v>
      </c>
    </row>
    <row r="6" spans="1:7" x14ac:dyDescent="0.15">
      <c r="A6" s="1">
        <v>7</v>
      </c>
      <c r="B6" s="1" t="s">
        <v>17847</v>
      </c>
      <c r="C6" s="1" t="s">
        <v>17856</v>
      </c>
      <c r="F6" s="1" t="s">
        <v>11587</v>
      </c>
      <c r="G6" s="1" t="s">
        <v>11588</v>
      </c>
    </row>
    <row r="7" spans="1:7" x14ac:dyDescent="0.15">
      <c r="A7" s="1">
        <v>9</v>
      </c>
      <c r="B7" s="1" t="s">
        <v>17847</v>
      </c>
      <c r="C7" s="1" t="s">
        <v>17860</v>
      </c>
      <c r="F7" s="1" t="s">
        <v>11590</v>
      </c>
      <c r="G7" s="1" t="s">
        <v>11591</v>
      </c>
    </row>
    <row r="8" spans="1:7" x14ac:dyDescent="0.15">
      <c r="A8" s="1">
        <v>11</v>
      </c>
      <c r="B8" s="1" t="s">
        <v>17847</v>
      </c>
      <c r="C8" s="1" t="s">
        <v>17864</v>
      </c>
      <c r="F8" s="1" t="s">
        <v>11593</v>
      </c>
      <c r="G8" s="1" t="s">
        <v>11594</v>
      </c>
    </row>
    <row r="9" spans="1:7" x14ac:dyDescent="0.15">
      <c r="A9" s="1">
        <v>14</v>
      </c>
      <c r="B9" s="1" t="s">
        <v>17847</v>
      </c>
      <c r="C9" s="1" t="s">
        <v>17868</v>
      </c>
      <c r="F9" s="1" t="s">
        <v>11598</v>
      </c>
      <c r="G9" s="1" t="s">
        <v>11599</v>
      </c>
    </row>
    <row r="10" spans="1:7" x14ac:dyDescent="0.15">
      <c r="A10" s="1">
        <v>17</v>
      </c>
      <c r="B10" s="1" t="s">
        <v>17847</v>
      </c>
      <c r="C10" s="1" t="s">
        <v>11602</v>
      </c>
      <c r="D10" s="1" t="s">
        <v>11582</v>
      </c>
      <c r="F10" s="1" t="s">
        <v>11603</v>
      </c>
      <c r="G10" s="1" t="s">
        <v>11604</v>
      </c>
    </row>
    <row r="11" spans="1:7" x14ac:dyDescent="0.15">
      <c r="A11" s="1">
        <v>18</v>
      </c>
      <c r="B11" s="1" t="s">
        <v>17847</v>
      </c>
      <c r="C11" s="1" t="s">
        <v>11605</v>
      </c>
      <c r="D11" s="1" t="s">
        <v>12625</v>
      </c>
      <c r="F11" s="1" t="s">
        <v>11606</v>
      </c>
      <c r="G11" s="1" t="s">
        <v>11607</v>
      </c>
    </row>
    <row r="12" spans="1:7" x14ac:dyDescent="0.15">
      <c r="A12" s="1">
        <v>19</v>
      </c>
      <c r="B12" s="1" t="s">
        <v>17847</v>
      </c>
      <c r="C12" s="1" t="s">
        <v>17872</v>
      </c>
      <c r="F12" s="1" t="s">
        <v>11608</v>
      </c>
      <c r="G12" s="1" t="s">
        <v>11609</v>
      </c>
    </row>
    <row r="13" spans="1:7" x14ac:dyDescent="0.15">
      <c r="A13" s="1">
        <v>20</v>
      </c>
      <c r="B13" s="1" t="s">
        <v>17847</v>
      </c>
      <c r="C13" s="1" t="s">
        <v>11610</v>
      </c>
      <c r="F13" s="1" t="s">
        <v>11611</v>
      </c>
      <c r="G13" s="1" t="s">
        <v>11612</v>
      </c>
    </row>
    <row r="14" spans="1:7" x14ac:dyDescent="0.15">
      <c r="A14" s="1">
        <v>21</v>
      </c>
      <c r="B14" s="1" t="s">
        <v>17847</v>
      </c>
      <c r="C14" s="1" t="s">
        <v>17880</v>
      </c>
      <c r="F14" s="1" t="s">
        <v>11613</v>
      </c>
      <c r="G14" s="1" t="s">
        <v>11614</v>
      </c>
    </row>
    <row r="15" spans="1:7" x14ac:dyDescent="0.15">
      <c r="A15" s="1">
        <v>24</v>
      </c>
      <c r="B15" s="1" t="s">
        <v>17847</v>
      </c>
      <c r="C15" s="1" t="s">
        <v>17884</v>
      </c>
      <c r="F15" s="1" t="s">
        <v>11616</v>
      </c>
      <c r="G15" s="1" t="s">
        <v>11617</v>
      </c>
    </row>
    <row r="16" spans="1:7" x14ac:dyDescent="0.15">
      <c r="A16" s="1">
        <v>26</v>
      </c>
      <c r="B16" s="1" t="s">
        <v>17847</v>
      </c>
      <c r="C16" s="1" t="s">
        <v>11619</v>
      </c>
      <c r="D16" s="1" t="s">
        <v>12625</v>
      </c>
      <c r="F16" s="1" t="s">
        <v>11620</v>
      </c>
      <c r="G16" s="1" t="s">
        <v>11621</v>
      </c>
    </row>
    <row r="17" spans="1:7" x14ac:dyDescent="0.15">
      <c r="A17" s="1">
        <v>28</v>
      </c>
      <c r="B17" s="1" t="s">
        <v>17847</v>
      </c>
      <c r="C17" s="1" t="s">
        <v>17888</v>
      </c>
      <c r="F17" s="1" t="s">
        <v>11624</v>
      </c>
      <c r="G17" s="1" t="s">
        <v>11625</v>
      </c>
    </row>
    <row r="18" spans="1:7" x14ac:dyDescent="0.15">
      <c r="A18" s="1">
        <v>29</v>
      </c>
      <c r="B18" s="1" t="s">
        <v>17847</v>
      </c>
      <c r="C18" s="1" t="s">
        <v>11626</v>
      </c>
      <c r="F18" s="1" t="s">
        <v>11627</v>
      </c>
      <c r="G18" s="1" t="s">
        <v>11628</v>
      </c>
    </row>
    <row r="19" spans="1:7" x14ac:dyDescent="0.15">
      <c r="A19" s="1">
        <v>30</v>
      </c>
      <c r="B19" s="1" t="s">
        <v>17847</v>
      </c>
      <c r="C19" s="1" t="s">
        <v>17896</v>
      </c>
      <c r="F19" s="1" t="s">
        <v>11629</v>
      </c>
      <c r="G19" s="1" t="s">
        <v>11630</v>
      </c>
    </row>
    <row r="20" spans="1:7" x14ac:dyDescent="0.15">
      <c r="A20" s="1">
        <v>31</v>
      </c>
      <c r="B20" s="1" t="s">
        <v>17847</v>
      </c>
      <c r="C20" s="1" t="s">
        <v>17900</v>
      </c>
      <c r="F20" s="1" t="s">
        <v>11631</v>
      </c>
      <c r="G20" s="1" t="s">
        <v>11632</v>
      </c>
    </row>
    <row r="21" spans="1:7" x14ac:dyDescent="0.15">
      <c r="A21" s="1">
        <v>32</v>
      </c>
      <c r="B21" s="1" t="s">
        <v>17847</v>
      </c>
      <c r="C21" s="1" t="s">
        <v>17904</v>
      </c>
      <c r="F21" s="1" t="s">
        <v>12586</v>
      </c>
      <c r="G21" s="1" t="s">
        <v>11633</v>
      </c>
    </row>
    <row r="22" spans="1:7" x14ac:dyDescent="0.15">
      <c r="A22" s="1">
        <v>37</v>
      </c>
      <c r="B22" s="1" t="s">
        <v>17847</v>
      </c>
      <c r="C22" s="1" t="s">
        <v>17908</v>
      </c>
      <c r="F22" s="1" t="s">
        <v>11634</v>
      </c>
      <c r="G22" s="1" t="s">
        <v>11635</v>
      </c>
    </row>
    <row r="23" spans="1:7" x14ac:dyDescent="0.15">
      <c r="A23" s="1">
        <v>38</v>
      </c>
      <c r="B23" s="1" t="s">
        <v>17847</v>
      </c>
      <c r="C23" s="1" t="s">
        <v>11636</v>
      </c>
      <c r="D23" s="1" t="s">
        <v>12625</v>
      </c>
      <c r="F23" s="1" t="s">
        <v>11637</v>
      </c>
      <c r="G23" s="1" t="s">
        <v>11638</v>
      </c>
    </row>
    <row r="24" spans="1:7" x14ac:dyDescent="0.15">
      <c r="A24" s="1">
        <v>39</v>
      </c>
      <c r="B24" s="1" t="s">
        <v>17847</v>
      </c>
      <c r="C24" s="1" t="s">
        <v>11639</v>
      </c>
      <c r="D24" s="1" t="s">
        <v>12625</v>
      </c>
      <c r="F24" s="1" t="s">
        <v>11640</v>
      </c>
      <c r="G24" s="1" t="s">
        <v>11641</v>
      </c>
    </row>
    <row r="25" spans="1:7" x14ac:dyDescent="0.15">
      <c r="A25" s="1">
        <v>40</v>
      </c>
      <c r="B25" s="1" t="s">
        <v>17847</v>
      </c>
      <c r="C25" s="1" t="s">
        <v>17912</v>
      </c>
      <c r="F25" s="1" t="s">
        <v>11642</v>
      </c>
      <c r="G25" s="1" t="s">
        <v>11643</v>
      </c>
    </row>
    <row r="26" spans="1:7" x14ac:dyDescent="0.15">
      <c r="A26" s="1">
        <v>41</v>
      </c>
      <c r="B26" s="1" t="s">
        <v>17847</v>
      </c>
      <c r="C26" s="1" t="s">
        <v>11644</v>
      </c>
      <c r="F26" s="1" t="s">
        <v>11645</v>
      </c>
      <c r="G26" s="1" t="s">
        <v>11646</v>
      </c>
    </row>
    <row r="27" spans="1:7" x14ac:dyDescent="0.15">
      <c r="A27" s="1">
        <v>42</v>
      </c>
      <c r="B27" s="1" t="s">
        <v>17847</v>
      </c>
      <c r="C27" s="1" t="s">
        <v>17920</v>
      </c>
      <c r="F27" s="1" t="s">
        <v>11645</v>
      </c>
      <c r="G27" s="1" t="s">
        <v>11647</v>
      </c>
    </row>
    <row r="28" spans="1:7" x14ac:dyDescent="0.15">
      <c r="A28" s="1">
        <v>43</v>
      </c>
      <c r="B28" s="1" t="s">
        <v>17847</v>
      </c>
      <c r="C28" s="1" t="s">
        <v>11648</v>
      </c>
      <c r="F28" s="1" t="s">
        <v>11649</v>
      </c>
      <c r="G28" s="1" t="s">
        <v>11650</v>
      </c>
    </row>
    <row r="29" spans="1:7" x14ac:dyDescent="0.15">
      <c r="A29" s="1">
        <v>45</v>
      </c>
      <c r="B29" s="1" t="s">
        <v>17847</v>
      </c>
      <c r="C29" s="1" t="s">
        <v>17928</v>
      </c>
      <c r="D29" s="1" t="s">
        <v>11582</v>
      </c>
      <c r="F29" s="1" t="s">
        <v>11603</v>
      </c>
      <c r="G29" s="1" t="s">
        <v>11653</v>
      </c>
    </row>
    <row r="30" spans="1:7" x14ac:dyDescent="0.15">
      <c r="A30" s="1">
        <v>46</v>
      </c>
      <c r="B30" s="1" t="s">
        <v>17847</v>
      </c>
      <c r="C30" s="1" t="s">
        <v>11654</v>
      </c>
      <c r="D30" s="1" t="s">
        <v>12625</v>
      </c>
      <c r="F30" s="1" t="s">
        <v>11655</v>
      </c>
      <c r="G30" s="1" t="s">
        <v>11656</v>
      </c>
    </row>
    <row r="31" spans="1:7" x14ac:dyDescent="0.15">
      <c r="A31" s="1">
        <v>48</v>
      </c>
      <c r="B31" s="1" t="s">
        <v>17847</v>
      </c>
      <c r="C31" s="1" t="s">
        <v>17932</v>
      </c>
      <c r="F31" s="1" t="s">
        <v>11659</v>
      </c>
      <c r="G31" s="1" t="s">
        <v>11660</v>
      </c>
    </row>
    <row r="32" spans="1:7" x14ac:dyDescent="0.15">
      <c r="A32" s="1">
        <v>49</v>
      </c>
      <c r="B32" s="1" t="s">
        <v>17847</v>
      </c>
      <c r="C32" s="1" t="s">
        <v>17936</v>
      </c>
      <c r="F32" s="1" t="s">
        <v>11661</v>
      </c>
      <c r="G32" s="1" t="s">
        <v>11662</v>
      </c>
    </row>
    <row r="33" spans="1:7" x14ac:dyDescent="0.15">
      <c r="A33" s="1">
        <v>51</v>
      </c>
      <c r="B33" s="1" t="s">
        <v>17847</v>
      </c>
      <c r="C33" s="1" t="s">
        <v>11663</v>
      </c>
      <c r="D33" s="1" t="s">
        <v>12625</v>
      </c>
      <c r="F33" s="1" t="s">
        <v>11664</v>
      </c>
      <c r="G33" s="1" t="s">
        <v>11665</v>
      </c>
    </row>
    <row r="34" spans="1:7" x14ac:dyDescent="0.15">
      <c r="A34" s="1">
        <v>52</v>
      </c>
      <c r="B34" s="1" t="s">
        <v>17847</v>
      </c>
      <c r="C34" s="1" t="s">
        <v>17940</v>
      </c>
      <c r="F34" s="1" t="s">
        <v>11666</v>
      </c>
      <c r="G34" s="1" t="s">
        <v>11667</v>
      </c>
    </row>
    <row r="35" spans="1:7" x14ac:dyDescent="0.15">
      <c r="A35" s="1">
        <v>53</v>
      </c>
      <c r="B35" s="1" t="s">
        <v>17847</v>
      </c>
      <c r="C35" s="1" t="s">
        <v>11668</v>
      </c>
      <c r="F35" s="1" t="s">
        <v>11669</v>
      </c>
      <c r="G35" s="1" t="s">
        <v>11670</v>
      </c>
    </row>
    <row r="36" spans="1:7" x14ac:dyDescent="0.15">
      <c r="A36" s="1">
        <v>54</v>
      </c>
      <c r="B36" s="1" t="s">
        <v>17847</v>
      </c>
      <c r="C36" s="1" t="s">
        <v>17948</v>
      </c>
      <c r="F36" s="1" t="s">
        <v>11671</v>
      </c>
      <c r="G36" s="1" t="s">
        <v>11672</v>
      </c>
    </row>
    <row r="37" spans="1:7" x14ac:dyDescent="0.15">
      <c r="A37" s="1">
        <v>55</v>
      </c>
      <c r="B37" s="1" t="s">
        <v>17847</v>
      </c>
      <c r="C37" s="1" t="s">
        <v>17952</v>
      </c>
      <c r="F37" s="1" t="s">
        <v>11673</v>
      </c>
      <c r="G37" s="1" t="s">
        <v>11674</v>
      </c>
    </row>
    <row r="38" spans="1:7" x14ac:dyDescent="0.15">
      <c r="A38" s="1">
        <v>56</v>
      </c>
      <c r="B38" s="1" t="s">
        <v>17847</v>
      </c>
      <c r="C38" s="1" t="s">
        <v>17956</v>
      </c>
      <c r="F38" s="1" t="s">
        <v>11675</v>
      </c>
      <c r="G38" s="1" t="s">
        <v>11676</v>
      </c>
    </row>
    <row r="39" spans="1:7" x14ac:dyDescent="0.15">
      <c r="A39" s="1">
        <v>57</v>
      </c>
      <c r="B39" s="1" t="s">
        <v>17847</v>
      </c>
      <c r="C39" s="1" t="s">
        <v>17960</v>
      </c>
      <c r="F39" s="1" t="s">
        <v>11530</v>
      </c>
      <c r="G39" s="1" t="s">
        <v>11677</v>
      </c>
    </row>
    <row r="40" spans="1:7" x14ac:dyDescent="0.15">
      <c r="A40" s="1">
        <v>60</v>
      </c>
      <c r="B40" s="1" t="s">
        <v>17847</v>
      </c>
      <c r="C40" s="1" t="s">
        <v>17964</v>
      </c>
      <c r="F40" s="1" t="s">
        <v>11678</v>
      </c>
      <c r="G40" s="1" t="s">
        <v>11679</v>
      </c>
    </row>
    <row r="41" spans="1:7" x14ac:dyDescent="0.15">
      <c r="A41" s="1">
        <v>61</v>
      </c>
      <c r="B41" s="1" t="s">
        <v>17847</v>
      </c>
      <c r="C41" s="1" t="s">
        <v>17968</v>
      </c>
      <c r="F41" s="1" t="s">
        <v>11680</v>
      </c>
      <c r="G41" s="1" t="s">
        <v>11681</v>
      </c>
    </row>
    <row r="42" spans="1:7" x14ac:dyDescent="0.15">
      <c r="A42" s="1">
        <v>62</v>
      </c>
      <c r="B42" s="1" t="s">
        <v>17847</v>
      </c>
      <c r="C42" s="1" t="s">
        <v>11682</v>
      </c>
      <c r="D42" s="1" t="s">
        <v>12625</v>
      </c>
      <c r="F42" s="1" t="s">
        <v>11683</v>
      </c>
      <c r="G42" s="1" t="s">
        <v>11684</v>
      </c>
    </row>
    <row r="43" spans="1:7" x14ac:dyDescent="0.15">
      <c r="A43" s="1">
        <v>63</v>
      </c>
      <c r="B43" s="1" t="s">
        <v>17847</v>
      </c>
      <c r="C43" s="1" t="s">
        <v>17972</v>
      </c>
      <c r="F43" s="1" t="s">
        <v>11685</v>
      </c>
      <c r="G43" s="1" t="s">
        <v>11686</v>
      </c>
    </row>
    <row r="44" spans="1:7" x14ac:dyDescent="0.15">
      <c r="A44" s="1">
        <v>64</v>
      </c>
      <c r="B44" s="1" t="s">
        <v>17847</v>
      </c>
      <c r="C44" s="1" t="s">
        <v>11687</v>
      </c>
      <c r="F44" s="1" t="s">
        <v>11688</v>
      </c>
      <c r="G44" s="1" t="s">
        <v>11689</v>
      </c>
    </row>
    <row r="45" spans="1:7" x14ac:dyDescent="0.15">
      <c r="A45" s="1">
        <v>65</v>
      </c>
      <c r="B45" s="1" t="s">
        <v>17847</v>
      </c>
      <c r="C45" s="1" t="s">
        <v>17980</v>
      </c>
      <c r="F45" s="1" t="s">
        <v>11688</v>
      </c>
      <c r="G45" s="1" t="s">
        <v>11690</v>
      </c>
    </row>
    <row r="46" spans="1:7" x14ac:dyDescent="0.15">
      <c r="A46" s="1">
        <v>66</v>
      </c>
      <c r="B46" s="1" t="s">
        <v>17847</v>
      </c>
      <c r="C46" s="1" t="s">
        <v>11691</v>
      </c>
      <c r="D46" s="1" t="s">
        <v>12625</v>
      </c>
      <c r="F46" s="1" t="s">
        <v>11692</v>
      </c>
      <c r="G46" s="1" t="s">
        <v>11693</v>
      </c>
    </row>
    <row r="47" spans="1:7" x14ac:dyDescent="0.15">
      <c r="A47" s="1">
        <v>67</v>
      </c>
      <c r="B47" s="1" t="s">
        <v>17847</v>
      </c>
      <c r="C47" s="1" t="s">
        <v>11694</v>
      </c>
      <c r="D47" s="1" t="s">
        <v>11582</v>
      </c>
      <c r="F47" s="1" t="s">
        <v>11695</v>
      </c>
      <c r="G47" s="1" t="s">
        <v>11696</v>
      </c>
    </row>
    <row r="48" spans="1:7" x14ac:dyDescent="0.15">
      <c r="A48" s="1">
        <v>69</v>
      </c>
      <c r="B48" s="1" t="s">
        <v>17847</v>
      </c>
      <c r="C48" s="1" t="s">
        <v>11698</v>
      </c>
      <c r="D48" s="1" t="s">
        <v>12625</v>
      </c>
      <c r="F48" s="1" t="s">
        <v>11699</v>
      </c>
      <c r="G48" s="1" t="s">
        <v>11700</v>
      </c>
    </row>
    <row r="49" spans="1:7" x14ac:dyDescent="0.15">
      <c r="A49" s="1">
        <v>73</v>
      </c>
      <c r="B49" s="1" t="s">
        <v>17847</v>
      </c>
      <c r="C49" s="1" t="s">
        <v>11704</v>
      </c>
      <c r="D49" s="1" t="s">
        <v>12625</v>
      </c>
      <c r="F49" s="1" t="s">
        <v>11705</v>
      </c>
      <c r="G49" s="1" t="s">
        <v>11706</v>
      </c>
    </row>
    <row r="50" spans="1:7" x14ac:dyDescent="0.15">
      <c r="A50" s="1">
        <v>74</v>
      </c>
      <c r="B50" s="1" t="s">
        <v>17847</v>
      </c>
      <c r="C50" s="1" t="s">
        <v>11707</v>
      </c>
      <c r="D50" s="1" t="s">
        <v>11582</v>
      </c>
      <c r="F50" s="1" t="s">
        <v>11708</v>
      </c>
      <c r="G50" s="1" t="s">
        <v>11709</v>
      </c>
    </row>
    <row r="51" spans="1:7" x14ac:dyDescent="0.15">
      <c r="A51" s="1">
        <v>76</v>
      </c>
      <c r="B51" s="1" t="s">
        <v>17847</v>
      </c>
      <c r="C51" s="1" t="s">
        <v>11710</v>
      </c>
      <c r="D51" s="1" t="s">
        <v>11582</v>
      </c>
      <c r="F51" s="1" t="s">
        <v>11711</v>
      </c>
      <c r="G51" s="1" t="s">
        <v>11712</v>
      </c>
    </row>
    <row r="52" spans="1:7" x14ac:dyDescent="0.15">
      <c r="A52" s="1">
        <v>83</v>
      </c>
      <c r="B52" s="1" t="s">
        <v>17847</v>
      </c>
      <c r="C52" s="1" t="s">
        <v>11722</v>
      </c>
      <c r="D52" s="1" t="s">
        <v>11582</v>
      </c>
      <c r="F52" s="1" t="s">
        <v>11723</v>
      </c>
      <c r="G52" s="1" t="s">
        <v>11724</v>
      </c>
    </row>
    <row r="53" spans="1:7" x14ac:dyDescent="0.15">
      <c r="A53" s="1">
        <v>86</v>
      </c>
      <c r="B53" s="1" t="s">
        <v>17847</v>
      </c>
      <c r="C53" s="1" t="s">
        <v>11729</v>
      </c>
      <c r="D53" s="1" t="s">
        <v>11582</v>
      </c>
      <c r="F53" s="1" t="s">
        <v>11730</v>
      </c>
      <c r="G53" s="1" t="s">
        <v>11731</v>
      </c>
    </row>
    <row r="54" spans="1:7" x14ac:dyDescent="0.15">
      <c r="A54" s="1">
        <v>92</v>
      </c>
      <c r="B54" s="1" t="s">
        <v>17847</v>
      </c>
      <c r="C54" s="1" t="s">
        <v>11739</v>
      </c>
      <c r="D54" s="1" t="s">
        <v>11582</v>
      </c>
      <c r="F54" s="1" t="s">
        <v>11740</v>
      </c>
      <c r="G54" s="1" t="s">
        <v>11741</v>
      </c>
    </row>
    <row r="55" spans="1:7" x14ac:dyDescent="0.15">
      <c r="A55" s="1">
        <v>96</v>
      </c>
      <c r="B55" s="1" t="s">
        <v>17847</v>
      </c>
      <c r="C55" s="1" t="s">
        <v>11748</v>
      </c>
      <c r="D55" s="1" t="s">
        <v>11582</v>
      </c>
      <c r="F55" s="1" t="s">
        <v>11749</v>
      </c>
      <c r="G55" s="1" t="s">
        <v>11750</v>
      </c>
    </row>
    <row r="56" spans="1:7" x14ac:dyDescent="0.15">
      <c r="A56" s="1">
        <v>97</v>
      </c>
      <c r="B56" s="1" t="s">
        <v>17847</v>
      </c>
      <c r="C56" s="1" t="s">
        <v>11751</v>
      </c>
      <c r="D56" s="1" t="s">
        <v>12625</v>
      </c>
      <c r="F56" s="1" t="s">
        <v>11752</v>
      </c>
      <c r="G56" s="1" t="s">
        <v>11753</v>
      </c>
    </row>
    <row r="57" spans="1:7" x14ac:dyDescent="0.15">
      <c r="A57" s="1">
        <v>98</v>
      </c>
      <c r="B57" s="1" t="s">
        <v>17847</v>
      </c>
      <c r="C57" s="1" t="s">
        <v>11754</v>
      </c>
      <c r="D57" s="1" t="s">
        <v>11582</v>
      </c>
      <c r="F57" s="1" t="s">
        <v>11755</v>
      </c>
      <c r="G57" s="1" t="s">
        <v>11756</v>
      </c>
    </row>
    <row r="58" spans="1:7" x14ac:dyDescent="0.15">
      <c r="A58" s="1">
        <v>100</v>
      </c>
      <c r="B58" s="1" t="s">
        <v>17847</v>
      </c>
      <c r="C58" s="1" t="s">
        <v>11758</v>
      </c>
      <c r="D58" s="1" t="s">
        <v>11582</v>
      </c>
      <c r="F58" s="1" t="s">
        <v>11759</v>
      </c>
      <c r="G58" s="1" t="s">
        <v>11760</v>
      </c>
    </row>
    <row r="59" spans="1:7" x14ac:dyDescent="0.15">
      <c r="A59" s="1">
        <v>101</v>
      </c>
      <c r="B59" s="1" t="s">
        <v>17847</v>
      </c>
      <c r="C59" s="1" t="s">
        <v>11615</v>
      </c>
      <c r="D59" s="1" t="s">
        <v>11582</v>
      </c>
      <c r="F59" s="1" t="s">
        <v>11761</v>
      </c>
      <c r="G59" s="1" t="s">
        <v>11762</v>
      </c>
    </row>
    <row r="60" spans="1:7" x14ac:dyDescent="0.15">
      <c r="A60" s="1">
        <v>102</v>
      </c>
      <c r="B60" s="1" t="s">
        <v>17847</v>
      </c>
      <c r="C60" s="1" t="s">
        <v>11763</v>
      </c>
      <c r="D60" s="1" t="s">
        <v>11582</v>
      </c>
      <c r="F60" s="1" t="s">
        <v>11764</v>
      </c>
      <c r="G60" s="1" t="s">
        <v>11765</v>
      </c>
    </row>
    <row r="61" spans="1:7" x14ac:dyDescent="0.15">
      <c r="A61" s="1">
        <v>105</v>
      </c>
      <c r="B61" s="1" t="s">
        <v>17847</v>
      </c>
      <c r="C61" s="1" t="s">
        <v>11766</v>
      </c>
      <c r="D61" s="1" t="s">
        <v>12625</v>
      </c>
      <c r="F61" s="1" t="s">
        <v>11767</v>
      </c>
      <c r="G61" s="1" t="s">
        <v>11768</v>
      </c>
    </row>
    <row r="62" spans="1:7" x14ac:dyDescent="0.15">
      <c r="A62" s="1">
        <v>108</v>
      </c>
      <c r="B62" s="1" t="s">
        <v>17847</v>
      </c>
      <c r="C62" s="1" t="s">
        <v>11769</v>
      </c>
      <c r="D62" s="1" t="s">
        <v>12625</v>
      </c>
      <c r="F62" s="1" t="s">
        <v>11770</v>
      </c>
      <c r="G62" s="1" t="s">
        <v>11771</v>
      </c>
    </row>
    <row r="63" spans="1:7" x14ac:dyDescent="0.15">
      <c r="A63" s="1">
        <v>109</v>
      </c>
      <c r="B63" s="1" t="s">
        <v>17847</v>
      </c>
      <c r="C63" s="1" t="s">
        <v>12613</v>
      </c>
      <c r="F63" s="1" t="s">
        <v>12614</v>
      </c>
      <c r="G63" s="1" t="s">
        <v>11772</v>
      </c>
    </row>
    <row r="64" spans="1:7" x14ac:dyDescent="0.15">
      <c r="A64" s="1">
        <v>112</v>
      </c>
      <c r="B64" s="1" t="s">
        <v>17847</v>
      </c>
      <c r="C64" s="1" t="s">
        <v>11773</v>
      </c>
      <c r="D64" s="1" t="s">
        <v>11582</v>
      </c>
      <c r="F64" s="1" t="s">
        <v>11774</v>
      </c>
      <c r="G64" s="1" t="s">
        <v>11225</v>
      </c>
    </row>
    <row r="65" spans="1:7" x14ac:dyDescent="0.15">
      <c r="A65" s="1">
        <v>117</v>
      </c>
      <c r="B65" s="1" t="s">
        <v>17847</v>
      </c>
      <c r="C65" s="1" t="s">
        <v>11227</v>
      </c>
      <c r="D65" s="1" t="s">
        <v>11582</v>
      </c>
      <c r="F65" s="1" t="s">
        <v>11228</v>
      </c>
      <c r="G65" s="1" t="s">
        <v>11229</v>
      </c>
    </row>
    <row r="66" spans="1:7" x14ac:dyDescent="0.15">
      <c r="A66" s="1">
        <v>118</v>
      </c>
      <c r="B66" s="1" t="s">
        <v>17847</v>
      </c>
      <c r="C66" s="1" t="s">
        <v>11230</v>
      </c>
      <c r="D66" s="1" t="s">
        <v>11582</v>
      </c>
      <c r="F66" s="1" t="s">
        <v>11231</v>
      </c>
      <c r="G66" s="1" t="s">
        <v>11232</v>
      </c>
    </row>
    <row r="67" spans="1:7" x14ac:dyDescent="0.15">
      <c r="A67" s="1">
        <v>119</v>
      </c>
      <c r="B67" s="1" t="s">
        <v>17847</v>
      </c>
      <c r="C67" s="1" t="s">
        <v>11233</v>
      </c>
      <c r="D67" s="1" t="s">
        <v>12625</v>
      </c>
      <c r="F67" s="1" t="s">
        <v>11234</v>
      </c>
      <c r="G67" s="1" t="s">
        <v>11235</v>
      </c>
    </row>
    <row r="68" spans="1:7" x14ac:dyDescent="0.15">
      <c r="A68" s="1">
        <v>126</v>
      </c>
      <c r="B68" s="1" t="s">
        <v>17847</v>
      </c>
      <c r="C68" s="1" t="s">
        <v>11244</v>
      </c>
      <c r="D68" s="1" t="s">
        <v>11582</v>
      </c>
      <c r="F68" s="1" t="s">
        <v>11245</v>
      </c>
      <c r="G68" s="1" t="s">
        <v>11246</v>
      </c>
    </row>
    <row r="69" spans="1:7" x14ac:dyDescent="0.15">
      <c r="A69" s="1">
        <v>129</v>
      </c>
      <c r="B69" s="1" t="s">
        <v>17847</v>
      </c>
      <c r="C69" s="1" t="s">
        <v>12607</v>
      </c>
      <c r="D69" s="1" t="s">
        <v>11582</v>
      </c>
      <c r="F69" s="1" t="s">
        <v>12608</v>
      </c>
      <c r="G69" s="1" t="s">
        <v>11247</v>
      </c>
    </row>
    <row r="70" spans="1:7" x14ac:dyDescent="0.15">
      <c r="A70" s="1">
        <v>131</v>
      </c>
      <c r="B70" s="1" t="s">
        <v>17847</v>
      </c>
      <c r="C70" s="1" t="s">
        <v>11248</v>
      </c>
      <c r="D70" s="1" t="s">
        <v>11582</v>
      </c>
      <c r="F70" s="1" t="s">
        <v>11249</v>
      </c>
      <c r="G70" s="1" t="s">
        <v>11250</v>
      </c>
    </row>
    <row r="71" spans="1:7" x14ac:dyDescent="0.15">
      <c r="A71" s="1">
        <v>132</v>
      </c>
      <c r="B71" s="1" t="s">
        <v>17847</v>
      </c>
      <c r="C71" s="1" t="s">
        <v>12611</v>
      </c>
      <c r="F71" s="1" t="s">
        <v>12612</v>
      </c>
      <c r="G71" s="1" t="s">
        <v>11772</v>
      </c>
    </row>
    <row r="72" spans="1:7" x14ac:dyDescent="0.15">
      <c r="A72" s="1">
        <v>134</v>
      </c>
      <c r="B72" s="1" t="s">
        <v>17847</v>
      </c>
      <c r="C72" s="1" t="s">
        <v>11251</v>
      </c>
      <c r="D72" s="1" t="s">
        <v>11582</v>
      </c>
      <c r="F72" s="1" t="s">
        <v>11253</v>
      </c>
      <c r="G72" s="1" t="s">
        <v>11254</v>
      </c>
    </row>
    <row r="73" spans="1:7" x14ac:dyDescent="0.15">
      <c r="A73" s="1">
        <v>135</v>
      </c>
      <c r="B73" s="1" t="s">
        <v>17847</v>
      </c>
      <c r="C73" s="1" t="s">
        <v>11255</v>
      </c>
      <c r="D73" s="1" t="s">
        <v>12625</v>
      </c>
      <c r="F73" s="1" t="s">
        <v>11256</v>
      </c>
      <c r="G73" s="1" t="s">
        <v>11257</v>
      </c>
    </row>
    <row r="74" spans="1:7" x14ac:dyDescent="0.15">
      <c r="A74" s="1">
        <v>137</v>
      </c>
      <c r="B74" s="1" t="s">
        <v>17847</v>
      </c>
      <c r="C74" s="1" t="s">
        <v>11260</v>
      </c>
      <c r="D74" s="1" t="s">
        <v>12625</v>
      </c>
      <c r="F74" s="1" t="s">
        <v>11261</v>
      </c>
      <c r="G74" s="1" t="s">
        <v>11262</v>
      </c>
    </row>
    <row r="75" spans="1:7" x14ac:dyDescent="0.15">
      <c r="A75" s="1">
        <v>139</v>
      </c>
      <c r="B75" s="1" t="s">
        <v>17847</v>
      </c>
      <c r="C75" s="1" t="s">
        <v>11263</v>
      </c>
      <c r="D75" s="1" t="s">
        <v>12625</v>
      </c>
      <c r="F75" s="1" t="s">
        <v>11264</v>
      </c>
      <c r="G75" s="1" t="s">
        <v>11265</v>
      </c>
    </row>
    <row r="76" spans="1:7" x14ac:dyDescent="0.15">
      <c r="A76" s="1">
        <v>140</v>
      </c>
      <c r="B76" s="1" t="s">
        <v>17847</v>
      </c>
      <c r="C76" s="1" t="s">
        <v>11266</v>
      </c>
      <c r="F76" s="1" t="s">
        <v>11267</v>
      </c>
      <c r="G76" s="1" t="s">
        <v>11268</v>
      </c>
    </row>
    <row r="77" spans="1:7" x14ac:dyDescent="0.15">
      <c r="A77" s="1">
        <v>141</v>
      </c>
      <c r="B77" s="1" t="s">
        <v>17847</v>
      </c>
      <c r="C77" s="1" t="s">
        <v>17987</v>
      </c>
      <c r="F77" s="1" t="s">
        <v>11267</v>
      </c>
      <c r="G77" s="1" t="s">
        <v>11269</v>
      </c>
    </row>
    <row r="78" spans="1:7" x14ac:dyDescent="0.15">
      <c r="A78" s="1">
        <v>142</v>
      </c>
      <c r="B78" s="1" t="s">
        <v>17989</v>
      </c>
      <c r="C78" s="1" t="s">
        <v>17989</v>
      </c>
      <c r="D78" s="1" t="s">
        <v>12593</v>
      </c>
      <c r="F78" s="1" t="s">
        <v>11270</v>
      </c>
      <c r="G78" s="1" t="s">
        <v>11271</v>
      </c>
    </row>
    <row r="79" spans="1:7" x14ac:dyDescent="0.15">
      <c r="A79" s="1">
        <v>143</v>
      </c>
      <c r="B79" s="1" t="s">
        <v>18102</v>
      </c>
      <c r="C79" s="1" t="s">
        <v>11272</v>
      </c>
      <c r="F79" s="1" t="s">
        <v>11273</v>
      </c>
      <c r="G79" s="1" t="s">
        <v>11274</v>
      </c>
    </row>
    <row r="80" spans="1:7" x14ac:dyDescent="0.15">
      <c r="A80" s="1">
        <v>145</v>
      </c>
      <c r="B80" s="1" t="s">
        <v>18102</v>
      </c>
      <c r="C80" s="1" t="s">
        <v>11277</v>
      </c>
      <c r="F80" s="1" t="s">
        <v>11278</v>
      </c>
      <c r="G80" s="1" t="s">
        <v>11279</v>
      </c>
    </row>
    <row r="81" spans="1:7" x14ac:dyDescent="0.15">
      <c r="A81" s="1">
        <v>146</v>
      </c>
      <c r="B81" s="1" t="s">
        <v>18102</v>
      </c>
      <c r="C81" s="1" t="s">
        <v>18111</v>
      </c>
      <c r="F81" s="1" t="s">
        <v>11280</v>
      </c>
      <c r="G81" s="1" t="s">
        <v>11281</v>
      </c>
    </row>
    <row r="82" spans="1:7" x14ac:dyDescent="0.15">
      <c r="A82" s="1">
        <v>147</v>
      </c>
      <c r="B82" s="1" t="s">
        <v>18102</v>
      </c>
      <c r="C82" s="1" t="s">
        <v>18115</v>
      </c>
      <c r="D82" s="1" t="s">
        <v>12593</v>
      </c>
      <c r="F82" s="1" t="s">
        <v>11282</v>
      </c>
      <c r="G82" s="1" t="s">
        <v>11283</v>
      </c>
    </row>
    <row r="83" spans="1:7" x14ac:dyDescent="0.15">
      <c r="A83" s="1">
        <v>148</v>
      </c>
      <c r="B83" s="1" t="s">
        <v>18102</v>
      </c>
      <c r="C83" s="1" t="s">
        <v>12618</v>
      </c>
      <c r="D83" s="1" t="s">
        <v>12625</v>
      </c>
      <c r="F83" s="1" t="s">
        <v>12619</v>
      </c>
      <c r="G83" s="1" t="s">
        <v>11284</v>
      </c>
    </row>
    <row r="84" spans="1:7" x14ac:dyDescent="0.15">
      <c r="A84" s="1">
        <v>149</v>
      </c>
      <c r="B84" s="1" t="s">
        <v>18102</v>
      </c>
      <c r="C84" s="1" t="s">
        <v>11285</v>
      </c>
      <c r="D84" s="1" t="s">
        <v>12625</v>
      </c>
      <c r="F84" s="1" t="s">
        <v>11286</v>
      </c>
      <c r="G84" s="1" t="s">
        <v>11287</v>
      </c>
    </row>
    <row r="85" spans="1:7" x14ac:dyDescent="0.15">
      <c r="A85" s="1">
        <v>156</v>
      </c>
      <c r="B85" s="1" t="s">
        <v>18102</v>
      </c>
      <c r="C85" s="1" t="s">
        <v>11292</v>
      </c>
      <c r="D85" s="1" t="s">
        <v>12625</v>
      </c>
      <c r="F85" s="1" t="s">
        <v>11293</v>
      </c>
      <c r="G85" s="1" t="s">
        <v>11294</v>
      </c>
    </row>
    <row r="86" spans="1:7" x14ac:dyDescent="0.15">
      <c r="A86" s="1">
        <v>157</v>
      </c>
      <c r="B86" s="1" t="s">
        <v>18102</v>
      </c>
      <c r="C86" s="1" t="s">
        <v>11295</v>
      </c>
      <c r="F86" s="1" t="s">
        <v>11296</v>
      </c>
      <c r="G86" s="1" t="s">
        <v>11297</v>
      </c>
    </row>
    <row r="87" spans="1:7" x14ac:dyDescent="0.15">
      <c r="A87" s="1">
        <v>158</v>
      </c>
      <c r="B87" s="1" t="s">
        <v>18102</v>
      </c>
      <c r="C87" s="1" t="s">
        <v>18123</v>
      </c>
      <c r="F87" s="1" t="s">
        <v>11296</v>
      </c>
      <c r="G87" s="1" t="s">
        <v>11298</v>
      </c>
    </row>
    <row r="88" spans="1:7" x14ac:dyDescent="0.15">
      <c r="A88" s="1">
        <v>161</v>
      </c>
      <c r="B88" s="1" t="s">
        <v>18102</v>
      </c>
      <c r="C88" s="1" t="s">
        <v>18127</v>
      </c>
      <c r="D88" s="1" t="s">
        <v>12593</v>
      </c>
      <c r="F88" s="1" t="s">
        <v>11301</v>
      </c>
      <c r="G88" s="1" t="s">
        <v>11302</v>
      </c>
    </row>
    <row r="89" spans="1:7" x14ac:dyDescent="0.15">
      <c r="A89" s="1">
        <v>162</v>
      </c>
      <c r="B89" s="1" t="s">
        <v>18102</v>
      </c>
      <c r="C89" s="1" t="s">
        <v>11595</v>
      </c>
      <c r="D89" s="1" t="s">
        <v>12625</v>
      </c>
      <c r="F89" s="1" t="s">
        <v>11596</v>
      </c>
      <c r="G89" s="1" t="s">
        <v>11303</v>
      </c>
    </row>
    <row r="90" spans="1:7" x14ac:dyDescent="0.15">
      <c r="A90" s="1">
        <v>163</v>
      </c>
      <c r="B90" s="1" t="s">
        <v>18102</v>
      </c>
      <c r="C90" s="1" t="s">
        <v>11304</v>
      </c>
      <c r="D90" s="1" t="s">
        <v>12625</v>
      </c>
      <c r="F90" s="1" t="s">
        <v>11305</v>
      </c>
      <c r="G90" s="1" t="s">
        <v>11306</v>
      </c>
    </row>
    <row r="91" spans="1:7" x14ac:dyDescent="0.15">
      <c r="A91" s="1">
        <v>164</v>
      </c>
      <c r="B91" s="1" t="s">
        <v>18102</v>
      </c>
      <c r="C91" s="1" t="s">
        <v>11307</v>
      </c>
      <c r="D91" s="1" t="s">
        <v>12625</v>
      </c>
      <c r="F91" s="1" t="s">
        <v>11308</v>
      </c>
      <c r="G91" s="1" t="s">
        <v>11309</v>
      </c>
    </row>
    <row r="92" spans="1:7" x14ac:dyDescent="0.15">
      <c r="A92" s="1">
        <v>165</v>
      </c>
      <c r="B92" s="1" t="s">
        <v>18102</v>
      </c>
      <c r="C92" s="1" t="s">
        <v>18131</v>
      </c>
      <c r="F92" s="1" t="s">
        <v>11310</v>
      </c>
      <c r="G92" s="1" t="s">
        <v>11311</v>
      </c>
    </row>
    <row r="93" spans="1:7" x14ac:dyDescent="0.15">
      <c r="A93" s="1">
        <v>166</v>
      </c>
      <c r="B93" s="1" t="s">
        <v>18102</v>
      </c>
      <c r="C93" s="1" t="s">
        <v>12582</v>
      </c>
      <c r="F93" s="1" t="s">
        <v>12583</v>
      </c>
      <c r="G93" s="1" t="s">
        <v>12584</v>
      </c>
    </row>
    <row r="94" spans="1:7" x14ac:dyDescent="0.15">
      <c r="A94" s="1">
        <v>167</v>
      </c>
      <c r="B94" s="1" t="s">
        <v>18102</v>
      </c>
      <c r="C94" s="1" t="s">
        <v>18139</v>
      </c>
      <c r="F94" s="1" t="s">
        <v>12583</v>
      </c>
      <c r="G94" s="1" t="s">
        <v>12585</v>
      </c>
    </row>
    <row r="95" spans="1:7" x14ac:dyDescent="0.15">
      <c r="A95" s="1">
        <v>172</v>
      </c>
      <c r="B95" s="1" t="s">
        <v>18102</v>
      </c>
      <c r="C95" s="1" t="s">
        <v>12592</v>
      </c>
      <c r="D95" s="1" t="s">
        <v>12593</v>
      </c>
      <c r="F95" s="1" t="s">
        <v>12594</v>
      </c>
      <c r="G95" s="1" t="s">
        <v>12595</v>
      </c>
    </row>
    <row r="96" spans="1:7" x14ac:dyDescent="0.15">
      <c r="A96" s="1">
        <v>173</v>
      </c>
      <c r="B96" s="1" t="s">
        <v>18102</v>
      </c>
      <c r="C96" s="1" t="s">
        <v>18146</v>
      </c>
      <c r="D96" s="1" t="s">
        <v>12593</v>
      </c>
      <c r="F96" s="1" t="s">
        <v>12596</v>
      </c>
      <c r="G96" s="1" t="s">
        <v>12597</v>
      </c>
    </row>
    <row r="97" spans="1:7" x14ac:dyDescent="0.15">
      <c r="A97" s="1">
        <v>174</v>
      </c>
      <c r="B97" s="1" t="s">
        <v>18102</v>
      </c>
      <c r="C97" s="1" t="s">
        <v>18150</v>
      </c>
      <c r="D97" s="1" t="s">
        <v>12593</v>
      </c>
      <c r="F97" s="1" t="s">
        <v>12598</v>
      </c>
      <c r="G97" s="1" t="s">
        <v>12597</v>
      </c>
    </row>
    <row r="98" spans="1:7" x14ac:dyDescent="0.15">
      <c r="A98" s="1">
        <v>175</v>
      </c>
      <c r="B98" s="1" t="s">
        <v>18102</v>
      </c>
      <c r="C98" s="1" t="s">
        <v>18154</v>
      </c>
      <c r="D98" s="1" t="s">
        <v>12593</v>
      </c>
      <c r="F98" s="1" t="s">
        <v>12599</v>
      </c>
      <c r="G98" s="1" t="s">
        <v>12600</v>
      </c>
    </row>
    <row r="99" spans="1:7" x14ac:dyDescent="0.15">
      <c r="A99" s="1">
        <v>176</v>
      </c>
      <c r="B99" s="1" t="s">
        <v>18102</v>
      </c>
      <c r="C99" s="1" t="s">
        <v>18158</v>
      </c>
      <c r="D99" s="1" t="s">
        <v>12593</v>
      </c>
      <c r="F99" s="1" t="s">
        <v>12601</v>
      </c>
      <c r="G99" s="1" t="s">
        <v>12600</v>
      </c>
    </row>
    <row r="100" spans="1:7" x14ac:dyDescent="0.15">
      <c r="A100" s="1">
        <v>177</v>
      </c>
      <c r="B100" s="1" t="s">
        <v>18102</v>
      </c>
      <c r="C100" s="1" t="s">
        <v>12602</v>
      </c>
      <c r="F100" s="1" t="s">
        <v>12603</v>
      </c>
      <c r="G100" s="1" t="s">
        <v>12604</v>
      </c>
    </row>
    <row r="101" spans="1:7" x14ac:dyDescent="0.15">
      <c r="A101" s="1">
        <v>178</v>
      </c>
      <c r="B101" s="1" t="s">
        <v>18102</v>
      </c>
      <c r="C101" s="1" t="s">
        <v>18166</v>
      </c>
      <c r="F101" s="1" t="s">
        <v>12605</v>
      </c>
      <c r="G101" s="1" t="s">
        <v>12606</v>
      </c>
    </row>
    <row r="102" spans="1:7" x14ac:dyDescent="0.15">
      <c r="A102" s="1">
        <v>180</v>
      </c>
      <c r="B102" s="1" t="s">
        <v>18102</v>
      </c>
      <c r="C102" s="1" t="s">
        <v>18170</v>
      </c>
      <c r="F102" s="1" t="s">
        <v>12609</v>
      </c>
      <c r="G102" s="1" t="s">
        <v>12610</v>
      </c>
    </row>
    <row r="103" spans="1:7" x14ac:dyDescent="0.15">
      <c r="A103" s="1">
        <v>187</v>
      </c>
      <c r="B103" s="1" t="s">
        <v>18102</v>
      </c>
      <c r="C103" s="1" t="s">
        <v>18174</v>
      </c>
      <c r="F103" s="1" t="s">
        <v>12622</v>
      </c>
      <c r="G103" s="1" t="s">
        <v>12623</v>
      </c>
    </row>
    <row r="104" spans="1:7" x14ac:dyDescent="0.15">
      <c r="A104" s="1">
        <v>189</v>
      </c>
      <c r="B104" s="1" t="s">
        <v>18102</v>
      </c>
      <c r="C104" s="1" t="s">
        <v>12624</v>
      </c>
      <c r="D104" s="1" t="s">
        <v>12625</v>
      </c>
      <c r="F104" s="1" t="s">
        <v>12626</v>
      </c>
      <c r="G104" s="1" t="s">
        <v>12627</v>
      </c>
    </row>
    <row r="105" spans="1:7" x14ac:dyDescent="0.15">
      <c r="A105" s="1">
        <v>190</v>
      </c>
      <c r="B105" s="1" t="s">
        <v>18102</v>
      </c>
      <c r="C105" s="1" t="s">
        <v>18178</v>
      </c>
      <c r="F105" s="1" t="s">
        <v>12628</v>
      </c>
      <c r="G105" s="1" t="s">
        <v>12629</v>
      </c>
    </row>
    <row r="106" spans="1:7" x14ac:dyDescent="0.15">
      <c r="A106" s="1">
        <v>192</v>
      </c>
      <c r="B106" s="1" t="s">
        <v>18102</v>
      </c>
      <c r="C106" s="1" t="s">
        <v>12632</v>
      </c>
      <c r="D106" s="1" t="s">
        <v>12625</v>
      </c>
      <c r="F106" s="1" t="s">
        <v>12633</v>
      </c>
      <c r="G106" s="1" t="s">
        <v>12634</v>
      </c>
    </row>
    <row r="107" spans="1:7" x14ac:dyDescent="0.15">
      <c r="A107" s="1">
        <v>193</v>
      </c>
      <c r="B107" s="1" t="s">
        <v>18102</v>
      </c>
      <c r="C107" s="1" t="s">
        <v>12635</v>
      </c>
      <c r="D107" s="1" t="s">
        <v>12625</v>
      </c>
      <c r="F107" s="1" t="s">
        <v>12636</v>
      </c>
      <c r="G107" s="1" t="s">
        <v>12637</v>
      </c>
    </row>
    <row r="108" spans="1:7" x14ac:dyDescent="0.15">
      <c r="A108" s="1">
        <v>194</v>
      </c>
      <c r="B108" s="1" t="s">
        <v>18102</v>
      </c>
      <c r="C108" s="1" t="s">
        <v>18182</v>
      </c>
      <c r="F108" s="1" t="s">
        <v>12638</v>
      </c>
      <c r="G108" s="1" t="s">
        <v>12639</v>
      </c>
    </row>
    <row r="109" spans="1:7" x14ac:dyDescent="0.15">
      <c r="A109" s="1">
        <v>195</v>
      </c>
      <c r="B109" s="1" t="s">
        <v>18102</v>
      </c>
      <c r="C109" s="1" t="s">
        <v>12640</v>
      </c>
      <c r="F109" s="1" t="s">
        <v>12641</v>
      </c>
      <c r="G109" s="1" t="s">
        <v>12642</v>
      </c>
    </row>
    <row r="110" spans="1:7" x14ac:dyDescent="0.15">
      <c r="A110" s="1">
        <v>196</v>
      </c>
      <c r="B110" s="1" t="s">
        <v>18102</v>
      </c>
      <c r="C110" s="1" t="s">
        <v>18190</v>
      </c>
      <c r="F110" s="1" t="s">
        <v>12641</v>
      </c>
      <c r="G110" s="1" t="s">
        <v>12643</v>
      </c>
    </row>
    <row r="111" spans="1:7" x14ac:dyDescent="0.15">
      <c r="A111" s="1">
        <v>201</v>
      </c>
      <c r="B111" s="1" t="s">
        <v>18102</v>
      </c>
      <c r="C111" s="1" t="s">
        <v>12648</v>
      </c>
      <c r="F111" s="1" t="s">
        <v>12649</v>
      </c>
      <c r="G111" s="1" t="s">
        <v>12650</v>
      </c>
    </row>
    <row r="112" spans="1:7" x14ac:dyDescent="0.15">
      <c r="A112" s="1">
        <v>202</v>
      </c>
      <c r="B112" s="1" t="s">
        <v>18102</v>
      </c>
      <c r="C112" s="1" t="s">
        <v>18197</v>
      </c>
      <c r="F112" s="1" t="s">
        <v>12649</v>
      </c>
      <c r="G112" s="1" t="s">
        <v>12651</v>
      </c>
    </row>
    <row r="113" spans="1:7" x14ac:dyDescent="0.15">
      <c r="A113" s="1">
        <v>203</v>
      </c>
      <c r="B113" s="1" t="s">
        <v>18200</v>
      </c>
      <c r="C113" s="1" t="s">
        <v>12652</v>
      </c>
      <c r="F113" s="1" t="s">
        <v>12653</v>
      </c>
      <c r="G113" s="1" t="s">
        <v>12654</v>
      </c>
    </row>
    <row r="114" spans="1:7" x14ac:dyDescent="0.15">
      <c r="A114" s="1">
        <v>204</v>
      </c>
      <c r="B114" s="1" t="s">
        <v>18200</v>
      </c>
      <c r="C114" s="1" t="s">
        <v>12655</v>
      </c>
      <c r="F114" s="1" t="s">
        <v>12656</v>
      </c>
      <c r="G114" s="1" t="s">
        <v>12657</v>
      </c>
    </row>
    <row r="115" spans="1:7" x14ac:dyDescent="0.15">
      <c r="A115" s="1">
        <v>205</v>
      </c>
      <c r="B115" s="1" t="s">
        <v>18200</v>
      </c>
      <c r="C115" s="1" t="s">
        <v>18209</v>
      </c>
      <c r="F115" s="1" t="s">
        <v>12658</v>
      </c>
      <c r="G115" s="1" t="s">
        <v>12659</v>
      </c>
    </row>
    <row r="116" spans="1:7" x14ac:dyDescent="0.15">
      <c r="A116" s="1">
        <v>211</v>
      </c>
      <c r="B116" s="1" t="s">
        <v>18200</v>
      </c>
      <c r="C116" s="1" t="s">
        <v>12666</v>
      </c>
      <c r="F116" s="1" t="s">
        <v>12667</v>
      </c>
      <c r="G116" s="1" t="s">
        <v>12668</v>
      </c>
    </row>
    <row r="117" spans="1:7" x14ac:dyDescent="0.15">
      <c r="A117" s="1">
        <v>212</v>
      </c>
      <c r="B117" s="1" t="s">
        <v>18200</v>
      </c>
      <c r="C117" s="1" t="s">
        <v>18216</v>
      </c>
      <c r="F117" s="1" t="s">
        <v>12667</v>
      </c>
      <c r="G117" s="1" t="s">
        <v>12669</v>
      </c>
    </row>
    <row r="118" spans="1:7" x14ac:dyDescent="0.15">
      <c r="A118" s="1">
        <v>214</v>
      </c>
      <c r="B118" s="1" t="s">
        <v>18200</v>
      </c>
      <c r="C118" s="1" t="s">
        <v>12671</v>
      </c>
      <c r="F118" s="1" t="s">
        <v>12672</v>
      </c>
      <c r="G118" s="1" t="s">
        <v>12673</v>
      </c>
    </row>
    <row r="119" spans="1:7" x14ac:dyDescent="0.15">
      <c r="A119" s="1">
        <v>215</v>
      </c>
      <c r="B119" s="1" t="s">
        <v>18200</v>
      </c>
      <c r="C119" s="1" t="s">
        <v>18223</v>
      </c>
      <c r="F119" s="1" t="s">
        <v>12674</v>
      </c>
      <c r="G119" s="1" t="s">
        <v>11518</v>
      </c>
    </row>
    <row r="120" spans="1:7" x14ac:dyDescent="0.15">
      <c r="A120" s="1">
        <v>218</v>
      </c>
      <c r="B120" s="1" t="s">
        <v>18200</v>
      </c>
      <c r="C120" s="1" t="s">
        <v>11521</v>
      </c>
      <c r="F120" s="1" t="s">
        <v>11522</v>
      </c>
      <c r="G120" s="1" t="s">
        <v>11523</v>
      </c>
    </row>
    <row r="121" spans="1:7" x14ac:dyDescent="0.15">
      <c r="A121" s="1">
        <v>219</v>
      </c>
      <c r="B121" s="1" t="s">
        <v>18200</v>
      </c>
      <c r="C121" s="1" t="s">
        <v>18230</v>
      </c>
      <c r="F121" s="1" t="s">
        <v>11522</v>
      </c>
      <c r="G121" s="1" t="s">
        <v>11524</v>
      </c>
    </row>
    <row r="122" spans="1:7" x14ac:dyDescent="0.15">
      <c r="A122" s="1">
        <v>222</v>
      </c>
      <c r="B122" s="1" t="s">
        <v>18200</v>
      </c>
      <c r="C122" s="1" t="s">
        <v>11525</v>
      </c>
      <c r="F122" s="1" t="s">
        <v>11526</v>
      </c>
      <c r="G122" s="1" t="s">
        <v>11527</v>
      </c>
    </row>
    <row r="123" spans="1:7" x14ac:dyDescent="0.15">
      <c r="A123" s="1">
        <v>223</v>
      </c>
      <c r="B123" s="1" t="s">
        <v>18200</v>
      </c>
      <c r="C123" s="1" t="s">
        <v>17387</v>
      </c>
      <c r="F123" s="1" t="s">
        <v>11528</v>
      </c>
      <c r="G123" s="1" t="s">
        <v>11529</v>
      </c>
    </row>
    <row r="124" spans="1:7" x14ac:dyDescent="0.15">
      <c r="A124" s="1">
        <v>226</v>
      </c>
      <c r="B124" s="1" t="s">
        <v>18200</v>
      </c>
      <c r="C124" s="1" t="s">
        <v>11531</v>
      </c>
      <c r="D124" s="1" t="s">
        <v>12593</v>
      </c>
      <c r="F124" s="1" t="s">
        <v>11532</v>
      </c>
      <c r="G124" s="1" t="s">
        <v>12595</v>
      </c>
    </row>
    <row r="125" spans="1:7" x14ac:dyDescent="0.15">
      <c r="A125" s="1">
        <v>227</v>
      </c>
      <c r="B125" s="1" t="s">
        <v>18200</v>
      </c>
      <c r="C125" s="1" t="s">
        <v>17394</v>
      </c>
      <c r="D125" s="1" t="s">
        <v>12593</v>
      </c>
      <c r="F125" s="1" t="s">
        <v>11532</v>
      </c>
      <c r="G125" s="1" t="s">
        <v>11533</v>
      </c>
    </row>
    <row r="126" spans="1:7" x14ac:dyDescent="0.15">
      <c r="A126" s="1">
        <v>228</v>
      </c>
      <c r="B126" s="1" t="s">
        <v>18200</v>
      </c>
      <c r="C126" s="1" t="s">
        <v>11534</v>
      </c>
      <c r="D126" s="1" t="s">
        <v>12625</v>
      </c>
      <c r="F126" s="1" t="s">
        <v>11535</v>
      </c>
      <c r="G126" s="1" t="s">
        <v>11536</v>
      </c>
    </row>
    <row r="127" spans="1:7" x14ac:dyDescent="0.15">
      <c r="A127" s="1">
        <v>229</v>
      </c>
      <c r="B127" s="1" t="s">
        <v>18200</v>
      </c>
      <c r="C127" s="1" t="s">
        <v>11537</v>
      </c>
      <c r="D127" s="1" t="s">
        <v>12625</v>
      </c>
      <c r="F127" s="1" t="s">
        <v>11538</v>
      </c>
      <c r="G127" s="1" t="s">
        <v>11539</v>
      </c>
    </row>
    <row r="128" spans="1:7" x14ac:dyDescent="0.15">
      <c r="A128" s="1">
        <v>234</v>
      </c>
      <c r="B128" s="1" t="s">
        <v>18200</v>
      </c>
      <c r="C128" s="1" t="s">
        <v>11545</v>
      </c>
      <c r="D128" s="1" t="s">
        <v>12625</v>
      </c>
      <c r="F128" s="1" t="s">
        <v>11546</v>
      </c>
      <c r="G128" s="1" t="s">
        <v>11547</v>
      </c>
    </row>
    <row r="129" spans="1:7" x14ac:dyDescent="0.15">
      <c r="A129" s="1">
        <v>235</v>
      </c>
      <c r="B129" s="1" t="s">
        <v>18200</v>
      </c>
      <c r="C129" s="1" t="s">
        <v>11548</v>
      </c>
      <c r="D129" s="1" t="s">
        <v>12625</v>
      </c>
      <c r="F129" s="1" t="s">
        <v>11546</v>
      </c>
      <c r="G129" s="1" t="s">
        <v>11549</v>
      </c>
    </row>
    <row r="130" spans="1:7" x14ac:dyDescent="0.15">
      <c r="A130" s="1">
        <v>236</v>
      </c>
      <c r="B130" s="1" t="s">
        <v>18200</v>
      </c>
      <c r="C130" s="1" t="s">
        <v>11550</v>
      </c>
      <c r="F130" s="1" t="s">
        <v>11551</v>
      </c>
      <c r="G130" s="1" t="s">
        <v>11552</v>
      </c>
    </row>
    <row r="131" spans="1:7" x14ac:dyDescent="0.15">
      <c r="A131" s="1">
        <v>238</v>
      </c>
      <c r="B131" s="1" t="s">
        <v>18200</v>
      </c>
      <c r="C131" s="1" t="s">
        <v>17401</v>
      </c>
      <c r="F131" s="1" t="s">
        <v>11551</v>
      </c>
      <c r="G131" s="1" t="s">
        <v>11553</v>
      </c>
    </row>
    <row r="132" spans="1:7" x14ac:dyDescent="0.15">
      <c r="A132" s="1">
        <v>239</v>
      </c>
      <c r="B132" s="1" t="s">
        <v>17404</v>
      </c>
      <c r="C132" s="1" t="s">
        <v>11554</v>
      </c>
      <c r="F132" s="1" t="s">
        <v>11555</v>
      </c>
      <c r="G132" s="1" t="s">
        <v>11556</v>
      </c>
    </row>
    <row r="133" spans="1:7" x14ac:dyDescent="0.15">
      <c r="A133" s="1">
        <v>240</v>
      </c>
      <c r="B133" s="1" t="s">
        <v>17404</v>
      </c>
      <c r="C133" s="1" t="s">
        <v>11557</v>
      </c>
      <c r="F133" s="1" t="s">
        <v>11558</v>
      </c>
      <c r="G133" s="1" t="s">
        <v>11559</v>
      </c>
    </row>
    <row r="134" spans="1:7" x14ac:dyDescent="0.15">
      <c r="A134" s="1">
        <v>244</v>
      </c>
      <c r="B134" s="1" t="s">
        <v>17404</v>
      </c>
      <c r="C134" s="1" t="s">
        <v>17413</v>
      </c>
      <c r="F134" s="1" t="s">
        <v>11564</v>
      </c>
      <c r="G134" s="1" t="s">
        <v>11565</v>
      </c>
    </row>
    <row r="135" spans="1:7" x14ac:dyDescent="0.15">
      <c r="A135" s="1">
        <v>246</v>
      </c>
      <c r="B135" s="1" t="s">
        <v>17404</v>
      </c>
      <c r="C135" s="1" t="s">
        <v>17417</v>
      </c>
      <c r="F135" s="1" t="s">
        <v>11568</v>
      </c>
      <c r="G135" s="1" t="s">
        <v>11569</v>
      </c>
    </row>
    <row r="136" spans="1:7" x14ac:dyDescent="0.15">
      <c r="A136" s="1">
        <v>251</v>
      </c>
      <c r="B136" s="1" t="s">
        <v>17404</v>
      </c>
      <c r="C136" s="1" t="s">
        <v>17421</v>
      </c>
      <c r="F136" s="1" t="s">
        <v>11314</v>
      </c>
      <c r="G136" s="1" t="s">
        <v>11315</v>
      </c>
    </row>
    <row r="137" spans="1:7" x14ac:dyDescent="0.15">
      <c r="A137" s="1">
        <v>261</v>
      </c>
      <c r="B137" s="1" t="s">
        <v>17404</v>
      </c>
      <c r="C137" s="1" t="s">
        <v>17425</v>
      </c>
      <c r="F137" s="1" t="s">
        <v>11330</v>
      </c>
      <c r="G137" s="1" t="s">
        <v>11331</v>
      </c>
    </row>
    <row r="138" spans="1:7" x14ac:dyDescent="0.15">
      <c r="A138" s="1">
        <v>265</v>
      </c>
      <c r="B138" s="1" t="s">
        <v>17404</v>
      </c>
      <c r="C138" s="1" t="s">
        <v>17429</v>
      </c>
      <c r="F138" s="1" t="s">
        <v>11333</v>
      </c>
      <c r="G138" s="1" t="s">
        <v>11334</v>
      </c>
    </row>
    <row r="139" spans="1:7" x14ac:dyDescent="0.15">
      <c r="A139" s="1">
        <v>276</v>
      </c>
      <c r="B139" s="1" t="s">
        <v>17404</v>
      </c>
      <c r="C139" s="1" t="s">
        <v>17433</v>
      </c>
      <c r="F139" s="1" t="s">
        <v>11344</v>
      </c>
      <c r="G139" s="1" t="s">
        <v>11345</v>
      </c>
    </row>
    <row r="140" spans="1:7" x14ac:dyDescent="0.15">
      <c r="A140" s="1">
        <v>291</v>
      </c>
      <c r="B140" s="1" t="s">
        <v>17404</v>
      </c>
      <c r="C140" s="1" t="s">
        <v>17437</v>
      </c>
      <c r="F140" s="1" t="s">
        <v>11354</v>
      </c>
      <c r="G140" s="1" t="s">
        <v>11355</v>
      </c>
    </row>
    <row r="141" spans="1:7" x14ac:dyDescent="0.15">
      <c r="A141" s="1">
        <v>294</v>
      </c>
      <c r="B141" s="1" t="s">
        <v>17404</v>
      </c>
      <c r="C141" s="1" t="s">
        <v>17441</v>
      </c>
      <c r="F141" s="1" t="s">
        <v>11358</v>
      </c>
      <c r="G141" s="1" t="s">
        <v>11359</v>
      </c>
    </row>
    <row r="142" spans="1:7" x14ac:dyDescent="0.15">
      <c r="A142" s="1">
        <v>300</v>
      </c>
      <c r="B142" s="1" t="s">
        <v>17404</v>
      </c>
      <c r="C142" s="1" t="s">
        <v>17445</v>
      </c>
      <c r="F142" s="1" t="s">
        <v>11360</v>
      </c>
      <c r="G142" s="1" t="s">
        <v>11361</v>
      </c>
    </row>
    <row r="143" spans="1:7" x14ac:dyDescent="0.15">
      <c r="A143" s="1">
        <v>303</v>
      </c>
      <c r="B143" s="1" t="s">
        <v>17404</v>
      </c>
      <c r="C143" s="1" t="s">
        <v>17449</v>
      </c>
      <c r="F143" s="1" t="s">
        <v>11363</v>
      </c>
      <c r="G143" s="1" t="s">
        <v>11364</v>
      </c>
    </row>
    <row r="144" spans="1:7" x14ac:dyDescent="0.15">
      <c r="A144" s="1">
        <v>311</v>
      </c>
      <c r="B144" s="1" t="s">
        <v>17404</v>
      </c>
      <c r="C144" s="1" t="s">
        <v>17453</v>
      </c>
      <c r="F144" s="1" t="s">
        <v>11366</v>
      </c>
      <c r="G144" s="1" t="s">
        <v>11367</v>
      </c>
    </row>
    <row r="145" spans="1:7" x14ac:dyDescent="0.15">
      <c r="A145" s="1">
        <v>315</v>
      </c>
      <c r="B145" s="1" t="s">
        <v>17404</v>
      </c>
      <c r="C145" s="1" t="s">
        <v>17457</v>
      </c>
      <c r="F145" s="1" t="s">
        <v>11369</v>
      </c>
      <c r="G145" s="1" t="s">
        <v>11370</v>
      </c>
    </row>
    <row r="146" spans="1:7" x14ac:dyDescent="0.15">
      <c r="A146" s="1">
        <v>321</v>
      </c>
      <c r="B146" s="1" t="s">
        <v>17404</v>
      </c>
      <c r="C146" s="1" t="s">
        <v>17461</v>
      </c>
      <c r="F146" s="1" t="s">
        <v>11371</v>
      </c>
      <c r="G146" s="1" t="s">
        <v>11372</v>
      </c>
    </row>
    <row r="147" spans="1:7" x14ac:dyDescent="0.15">
      <c r="A147" s="1">
        <v>326</v>
      </c>
      <c r="B147" s="1" t="s">
        <v>17404</v>
      </c>
      <c r="C147" s="1" t="s">
        <v>17465</v>
      </c>
      <c r="F147" s="1" t="s">
        <v>11373</v>
      </c>
      <c r="G147" s="1" t="s">
        <v>11374</v>
      </c>
    </row>
    <row r="148" spans="1:7" x14ac:dyDescent="0.15">
      <c r="A148" s="1">
        <v>336</v>
      </c>
      <c r="B148" s="1" t="s">
        <v>17404</v>
      </c>
      <c r="C148" s="1" t="s">
        <v>17469</v>
      </c>
      <c r="F148" s="1" t="s">
        <v>11376</v>
      </c>
      <c r="G148" s="1" t="s">
        <v>11377</v>
      </c>
    </row>
    <row r="149" spans="1:7" x14ac:dyDescent="0.15">
      <c r="A149" s="1">
        <v>342</v>
      </c>
      <c r="B149" s="1" t="s">
        <v>17404</v>
      </c>
      <c r="C149" s="1" t="s">
        <v>11384</v>
      </c>
      <c r="D149" s="1" t="s">
        <v>12625</v>
      </c>
      <c r="F149" s="1" t="s">
        <v>11385</v>
      </c>
      <c r="G149" s="1" t="s">
        <v>11386</v>
      </c>
    </row>
    <row r="150" spans="1:7" x14ac:dyDescent="0.15">
      <c r="A150" s="1">
        <v>351</v>
      </c>
      <c r="B150" s="1" t="s">
        <v>17404</v>
      </c>
      <c r="C150" s="1" t="s">
        <v>11387</v>
      </c>
      <c r="D150" s="1" t="s">
        <v>12625</v>
      </c>
      <c r="F150" s="1" t="s">
        <v>11388</v>
      </c>
      <c r="G150" s="1" t="s">
        <v>11389</v>
      </c>
    </row>
    <row r="151" spans="1:7" x14ac:dyDescent="0.15">
      <c r="A151" s="1">
        <v>358</v>
      </c>
      <c r="B151" s="1" t="s">
        <v>17404</v>
      </c>
      <c r="C151" s="1" t="s">
        <v>11390</v>
      </c>
      <c r="D151" s="1" t="s">
        <v>12625</v>
      </c>
      <c r="F151" s="1" t="s">
        <v>11391</v>
      </c>
      <c r="G151" s="1" t="s">
        <v>11392</v>
      </c>
    </row>
    <row r="152" spans="1:7" x14ac:dyDescent="0.15">
      <c r="A152" s="1">
        <v>363</v>
      </c>
      <c r="B152" s="1" t="s">
        <v>17404</v>
      </c>
      <c r="C152" s="1" t="s">
        <v>11393</v>
      </c>
      <c r="D152" s="1" t="s">
        <v>12625</v>
      </c>
      <c r="F152" s="1" t="s">
        <v>11394</v>
      </c>
      <c r="G152" s="1" t="s">
        <v>11395</v>
      </c>
    </row>
    <row r="153" spans="1:7" x14ac:dyDescent="0.15">
      <c r="A153" s="1">
        <v>366</v>
      </c>
      <c r="B153" s="1" t="s">
        <v>17404</v>
      </c>
      <c r="C153" s="1" t="s">
        <v>11396</v>
      </c>
      <c r="D153" s="1" t="s">
        <v>12625</v>
      </c>
      <c r="F153" s="1" t="s">
        <v>11397</v>
      </c>
      <c r="G153" s="1" t="s">
        <v>11398</v>
      </c>
    </row>
    <row r="154" spans="1:7" x14ac:dyDescent="0.15">
      <c r="A154" s="1">
        <v>374</v>
      </c>
      <c r="B154" s="1" t="s">
        <v>17404</v>
      </c>
      <c r="C154" s="1" t="s">
        <v>11399</v>
      </c>
      <c r="D154" s="1" t="s">
        <v>12625</v>
      </c>
      <c r="F154" s="1" t="s">
        <v>11400</v>
      </c>
      <c r="G154" s="1" t="s">
        <v>11401</v>
      </c>
    </row>
    <row r="155" spans="1:7" x14ac:dyDescent="0.15">
      <c r="A155" s="1">
        <v>376</v>
      </c>
      <c r="B155" s="1" t="s">
        <v>17404</v>
      </c>
      <c r="C155" s="1" t="s">
        <v>11402</v>
      </c>
      <c r="D155" s="1" t="s">
        <v>12625</v>
      </c>
      <c r="F155" s="1" t="s">
        <v>11403</v>
      </c>
      <c r="G155" s="1" t="s">
        <v>11404</v>
      </c>
    </row>
    <row r="156" spans="1:7" x14ac:dyDescent="0.15">
      <c r="A156" s="1">
        <v>377</v>
      </c>
      <c r="B156" s="1" t="s">
        <v>17404</v>
      </c>
      <c r="C156" s="1" t="s">
        <v>11405</v>
      </c>
      <c r="D156" s="1" t="s">
        <v>12625</v>
      </c>
      <c r="F156" s="1" t="s">
        <v>11406</v>
      </c>
      <c r="G156" s="1" t="s">
        <v>11407</v>
      </c>
    </row>
    <row r="157" spans="1:7" x14ac:dyDescent="0.15">
      <c r="A157" s="1">
        <v>381</v>
      </c>
      <c r="B157" s="1" t="s">
        <v>17404</v>
      </c>
      <c r="C157" s="1" t="s">
        <v>11409</v>
      </c>
      <c r="D157" s="1" t="s">
        <v>12625</v>
      </c>
      <c r="F157" s="1" t="s">
        <v>11410</v>
      </c>
      <c r="G157" s="1" t="s">
        <v>11411</v>
      </c>
    </row>
    <row r="158" spans="1:7" x14ac:dyDescent="0.15">
      <c r="A158" s="1">
        <v>387</v>
      </c>
      <c r="B158" s="1" t="s">
        <v>17404</v>
      </c>
      <c r="C158" s="1" t="s">
        <v>11412</v>
      </c>
      <c r="D158" s="1" t="s">
        <v>12625</v>
      </c>
      <c r="F158" s="1" t="s">
        <v>11413</v>
      </c>
      <c r="G158" s="1" t="s">
        <v>11414</v>
      </c>
    </row>
    <row r="159" spans="1:7" x14ac:dyDescent="0.15">
      <c r="A159" s="1">
        <v>393</v>
      </c>
      <c r="B159" s="1" t="s">
        <v>17404</v>
      </c>
      <c r="C159" s="1" t="s">
        <v>11416</v>
      </c>
      <c r="D159" s="1" t="s">
        <v>12625</v>
      </c>
      <c r="F159" s="1" t="s">
        <v>11417</v>
      </c>
      <c r="G159" s="1" t="s">
        <v>11418</v>
      </c>
    </row>
    <row r="160" spans="1:7" x14ac:dyDescent="0.15">
      <c r="A160" s="1">
        <v>399</v>
      </c>
      <c r="B160" s="1" t="s">
        <v>17404</v>
      </c>
      <c r="C160" s="1" t="s">
        <v>11420</v>
      </c>
      <c r="D160" s="1" t="s">
        <v>12625</v>
      </c>
      <c r="F160" s="1" t="s">
        <v>11421</v>
      </c>
      <c r="G160" s="1" t="s">
        <v>11422</v>
      </c>
    </row>
    <row r="161" spans="1:7" x14ac:dyDescent="0.15">
      <c r="A161" s="1">
        <v>403</v>
      </c>
      <c r="B161" s="1" t="s">
        <v>17404</v>
      </c>
      <c r="C161" s="1" t="s">
        <v>11424</v>
      </c>
      <c r="D161" s="1" t="s">
        <v>12625</v>
      </c>
      <c r="F161" s="1" t="s">
        <v>11425</v>
      </c>
      <c r="G161" s="1" t="s">
        <v>11426</v>
      </c>
    </row>
    <row r="162" spans="1:7" x14ac:dyDescent="0.15">
      <c r="A162" s="1">
        <v>407</v>
      </c>
      <c r="B162" s="1" t="s">
        <v>17404</v>
      </c>
      <c r="C162" s="1" t="s">
        <v>11429</v>
      </c>
      <c r="D162" s="1" t="s">
        <v>12625</v>
      </c>
      <c r="F162" s="1" t="s">
        <v>11430</v>
      </c>
      <c r="G162" s="1" t="s">
        <v>11431</v>
      </c>
    </row>
    <row r="163" spans="1:7" x14ac:dyDescent="0.15">
      <c r="A163" s="1">
        <v>413</v>
      </c>
      <c r="B163" s="1" t="s">
        <v>17404</v>
      </c>
      <c r="C163" s="1" t="s">
        <v>11434</v>
      </c>
      <c r="D163" s="1" t="s">
        <v>12625</v>
      </c>
      <c r="F163" s="1" t="s">
        <v>11435</v>
      </c>
      <c r="G163" s="1" t="s">
        <v>11436</v>
      </c>
    </row>
    <row r="164" spans="1:7" x14ac:dyDescent="0.15">
      <c r="A164" s="1">
        <v>420</v>
      </c>
      <c r="B164" s="1" t="s">
        <v>17404</v>
      </c>
      <c r="C164" s="1" t="s">
        <v>11437</v>
      </c>
      <c r="D164" s="1" t="s">
        <v>12625</v>
      </c>
      <c r="F164" s="1" t="s">
        <v>11438</v>
      </c>
      <c r="G164" s="1" t="s">
        <v>11439</v>
      </c>
    </row>
    <row r="165" spans="1:7" x14ac:dyDescent="0.15">
      <c r="A165" s="1">
        <v>424</v>
      </c>
      <c r="B165" s="1" t="s">
        <v>17404</v>
      </c>
      <c r="C165" s="1" t="s">
        <v>11442</v>
      </c>
      <c r="D165" s="1" t="s">
        <v>12625</v>
      </c>
      <c r="F165" s="1" t="s">
        <v>11443</v>
      </c>
      <c r="G165" s="1" t="s">
        <v>11444</v>
      </c>
    </row>
    <row r="166" spans="1:7" x14ac:dyDescent="0.15">
      <c r="A166" s="1">
        <v>430</v>
      </c>
      <c r="B166" s="1" t="s">
        <v>17404</v>
      </c>
      <c r="C166" s="1" t="s">
        <v>17473</v>
      </c>
      <c r="F166" s="1" t="s">
        <v>11447</v>
      </c>
      <c r="G166" s="1" t="s">
        <v>11448</v>
      </c>
    </row>
    <row r="167" spans="1:7" x14ac:dyDescent="0.15">
      <c r="A167" s="1">
        <v>431</v>
      </c>
      <c r="B167" s="1" t="s">
        <v>17404</v>
      </c>
      <c r="C167" s="1" t="s">
        <v>11449</v>
      </c>
      <c r="F167" s="1" t="s">
        <v>11450</v>
      </c>
      <c r="G167" s="1" t="s">
        <v>11451</v>
      </c>
    </row>
    <row r="168" spans="1:7" x14ac:dyDescent="0.15">
      <c r="A168" s="1">
        <v>432</v>
      </c>
      <c r="B168" s="1" t="s">
        <v>17404</v>
      </c>
      <c r="C168" s="1" t="s">
        <v>17481</v>
      </c>
      <c r="F168" s="1" t="s">
        <v>11452</v>
      </c>
      <c r="G168" s="1" t="s">
        <v>11453</v>
      </c>
    </row>
    <row r="169" spans="1:7" x14ac:dyDescent="0.15">
      <c r="A169" s="1">
        <v>433</v>
      </c>
      <c r="B169" s="1" t="s">
        <v>17404</v>
      </c>
      <c r="C169" s="1" t="s">
        <v>17485</v>
      </c>
      <c r="F169" s="1" t="s">
        <v>11313</v>
      </c>
      <c r="G169" s="1" t="s">
        <v>11454</v>
      </c>
    </row>
    <row r="170" spans="1:7" x14ac:dyDescent="0.15">
      <c r="A170" s="1">
        <v>435</v>
      </c>
      <c r="B170" s="1" t="s">
        <v>17404</v>
      </c>
      <c r="C170" s="1" t="s">
        <v>17489</v>
      </c>
      <c r="F170" s="1" t="s">
        <v>11455</v>
      </c>
      <c r="G170" s="1" t="s">
        <v>11456</v>
      </c>
    </row>
    <row r="171" spans="1:7" x14ac:dyDescent="0.15">
      <c r="A171" s="1">
        <v>436</v>
      </c>
      <c r="B171" s="1" t="s">
        <v>17404</v>
      </c>
      <c r="C171" s="1" t="s">
        <v>17493</v>
      </c>
      <c r="D171" s="1" t="s">
        <v>11582</v>
      </c>
      <c r="F171" s="1" t="s">
        <v>11325</v>
      </c>
      <c r="G171" s="1" t="s">
        <v>11457</v>
      </c>
    </row>
    <row r="172" spans="1:7" x14ac:dyDescent="0.15">
      <c r="A172" s="1">
        <v>437</v>
      </c>
      <c r="B172" s="1" t="s">
        <v>17404</v>
      </c>
      <c r="C172" s="1" t="s">
        <v>17497</v>
      </c>
      <c r="D172" s="1" t="s">
        <v>11582</v>
      </c>
      <c r="F172" s="1" t="s">
        <v>11327</v>
      </c>
      <c r="G172" s="1" t="s">
        <v>11458</v>
      </c>
    </row>
    <row r="173" spans="1:7" x14ac:dyDescent="0.15">
      <c r="A173" s="1">
        <v>438</v>
      </c>
      <c r="B173" s="1" t="s">
        <v>17404</v>
      </c>
      <c r="C173" s="1" t="s">
        <v>17501</v>
      </c>
      <c r="F173" s="1" t="s">
        <v>11459</v>
      </c>
      <c r="G173" s="1" t="s">
        <v>11460</v>
      </c>
    </row>
    <row r="174" spans="1:7" x14ac:dyDescent="0.15">
      <c r="A174" s="1">
        <v>439</v>
      </c>
      <c r="B174" s="1" t="s">
        <v>17404</v>
      </c>
      <c r="C174" s="1" t="s">
        <v>17505</v>
      </c>
      <c r="F174" s="1" t="s">
        <v>11461</v>
      </c>
      <c r="G174" s="1" t="s">
        <v>11462</v>
      </c>
    </row>
    <row r="175" spans="1:7" x14ac:dyDescent="0.15">
      <c r="A175" s="1">
        <v>440</v>
      </c>
      <c r="B175" s="1" t="s">
        <v>17404</v>
      </c>
      <c r="C175" s="1" t="s">
        <v>11463</v>
      </c>
      <c r="D175" s="1" t="s">
        <v>12625</v>
      </c>
      <c r="F175" s="1" t="s">
        <v>11464</v>
      </c>
      <c r="G175" s="1" t="s">
        <v>11465</v>
      </c>
    </row>
    <row r="176" spans="1:7" x14ac:dyDescent="0.15">
      <c r="A176" s="1">
        <v>441</v>
      </c>
      <c r="B176" s="1" t="s">
        <v>17404</v>
      </c>
      <c r="C176" s="1" t="s">
        <v>17509</v>
      </c>
      <c r="F176" s="1" t="s">
        <v>11466</v>
      </c>
      <c r="G176" s="1" t="s">
        <v>11467</v>
      </c>
    </row>
    <row r="177" spans="1:7" x14ac:dyDescent="0.15">
      <c r="A177" s="1">
        <v>442</v>
      </c>
      <c r="B177" s="1" t="s">
        <v>17404</v>
      </c>
      <c r="C177" s="1" t="s">
        <v>11468</v>
      </c>
      <c r="F177" s="1" t="s">
        <v>11469</v>
      </c>
      <c r="G177" s="1" t="s">
        <v>11470</v>
      </c>
    </row>
    <row r="178" spans="1:7" x14ac:dyDescent="0.15">
      <c r="A178" s="1">
        <v>443</v>
      </c>
      <c r="B178" s="1" t="s">
        <v>17404</v>
      </c>
      <c r="C178" s="1" t="s">
        <v>17517</v>
      </c>
      <c r="F178" s="1" t="s">
        <v>11469</v>
      </c>
      <c r="G178" s="1" t="s">
        <v>11471</v>
      </c>
    </row>
    <row r="179" spans="1:7" x14ac:dyDescent="0.15">
      <c r="A179" s="1">
        <v>444</v>
      </c>
      <c r="B179" s="1" t="s">
        <v>17519</v>
      </c>
      <c r="C179" s="1" t="s">
        <v>11472</v>
      </c>
      <c r="D179" s="1" t="s">
        <v>12593</v>
      </c>
      <c r="F179" s="1" t="s">
        <v>11473</v>
      </c>
      <c r="G179" s="1" t="s">
        <v>11474</v>
      </c>
    </row>
    <row r="180" spans="1:7" x14ac:dyDescent="0.15">
      <c r="A180" s="1">
        <v>445</v>
      </c>
      <c r="B180" s="1" t="s">
        <v>17716</v>
      </c>
      <c r="C180" s="1" t="s">
        <v>11475</v>
      </c>
      <c r="F180" s="1" t="s">
        <v>11476</v>
      </c>
      <c r="G180" s="1" t="s">
        <v>11477</v>
      </c>
    </row>
    <row r="181" spans="1:7" x14ac:dyDescent="0.15">
      <c r="A181" s="1">
        <v>446</v>
      </c>
      <c r="B181" s="1" t="s">
        <v>17716</v>
      </c>
      <c r="C181" s="1" t="s">
        <v>11478</v>
      </c>
      <c r="F181" s="1" t="s">
        <v>11479</v>
      </c>
      <c r="G181" s="1" t="s">
        <v>11480</v>
      </c>
    </row>
    <row r="182" spans="1:7" x14ac:dyDescent="0.15">
      <c r="A182" s="1">
        <v>449</v>
      </c>
      <c r="B182" s="1" t="s">
        <v>17716</v>
      </c>
      <c r="C182" s="1" t="s">
        <v>17725</v>
      </c>
      <c r="F182" s="1" t="s">
        <v>11483</v>
      </c>
      <c r="G182" s="1" t="s">
        <v>11484</v>
      </c>
    </row>
    <row r="183" spans="1:7" x14ac:dyDescent="0.15">
      <c r="A183" s="1">
        <v>450</v>
      </c>
      <c r="B183" s="1" t="s">
        <v>17716</v>
      </c>
      <c r="C183" s="1" t="s">
        <v>11485</v>
      </c>
      <c r="D183" s="1" t="s">
        <v>11582</v>
      </c>
      <c r="F183" s="1" t="s">
        <v>11486</v>
      </c>
      <c r="G183" s="1" t="s">
        <v>11487</v>
      </c>
    </row>
    <row r="184" spans="1:7" x14ac:dyDescent="0.15">
      <c r="A184" s="1">
        <v>451</v>
      </c>
      <c r="B184" s="1" t="s">
        <v>17716</v>
      </c>
      <c r="C184" s="1" t="s">
        <v>11488</v>
      </c>
      <c r="D184" s="1" t="s">
        <v>12625</v>
      </c>
      <c r="F184" s="1" t="s">
        <v>11489</v>
      </c>
      <c r="G184" s="1" t="s">
        <v>11490</v>
      </c>
    </row>
    <row r="185" spans="1:7" x14ac:dyDescent="0.15">
      <c r="A185" s="1">
        <v>452</v>
      </c>
      <c r="B185" s="1" t="s">
        <v>17716</v>
      </c>
      <c r="C185" s="1" t="s">
        <v>11491</v>
      </c>
      <c r="D185" s="1" t="s">
        <v>12593</v>
      </c>
      <c r="F185" s="1" t="s">
        <v>11492</v>
      </c>
      <c r="G185" s="1" t="s">
        <v>12595</v>
      </c>
    </row>
    <row r="186" spans="1:7" x14ac:dyDescent="0.15">
      <c r="A186" s="1">
        <v>453</v>
      </c>
      <c r="B186" s="1" t="s">
        <v>17716</v>
      </c>
      <c r="C186" s="1" t="s">
        <v>17732</v>
      </c>
      <c r="D186" s="1" t="s">
        <v>11582</v>
      </c>
      <c r="F186" s="1" t="s">
        <v>11492</v>
      </c>
      <c r="G186" s="1" t="s">
        <v>11493</v>
      </c>
    </row>
    <row r="187" spans="1:7" x14ac:dyDescent="0.15">
      <c r="A187" s="1">
        <v>454</v>
      </c>
      <c r="B187" s="1" t="s">
        <v>17716</v>
      </c>
      <c r="C187" s="1" t="s">
        <v>11494</v>
      </c>
      <c r="F187" s="1" t="s">
        <v>11701</v>
      </c>
      <c r="G187" s="1" t="s">
        <v>11495</v>
      </c>
    </row>
    <row r="188" spans="1:7" x14ac:dyDescent="0.15">
      <c r="A188" s="1">
        <v>455</v>
      </c>
      <c r="B188" s="1" t="s">
        <v>17716</v>
      </c>
      <c r="C188" s="1" t="s">
        <v>17739</v>
      </c>
      <c r="F188" s="1" t="s">
        <v>11701</v>
      </c>
      <c r="G188" s="1" t="s">
        <v>11496</v>
      </c>
    </row>
    <row r="189" spans="1:7" x14ac:dyDescent="0.15">
      <c r="A189" s="1">
        <v>456</v>
      </c>
      <c r="B189" s="1" t="s">
        <v>17716</v>
      </c>
      <c r="C189" s="1" t="s">
        <v>17743</v>
      </c>
      <c r="F189" s="1" t="s">
        <v>11702</v>
      </c>
      <c r="G189" s="1" t="s">
        <v>11497</v>
      </c>
    </row>
    <row r="190" spans="1:7" x14ac:dyDescent="0.15">
      <c r="A190" s="1">
        <v>457</v>
      </c>
      <c r="B190" s="1" t="s">
        <v>17716</v>
      </c>
      <c r="C190" s="1" t="s">
        <v>17747</v>
      </c>
      <c r="D190" s="1" t="s">
        <v>11582</v>
      </c>
      <c r="F190" s="1" t="s">
        <v>11498</v>
      </c>
      <c r="G190" s="1" t="s">
        <v>11499</v>
      </c>
    </row>
    <row r="191" spans="1:7" x14ac:dyDescent="0.15">
      <c r="A191" s="1">
        <v>458</v>
      </c>
      <c r="B191" s="1" t="s">
        <v>17716</v>
      </c>
      <c r="C191" s="1" t="s">
        <v>11500</v>
      </c>
      <c r="D191" s="1" t="s">
        <v>12625</v>
      </c>
      <c r="F191" s="1" t="s">
        <v>11501</v>
      </c>
      <c r="G191" s="1" t="s">
        <v>11502</v>
      </c>
    </row>
    <row r="192" spans="1:7" x14ac:dyDescent="0.15">
      <c r="A192" s="1">
        <v>459</v>
      </c>
      <c r="B192" s="1" t="s">
        <v>17716</v>
      </c>
      <c r="C192" s="1" t="s">
        <v>17751</v>
      </c>
      <c r="D192" s="1" t="s">
        <v>12625</v>
      </c>
      <c r="F192" s="1" t="s">
        <v>11503</v>
      </c>
      <c r="G192" s="1" t="s">
        <v>11504</v>
      </c>
    </row>
    <row r="193" spans="1:7" x14ac:dyDescent="0.15">
      <c r="A193" s="1">
        <v>460</v>
      </c>
      <c r="B193" s="1" t="s">
        <v>17716</v>
      </c>
      <c r="C193" s="1" t="s">
        <v>11505</v>
      </c>
      <c r="D193" s="1" t="s">
        <v>12593</v>
      </c>
      <c r="F193" s="1" t="s">
        <v>11506</v>
      </c>
      <c r="G193" s="1" t="s">
        <v>12595</v>
      </c>
    </row>
    <row r="194" spans="1:7" x14ac:dyDescent="0.15">
      <c r="A194" s="1">
        <v>461</v>
      </c>
      <c r="B194" s="1" t="s">
        <v>17716</v>
      </c>
      <c r="C194" s="1" t="s">
        <v>17759</v>
      </c>
      <c r="D194" s="1" t="s">
        <v>12593</v>
      </c>
      <c r="F194" s="1" t="s">
        <v>11506</v>
      </c>
      <c r="G194" s="1" t="s">
        <v>11507</v>
      </c>
    </row>
    <row r="195" spans="1:7" x14ac:dyDescent="0.15">
      <c r="A195" s="1">
        <v>462</v>
      </c>
      <c r="B195" s="1" t="s">
        <v>17716</v>
      </c>
      <c r="C195" s="1" t="s">
        <v>11508</v>
      </c>
      <c r="F195" s="1" t="s">
        <v>11509</v>
      </c>
      <c r="G195" s="1" t="s">
        <v>11510</v>
      </c>
    </row>
    <row r="196" spans="1:7" x14ac:dyDescent="0.15">
      <c r="A196" s="1">
        <v>466</v>
      </c>
      <c r="B196" s="1" t="s">
        <v>17716</v>
      </c>
      <c r="C196" s="1" t="s">
        <v>17766</v>
      </c>
      <c r="F196" s="1" t="s">
        <v>11517</v>
      </c>
      <c r="G196" s="1" t="s">
        <v>10972</v>
      </c>
    </row>
    <row r="197" spans="1:7" x14ac:dyDescent="0.15">
      <c r="A197" s="1">
        <v>471</v>
      </c>
      <c r="B197" s="1" t="s">
        <v>17716</v>
      </c>
      <c r="C197" s="1" t="s">
        <v>10979</v>
      </c>
      <c r="D197" s="1" t="s">
        <v>12625</v>
      </c>
      <c r="F197" s="1" t="s">
        <v>10980</v>
      </c>
      <c r="G197" s="1" t="s">
        <v>10981</v>
      </c>
    </row>
    <row r="198" spans="1:7" x14ac:dyDescent="0.15">
      <c r="A198" s="1">
        <v>474</v>
      </c>
      <c r="B198" s="1" t="s">
        <v>17716</v>
      </c>
      <c r="C198" s="1" t="s">
        <v>10985</v>
      </c>
      <c r="D198" s="1" t="s">
        <v>12625</v>
      </c>
      <c r="F198" s="1" t="s">
        <v>10986</v>
      </c>
      <c r="G198" s="1" t="s">
        <v>10987</v>
      </c>
    </row>
    <row r="199" spans="1:7" x14ac:dyDescent="0.15">
      <c r="A199" s="1">
        <v>475</v>
      </c>
      <c r="B199" s="1" t="s">
        <v>17716</v>
      </c>
      <c r="C199" s="1" t="s">
        <v>11703</v>
      </c>
      <c r="D199" s="1" t="s">
        <v>12625</v>
      </c>
      <c r="F199" s="1" t="s">
        <v>10988</v>
      </c>
      <c r="G199" s="1" t="s">
        <v>10989</v>
      </c>
    </row>
    <row r="200" spans="1:7" x14ac:dyDescent="0.15">
      <c r="A200" s="1">
        <v>476</v>
      </c>
      <c r="B200" s="1" t="s">
        <v>17716</v>
      </c>
      <c r="C200" s="1" t="s">
        <v>10990</v>
      </c>
      <c r="D200" s="1" t="s">
        <v>12625</v>
      </c>
      <c r="F200" s="1" t="s">
        <v>10991</v>
      </c>
      <c r="G200" s="1" t="s">
        <v>10992</v>
      </c>
    </row>
    <row r="201" spans="1:7" x14ac:dyDescent="0.15">
      <c r="A201" s="1">
        <v>477</v>
      </c>
      <c r="B201" s="1" t="s">
        <v>17716</v>
      </c>
      <c r="C201" s="1" t="s">
        <v>10993</v>
      </c>
      <c r="D201" s="1" t="s">
        <v>12625</v>
      </c>
      <c r="F201" s="1" t="s">
        <v>10994</v>
      </c>
      <c r="G201" s="1" t="s">
        <v>10995</v>
      </c>
    </row>
    <row r="202" spans="1:7" x14ac:dyDescent="0.15">
      <c r="A202" s="1">
        <v>478</v>
      </c>
      <c r="B202" s="1" t="s">
        <v>17716</v>
      </c>
      <c r="C202" s="1" t="s">
        <v>10996</v>
      </c>
      <c r="D202" s="1" t="s">
        <v>11582</v>
      </c>
      <c r="F202" s="1" t="s">
        <v>11492</v>
      </c>
      <c r="G202" s="1" t="s">
        <v>10997</v>
      </c>
    </row>
    <row r="203" spans="1:7" x14ac:dyDescent="0.15">
      <c r="A203" s="1">
        <v>483</v>
      </c>
      <c r="B203" s="1" t="s">
        <v>17716</v>
      </c>
      <c r="C203" s="1" t="s">
        <v>11000</v>
      </c>
      <c r="D203" s="1" t="s">
        <v>12625</v>
      </c>
      <c r="F203" s="1" t="s">
        <v>11001</v>
      </c>
      <c r="G203" s="1" t="s">
        <v>11002</v>
      </c>
    </row>
    <row r="204" spans="1:7" x14ac:dyDescent="0.15">
      <c r="A204" s="1">
        <v>484</v>
      </c>
      <c r="B204" s="1" t="s">
        <v>17716</v>
      </c>
      <c r="C204" s="1" t="s">
        <v>11003</v>
      </c>
      <c r="D204" s="1" t="s">
        <v>12625</v>
      </c>
      <c r="F204" s="1" t="s">
        <v>11004</v>
      </c>
      <c r="G204" s="1" t="s">
        <v>11005</v>
      </c>
    </row>
    <row r="205" spans="1:7" x14ac:dyDescent="0.15">
      <c r="A205" s="1">
        <v>489</v>
      </c>
      <c r="B205" s="1" t="s">
        <v>17716</v>
      </c>
      <c r="C205" s="1" t="s">
        <v>11006</v>
      </c>
      <c r="D205" s="1" t="s">
        <v>12625</v>
      </c>
      <c r="F205" s="1" t="s">
        <v>11007</v>
      </c>
    </row>
    <row r="206" spans="1:7" x14ac:dyDescent="0.15">
      <c r="A206" s="1">
        <v>490</v>
      </c>
      <c r="B206" s="1" t="s">
        <v>17716</v>
      </c>
      <c r="C206" s="1" t="s">
        <v>11008</v>
      </c>
      <c r="D206" s="1" t="s">
        <v>12625</v>
      </c>
      <c r="F206" s="1" t="s">
        <v>11009</v>
      </c>
      <c r="G206" s="1" t="s">
        <v>11010</v>
      </c>
    </row>
    <row r="207" spans="1:7" x14ac:dyDescent="0.15">
      <c r="A207" s="1">
        <v>491</v>
      </c>
      <c r="B207" s="1" t="s">
        <v>17716</v>
      </c>
      <c r="C207" s="1" t="s">
        <v>11011</v>
      </c>
      <c r="D207" s="1" t="s">
        <v>12625</v>
      </c>
      <c r="F207" s="1" t="s">
        <v>11009</v>
      </c>
      <c r="G207" s="1" t="s">
        <v>11012</v>
      </c>
    </row>
    <row r="208" spans="1:7" x14ac:dyDescent="0.15">
      <c r="A208" s="1">
        <v>492</v>
      </c>
      <c r="B208" s="1" t="s">
        <v>17716</v>
      </c>
      <c r="C208" s="1" t="s">
        <v>11013</v>
      </c>
      <c r="F208" s="1" t="s">
        <v>11014</v>
      </c>
      <c r="G208" s="1" t="s">
        <v>11015</v>
      </c>
    </row>
    <row r="209" spans="1:7" x14ac:dyDescent="0.15">
      <c r="A209" s="1">
        <v>493</v>
      </c>
      <c r="B209" s="1" t="s">
        <v>17716</v>
      </c>
      <c r="C209" s="1" t="s">
        <v>17773</v>
      </c>
      <c r="F209" s="1" t="s">
        <v>11014</v>
      </c>
      <c r="G209" s="1" t="s">
        <v>11016</v>
      </c>
    </row>
    <row r="210" spans="1:7" x14ac:dyDescent="0.15">
      <c r="A210" s="1">
        <v>494</v>
      </c>
      <c r="B210" s="1" t="s">
        <v>17775</v>
      </c>
      <c r="C210" s="1" t="s">
        <v>11017</v>
      </c>
      <c r="F210" s="1" t="s">
        <v>11018</v>
      </c>
      <c r="G210" s="1" t="s">
        <v>11019</v>
      </c>
    </row>
    <row r="211" spans="1:7" x14ac:dyDescent="0.15">
      <c r="A211" s="1">
        <v>495</v>
      </c>
      <c r="B211" s="1" t="s">
        <v>17775</v>
      </c>
      <c r="C211" s="1" t="s">
        <v>11020</v>
      </c>
      <c r="F211" s="1" t="s">
        <v>11021</v>
      </c>
      <c r="G211" s="1" t="s">
        <v>11022</v>
      </c>
    </row>
    <row r="212" spans="1:7" x14ac:dyDescent="0.15">
      <c r="A212" s="1">
        <v>497</v>
      </c>
      <c r="B212" s="1" t="s">
        <v>17775</v>
      </c>
      <c r="C212" s="1" t="s">
        <v>17783</v>
      </c>
      <c r="D212" s="1" t="s">
        <v>12593</v>
      </c>
      <c r="F212" s="1" t="s">
        <v>11023</v>
      </c>
      <c r="G212" s="1" t="s">
        <v>11024</v>
      </c>
    </row>
    <row r="213" spans="1:7" x14ac:dyDescent="0.15">
      <c r="A213" s="1">
        <v>498</v>
      </c>
      <c r="B213" s="1" t="s">
        <v>17775</v>
      </c>
      <c r="C213" s="1" t="s">
        <v>17787</v>
      </c>
      <c r="D213" s="1" t="s">
        <v>11582</v>
      </c>
      <c r="F213" s="1" t="s">
        <v>11025</v>
      </c>
      <c r="G213" s="1" t="s">
        <v>11026</v>
      </c>
    </row>
    <row r="214" spans="1:7" x14ac:dyDescent="0.15">
      <c r="A214" s="1">
        <v>499</v>
      </c>
      <c r="B214" s="1" t="s">
        <v>17775</v>
      </c>
      <c r="C214" s="1" t="s">
        <v>17791</v>
      </c>
      <c r="D214" s="1" t="s">
        <v>11582</v>
      </c>
      <c r="F214" s="1" t="s">
        <v>10977</v>
      </c>
      <c r="G214" s="1" t="s">
        <v>11027</v>
      </c>
    </row>
    <row r="215" spans="1:7" x14ac:dyDescent="0.15">
      <c r="A215" s="1">
        <v>500</v>
      </c>
      <c r="B215" s="1" t="s">
        <v>17775</v>
      </c>
      <c r="C215" s="1" t="s">
        <v>11028</v>
      </c>
      <c r="D215" s="1" t="s">
        <v>12625</v>
      </c>
      <c r="F215" s="1" t="s">
        <v>11021</v>
      </c>
      <c r="G215" s="1" t="s">
        <v>11029</v>
      </c>
    </row>
    <row r="216" spans="1:7" x14ac:dyDescent="0.15">
      <c r="A216" s="1">
        <v>501</v>
      </c>
      <c r="B216" s="1" t="s">
        <v>17775</v>
      </c>
      <c r="C216" s="1" t="s">
        <v>17795</v>
      </c>
      <c r="D216" s="1" t="s">
        <v>12593</v>
      </c>
      <c r="F216" s="1" t="s">
        <v>11030</v>
      </c>
      <c r="G216" s="1" t="s">
        <v>11031</v>
      </c>
    </row>
    <row r="217" spans="1:7" x14ac:dyDescent="0.15">
      <c r="A217" s="1">
        <v>502</v>
      </c>
      <c r="B217" s="1" t="s">
        <v>17775</v>
      </c>
      <c r="C217" s="1" t="s">
        <v>11032</v>
      </c>
      <c r="D217" s="1" t="s">
        <v>12625</v>
      </c>
      <c r="F217" s="1" t="s">
        <v>11033</v>
      </c>
      <c r="G217" s="1" t="s">
        <v>11034</v>
      </c>
    </row>
    <row r="218" spans="1:7" x14ac:dyDescent="0.15">
      <c r="A218" s="1">
        <v>503</v>
      </c>
      <c r="B218" s="1" t="s">
        <v>17775</v>
      </c>
      <c r="C218" s="1" t="s">
        <v>10975</v>
      </c>
      <c r="D218" s="1" t="s">
        <v>11582</v>
      </c>
      <c r="F218" s="1" t="s">
        <v>11035</v>
      </c>
      <c r="G218" s="1" t="s">
        <v>11036</v>
      </c>
    </row>
    <row r="219" spans="1:7" x14ac:dyDescent="0.15">
      <c r="A219" s="1">
        <v>508</v>
      </c>
      <c r="B219" s="1" t="s">
        <v>17775</v>
      </c>
      <c r="C219" s="1" t="s">
        <v>10976</v>
      </c>
      <c r="D219" s="1" t="s">
        <v>11582</v>
      </c>
      <c r="F219" s="1" t="s">
        <v>10977</v>
      </c>
      <c r="G219" s="1" t="s">
        <v>11040</v>
      </c>
    </row>
    <row r="220" spans="1:7" x14ac:dyDescent="0.15">
      <c r="A220" s="1">
        <v>510</v>
      </c>
      <c r="B220" s="1" t="s">
        <v>17775</v>
      </c>
      <c r="C220" s="1" t="s">
        <v>10978</v>
      </c>
      <c r="D220" s="1" t="s">
        <v>12625</v>
      </c>
      <c r="F220" s="1" t="s">
        <v>11041</v>
      </c>
      <c r="G220" s="1" t="s">
        <v>11042</v>
      </c>
    </row>
    <row r="221" spans="1:7" x14ac:dyDescent="0.15">
      <c r="A221" s="1">
        <v>513</v>
      </c>
      <c r="B221" s="1" t="s">
        <v>17775</v>
      </c>
      <c r="C221" s="1" t="s">
        <v>11043</v>
      </c>
      <c r="D221" s="1" t="s">
        <v>12625</v>
      </c>
      <c r="F221" s="1" t="s">
        <v>11044</v>
      </c>
      <c r="G221" s="1" t="s">
        <v>11045</v>
      </c>
    </row>
    <row r="222" spans="1:7" x14ac:dyDescent="0.15">
      <c r="A222" s="1">
        <v>514</v>
      </c>
      <c r="B222" s="1" t="s">
        <v>17775</v>
      </c>
      <c r="C222" s="1" t="s">
        <v>11046</v>
      </c>
      <c r="D222" s="1" t="s">
        <v>12625</v>
      </c>
      <c r="F222" s="1" t="s">
        <v>11047</v>
      </c>
      <c r="G222" s="1" t="s">
        <v>11048</v>
      </c>
    </row>
    <row r="223" spans="1:7" x14ac:dyDescent="0.15">
      <c r="A223" s="1">
        <v>517</v>
      </c>
      <c r="B223" s="1" t="s">
        <v>17775</v>
      </c>
      <c r="C223" s="1" t="s">
        <v>11051</v>
      </c>
      <c r="D223" s="1" t="s">
        <v>12625</v>
      </c>
      <c r="F223" s="1" t="s">
        <v>11052</v>
      </c>
      <c r="G223" s="1" t="s">
        <v>11053</v>
      </c>
    </row>
    <row r="224" spans="1:7" x14ac:dyDescent="0.15">
      <c r="A224" s="1">
        <v>520</v>
      </c>
      <c r="B224" s="1" t="s">
        <v>17775</v>
      </c>
      <c r="C224" s="1" t="s">
        <v>11057</v>
      </c>
      <c r="D224" s="1" t="s">
        <v>12625</v>
      </c>
      <c r="F224" s="1" t="s">
        <v>11058</v>
      </c>
      <c r="G224" s="1" t="s">
        <v>11059</v>
      </c>
    </row>
    <row r="225" spans="1:7" x14ac:dyDescent="0.15">
      <c r="A225" s="1">
        <v>521</v>
      </c>
      <c r="B225" s="1" t="s">
        <v>17775</v>
      </c>
      <c r="C225" s="1" t="s">
        <v>11060</v>
      </c>
      <c r="D225" s="1" t="s">
        <v>11582</v>
      </c>
      <c r="F225" s="1" t="s">
        <v>11061</v>
      </c>
      <c r="G225" s="1" t="s">
        <v>11062</v>
      </c>
    </row>
    <row r="226" spans="1:7" x14ac:dyDescent="0.15">
      <c r="A226" s="1">
        <v>523</v>
      </c>
      <c r="B226" s="1" t="s">
        <v>17775</v>
      </c>
      <c r="C226" s="1" t="s">
        <v>11065</v>
      </c>
      <c r="D226" s="1" t="s">
        <v>12625</v>
      </c>
      <c r="F226" s="1" t="s">
        <v>11066</v>
      </c>
      <c r="G226" s="1" t="s">
        <v>11067</v>
      </c>
    </row>
    <row r="227" spans="1:7" x14ac:dyDescent="0.15">
      <c r="A227" s="1">
        <v>527</v>
      </c>
      <c r="B227" s="1" t="s">
        <v>17775</v>
      </c>
      <c r="C227" s="1" t="s">
        <v>11122</v>
      </c>
      <c r="D227" s="1" t="s">
        <v>11582</v>
      </c>
      <c r="F227" s="1" t="s">
        <v>11123</v>
      </c>
      <c r="G227" s="1" t="s">
        <v>11124</v>
      </c>
    </row>
    <row r="228" spans="1:7" x14ac:dyDescent="0.15">
      <c r="A228" s="1">
        <v>528</v>
      </c>
      <c r="B228" s="1" t="s">
        <v>17775</v>
      </c>
      <c r="C228" s="1" t="s">
        <v>11125</v>
      </c>
      <c r="D228" s="1" t="s">
        <v>11582</v>
      </c>
      <c r="F228" s="1" t="s">
        <v>11126</v>
      </c>
      <c r="G228" s="1" t="s">
        <v>11127</v>
      </c>
    </row>
    <row r="229" spans="1:7" x14ac:dyDescent="0.15">
      <c r="A229" s="1">
        <v>530</v>
      </c>
      <c r="B229" s="1" t="s">
        <v>17775</v>
      </c>
      <c r="C229" s="1" t="s">
        <v>11129</v>
      </c>
      <c r="D229" s="1" t="s">
        <v>11582</v>
      </c>
      <c r="F229" s="1" t="s">
        <v>11130</v>
      </c>
      <c r="G229" s="1" t="s">
        <v>11131</v>
      </c>
    </row>
    <row r="230" spans="1:7" x14ac:dyDescent="0.15">
      <c r="A230" s="1">
        <v>531</v>
      </c>
      <c r="B230" s="1" t="s">
        <v>17775</v>
      </c>
      <c r="C230" s="1" t="s">
        <v>11132</v>
      </c>
      <c r="D230" s="1" t="s">
        <v>11582</v>
      </c>
      <c r="F230" s="1" t="s">
        <v>11133</v>
      </c>
      <c r="G230" s="1" t="s">
        <v>11134</v>
      </c>
    </row>
    <row r="231" spans="1:7" x14ac:dyDescent="0.15">
      <c r="A231" s="1">
        <v>532</v>
      </c>
      <c r="B231" s="1" t="s">
        <v>17775</v>
      </c>
      <c r="C231" s="1" t="s">
        <v>11135</v>
      </c>
      <c r="D231" s="1" t="s">
        <v>12625</v>
      </c>
      <c r="F231" s="1" t="s">
        <v>11136</v>
      </c>
      <c r="G231" s="1" t="s">
        <v>11137</v>
      </c>
    </row>
    <row r="232" spans="1:7" x14ac:dyDescent="0.15">
      <c r="A232" s="1">
        <v>533</v>
      </c>
      <c r="B232" s="1" t="s">
        <v>17775</v>
      </c>
      <c r="C232" s="1" t="s">
        <v>11138</v>
      </c>
      <c r="D232" s="1" t="s">
        <v>12625</v>
      </c>
      <c r="F232" s="1" t="s">
        <v>11139</v>
      </c>
      <c r="G232" s="1" t="s">
        <v>11140</v>
      </c>
    </row>
    <row r="233" spans="1:7" x14ac:dyDescent="0.15">
      <c r="A233" s="1">
        <v>534</v>
      </c>
      <c r="B233" s="1" t="s">
        <v>17775</v>
      </c>
      <c r="C233" s="1" t="s">
        <v>11141</v>
      </c>
      <c r="D233" s="1" t="s">
        <v>12625</v>
      </c>
      <c r="F233" s="1" t="s">
        <v>11139</v>
      </c>
      <c r="G233" s="1" t="s">
        <v>11142</v>
      </c>
    </row>
    <row r="234" spans="1:7" x14ac:dyDescent="0.15">
      <c r="A234" s="1">
        <v>535</v>
      </c>
      <c r="B234" s="1" t="s">
        <v>17799</v>
      </c>
      <c r="C234" s="1" t="s">
        <v>11511</v>
      </c>
      <c r="F234" s="1" t="s">
        <v>11512</v>
      </c>
      <c r="G234" s="1" t="s">
        <v>11143</v>
      </c>
    </row>
    <row r="235" spans="1:7" x14ac:dyDescent="0.15">
      <c r="A235" s="1">
        <v>536</v>
      </c>
      <c r="B235" s="1" t="s">
        <v>17799</v>
      </c>
      <c r="C235" s="1" t="s">
        <v>11144</v>
      </c>
      <c r="F235" s="1" t="s">
        <v>11145</v>
      </c>
      <c r="G235" s="1" t="s">
        <v>11146</v>
      </c>
    </row>
    <row r="236" spans="1:7" x14ac:dyDescent="0.15">
      <c r="A236" s="1">
        <v>537</v>
      </c>
      <c r="B236" s="1" t="s">
        <v>17799</v>
      </c>
      <c r="C236" s="1" t="s">
        <v>17808</v>
      </c>
      <c r="F236" s="1" t="s">
        <v>11147</v>
      </c>
      <c r="G236" s="1" t="s">
        <v>11148</v>
      </c>
    </row>
    <row r="237" spans="1:7" x14ac:dyDescent="0.15">
      <c r="A237" s="1">
        <v>538</v>
      </c>
      <c r="B237" s="1" t="s">
        <v>17799</v>
      </c>
      <c r="C237" s="1" t="s">
        <v>11149</v>
      </c>
      <c r="D237" s="1" t="s">
        <v>12625</v>
      </c>
      <c r="F237" s="1" t="s">
        <v>11150</v>
      </c>
      <c r="G237" s="1" t="s">
        <v>11151</v>
      </c>
    </row>
    <row r="238" spans="1:7" x14ac:dyDescent="0.15">
      <c r="A238" s="1">
        <v>542</v>
      </c>
      <c r="B238" s="1" t="s">
        <v>17799</v>
      </c>
      <c r="C238" s="1" t="s">
        <v>11157</v>
      </c>
      <c r="D238" s="1" t="s">
        <v>12625</v>
      </c>
      <c r="F238" s="1" t="s">
        <v>11158</v>
      </c>
      <c r="G238" s="1" t="s">
        <v>11159</v>
      </c>
    </row>
    <row r="239" spans="1:7" x14ac:dyDescent="0.15">
      <c r="A239" s="1">
        <v>545</v>
      </c>
      <c r="B239" s="1" t="s">
        <v>17799</v>
      </c>
      <c r="C239" s="1" t="s">
        <v>11162</v>
      </c>
      <c r="D239" s="1" t="s">
        <v>12625</v>
      </c>
      <c r="F239" s="1" t="s">
        <v>11163</v>
      </c>
      <c r="G239" s="1" t="s">
        <v>11164</v>
      </c>
    </row>
    <row r="240" spans="1:7" x14ac:dyDescent="0.15">
      <c r="A240" s="1">
        <v>546</v>
      </c>
      <c r="B240" s="1" t="s">
        <v>17799</v>
      </c>
      <c r="C240" s="1" t="s">
        <v>11165</v>
      </c>
      <c r="E240" s="1" t="s">
        <v>11166</v>
      </c>
      <c r="F240" s="1" t="s">
        <v>11167</v>
      </c>
      <c r="G240" s="1" t="s">
        <v>11168</v>
      </c>
    </row>
    <row r="241" spans="1:7" x14ac:dyDescent="0.15">
      <c r="A241" s="1">
        <v>547</v>
      </c>
      <c r="B241" s="1" t="s">
        <v>17799</v>
      </c>
      <c r="C241" s="1" t="s">
        <v>17815</v>
      </c>
      <c r="F241" s="1" t="s">
        <v>11169</v>
      </c>
      <c r="G241" s="1" t="s">
        <v>11170</v>
      </c>
    </row>
    <row r="242" spans="1:7" x14ac:dyDescent="0.15">
      <c r="A242" s="1">
        <v>549</v>
      </c>
      <c r="B242" s="1" t="s">
        <v>17799</v>
      </c>
      <c r="C242" s="1" t="s">
        <v>11171</v>
      </c>
      <c r="D242" s="1" t="s">
        <v>12625</v>
      </c>
      <c r="F242" s="1" t="s">
        <v>11172</v>
      </c>
      <c r="G242" s="1" t="s">
        <v>11173</v>
      </c>
    </row>
    <row r="243" spans="1:7" x14ac:dyDescent="0.15">
      <c r="A243" s="1">
        <v>551</v>
      </c>
      <c r="B243" s="1" t="s">
        <v>17799</v>
      </c>
      <c r="C243" s="1" t="s">
        <v>11176</v>
      </c>
      <c r="D243" s="1" t="s">
        <v>12625</v>
      </c>
      <c r="F243" s="1" t="s">
        <v>11177</v>
      </c>
      <c r="G243" s="1" t="s">
        <v>11178</v>
      </c>
    </row>
    <row r="244" spans="1:7" x14ac:dyDescent="0.15">
      <c r="A244" s="1">
        <v>552</v>
      </c>
      <c r="B244" s="1" t="s">
        <v>17799</v>
      </c>
      <c r="C244" s="1" t="s">
        <v>11179</v>
      </c>
      <c r="D244" s="1" t="s">
        <v>12625</v>
      </c>
      <c r="F244" s="1" t="s">
        <v>11180</v>
      </c>
      <c r="G244" s="1" t="s">
        <v>11181</v>
      </c>
    </row>
    <row r="245" spans="1:7" x14ac:dyDescent="0.15">
      <c r="A245" s="1">
        <v>553</v>
      </c>
      <c r="B245" s="1" t="s">
        <v>17799</v>
      </c>
      <c r="C245" s="1" t="s">
        <v>11182</v>
      </c>
      <c r="F245" s="1" t="s">
        <v>11183</v>
      </c>
      <c r="G245" s="1" t="s">
        <v>11184</v>
      </c>
    </row>
    <row r="246" spans="1:7" x14ac:dyDescent="0.15">
      <c r="A246" s="1">
        <v>554</v>
      </c>
      <c r="B246" s="1" t="s">
        <v>17799</v>
      </c>
      <c r="C246" s="1" t="s">
        <v>17822</v>
      </c>
      <c r="F246" s="1" t="s">
        <v>11185</v>
      </c>
      <c r="G246" s="1" t="s">
        <v>11186</v>
      </c>
    </row>
    <row r="247" spans="1:7" x14ac:dyDescent="0.15">
      <c r="A247" s="1">
        <v>555</v>
      </c>
      <c r="B247" s="1" t="s">
        <v>17799</v>
      </c>
      <c r="C247" s="1" t="s">
        <v>11187</v>
      </c>
      <c r="F247" s="1" t="s">
        <v>11188</v>
      </c>
      <c r="G247" s="1" t="s">
        <v>11189</v>
      </c>
    </row>
    <row r="248" spans="1:7" x14ac:dyDescent="0.15">
      <c r="A248" s="1">
        <v>556</v>
      </c>
      <c r="B248" s="1" t="s">
        <v>17799</v>
      </c>
      <c r="C248" s="1" t="s">
        <v>17829</v>
      </c>
      <c r="F248" s="1" t="s">
        <v>11188</v>
      </c>
      <c r="G248" s="1" t="s">
        <v>11190</v>
      </c>
    </row>
    <row r="249" spans="1:7" x14ac:dyDescent="0.15">
      <c r="A249" s="1">
        <v>560</v>
      </c>
      <c r="B249" s="1" t="s">
        <v>17799</v>
      </c>
      <c r="C249" s="1" t="s">
        <v>11195</v>
      </c>
      <c r="F249" s="1" t="s">
        <v>11196</v>
      </c>
      <c r="G249" s="1" t="s">
        <v>11197</v>
      </c>
    </row>
    <row r="250" spans="1:7" x14ac:dyDescent="0.15">
      <c r="A250" s="1">
        <v>561</v>
      </c>
      <c r="B250" s="1" t="s">
        <v>17799</v>
      </c>
      <c r="C250" s="1" t="s">
        <v>17836</v>
      </c>
      <c r="F250" s="1" t="s">
        <v>11198</v>
      </c>
      <c r="G250" s="1" t="s">
        <v>11199</v>
      </c>
    </row>
    <row r="251" spans="1:7" x14ac:dyDescent="0.15">
      <c r="A251" s="1">
        <v>566</v>
      </c>
      <c r="B251" s="1" t="s">
        <v>17799</v>
      </c>
      <c r="C251" s="1" t="s">
        <v>11201</v>
      </c>
      <c r="D251" s="1" t="s">
        <v>12625</v>
      </c>
      <c r="F251" s="1" t="s">
        <v>11202</v>
      </c>
      <c r="G251" s="1" t="s">
        <v>11203</v>
      </c>
    </row>
    <row r="252" spans="1:7" x14ac:dyDescent="0.15">
      <c r="A252" s="1">
        <v>567</v>
      </c>
      <c r="B252" s="1" t="s">
        <v>17799</v>
      </c>
      <c r="C252" s="1" t="s">
        <v>11204</v>
      </c>
      <c r="D252" s="1" t="s">
        <v>12625</v>
      </c>
      <c r="F252" s="1" t="s">
        <v>11205</v>
      </c>
      <c r="G252" s="1" t="s">
        <v>11206</v>
      </c>
    </row>
    <row r="253" spans="1:7" x14ac:dyDescent="0.15">
      <c r="A253" s="1">
        <v>569</v>
      </c>
      <c r="B253" s="1" t="s">
        <v>17799</v>
      </c>
      <c r="C253" s="1" t="s">
        <v>11209</v>
      </c>
      <c r="D253" s="1" t="s">
        <v>12625</v>
      </c>
      <c r="F253" s="1" t="s">
        <v>11210</v>
      </c>
      <c r="G253" s="1" t="s">
        <v>11211</v>
      </c>
    </row>
    <row r="254" spans="1:7" x14ac:dyDescent="0.15">
      <c r="A254" s="1">
        <v>570</v>
      </c>
      <c r="B254" s="1" t="s">
        <v>17799</v>
      </c>
      <c r="C254" s="1" t="s">
        <v>11212</v>
      </c>
      <c r="D254" s="1" t="s">
        <v>12625</v>
      </c>
      <c r="F254" s="1" t="s">
        <v>11213</v>
      </c>
      <c r="G254" s="1" t="s">
        <v>11214</v>
      </c>
    </row>
    <row r="255" spans="1:7" x14ac:dyDescent="0.15">
      <c r="A255" s="1">
        <v>571</v>
      </c>
      <c r="B255" s="1" t="s">
        <v>17799</v>
      </c>
      <c r="C255" s="1" t="s">
        <v>11215</v>
      </c>
      <c r="F255" s="1" t="s">
        <v>11216</v>
      </c>
      <c r="G255" s="1" t="s">
        <v>11217</v>
      </c>
    </row>
    <row r="256" spans="1:7" x14ac:dyDescent="0.15">
      <c r="A256" s="1">
        <v>572</v>
      </c>
      <c r="B256" s="1" t="s">
        <v>17799</v>
      </c>
      <c r="C256" s="1" t="s">
        <v>17090</v>
      </c>
      <c r="F256" s="1" t="s">
        <v>11216</v>
      </c>
      <c r="G256" s="1" t="s">
        <v>11218</v>
      </c>
    </row>
    <row r="257" spans="1:7" x14ac:dyDescent="0.15">
      <c r="A257" s="1">
        <v>576</v>
      </c>
      <c r="B257" s="1" t="s">
        <v>17799</v>
      </c>
      <c r="C257" s="1" t="s">
        <v>11224</v>
      </c>
      <c r="D257" s="1" t="s">
        <v>12625</v>
      </c>
      <c r="F257" s="1" t="s">
        <v>10784</v>
      </c>
      <c r="G257" s="1" t="s">
        <v>10785</v>
      </c>
    </row>
    <row r="258" spans="1:7" x14ac:dyDescent="0.15">
      <c r="A258" s="1">
        <v>579</v>
      </c>
      <c r="B258" s="1" t="s">
        <v>17799</v>
      </c>
      <c r="C258" s="1" t="s">
        <v>11063</v>
      </c>
      <c r="D258" s="1" t="s">
        <v>12625</v>
      </c>
      <c r="F258" s="1" t="s">
        <v>11064</v>
      </c>
      <c r="G258" s="1" t="s">
        <v>10790</v>
      </c>
    </row>
    <row r="259" spans="1:7" x14ac:dyDescent="0.15">
      <c r="A259" s="1">
        <v>583</v>
      </c>
      <c r="B259" s="1" t="s">
        <v>17799</v>
      </c>
      <c r="C259" s="1" t="s">
        <v>10791</v>
      </c>
      <c r="D259" s="1" t="s">
        <v>12625</v>
      </c>
      <c r="F259" s="1" t="s">
        <v>10792</v>
      </c>
      <c r="G259" s="1" t="s">
        <v>10793</v>
      </c>
    </row>
    <row r="260" spans="1:7" x14ac:dyDescent="0.15">
      <c r="A260" s="1">
        <v>584</v>
      </c>
      <c r="B260" s="1" t="s">
        <v>17799</v>
      </c>
      <c r="C260" s="1" t="s">
        <v>11068</v>
      </c>
      <c r="D260" s="1" t="s">
        <v>12625</v>
      </c>
      <c r="F260" s="1" t="s">
        <v>11069</v>
      </c>
      <c r="G260" s="1" t="s">
        <v>10794</v>
      </c>
    </row>
    <row r="261" spans="1:7" x14ac:dyDescent="0.15">
      <c r="A261" s="1">
        <v>586</v>
      </c>
      <c r="B261" s="1" t="s">
        <v>17799</v>
      </c>
      <c r="C261" s="1" t="s">
        <v>10795</v>
      </c>
      <c r="D261" s="1" t="s">
        <v>12625</v>
      </c>
      <c r="F261" s="1" t="s">
        <v>10796</v>
      </c>
      <c r="G261" s="1" t="s">
        <v>10797</v>
      </c>
    </row>
    <row r="262" spans="1:7" x14ac:dyDescent="0.15">
      <c r="A262" s="1">
        <v>587</v>
      </c>
      <c r="B262" s="1" t="s">
        <v>17799</v>
      </c>
      <c r="C262" s="1" t="s">
        <v>10798</v>
      </c>
      <c r="D262" s="1" t="s">
        <v>12625</v>
      </c>
      <c r="F262" s="1" t="s">
        <v>10799</v>
      </c>
      <c r="G262" s="1" t="s">
        <v>10800</v>
      </c>
    </row>
    <row r="263" spans="1:7" x14ac:dyDescent="0.15">
      <c r="A263" s="1">
        <v>588</v>
      </c>
      <c r="B263" s="1" t="s">
        <v>17799</v>
      </c>
      <c r="C263" s="1" t="s">
        <v>10801</v>
      </c>
      <c r="D263" s="1" t="s">
        <v>12625</v>
      </c>
      <c r="F263" s="1" t="s">
        <v>10799</v>
      </c>
      <c r="G263" s="1" t="s">
        <v>10802</v>
      </c>
    </row>
    <row r="264" spans="1:7" x14ac:dyDescent="0.15">
      <c r="A264" s="1">
        <v>589</v>
      </c>
      <c r="B264" s="1" t="s">
        <v>17799</v>
      </c>
      <c r="C264" s="1" t="s">
        <v>10803</v>
      </c>
      <c r="D264" s="1" t="s">
        <v>12625</v>
      </c>
      <c r="F264" s="1" t="s">
        <v>10804</v>
      </c>
      <c r="G264" s="1" t="s">
        <v>10805</v>
      </c>
    </row>
    <row r="265" spans="1:7" x14ac:dyDescent="0.15">
      <c r="A265" s="1">
        <v>593</v>
      </c>
      <c r="B265" s="1" t="s">
        <v>17799</v>
      </c>
      <c r="C265" s="1" t="s">
        <v>10810</v>
      </c>
      <c r="D265" s="1" t="s">
        <v>12625</v>
      </c>
      <c r="F265" s="1" t="s">
        <v>10811</v>
      </c>
      <c r="G265" s="1" t="s">
        <v>10812</v>
      </c>
    </row>
    <row r="266" spans="1:7" x14ac:dyDescent="0.15">
      <c r="A266" s="1">
        <v>594</v>
      </c>
      <c r="B266" s="1" t="s">
        <v>17799</v>
      </c>
      <c r="C266" s="1" t="s">
        <v>10813</v>
      </c>
      <c r="D266" s="1" t="s">
        <v>12625</v>
      </c>
      <c r="F266" s="1" t="s">
        <v>10814</v>
      </c>
      <c r="G266" s="1" t="s">
        <v>10815</v>
      </c>
    </row>
    <row r="267" spans="1:7" x14ac:dyDescent="0.15">
      <c r="A267" s="1">
        <v>595</v>
      </c>
      <c r="B267" s="1" t="s">
        <v>17799</v>
      </c>
      <c r="C267" s="1" t="s">
        <v>10816</v>
      </c>
      <c r="D267" s="1" t="s">
        <v>12625</v>
      </c>
      <c r="F267" s="1" t="s">
        <v>10817</v>
      </c>
      <c r="G267" s="1" t="s">
        <v>10818</v>
      </c>
    </row>
    <row r="268" spans="1:7" x14ac:dyDescent="0.15">
      <c r="A268" s="1">
        <v>596</v>
      </c>
      <c r="B268" s="1" t="s">
        <v>17799</v>
      </c>
      <c r="C268" s="1" t="s">
        <v>10819</v>
      </c>
      <c r="D268" s="1" t="s">
        <v>12625</v>
      </c>
      <c r="F268" s="1" t="s">
        <v>10820</v>
      </c>
      <c r="G268" s="1" t="s">
        <v>10821</v>
      </c>
    </row>
    <row r="269" spans="1:7" x14ac:dyDescent="0.15">
      <c r="A269" s="1">
        <v>597</v>
      </c>
      <c r="B269" s="1" t="s">
        <v>17799</v>
      </c>
      <c r="C269" s="1" t="s">
        <v>10822</v>
      </c>
      <c r="D269" s="1" t="s">
        <v>12625</v>
      </c>
      <c r="F269" s="1" t="s">
        <v>10823</v>
      </c>
      <c r="G269" s="1" t="s">
        <v>10824</v>
      </c>
    </row>
    <row r="270" spans="1:7" x14ac:dyDescent="0.15">
      <c r="A270" s="1">
        <v>598</v>
      </c>
      <c r="B270" s="1" t="s">
        <v>17799</v>
      </c>
      <c r="C270" s="1" t="s">
        <v>10825</v>
      </c>
      <c r="F270" s="1" t="s">
        <v>10826</v>
      </c>
      <c r="G270" s="1" t="s">
        <v>10827</v>
      </c>
    </row>
    <row r="271" spans="1:7" x14ac:dyDescent="0.15">
      <c r="A271" s="1">
        <v>599</v>
      </c>
      <c r="B271" s="1" t="s">
        <v>17799</v>
      </c>
      <c r="C271" s="1" t="s">
        <v>17097</v>
      </c>
      <c r="F271" s="1" t="s">
        <v>10826</v>
      </c>
      <c r="G271" s="1" t="s">
        <v>10828</v>
      </c>
    </row>
    <row r="272" spans="1:7" x14ac:dyDescent="0.15">
      <c r="A272" s="1">
        <v>600</v>
      </c>
      <c r="B272" s="1" t="s">
        <v>17100</v>
      </c>
      <c r="C272" s="1" t="s">
        <v>10829</v>
      </c>
      <c r="F272" s="1" t="s">
        <v>10830</v>
      </c>
      <c r="G272" s="1" t="s">
        <v>10831</v>
      </c>
    </row>
    <row r="273" spans="1:7" x14ac:dyDescent="0.15">
      <c r="A273" s="1">
        <v>601</v>
      </c>
      <c r="B273" s="1" t="s">
        <v>17100</v>
      </c>
      <c r="C273" s="1" t="s">
        <v>10832</v>
      </c>
      <c r="D273" s="1" t="s">
        <v>12593</v>
      </c>
      <c r="F273" s="1" t="s">
        <v>10833</v>
      </c>
      <c r="G273" s="1" t="s">
        <v>12595</v>
      </c>
    </row>
    <row r="274" spans="1:7" x14ac:dyDescent="0.15">
      <c r="A274" s="1">
        <v>602</v>
      </c>
      <c r="B274" s="1" t="s">
        <v>17100</v>
      </c>
      <c r="C274" s="1" t="s">
        <v>17109</v>
      </c>
      <c r="D274" s="1" t="s">
        <v>12593</v>
      </c>
      <c r="F274" s="1" t="s">
        <v>10834</v>
      </c>
      <c r="G274" s="1" t="s">
        <v>10835</v>
      </c>
    </row>
    <row r="275" spans="1:7" x14ac:dyDescent="0.15">
      <c r="A275" s="1">
        <v>603</v>
      </c>
      <c r="B275" s="1" t="s">
        <v>17100</v>
      </c>
      <c r="C275" s="1" t="s">
        <v>17113</v>
      </c>
      <c r="D275" s="1" t="s">
        <v>12593</v>
      </c>
      <c r="F275" s="1" t="s">
        <v>10836</v>
      </c>
      <c r="G275" s="1" t="s">
        <v>10835</v>
      </c>
    </row>
    <row r="276" spans="1:7" x14ac:dyDescent="0.15">
      <c r="A276" s="1">
        <v>604</v>
      </c>
      <c r="B276" s="1" t="s">
        <v>17100</v>
      </c>
      <c r="C276" s="1" t="s">
        <v>17117</v>
      </c>
      <c r="D276" s="1" t="s">
        <v>12593</v>
      </c>
      <c r="F276" s="1" t="s">
        <v>10837</v>
      </c>
      <c r="G276" s="1" t="s">
        <v>10835</v>
      </c>
    </row>
    <row r="277" spans="1:7" x14ac:dyDescent="0.15">
      <c r="A277" s="1">
        <v>605</v>
      </c>
      <c r="B277" s="1" t="s">
        <v>17100</v>
      </c>
      <c r="C277" s="1" t="s">
        <v>10838</v>
      </c>
      <c r="F277" s="1" t="s">
        <v>10839</v>
      </c>
      <c r="G277" s="1" t="s">
        <v>10840</v>
      </c>
    </row>
    <row r="278" spans="1:7" x14ac:dyDescent="0.15">
      <c r="A278" s="1">
        <v>606</v>
      </c>
      <c r="B278" s="1" t="s">
        <v>17100</v>
      </c>
      <c r="C278" s="1" t="s">
        <v>17125</v>
      </c>
      <c r="F278" s="1" t="s">
        <v>10841</v>
      </c>
      <c r="G278" s="1" t="s">
        <v>10842</v>
      </c>
    </row>
    <row r="279" spans="1:7" x14ac:dyDescent="0.15">
      <c r="A279" s="1">
        <v>607</v>
      </c>
      <c r="B279" s="1" t="s">
        <v>17100</v>
      </c>
      <c r="C279" s="1" t="s">
        <v>10843</v>
      </c>
      <c r="D279" s="1" t="s">
        <v>12625</v>
      </c>
      <c r="F279" s="1" t="s">
        <v>10844</v>
      </c>
      <c r="G279" s="1" t="s">
        <v>10845</v>
      </c>
    </row>
    <row r="280" spans="1:7" x14ac:dyDescent="0.15">
      <c r="A280" s="1">
        <v>608</v>
      </c>
      <c r="B280" s="1" t="s">
        <v>17100</v>
      </c>
      <c r="C280" s="1" t="s">
        <v>10846</v>
      </c>
      <c r="D280" s="1" t="s">
        <v>12625</v>
      </c>
      <c r="F280" s="1" t="s">
        <v>10847</v>
      </c>
      <c r="G280" s="1" t="s">
        <v>10848</v>
      </c>
    </row>
    <row r="281" spans="1:7" x14ac:dyDescent="0.15">
      <c r="A281" s="1">
        <v>609</v>
      </c>
      <c r="B281" s="1" t="s">
        <v>17100</v>
      </c>
      <c r="C281" s="1" t="s">
        <v>10849</v>
      </c>
      <c r="D281" s="1" t="s">
        <v>12625</v>
      </c>
      <c r="F281" s="1" t="s">
        <v>10850</v>
      </c>
      <c r="G281" s="1" t="s">
        <v>10851</v>
      </c>
    </row>
    <row r="282" spans="1:7" x14ac:dyDescent="0.15">
      <c r="A282" s="1">
        <v>610</v>
      </c>
      <c r="B282" s="1" t="s">
        <v>17100</v>
      </c>
      <c r="C282" s="1" t="s">
        <v>11657</v>
      </c>
      <c r="F282" s="1" t="s">
        <v>11658</v>
      </c>
      <c r="G282" s="1" t="s">
        <v>10852</v>
      </c>
    </row>
    <row r="283" spans="1:7" x14ac:dyDescent="0.15">
      <c r="A283" s="1">
        <v>611</v>
      </c>
      <c r="B283" s="1" t="s">
        <v>17100</v>
      </c>
      <c r="C283" s="1" t="s">
        <v>17132</v>
      </c>
      <c r="D283" s="1" t="s">
        <v>11582</v>
      </c>
      <c r="F283" s="1" t="s">
        <v>10853</v>
      </c>
      <c r="G283" s="1" t="s">
        <v>10854</v>
      </c>
    </row>
    <row r="284" spans="1:7" x14ac:dyDescent="0.15">
      <c r="A284" s="1">
        <v>612</v>
      </c>
      <c r="B284" s="1" t="s">
        <v>17100</v>
      </c>
      <c r="C284" s="1" t="s">
        <v>16846</v>
      </c>
      <c r="F284" s="1" t="s">
        <v>10855</v>
      </c>
      <c r="G284" s="1" t="s">
        <v>10856</v>
      </c>
    </row>
    <row r="285" spans="1:7" x14ac:dyDescent="0.15">
      <c r="A285" s="1">
        <v>614</v>
      </c>
      <c r="B285" s="1" t="s">
        <v>17100</v>
      </c>
      <c r="C285" s="1" t="s">
        <v>16850</v>
      </c>
      <c r="D285" s="1" t="s">
        <v>11582</v>
      </c>
      <c r="F285" s="1" t="s">
        <v>10857</v>
      </c>
      <c r="G285" s="1" t="s">
        <v>10858</v>
      </c>
    </row>
    <row r="286" spans="1:7" x14ac:dyDescent="0.15">
      <c r="A286" s="1">
        <v>615</v>
      </c>
      <c r="B286" s="1" t="s">
        <v>17100</v>
      </c>
      <c r="C286" s="1" t="s">
        <v>16854</v>
      </c>
      <c r="F286" s="1" t="s">
        <v>10859</v>
      </c>
      <c r="G286" s="1" t="s">
        <v>10860</v>
      </c>
    </row>
    <row r="287" spans="1:7" x14ac:dyDescent="0.15">
      <c r="A287" s="1">
        <v>616</v>
      </c>
      <c r="B287" s="1" t="s">
        <v>17100</v>
      </c>
      <c r="C287" s="1" t="s">
        <v>16858</v>
      </c>
      <c r="D287" s="1" t="s">
        <v>11582</v>
      </c>
      <c r="F287" s="1" t="s">
        <v>10861</v>
      </c>
      <c r="G287" s="1" t="s">
        <v>10862</v>
      </c>
    </row>
    <row r="288" spans="1:7" x14ac:dyDescent="0.15">
      <c r="A288" s="1">
        <v>617</v>
      </c>
      <c r="B288" s="1" t="s">
        <v>17100</v>
      </c>
      <c r="C288" s="1" t="s">
        <v>16862</v>
      </c>
      <c r="F288" s="1" t="s">
        <v>10863</v>
      </c>
      <c r="G288" s="1" t="s">
        <v>10864</v>
      </c>
    </row>
    <row r="289" spans="1:7" x14ac:dyDescent="0.15">
      <c r="A289" s="1">
        <v>618</v>
      </c>
      <c r="B289" s="1" t="s">
        <v>17100</v>
      </c>
      <c r="C289" s="1" t="s">
        <v>10865</v>
      </c>
      <c r="D289" s="1" t="s">
        <v>12625</v>
      </c>
      <c r="F289" s="1" t="s">
        <v>10866</v>
      </c>
      <c r="G289" s="1" t="s">
        <v>10867</v>
      </c>
    </row>
    <row r="290" spans="1:7" x14ac:dyDescent="0.15">
      <c r="A290" s="1">
        <v>619</v>
      </c>
      <c r="B290" s="1" t="s">
        <v>17100</v>
      </c>
      <c r="C290" s="1" t="s">
        <v>10868</v>
      </c>
      <c r="D290" s="1" t="s">
        <v>12625</v>
      </c>
      <c r="F290" s="1" t="s">
        <v>10869</v>
      </c>
      <c r="G290" s="1" t="s">
        <v>10870</v>
      </c>
    </row>
    <row r="291" spans="1:7" x14ac:dyDescent="0.15">
      <c r="A291" s="1">
        <v>620</v>
      </c>
      <c r="B291" s="1" t="s">
        <v>17100</v>
      </c>
      <c r="C291" s="1" t="s">
        <v>10871</v>
      </c>
      <c r="D291" s="1" t="s">
        <v>12625</v>
      </c>
      <c r="F291" s="1" t="s">
        <v>10872</v>
      </c>
      <c r="G291" s="1" t="s">
        <v>10873</v>
      </c>
    </row>
    <row r="292" spans="1:7" x14ac:dyDescent="0.15">
      <c r="A292" s="1">
        <v>621</v>
      </c>
      <c r="B292" s="1" t="s">
        <v>17100</v>
      </c>
      <c r="C292" s="1" t="s">
        <v>10874</v>
      </c>
      <c r="D292" s="1" t="s">
        <v>12625</v>
      </c>
      <c r="F292" s="1" t="s">
        <v>10875</v>
      </c>
      <c r="G292" s="1" t="s">
        <v>10876</v>
      </c>
    </row>
    <row r="293" spans="1:7" x14ac:dyDescent="0.15">
      <c r="A293" s="1">
        <v>622</v>
      </c>
      <c r="B293" s="1" t="s">
        <v>17100</v>
      </c>
      <c r="C293" s="1" t="s">
        <v>10877</v>
      </c>
      <c r="D293" s="1" t="s">
        <v>12625</v>
      </c>
      <c r="F293" s="1" t="s">
        <v>10878</v>
      </c>
      <c r="G293" s="1" t="s">
        <v>10879</v>
      </c>
    </row>
    <row r="294" spans="1:7" x14ac:dyDescent="0.15">
      <c r="A294" s="1">
        <v>623</v>
      </c>
      <c r="B294" s="1" t="s">
        <v>17100</v>
      </c>
      <c r="C294" s="1" t="s">
        <v>10880</v>
      </c>
      <c r="D294" s="1" t="s">
        <v>12625</v>
      </c>
      <c r="F294" s="1" t="s">
        <v>10881</v>
      </c>
      <c r="G294" s="1" t="s">
        <v>10882</v>
      </c>
    </row>
    <row r="295" spans="1:7" x14ac:dyDescent="0.15">
      <c r="A295" s="1">
        <v>624</v>
      </c>
      <c r="B295" s="1" t="s">
        <v>17100</v>
      </c>
      <c r="C295" s="1" t="s">
        <v>10883</v>
      </c>
      <c r="D295" s="1" t="s">
        <v>12625</v>
      </c>
      <c r="F295" s="1" t="s">
        <v>10884</v>
      </c>
      <c r="G295" s="1" t="s">
        <v>10885</v>
      </c>
    </row>
    <row r="296" spans="1:7" x14ac:dyDescent="0.15">
      <c r="A296" s="1">
        <v>625</v>
      </c>
      <c r="B296" s="1" t="s">
        <v>17100</v>
      </c>
      <c r="C296" s="1" t="s">
        <v>16866</v>
      </c>
      <c r="F296" s="1" t="s">
        <v>10886</v>
      </c>
      <c r="G296" s="1" t="s">
        <v>10887</v>
      </c>
    </row>
    <row r="297" spans="1:7" x14ac:dyDescent="0.15">
      <c r="A297" s="1">
        <v>626</v>
      </c>
      <c r="B297" s="1" t="s">
        <v>17100</v>
      </c>
      <c r="C297" s="1" t="s">
        <v>10888</v>
      </c>
      <c r="F297" s="1" t="s">
        <v>10889</v>
      </c>
      <c r="G297" s="1" t="s">
        <v>10890</v>
      </c>
    </row>
    <row r="298" spans="1:7" x14ac:dyDescent="0.15">
      <c r="A298" s="1">
        <v>628</v>
      </c>
      <c r="B298" s="1" t="s">
        <v>17100</v>
      </c>
      <c r="C298" s="1" t="s">
        <v>16870</v>
      </c>
      <c r="D298" s="1" t="s">
        <v>12625</v>
      </c>
      <c r="F298" s="1" t="s">
        <v>10892</v>
      </c>
      <c r="G298" s="1" t="s">
        <v>10893</v>
      </c>
    </row>
    <row r="299" spans="1:7" x14ac:dyDescent="0.15">
      <c r="A299" s="1">
        <v>629</v>
      </c>
      <c r="B299" s="1" t="s">
        <v>17100</v>
      </c>
      <c r="C299" s="1" t="s">
        <v>16874</v>
      </c>
      <c r="F299" s="1" t="s">
        <v>10894</v>
      </c>
      <c r="G299" s="1" t="s">
        <v>10895</v>
      </c>
    </row>
    <row r="300" spans="1:7" x14ac:dyDescent="0.15">
      <c r="A300" s="1">
        <v>630</v>
      </c>
      <c r="B300" s="1" t="s">
        <v>17100</v>
      </c>
      <c r="C300" s="1" t="s">
        <v>16878</v>
      </c>
      <c r="F300" s="1" t="s">
        <v>10896</v>
      </c>
      <c r="G300" s="1" t="s">
        <v>10897</v>
      </c>
    </row>
    <row r="301" spans="1:7" x14ac:dyDescent="0.15">
      <c r="A301" s="1">
        <v>631</v>
      </c>
      <c r="B301" s="1" t="s">
        <v>17100</v>
      </c>
      <c r="C301" s="1" t="s">
        <v>16882</v>
      </c>
      <c r="F301" s="1" t="s">
        <v>10898</v>
      </c>
      <c r="G301" s="1" t="s">
        <v>10899</v>
      </c>
    </row>
    <row r="302" spans="1:7" x14ac:dyDescent="0.15">
      <c r="A302" s="1">
        <v>632</v>
      </c>
      <c r="B302" s="1" t="s">
        <v>17100</v>
      </c>
      <c r="C302" s="1" t="s">
        <v>16886</v>
      </c>
      <c r="F302" s="1" t="s">
        <v>10900</v>
      </c>
      <c r="G302" s="1" t="s">
        <v>10901</v>
      </c>
    </row>
    <row r="303" spans="1:7" x14ac:dyDescent="0.15">
      <c r="A303" s="1">
        <v>633</v>
      </c>
      <c r="B303" s="1" t="s">
        <v>17100</v>
      </c>
      <c r="C303" s="1" t="s">
        <v>16890</v>
      </c>
      <c r="F303" s="1" t="s">
        <v>10902</v>
      </c>
      <c r="G303" s="1" t="s">
        <v>10903</v>
      </c>
    </row>
    <row r="304" spans="1:7" x14ac:dyDescent="0.15">
      <c r="A304" s="1">
        <v>634</v>
      </c>
      <c r="B304" s="1" t="s">
        <v>17100</v>
      </c>
      <c r="C304" s="1" t="s">
        <v>16894</v>
      </c>
      <c r="F304" s="1" t="s">
        <v>10904</v>
      </c>
      <c r="G304" s="1" t="s">
        <v>10905</v>
      </c>
    </row>
    <row r="305" spans="1:7" x14ac:dyDescent="0.15">
      <c r="A305" s="1">
        <v>635</v>
      </c>
      <c r="B305" s="1" t="s">
        <v>17100</v>
      </c>
      <c r="C305" s="1" t="s">
        <v>16898</v>
      </c>
      <c r="F305" s="1" t="s">
        <v>10906</v>
      </c>
      <c r="G305" s="1" t="s">
        <v>10907</v>
      </c>
    </row>
    <row r="306" spans="1:7" x14ac:dyDescent="0.15">
      <c r="A306" s="1">
        <v>636</v>
      </c>
      <c r="B306" s="1" t="s">
        <v>17100</v>
      </c>
      <c r="C306" s="1" t="s">
        <v>10908</v>
      </c>
      <c r="D306" s="1" t="s">
        <v>12625</v>
      </c>
      <c r="F306" s="1" t="s">
        <v>10909</v>
      </c>
      <c r="G306" s="1" t="s">
        <v>10910</v>
      </c>
    </row>
    <row r="307" spans="1:7" x14ac:dyDescent="0.15">
      <c r="A307" s="1">
        <v>637</v>
      </c>
      <c r="B307" s="1" t="s">
        <v>17100</v>
      </c>
      <c r="C307" s="1" t="s">
        <v>16902</v>
      </c>
      <c r="F307" s="1" t="s">
        <v>10911</v>
      </c>
      <c r="G307" s="1" t="s">
        <v>10912</v>
      </c>
    </row>
    <row r="308" spans="1:7" x14ac:dyDescent="0.15">
      <c r="A308" s="1">
        <v>638</v>
      </c>
      <c r="B308" s="1" t="s">
        <v>17100</v>
      </c>
      <c r="C308" s="1" t="s">
        <v>10913</v>
      </c>
      <c r="F308" s="1" t="s">
        <v>10914</v>
      </c>
      <c r="G308" s="1" t="s">
        <v>10915</v>
      </c>
    </row>
    <row r="309" spans="1:7" x14ac:dyDescent="0.15">
      <c r="A309" s="1">
        <v>640</v>
      </c>
      <c r="B309" s="1" t="s">
        <v>17100</v>
      </c>
      <c r="C309" s="1" t="s">
        <v>16910</v>
      </c>
      <c r="F309" s="1" t="s">
        <v>10914</v>
      </c>
      <c r="G309" s="1" t="s">
        <v>10916</v>
      </c>
    </row>
    <row r="310" spans="1:7" x14ac:dyDescent="0.15">
      <c r="A310" s="1">
        <v>641</v>
      </c>
      <c r="B310" s="1" t="s">
        <v>16912</v>
      </c>
      <c r="C310" s="1" t="s">
        <v>10917</v>
      </c>
      <c r="F310" s="1" t="s">
        <v>10918</v>
      </c>
      <c r="G310" s="1" t="s">
        <v>10919</v>
      </c>
    </row>
    <row r="311" spans="1:7" x14ac:dyDescent="0.15">
      <c r="A311" s="1">
        <v>644</v>
      </c>
      <c r="B311" s="1" t="s">
        <v>16912</v>
      </c>
      <c r="C311" s="1" t="s">
        <v>10922</v>
      </c>
      <c r="F311" s="1" t="s">
        <v>10923</v>
      </c>
      <c r="G311" s="1" t="s">
        <v>10924</v>
      </c>
    </row>
    <row r="312" spans="1:7" x14ac:dyDescent="0.15">
      <c r="A312" s="1">
        <v>645</v>
      </c>
      <c r="B312" s="1" t="s">
        <v>16912</v>
      </c>
      <c r="C312" s="1" t="s">
        <v>16921</v>
      </c>
      <c r="F312" s="1" t="s">
        <v>10923</v>
      </c>
      <c r="G312" s="1" t="s">
        <v>10925</v>
      </c>
    </row>
    <row r="313" spans="1:7" x14ac:dyDescent="0.15">
      <c r="A313" s="1">
        <v>646</v>
      </c>
      <c r="B313" s="1" t="s">
        <v>16912</v>
      </c>
      <c r="C313" s="1" t="s">
        <v>10926</v>
      </c>
      <c r="F313" s="1" t="s">
        <v>10927</v>
      </c>
      <c r="G313" s="1" t="s">
        <v>10928</v>
      </c>
    </row>
    <row r="314" spans="1:7" x14ac:dyDescent="0.15">
      <c r="A314" s="1">
        <v>647</v>
      </c>
      <c r="B314" s="1" t="s">
        <v>16912</v>
      </c>
      <c r="C314" s="1" t="s">
        <v>16928</v>
      </c>
      <c r="F314" s="1" t="s">
        <v>10929</v>
      </c>
      <c r="G314" s="1" t="s">
        <v>10930</v>
      </c>
    </row>
    <row r="315" spans="1:7" x14ac:dyDescent="0.15">
      <c r="A315" s="1">
        <v>650</v>
      </c>
      <c r="B315" s="1" t="s">
        <v>16912</v>
      </c>
      <c r="C315" s="1" t="s">
        <v>10934</v>
      </c>
      <c r="D315" s="1" t="s">
        <v>12625</v>
      </c>
      <c r="F315" s="1" t="s">
        <v>10935</v>
      </c>
      <c r="G315" s="1" t="s">
        <v>10936</v>
      </c>
    </row>
    <row r="316" spans="1:7" x14ac:dyDescent="0.15">
      <c r="A316" s="1">
        <v>651</v>
      </c>
      <c r="B316" s="1" t="s">
        <v>16912</v>
      </c>
      <c r="C316" s="1" t="s">
        <v>10937</v>
      </c>
      <c r="D316" s="1" t="s">
        <v>12625</v>
      </c>
      <c r="F316" s="1" t="s">
        <v>10938</v>
      </c>
      <c r="G316" s="1" t="s">
        <v>10939</v>
      </c>
    </row>
    <row r="317" spans="1:7" x14ac:dyDescent="0.15">
      <c r="A317" s="1">
        <v>652</v>
      </c>
      <c r="B317" s="1" t="s">
        <v>16912</v>
      </c>
      <c r="C317" s="1" t="s">
        <v>10940</v>
      </c>
      <c r="D317" s="1" t="s">
        <v>12625</v>
      </c>
      <c r="F317" s="1" t="s">
        <v>10941</v>
      </c>
      <c r="G317" s="1" t="s">
        <v>10942</v>
      </c>
    </row>
    <row r="318" spans="1:7" x14ac:dyDescent="0.15">
      <c r="A318" s="1">
        <v>653</v>
      </c>
      <c r="B318" s="1" t="s">
        <v>16912</v>
      </c>
      <c r="C318" s="1" t="s">
        <v>10943</v>
      </c>
      <c r="F318" s="1" t="s">
        <v>10944</v>
      </c>
      <c r="G318" s="1" t="s">
        <v>10945</v>
      </c>
    </row>
    <row r="319" spans="1:7" x14ac:dyDescent="0.15">
      <c r="A319" s="1">
        <v>654</v>
      </c>
      <c r="B319" s="1" t="s">
        <v>16912</v>
      </c>
      <c r="C319" s="1" t="s">
        <v>16935</v>
      </c>
      <c r="F319" s="1" t="s">
        <v>10944</v>
      </c>
      <c r="G319" s="1" t="s">
        <v>10946</v>
      </c>
    </row>
    <row r="320" spans="1:7" x14ac:dyDescent="0.15">
      <c r="A320" s="1">
        <v>655</v>
      </c>
      <c r="B320" s="1" t="s">
        <v>16912</v>
      </c>
      <c r="C320" s="1" t="s">
        <v>10947</v>
      </c>
      <c r="F320" s="1" t="s">
        <v>10948</v>
      </c>
      <c r="G320" s="1" t="s">
        <v>10949</v>
      </c>
    </row>
    <row r="321" spans="1:7" x14ac:dyDescent="0.15">
      <c r="A321" s="1">
        <v>656</v>
      </c>
      <c r="B321" s="1" t="s">
        <v>16912</v>
      </c>
      <c r="C321" s="1" t="s">
        <v>16942</v>
      </c>
      <c r="F321" s="1" t="s">
        <v>10950</v>
      </c>
      <c r="G321" s="1" t="s">
        <v>10951</v>
      </c>
    </row>
    <row r="322" spans="1:7" x14ac:dyDescent="0.15">
      <c r="A322" s="1">
        <v>657</v>
      </c>
      <c r="B322" s="1" t="s">
        <v>16912</v>
      </c>
      <c r="C322" s="1" t="s">
        <v>16946</v>
      </c>
      <c r="F322" s="1" t="s">
        <v>10952</v>
      </c>
      <c r="G322" s="1" t="s">
        <v>10953</v>
      </c>
    </row>
    <row r="323" spans="1:7" x14ac:dyDescent="0.15">
      <c r="A323" s="1">
        <v>658</v>
      </c>
      <c r="B323" s="1" t="s">
        <v>16912</v>
      </c>
      <c r="C323" s="1" t="s">
        <v>16950</v>
      </c>
      <c r="F323" s="1" t="s">
        <v>10954</v>
      </c>
      <c r="G323" s="1" t="s">
        <v>10955</v>
      </c>
    </row>
    <row r="324" spans="1:7" x14ac:dyDescent="0.15">
      <c r="A324" s="1">
        <v>659</v>
      </c>
      <c r="B324" s="1" t="s">
        <v>16912</v>
      </c>
      <c r="C324" s="1" t="s">
        <v>16954</v>
      </c>
      <c r="F324" s="1" t="s">
        <v>10956</v>
      </c>
      <c r="G324" s="1" t="s">
        <v>10957</v>
      </c>
    </row>
    <row r="325" spans="1:7" x14ac:dyDescent="0.15">
      <c r="A325" s="1">
        <v>660</v>
      </c>
      <c r="B325" s="1" t="s">
        <v>16912</v>
      </c>
      <c r="C325" s="1" t="s">
        <v>16958</v>
      </c>
      <c r="D325" s="1" t="s">
        <v>12593</v>
      </c>
      <c r="F325" s="1" t="s">
        <v>10958</v>
      </c>
      <c r="G325" s="1" t="s">
        <v>10959</v>
      </c>
    </row>
    <row r="326" spans="1:7" x14ac:dyDescent="0.15">
      <c r="A326" s="1">
        <v>661</v>
      </c>
      <c r="B326" s="1" t="s">
        <v>16912</v>
      </c>
      <c r="C326" s="1" t="s">
        <v>16962</v>
      </c>
      <c r="F326" s="1" t="s">
        <v>10960</v>
      </c>
      <c r="G326" s="1" t="s">
        <v>10961</v>
      </c>
    </row>
    <row r="327" spans="1:7" x14ac:dyDescent="0.15">
      <c r="A327" s="1">
        <v>662</v>
      </c>
      <c r="B327" s="1" t="s">
        <v>16912</v>
      </c>
      <c r="C327" s="1" t="s">
        <v>16966</v>
      </c>
      <c r="F327" s="1" t="s">
        <v>10962</v>
      </c>
      <c r="G327" s="1" t="s">
        <v>10963</v>
      </c>
    </row>
    <row r="328" spans="1:7" x14ac:dyDescent="0.15">
      <c r="A328" s="1">
        <v>663</v>
      </c>
      <c r="B328" s="1" t="s">
        <v>16912</v>
      </c>
      <c r="C328" s="1" t="s">
        <v>10964</v>
      </c>
      <c r="D328" s="1" t="s">
        <v>12625</v>
      </c>
      <c r="F328" s="1" t="s">
        <v>10965</v>
      </c>
      <c r="G328" s="1" t="s">
        <v>10966</v>
      </c>
    </row>
    <row r="329" spans="1:7" x14ac:dyDescent="0.15">
      <c r="A329" s="1">
        <v>664</v>
      </c>
      <c r="B329" s="1" t="s">
        <v>16912</v>
      </c>
      <c r="C329" s="1" t="s">
        <v>10967</v>
      </c>
      <c r="D329" s="1" t="s">
        <v>12625</v>
      </c>
      <c r="F329" s="1" t="s">
        <v>10968</v>
      </c>
      <c r="G329" s="1" t="s">
        <v>10969</v>
      </c>
    </row>
    <row r="330" spans="1:7" x14ac:dyDescent="0.15">
      <c r="A330" s="1">
        <v>665</v>
      </c>
      <c r="B330" s="1" t="s">
        <v>16912</v>
      </c>
      <c r="C330" s="1" t="s">
        <v>10970</v>
      </c>
      <c r="D330" s="1" t="s">
        <v>12625</v>
      </c>
      <c r="F330" s="1" t="s">
        <v>10971</v>
      </c>
      <c r="G330" s="1" t="s">
        <v>10508</v>
      </c>
    </row>
    <row r="331" spans="1:7" x14ac:dyDescent="0.15">
      <c r="A331" s="1">
        <v>666</v>
      </c>
      <c r="B331" s="1" t="s">
        <v>16912</v>
      </c>
      <c r="C331" s="1" t="s">
        <v>11090</v>
      </c>
      <c r="D331" s="1" t="s">
        <v>12625</v>
      </c>
      <c r="F331" s="1" t="s">
        <v>11091</v>
      </c>
      <c r="G331" s="1" t="s">
        <v>11092</v>
      </c>
    </row>
    <row r="332" spans="1:7" x14ac:dyDescent="0.15">
      <c r="A332" s="1">
        <v>667</v>
      </c>
      <c r="B332" s="1" t="s">
        <v>16912</v>
      </c>
      <c r="C332" s="1" t="s">
        <v>16970</v>
      </c>
      <c r="F332" s="1" t="s">
        <v>11093</v>
      </c>
      <c r="G332" s="1" t="s">
        <v>11094</v>
      </c>
    </row>
    <row r="333" spans="1:7" x14ac:dyDescent="0.15">
      <c r="A333" s="1">
        <v>668</v>
      </c>
      <c r="B333" s="1" t="s">
        <v>16912</v>
      </c>
      <c r="C333" s="1" t="s">
        <v>11095</v>
      </c>
      <c r="F333" s="1" t="s">
        <v>11096</v>
      </c>
      <c r="G333" s="1" t="s">
        <v>11097</v>
      </c>
    </row>
    <row r="334" spans="1:7" x14ac:dyDescent="0.15">
      <c r="A334" s="1">
        <v>669</v>
      </c>
      <c r="B334" s="1" t="s">
        <v>16912</v>
      </c>
      <c r="C334" s="1" t="s">
        <v>16978</v>
      </c>
      <c r="F334" s="1" t="s">
        <v>11096</v>
      </c>
      <c r="G334" s="1" t="s">
        <v>11098</v>
      </c>
    </row>
    <row r="335" spans="1:7" x14ac:dyDescent="0.15">
      <c r="A335" s="1">
        <v>670</v>
      </c>
      <c r="B335" s="1" t="s">
        <v>16912</v>
      </c>
      <c r="C335" s="1" t="s">
        <v>11099</v>
      </c>
      <c r="F335" s="1" t="s">
        <v>11100</v>
      </c>
      <c r="G335" s="1" t="s">
        <v>11101</v>
      </c>
    </row>
    <row r="336" spans="1:7" x14ac:dyDescent="0.15">
      <c r="A336" s="1">
        <v>671</v>
      </c>
      <c r="B336" s="1" t="s">
        <v>16912</v>
      </c>
      <c r="C336" s="1" t="s">
        <v>16985</v>
      </c>
      <c r="F336" s="1" t="s">
        <v>11102</v>
      </c>
      <c r="G336" s="1" t="s">
        <v>11103</v>
      </c>
    </row>
    <row r="337" spans="1:7" x14ac:dyDescent="0.15">
      <c r="A337" s="1">
        <v>672</v>
      </c>
      <c r="B337" s="1" t="s">
        <v>16912</v>
      </c>
      <c r="C337" s="1" t="s">
        <v>16989</v>
      </c>
      <c r="F337" s="1" t="s">
        <v>11104</v>
      </c>
      <c r="G337" s="1" t="s">
        <v>11105</v>
      </c>
    </row>
    <row r="338" spans="1:7" x14ac:dyDescent="0.15">
      <c r="A338" s="1">
        <v>673</v>
      </c>
      <c r="B338" s="1" t="s">
        <v>16912</v>
      </c>
      <c r="C338" s="1" t="s">
        <v>16993</v>
      </c>
      <c r="F338" s="1" t="s">
        <v>11106</v>
      </c>
      <c r="G338" s="1" t="s">
        <v>11107</v>
      </c>
    </row>
    <row r="339" spans="1:7" x14ac:dyDescent="0.15">
      <c r="A339" s="1">
        <v>674</v>
      </c>
      <c r="B339" s="1" t="s">
        <v>16912</v>
      </c>
      <c r="C339" s="1" t="s">
        <v>16997</v>
      </c>
      <c r="F339" s="1" t="s">
        <v>11108</v>
      </c>
      <c r="G339" s="1" t="s">
        <v>11109</v>
      </c>
    </row>
    <row r="340" spans="1:7" x14ac:dyDescent="0.15">
      <c r="A340" s="1">
        <v>675</v>
      </c>
      <c r="B340" s="1" t="s">
        <v>16912</v>
      </c>
      <c r="C340" s="1" t="s">
        <v>11110</v>
      </c>
      <c r="F340" s="1" t="s">
        <v>11111</v>
      </c>
      <c r="G340" s="1" t="s">
        <v>11112</v>
      </c>
    </row>
    <row r="341" spans="1:7" x14ac:dyDescent="0.15">
      <c r="A341" s="1">
        <v>677</v>
      </c>
      <c r="B341" s="1" t="s">
        <v>16912</v>
      </c>
      <c r="C341" s="1" t="s">
        <v>17005</v>
      </c>
      <c r="F341" s="1" t="s">
        <v>11111</v>
      </c>
      <c r="G341" s="1" t="s">
        <v>11113</v>
      </c>
    </row>
    <row r="342" spans="1:7" x14ac:dyDescent="0.15">
      <c r="A342" s="1">
        <v>678</v>
      </c>
      <c r="B342" s="1" t="s">
        <v>16912</v>
      </c>
      <c r="C342" s="1" t="s">
        <v>11114</v>
      </c>
      <c r="D342" s="1" t="s">
        <v>11582</v>
      </c>
      <c r="F342" s="1" t="s">
        <v>11115</v>
      </c>
      <c r="G342" s="1" t="s">
        <v>11116</v>
      </c>
    </row>
    <row r="343" spans="1:7" x14ac:dyDescent="0.15">
      <c r="A343" s="1">
        <v>679</v>
      </c>
      <c r="B343" s="1" t="s">
        <v>16912</v>
      </c>
      <c r="C343" s="1" t="s">
        <v>17012</v>
      </c>
      <c r="D343" s="1" t="s">
        <v>11582</v>
      </c>
      <c r="F343" s="1" t="s">
        <v>11115</v>
      </c>
      <c r="G343" s="1" t="s">
        <v>11117</v>
      </c>
    </row>
    <row r="344" spans="1:7" x14ac:dyDescent="0.15">
      <c r="A344" s="1">
        <v>680</v>
      </c>
      <c r="B344" s="1" t="s">
        <v>16912</v>
      </c>
      <c r="C344" s="1" t="s">
        <v>11118</v>
      </c>
      <c r="F344" s="1" t="s">
        <v>11119</v>
      </c>
      <c r="G344" s="1" t="s">
        <v>11120</v>
      </c>
    </row>
    <row r="345" spans="1:7" x14ac:dyDescent="0.15">
      <c r="A345" s="1">
        <v>681</v>
      </c>
      <c r="B345" s="1" t="s">
        <v>16912</v>
      </c>
      <c r="C345" s="1" t="s">
        <v>17019</v>
      </c>
      <c r="F345" s="1" t="s">
        <v>11119</v>
      </c>
      <c r="G345" s="1" t="s">
        <v>11121</v>
      </c>
    </row>
    <row r="346" spans="1:7" x14ac:dyDescent="0.15">
      <c r="A346" s="1">
        <v>682</v>
      </c>
      <c r="B346" s="1" t="s">
        <v>16912</v>
      </c>
      <c r="C346" s="1" t="s">
        <v>10603</v>
      </c>
      <c r="F346" s="1" t="s">
        <v>10604</v>
      </c>
      <c r="G346" s="1" t="s">
        <v>10605</v>
      </c>
    </row>
    <row r="347" spans="1:7" x14ac:dyDescent="0.15">
      <c r="A347" s="1">
        <v>683</v>
      </c>
      <c r="B347" s="1" t="s">
        <v>16912</v>
      </c>
      <c r="C347" s="1" t="s">
        <v>17026</v>
      </c>
      <c r="F347" s="1" t="s">
        <v>10606</v>
      </c>
      <c r="G347" s="1" t="s">
        <v>10607</v>
      </c>
    </row>
    <row r="348" spans="1:7" x14ac:dyDescent="0.15">
      <c r="A348" s="1">
        <v>684</v>
      </c>
      <c r="B348" s="1" t="s">
        <v>16912</v>
      </c>
      <c r="C348" s="1" t="s">
        <v>17030</v>
      </c>
      <c r="F348" s="1" t="s">
        <v>10608</v>
      </c>
      <c r="G348" s="1" t="s">
        <v>10609</v>
      </c>
    </row>
    <row r="349" spans="1:7" x14ac:dyDescent="0.15">
      <c r="A349" s="1">
        <v>687</v>
      </c>
      <c r="B349" s="1" t="s">
        <v>16912</v>
      </c>
      <c r="C349" s="1" t="s">
        <v>17034</v>
      </c>
      <c r="F349" s="1" t="s">
        <v>10611</v>
      </c>
      <c r="G349" s="1" t="s">
        <v>10612</v>
      </c>
    </row>
    <row r="350" spans="1:7" x14ac:dyDescent="0.15">
      <c r="A350" s="1">
        <v>688</v>
      </c>
      <c r="B350" s="1" t="s">
        <v>16912</v>
      </c>
      <c r="C350" s="1" t="s">
        <v>17038</v>
      </c>
      <c r="F350" s="1" t="s">
        <v>10613</v>
      </c>
      <c r="G350" s="1" t="s">
        <v>10614</v>
      </c>
    </row>
    <row r="351" spans="1:7" x14ac:dyDescent="0.15">
      <c r="A351" s="1">
        <v>689</v>
      </c>
      <c r="B351" s="1" t="s">
        <v>16912</v>
      </c>
      <c r="C351" s="1" t="s">
        <v>17042</v>
      </c>
      <c r="F351" s="1" t="s">
        <v>10509</v>
      </c>
      <c r="G351" s="1" t="s">
        <v>10510</v>
      </c>
    </row>
    <row r="352" spans="1:7" x14ac:dyDescent="0.15">
      <c r="A352" s="1">
        <v>690</v>
      </c>
      <c r="B352" s="1" t="s">
        <v>16912</v>
      </c>
      <c r="C352" s="1" t="s">
        <v>17046</v>
      </c>
      <c r="F352" s="1" t="s">
        <v>10511</v>
      </c>
      <c r="G352" s="1" t="s">
        <v>10512</v>
      </c>
    </row>
    <row r="353" spans="1:7" x14ac:dyDescent="0.15">
      <c r="A353" s="1">
        <v>691</v>
      </c>
      <c r="B353" s="1" t="s">
        <v>16912</v>
      </c>
      <c r="C353" s="1" t="s">
        <v>17050</v>
      </c>
      <c r="F353" s="1" t="s">
        <v>10513</v>
      </c>
      <c r="G353" s="1" t="s">
        <v>10514</v>
      </c>
    </row>
    <row r="354" spans="1:7" x14ac:dyDescent="0.15">
      <c r="A354" s="1">
        <v>692</v>
      </c>
      <c r="B354" s="1" t="s">
        <v>16912</v>
      </c>
      <c r="C354" s="1" t="s">
        <v>17054</v>
      </c>
      <c r="F354" s="1" t="s">
        <v>10515</v>
      </c>
      <c r="G354" s="1" t="s">
        <v>10516</v>
      </c>
    </row>
    <row r="355" spans="1:7" x14ac:dyDescent="0.15">
      <c r="A355" s="1">
        <v>693</v>
      </c>
      <c r="B355" s="1" t="s">
        <v>16912</v>
      </c>
      <c r="C355" s="1" t="s">
        <v>17058</v>
      </c>
      <c r="F355" s="1" t="s">
        <v>10517</v>
      </c>
      <c r="G355" s="1" t="s">
        <v>10518</v>
      </c>
    </row>
    <row r="356" spans="1:7" x14ac:dyDescent="0.15">
      <c r="A356" s="1">
        <v>694</v>
      </c>
      <c r="B356" s="1" t="s">
        <v>16912</v>
      </c>
      <c r="C356" s="1" t="s">
        <v>17062</v>
      </c>
      <c r="F356" s="1" t="s">
        <v>10519</v>
      </c>
      <c r="G356" s="1" t="s">
        <v>10520</v>
      </c>
    </row>
    <row r="357" spans="1:7" x14ac:dyDescent="0.15">
      <c r="A357" s="1">
        <v>696</v>
      </c>
      <c r="B357" s="1" t="s">
        <v>16912</v>
      </c>
      <c r="C357" s="1" t="s">
        <v>17066</v>
      </c>
      <c r="F357" s="1" t="s">
        <v>10522</v>
      </c>
      <c r="G357" s="1" t="s">
        <v>10523</v>
      </c>
    </row>
    <row r="358" spans="1:7" x14ac:dyDescent="0.15">
      <c r="A358" s="1">
        <v>697</v>
      </c>
      <c r="B358" s="1" t="s">
        <v>16912</v>
      </c>
      <c r="C358" s="1" t="s">
        <v>10524</v>
      </c>
      <c r="D358" s="1" t="s">
        <v>12625</v>
      </c>
      <c r="F358" s="1" t="s">
        <v>10525</v>
      </c>
      <c r="G358" s="1" t="s">
        <v>10526</v>
      </c>
    </row>
    <row r="359" spans="1:7" x14ac:dyDescent="0.15">
      <c r="A359" s="1">
        <v>698</v>
      </c>
      <c r="B359" s="1" t="s">
        <v>16912</v>
      </c>
      <c r="C359" s="1" t="s">
        <v>10527</v>
      </c>
      <c r="D359" s="1" t="s">
        <v>12625</v>
      </c>
      <c r="F359" s="1" t="s">
        <v>10528</v>
      </c>
      <c r="G359" s="1" t="s">
        <v>10529</v>
      </c>
    </row>
    <row r="360" spans="1:7" x14ac:dyDescent="0.15">
      <c r="A360" s="1">
        <v>699</v>
      </c>
      <c r="B360" s="1" t="s">
        <v>16912</v>
      </c>
      <c r="C360" s="1" t="s">
        <v>10530</v>
      </c>
      <c r="D360" s="1" t="s">
        <v>12625</v>
      </c>
      <c r="F360" s="1" t="s">
        <v>10531</v>
      </c>
      <c r="G360" s="1" t="s">
        <v>10532</v>
      </c>
    </row>
    <row r="361" spans="1:7" x14ac:dyDescent="0.15">
      <c r="A361" s="1">
        <v>700</v>
      </c>
      <c r="B361" s="1" t="s">
        <v>16912</v>
      </c>
      <c r="C361" s="1" t="s">
        <v>17070</v>
      </c>
      <c r="F361" s="1" t="s">
        <v>10533</v>
      </c>
      <c r="G361" s="1" t="s">
        <v>10534</v>
      </c>
    </row>
    <row r="362" spans="1:7" x14ac:dyDescent="0.15">
      <c r="A362" s="1">
        <v>701</v>
      </c>
      <c r="B362" s="1" t="s">
        <v>16912</v>
      </c>
      <c r="C362" s="1" t="s">
        <v>10535</v>
      </c>
      <c r="F362" s="1" t="s">
        <v>10536</v>
      </c>
      <c r="G362" s="1" t="s">
        <v>10537</v>
      </c>
    </row>
    <row r="363" spans="1:7" x14ac:dyDescent="0.15">
      <c r="A363" s="1">
        <v>702</v>
      </c>
      <c r="B363" s="1" t="s">
        <v>16912</v>
      </c>
      <c r="C363" s="1" t="s">
        <v>17078</v>
      </c>
      <c r="F363" s="1" t="s">
        <v>11070</v>
      </c>
      <c r="G363" s="1" t="s">
        <v>10538</v>
      </c>
    </row>
    <row r="364" spans="1:7" x14ac:dyDescent="0.15">
      <c r="A364" s="1">
        <v>703</v>
      </c>
      <c r="B364" s="1" t="s">
        <v>16912</v>
      </c>
      <c r="C364" s="1" t="s">
        <v>17082</v>
      </c>
      <c r="F364" s="1" t="s">
        <v>11071</v>
      </c>
      <c r="G364" s="1" t="s">
        <v>10539</v>
      </c>
    </row>
    <row r="365" spans="1:7" x14ac:dyDescent="0.15">
      <c r="A365" s="1">
        <v>704</v>
      </c>
      <c r="B365" s="1" t="s">
        <v>16912</v>
      </c>
      <c r="C365" s="1" t="s">
        <v>10540</v>
      </c>
      <c r="D365" s="1" t="s">
        <v>12625</v>
      </c>
      <c r="F365" s="1" t="s">
        <v>10541</v>
      </c>
      <c r="G365" s="1" t="s">
        <v>10542</v>
      </c>
    </row>
    <row r="366" spans="1:7" x14ac:dyDescent="0.15">
      <c r="A366" s="1">
        <v>705</v>
      </c>
      <c r="B366" s="1" t="s">
        <v>16912</v>
      </c>
      <c r="C366" s="1" t="s">
        <v>10543</v>
      </c>
      <c r="F366" s="1" t="s">
        <v>10544</v>
      </c>
      <c r="G366" s="1" t="s">
        <v>10545</v>
      </c>
    </row>
    <row r="367" spans="1:7" x14ac:dyDescent="0.15">
      <c r="A367" s="1">
        <v>706</v>
      </c>
      <c r="B367" s="1" t="s">
        <v>16912</v>
      </c>
      <c r="C367" s="1" t="s">
        <v>16495</v>
      </c>
      <c r="F367" s="1" t="s">
        <v>10546</v>
      </c>
      <c r="G367" s="1" t="s">
        <v>10547</v>
      </c>
    </row>
    <row r="368" spans="1:7" x14ac:dyDescent="0.15">
      <c r="A368" s="1">
        <v>707</v>
      </c>
      <c r="B368" s="1" t="s">
        <v>16912</v>
      </c>
      <c r="C368" s="1" t="s">
        <v>16499</v>
      </c>
      <c r="F368" s="1" t="s">
        <v>10548</v>
      </c>
      <c r="G368" s="1" t="s">
        <v>10549</v>
      </c>
    </row>
    <row r="369" spans="1:7" x14ac:dyDescent="0.15">
      <c r="A369" s="1">
        <v>708</v>
      </c>
      <c r="B369" s="1" t="s">
        <v>16912</v>
      </c>
      <c r="C369" s="1" t="s">
        <v>16503</v>
      </c>
      <c r="F369" s="1" t="s">
        <v>10615</v>
      </c>
      <c r="G369" s="1" t="s">
        <v>10616</v>
      </c>
    </row>
    <row r="370" spans="1:7" x14ac:dyDescent="0.15">
      <c r="A370" s="1">
        <v>709</v>
      </c>
      <c r="B370" s="1" t="s">
        <v>16912</v>
      </c>
      <c r="C370" s="1" t="s">
        <v>16507</v>
      </c>
      <c r="D370" s="1" t="s">
        <v>12593</v>
      </c>
      <c r="F370" s="1" t="s">
        <v>10617</v>
      </c>
      <c r="G370" s="1" t="s">
        <v>10618</v>
      </c>
    </row>
    <row r="371" spans="1:7" x14ac:dyDescent="0.15">
      <c r="A371" s="1">
        <v>710</v>
      </c>
      <c r="B371" s="1" t="s">
        <v>16912</v>
      </c>
      <c r="C371" s="1" t="s">
        <v>16511</v>
      </c>
      <c r="F371" s="1" t="s">
        <v>10619</v>
      </c>
      <c r="G371" s="1" t="s">
        <v>10620</v>
      </c>
    </row>
    <row r="372" spans="1:7" x14ac:dyDescent="0.15">
      <c r="A372" s="1">
        <v>711</v>
      </c>
      <c r="B372" s="1" t="s">
        <v>16912</v>
      </c>
      <c r="C372" s="1" t="s">
        <v>16515</v>
      </c>
      <c r="F372" s="1" t="s">
        <v>10621</v>
      </c>
      <c r="G372" s="1" t="s">
        <v>10622</v>
      </c>
    </row>
    <row r="373" spans="1:7" x14ac:dyDescent="0.15">
      <c r="A373" s="1">
        <v>712</v>
      </c>
      <c r="B373" s="1" t="s">
        <v>16912</v>
      </c>
      <c r="C373" s="1" t="s">
        <v>10623</v>
      </c>
      <c r="D373" s="1" t="s">
        <v>12625</v>
      </c>
      <c r="F373" s="1" t="s">
        <v>10624</v>
      </c>
      <c r="G373" s="1" t="s">
        <v>10625</v>
      </c>
    </row>
    <row r="374" spans="1:7" x14ac:dyDescent="0.15">
      <c r="A374" s="1">
        <v>713</v>
      </c>
      <c r="B374" s="1" t="s">
        <v>16912</v>
      </c>
      <c r="C374" s="1" t="s">
        <v>10626</v>
      </c>
      <c r="D374" s="1" t="s">
        <v>12625</v>
      </c>
      <c r="F374" s="1" t="s">
        <v>10627</v>
      </c>
      <c r="G374" s="1" t="s">
        <v>10628</v>
      </c>
    </row>
    <row r="375" spans="1:7" x14ac:dyDescent="0.15">
      <c r="A375" s="1">
        <v>714</v>
      </c>
      <c r="B375" s="1" t="s">
        <v>16912</v>
      </c>
      <c r="C375" s="1" t="s">
        <v>10629</v>
      </c>
      <c r="D375" s="1" t="s">
        <v>12625</v>
      </c>
      <c r="F375" s="1" t="s">
        <v>10630</v>
      </c>
      <c r="G375" s="1" t="s">
        <v>10631</v>
      </c>
    </row>
    <row r="376" spans="1:7" x14ac:dyDescent="0.15">
      <c r="A376" s="1">
        <v>715</v>
      </c>
      <c r="B376" s="1" t="s">
        <v>16912</v>
      </c>
      <c r="C376" s="1" t="s">
        <v>10632</v>
      </c>
      <c r="D376" s="1" t="s">
        <v>12625</v>
      </c>
      <c r="F376" s="1" t="s">
        <v>10633</v>
      </c>
      <c r="G376" s="1" t="s">
        <v>10634</v>
      </c>
    </row>
    <row r="377" spans="1:7" x14ac:dyDescent="0.15">
      <c r="A377" s="1">
        <v>716</v>
      </c>
      <c r="B377" s="1" t="s">
        <v>16912</v>
      </c>
      <c r="C377" s="1" t="s">
        <v>16519</v>
      </c>
      <c r="F377" s="1" t="s">
        <v>10635</v>
      </c>
      <c r="G377" s="1" t="s">
        <v>10636</v>
      </c>
    </row>
    <row r="378" spans="1:7" x14ac:dyDescent="0.15">
      <c r="A378" s="1">
        <v>717</v>
      </c>
      <c r="B378" s="1" t="s">
        <v>16912</v>
      </c>
      <c r="C378" s="1" t="s">
        <v>10637</v>
      </c>
      <c r="F378" s="1" t="s">
        <v>10638</v>
      </c>
      <c r="G378" s="1" t="s">
        <v>10639</v>
      </c>
    </row>
    <row r="379" spans="1:7" x14ac:dyDescent="0.15">
      <c r="A379" s="1">
        <v>718</v>
      </c>
      <c r="B379" s="1" t="s">
        <v>16912</v>
      </c>
      <c r="C379" s="1" t="s">
        <v>16527</v>
      </c>
      <c r="F379" s="1" t="s">
        <v>11697</v>
      </c>
      <c r="G379" s="1" t="s">
        <v>10640</v>
      </c>
    </row>
    <row r="380" spans="1:7" x14ac:dyDescent="0.15">
      <c r="A380" s="1">
        <v>720</v>
      </c>
      <c r="B380" s="1" t="s">
        <v>16912</v>
      </c>
      <c r="C380" s="1" t="s">
        <v>16531</v>
      </c>
      <c r="F380" s="1" t="s">
        <v>10641</v>
      </c>
      <c r="G380" s="1" t="s">
        <v>10642</v>
      </c>
    </row>
    <row r="381" spans="1:7" x14ac:dyDescent="0.15">
      <c r="A381" s="1">
        <v>722</v>
      </c>
      <c r="B381" s="1" t="s">
        <v>16912</v>
      </c>
      <c r="C381" s="1" t="s">
        <v>16535</v>
      </c>
      <c r="F381" s="1" t="s">
        <v>10644</v>
      </c>
      <c r="G381" s="1" t="s">
        <v>10645</v>
      </c>
    </row>
    <row r="382" spans="1:7" x14ac:dyDescent="0.15">
      <c r="A382" s="1">
        <v>724</v>
      </c>
      <c r="B382" s="1" t="s">
        <v>16912</v>
      </c>
      <c r="C382" s="1" t="s">
        <v>16539</v>
      </c>
      <c r="F382" s="1" t="s">
        <v>10647</v>
      </c>
      <c r="G382" s="1" t="s">
        <v>10648</v>
      </c>
    </row>
    <row r="383" spans="1:7" x14ac:dyDescent="0.15">
      <c r="A383" s="1">
        <v>725</v>
      </c>
      <c r="B383" s="1" t="s">
        <v>16912</v>
      </c>
      <c r="C383" s="1" t="s">
        <v>16543</v>
      </c>
      <c r="F383" s="1" t="s">
        <v>10649</v>
      </c>
      <c r="G383" s="1" t="s">
        <v>10650</v>
      </c>
    </row>
    <row r="384" spans="1:7" x14ac:dyDescent="0.15">
      <c r="A384" s="1">
        <v>727</v>
      </c>
      <c r="B384" s="1" t="s">
        <v>16912</v>
      </c>
      <c r="C384" s="1" t="s">
        <v>16547</v>
      </c>
      <c r="F384" s="1" t="s">
        <v>10652</v>
      </c>
      <c r="G384" s="1" t="s">
        <v>10653</v>
      </c>
    </row>
    <row r="385" spans="1:7" x14ac:dyDescent="0.15">
      <c r="A385" s="1">
        <v>729</v>
      </c>
      <c r="B385" s="1" t="s">
        <v>16912</v>
      </c>
      <c r="C385" s="1" t="s">
        <v>16551</v>
      </c>
      <c r="F385" s="1" t="s">
        <v>10655</v>
      </c>
      <c r="G385" s="1" t="s">
        <v>10656</v>
      </c>
    </row>
    <row r="386" spans="1:7" x14ac:dyDescent="0.15">
      <c r="A386" s="1">
        <v>731</v>
      </c>
      <c r="B386" s="1" t="s">
        <v>16912</v>
      </c>
      <c r="C386" s="1" t="s">
        <v>16555</v>
      </c>
      <c r="F386" s="1" t="s">
        <v>10658</v>
      </c>
      <c r="G386" s="1" t="s">
        <v>10659</v>
      </c>
    </row>
    <row r="387" spans="1:7" x14ac:dyDescent="0.15">
      <c r="A387" s="1">
        <v>734</v>
      </c>
      <c r="B387" s="1" t="s">
        <v>16912</v>
      </c>
      <c r="C387" s="1" t="s">
        <v>16559</v>
      </c>
      <c r="F387" s="1" t="s">
        <v>10661</v>
      </c>
      <c r="G387" s="1" t="s">
        <v>10662</v>
      </c>
    </row>
    <row r="388" spans="1:7" x14ac:dyDescent="0.15">
      <c r="A388" s="1">
        <v>735</v>
      </c>
      <c r="B388" s="1" t="s">
        <v>16912</v>
      </c>
      <c r="C388" s="1" t="s">
        <v>16563</v>
      </c>
      <c r="F388" s="1" t="s">
        <v>10663</v>
      </c>
      <c r="G388" s="1" t="s">
        <v>10664</v>
      </c>
    </row>
    <row r="389" spans="1:7" x14ac:dyDescent="0.15">
      <c r="A389" s="1">
        <v>737</v>
      </c>
      <c r="B389" s="1" t="s">
        <v>16912</v>
      </c>
      <c r="C389" s="1" t="s">
        <v>16567</v>
      </c>
      <c r="F389" s="1" t="s">
        <v>10665</v>
      </c>
      <c r="G389" s="1" t="s">
        <v>10666</v>
      </c>
    </row>
    <row r="390" spans="1:7" x14ac:dyDescent="0.15">
      <c r="A390" s="1">
        <v>739</v>
      </c>
      <c r="B390" s="1" t="s">
        <v>16912</v>
      </c>
      <c r="C390" s="1" t="s">
        <v>16571</v>
      </c>
      <c r="F390" s="1" t="s">
        <v>10668</v>
      </c>
      <c r="G390" s="1" t="s">
        <v>10669</v>
      </c>
    </row>
    <row r="391" spans="1:7" x14ac:dyDescent="0.15">
      <c r="A391" s="1">
        <v>741</v>
      </c>
      <c r="B391" s="1" t="s">
        <v>16912</v>
      </c>
      <c r="C391" s="1" t="s">
        <v>16575</v>
      </c>
      <c r="F391" s="1" t="s">
        <v>10672</v>
      </c>
      <c r="G391" s="1" t="s">
        <v>10673</v>
      </c>
    </row>
    <row r="392" spans="1:7" x14ac:dyDescent="0.15">
      <c r="A392" s="1">
        <v>743</v>
      </c>
      <c r="B392" s="1" t="s">
        <v>16912</v>
      </c>
      <c r="C392" s="1" t="s">
        <v>16579</v>
      </c>
      <c r="F392" s="1" t="s">
        <v>10674</v>
      </c>
      <c r="G392" s="1" t="s">
        <v>10675</v>
      </c>
    </row>
    <row r="393" spans="1:7" x14ac:dyDescent="0.15">
      <c r="A393" s="1">
        <v>744</v>
      </c>
      <c r="B393" s="1" t="s">
        <v>16912</v>
      </c>
      <c r="C393" s="1" t="s">
        <v>16583</v>
      </c>
      <c r="F393" s="1" t="s">
        <v>10676</v>
      </c>
      <c r="G393" s="1" t="s">
        <v>10677</v>
      </c>
    </row>
    <row r="394" spans="1:7" x14ac:dyDescent="0.15">
      <c r="A394" s="1">
        <v>746</v>
      </c>
      <c r="B394" s="1" t="s">
        <v>16912</v>
      </c>
      <c r="C394" s="1" t="s">
        <v>16587</v>
      </c>
      <c r="F394" s="1" t="s">
        <v>10679</v>
      </c>
      <c r="G394" s="1" t="s">
        <v>10680</v>
      </c>
    </row>
    <row r="395" spans="1:7" x14ac:dyDescent="0.15">
      <c r="A395" s="1">
        <v>753</v>
      </c>
      <c r="B395" s="1" t="s">
        <v>16912</v>
      </c>
      <c r="C395" s="1" t="s">
        <v>16591</v>
      </c>
      <c r="F395" s="1" t="s">
        <v>10686</v>
      </c>
      <c r="G395" s="1" t="s">
        <v>10687</v>
      </c>
    </row>
    <row r="396" spans="1:7" x14ac:dyDescent="0.15">
      <c r="A396" s="1">
        <v>755</v>
      </c>
      <c r="B396" s="1" t="s">
        <v>16912</v>
      </c>
      <c r="C396" s="1" t="s">
        <v>16595</v>
      </c>
      <c r="F396" s="1" t="s">
        <v>10689</v>
      </c>
      <c r="G396" s="1" t="s">
        <v>10690</v>
      </c>
    </row>
    <row r="397" spans="1:7" x14ac:dyDescent="0.15">
      <c r="A397" s="1">
        <v>759</v>
      </c>
      <c r="B397" s="1" t="s">
        <v>16912</v>
      </c>
      <c r="C397" s="1" t="s">
        <v>16599</v>
      </c>
      <c r="F397" s="1" t="s">
        <v>10692</v>
      </c>
      <c r="G397" s="1" t="s">
        <v>10693</v>
      </c>
    </row>
    <row r="398" spans="1:7" x14ac:dyDescent="0.15">
      <c r="A398" s="1">
        <v>767</v>
      </c>
      <c r="B398" s="1" t="s">
        <v>16912</v>
      </c>
      <c r="C398" s="1" t="s">
        <v>16603</v>
      </c>
      <c r="F398" s="1" t="s">
        <v>10703</v>
      </c>
      <c r="G398" s="1" t="s">
        <v>10704</v>
      </c>
    </row>
    <row r="399" spans="1:7" x14ac:dyDescent="0.15">
      <c r="A399" s="1">
        <v>769</v>
      </c>
      <c r="B399" s="1" t="s">
        <v>16912</v>
      </c>
      <c r="C399" s="1" t="s">
        <v>16607</v>
      </c>
      <c r="F399" s="1" t="s">
        <v>10705</v>
      </c>
      <c r="G399" s="1" t="s">
        <v>10706</v>
      </c>
    </row>
    <row r="400" spans="1:7" x14ac:dyDescent="0.15">
      <c r="A400" s="1">
        <v>771</v>
      </c>
      <c r="B400" s="1" t="s">
        <v>16912</v>
      </c>
      <c r="C400" s="1" t="s">
        <v>16611</v>
      </c>
      <c r="F400" s="1" t="s">
        <v>10708</v>
      </c>
      <c r="G400" s="1" t="s">
        <v>10709</v>
      </c>
    </row>
    <row r="401" spans="1:7" x14ac:dyDescent="0.15">
      <c r="A401" s="1">
        <v>773</v>
      </c>
      <c r="B401" s="1" t="s">
        <v>16912</v>
      </c>
      <c r="C401" s="1" t="s">
        <v>16615</v>
      </c>
      <c r="F401" s="1" t="s">
        <v>10711</v>
      </c>
      <c r="G401" s="1" t="s">
        <v>10712</v>
      </c>
    </row>
    <row r="402" spans="1:7" x14ac:dyDescent="0.15">
      <c r="A402" s="1">
        <v>776</v>
      </c>
      <c r="B402" s="1" t="s">
        <v>16912</v>
      </c>
      <c r="C402" s="1" t="s">
        <v>16619</v>
      </c>
      <c r="F402" s="1" t="s">
        <v>10714</v>
      </c>
      <c r="G402" s="1" t="s">
        <v>10715</v>
      </c>
    </row>
    <row r="403" spans="1:7" x14ac:dyDescent="0.15">
      <c r="A403" s="1">
        <v>779</v>
      </c>
      <c r="B403" s="1" t="s">
        <v>16912</v>
      </c>
      <c r="C403" s="1" t="s">
        <v>16623</v>
      </c>
      <c r="F403" s="1" t="s">
        <v>10716</v>
      </c>
      <c r="G403" s="1" t="s">
        <v>10717</v>
      </c>
    </row>
    <row r="404" spans="1:7" x14ac:dyDescent="0.15">
      <c r="A404" s="1">
        <v>781</v>
      </c>
      <c r="B404" s="1" t="s">
        <v>16912</v>
      </c>
      <c r="C404" s="1" t="s">
        <v>16627</v>
      </c>
      <c r="F404" s="1" t="s">
        <v>10718</v>
      </c>
      <c r="G404" s="1" t="s">
        <v>10719</v>
      </c>
    </row>
    <row r="405" spans="1:7" x14ac:dyDescent="0.15">
      <c r="A405" s="1">
        <v>790</v>
      </c>
      <c r="B405" s="1" t="s">
        <v>16912</v>
      </c>
      <c r="C405" s="1" t="s">
        <v>16631</v>
      </c>
      <c r="F405" s="1" t="s">
        <v>10731</v>
      </c>
      <c r="G405" s="1" t="s">
        <v>10732</v>
      </c>
    </row>
    <row r="406" spans="1:7" x14ac:dyDescent="0.15">
      <c r="A406" s="1">
        <v>792</v>
      </c>
      <c r="B406" s="1" t="s">
        <v>16912</v>
      </c>
      <c r="C406" s="1" t="s">
        <v>16635</v>
      </c>
      <c r="F406" s="1" t="s">
        <v>10733</v>
      </c>
      <c r="G406" s="1" t="s">
        <v>10734</v>
      </c>
    </row>
    <row r="407" spans="1:7" x14ac:dyDescent="0.15">
      <c r="A407" s="1">
        <v>794</v>
      </c>
      <c r="B407" s="1" t="s">
        <v>16912</v>
      </c>
      <c r="C407" s="1" t="s">
        <v>16639</v>
      </c>
      <c r="F407" s="1" t="s">
        <v>10737</v>
      </c>
      <c r="G407" s="1" t="s">
        <v>10738</v>
      </c>
    </row>
    <row r="408" spans="1:7" x14ac:dyDescent="0.15">
      <c r="A408" s="1">
        <v>796</v>
      </c>
      <c r="B408" s="1" t="s">
        <v>16912</v>
      </c>
      <c r="C408" s="1" t="s">
        <v>16643</v>
      </c>
      <c r="F408" s="1" t="s">
        <v>10740</v>
      </c>
      <c r="G408" s="1" t="s">
        <v>10741</v>
      </c>
    </row>
    <row r="409" spans="1:7" x14ac:dyDescent="0.15">
      <c r="A409" s="1">
        <v>798</v>
      </c>
      <c r="B409" s="1" t="s">
        <v>16912</v>
      </c>
      <c r="C409" s="1" t="s">
        <v>10743</v>
      </c>
      <c r="D409" s="1" t="s">
        <v>12625</v>
      </c>
      <c r="F409" s="1" t="s">
        <v>10744</v>
      </c>
      <c r="G409" s="1" t="s">
        <v>10745</v>
      </c>
    </row>
    <row r="410" spans="1:7" x14ac:dyDescent="0.15">
      <c r="A410" s="1">
        <v>800</v>
      </c>
      <c r="B410" s="1" t="s">
        <v>16912</v>
      </c>
      <c r="C410" s="1" t="s">
        <v>10747</v>
      </c>
      <c r="D410" s="1" t="s">
        <v>12625</v>
      </c>
      <c r="F410" s="1" t="s">
        <v>10748</v>
      </c>
      <c r="G410" s="1" t="s">
        <v>10749</v>
      </c>
    </row>
    <row r="411" spans="1:7" x14ac:dyDescent="0.15">
      <c r="A411" s="1">
        <v>801</v>
      </c>
      <c r="B411" s="1" t="s">
        <v>16912</v>
      </c>
      <c r="C411" s="1" t="s">
        <v>10750</v>
      </c>
      <c r="D411" s="1" t="s">
        <v>12625</v>
      </c>
      <c r="F411" s="1" t="s">
        <v>10751</v>
      </c>
      <c r="G411" s="1" t="s">
        <v>10752</v>
      </c>
    </row>
    <row r="412" spans="1:7" x14ac:dyDescent="0.15">
      <c r="A412" s="1">
        <v>802</v>
      </c>
      <c r="B412" s="1" t="s">
        <v>16912</v>
      </c>
      <c r="C412" s="1" t="s">
        <v>10753</v>
      </c>
      <c r="D412" s="1" t="s">
        <v>12625</v>
      </c>
      <c r="F412" s="1" t="s">
        <v>10754</v>
      </c>
      <c r="G412" s="1" t="s">
        <v>10755</v>
      </c>
    </row>
    <row r="413" spans="1:7" x14ac:dyDescent="0.15">
      <c r="A413" s="1">
        <v>805</v>
      </c>
      <c r="B413" s="1" t="s">
        <v>16912</v>
      </c>
      <c r="C413" s="1" t="s">
        <v>16647</v>
      </c>
      <c r="F413" s="1" t="s">
        <v>10757</v>
      </c>
      <c r="G413" s="1" t="s">
        <v>10758</v>
      </c>
    </row>
    <row r="414" spans="1:7" x14ac:dyDescent="0.15">
      <c r="A414" s="1">
        <v>806</v>
      </c>
      <c r="B414" s="1" t="s">
        <v>16912</v>
      </c>
      <c r="C414" s="1" t="s">
        <v>10759</v>
      </c>
      <c r="F414" s="1" t="s">
        <v>10760</v>
      </c>
      <c r="G414" s="1" t="s">
        <v>10761</v>
      </c>
    </row>
    <row r="415" spans="1:7" x14ac:dyDescent="0.15">
      <c r="A415" s="1">
        <v>807</v>
      </c>
      <c r="B415" s="1" t="s">
        <v>16912</v>
      </c>
      <c r="C415" s="1" t="s">
        <v>16655</v>
      </c>
      <c r="F415" s="1" t="s">
        <v>10931</v>
      </c>
      <c r="G415" s="1" t="s">
        <v>10762</v>
      </c>
    </row>
    <row r="416" spans="1:7" x14ac:dyDescent="0.15">
      <c r="A416" s="1">
        <v>808</v>
      </c>
      <c r="B416" s="1" t="s">
        <v>16912</v>
      </c>
      <c r="C416" s="1" t="s">
        <v>10932</v>
      </c>
      <c r="D416" s="1" t="s">
        <v>12625</v>
      </c>
      <c r="F416" s="1" t="s">
        <v>10933</v>
      </c>
      <c r="G416" s="1" t="s">
        <v>10763</v>
      </c>
    </row>
    <row r="417" spans="1:7" x14ac:dyDescent="0.15">
      <c r="A417" s="1">
        <v>809</v>
      </c>
      <c r="B417" s="1" t="s">
        <v>16912</v>
      </c>
      <c r="C417" s="1" t="s">
        <v>10764</v>
      </c>
      <c r="D417" s="1" t="s">
        <v>12625</v>
      </c>
      <c r="F417" s="1" t="s">
        <v>10765</v>
      </c>
      <c r="G417" s="1" t="s">
        <v>10766</v>
      </c>
    </row>
    <row r="418" spans="1:7" x14ac:dyDescent="0.15">
      <c r="A418" s="1">
        <v>811</v>
      </c>
      <c r="B418" s="1" t="s">
        <v>16912</v>
      </c>
      <c r="C418" s="1" t="s">
        <v>10767</v>
      </c>
      <c r="F418" s="1" t="s">
        <v>10768</v>
      </c>
      <c r="G418" s="1" t="s">
        <v>10769</v>
      </c>
    </row>
    <row r="419" spans="1:7" x14ac:dyDescent="0.15">
      <c r="A419" s="1">
        <v>812</v>
      </c>
      <c r="B419" s="1" t="s">
        <v>16912</v>
      </c>
      <c r="C419" s="1" t="s">
        <v>16662</v>
      </c>
      <c r="F419" s="1" t="s">
        <v>10770</v>
      </c>
      <c r="G419" s="1" t="s">
        <v>10771</v>
      </c>
    </row>
    <row r="420" spans="1:7" x14ac:dyDescent="0.15">
      <c r="A420" s="1">
        <v>813</v>
      </c>
      <c r="B420" s="1" t="s">
        <v>16912</v>
      </c>
      <c r="C420" s="1" t="s">
        <v>10772</v>
      </c>
      <c r="D420" s="1" t="s">
        <v>12625</v>
      </c>
      <c r="F420" s="1" t="s">
        <v>10773</v>
      </c>
      <c r="G420" s="1" t="s">
        <v>10774</v>
      </c>
    </row>
    <row r="421" spans="1:7" x14ac:dyDescent="0.15">
      <c r="A421" s="1">
        <v>814</v>
      </c>
      <c r="B421" s="1" t="s">
        <v>16912</v>
      </c>
      <c r="C421" s="1" t="s">
        <v>10775</v>
      </c>
      <c r="D421" s="1" t="s">
        <v>12625</v>
      </c>
      <c r="F421" s="1" t="s">
        <v>10776</v>
      </c>
      <c r="G421" s="1" t="s">
        <v>10777</v>
      </c>
    </row>
    <row r="422" spans="1:7" x14ac:dyDescent="0.15">
      <c r="A422" s="1">
        <v>815</v>
      </c>
      <c r="B422" s="1" t="s">
        <v>16912</v>
      </c>
      <c r="C422" s="1" t="s">
        <v>10778</v>
      </c>
      <c r="F422" s="1" t="s">
        <v>10779</v>
      </c>
      <c r="G422" s="1" t="s">
        <v>10780</v>
      </c>
    </row>
    <row r="423" spans="1:7" x14ac:dyDescent="0.15">
      <c r="A423" s="1">
        <v>816</v>
      </c>
      <c r="B423" s="1" t="s">
        <v>16912</v>
      </c>
      <c r="C423" s="1" t="s">
        <v>16669</v>
      </c>
      <c r="F423" s="1" t="s">
        <v>10779</v>
      </c>
      <c r="G423" s="1" t="s">
        <v>10781</v>
      </c>
    </row>
    <row r="424" spans="1:7" x14ac:dyDescent="0.15">
      <c r="A424" s="1">
        <v>817</v>
      </c>
      <c r="B424" s="1" t="s">
        <v>16672</v>
      </c>
      <c r="C424" s="1" t="s">
        <v>11513</v>
      </c>
      <c r="F424" s="1" t="s">
        <v>11514</v>
      </c>
      <c r="G424" s="1" t="s">
        <v>10782</v>
      </c>
    </row>
    <row r="425" spans="1:7" x14ac:dyDescent="0.15">
      <c r="A425" s="1">
        <v>818</v>
      </c>
      <c r="B425" s="1" t="s">
        <v>16672</v>
      </c>
      <c r="C425" s="1" t="s">
        <v>10783</v>
      </c>
      <c r="F425" s="1" t="s">
        <v>10283</v>
      </c>
      <c r="G425" s="1" t="s">
        <v>10284</v>
      </c>
    </row>
    <row r="426" spans="1:7" x14ac:dyDescent="0.15">
      <c r="A426" s="1">
        <v>821</v>
      </c>
      <c r="B426" s="1" t="s">
        <v>16672</v>
      </c>
      <c r="C426" s="1" t="s">
        <v>16681</v>
      </c>
      <c r="F426" s="1" t="s">
        <v>10283</v>
      </c>
      <c r="G426" s="1" t="s">
        <v>10287</v>
      </c>
    </row>
    <row r="427" spans="1:7" x14ac:dyDescent="0.15">
      <c r="A427" s="1">
        <v>823</v>
      </c>
      <c r="B427" s="1" t="s">
        <v>16672</v>
      </c>
      <c r="C427" s="1" t="s">
        <v>10288</v>
      </c>
      <c r="F427" s="1" t="s">
        <v>10289</v>
      </c>
      <c r="G427" s="1" t="s">
        <v>10290</v>
      </c>
    </row>
    <row r="428" spans="1:7" x14ac:dyDescent="0.15">
      <c r="A428" s="1">
        <v>824</v>
      </c>
      <c r="B428" s="1" t="s">
        <v>16672</v>
      </c>
      <c r="C428" s="1" t="s">
        <v>16688</v>
      </c>
      <c r="F428" s="1" t="s">
        <v>10289</v>
      </c>
      <c r="G428" s="1" t="s">
        <v>10291</v>
      </c>
    </row>
    <row r="429" spans="1:7" x14ac:dyDescent="0.15">
      <c r="A429" s="1">
        <v>826</v>
      </c>
      <c r="B429" s="1" t="s">
        <v>16672</v>
      </c>
      <c r="C429" s="1" t="s">
        <v>10293</v>
      </c>
      <c r="F429" s="1" t="s">
        <v>10294</v>
      </c>
      <c r="G429" s="1" t="s">
        <v>10295</v>
      </c>
    </row>
    <row r="430" spans="1:7" x14ac:dyDescent="0.15">
      <c r="A430" s="1">
        <v>827</v>
      </c>
      <c r="B430" s="1" t="s">
        <v>16672</v>
      </c>
      <c r="C430" s="1" t="s">
        <v>16695</v>
      </c>
      <c r="F430" s="1" t="s">
        <v>10294</v>
      </c>
      <c r="G430" s="1" t="s">
        <v>10296</v>
      </c>
    </row>
    <row r="431" spans="1:7" x14ac:dyDescent="0.15">
      <c r="A431" s="1">
        <v>829</v>
      </c>
      <c r="B431" s="1" t="s">
        <v>16672</v>
      </c>
      <c r="C431" s="1" t="s">
        <v>10297</v>
      </c>
      <c r="F431" s="1" t="s">
        <v>12660</v>
      </c>
      <c r="G431" s="1" t="s">
        <v>10298</v>
      </c>
    </row>
    <row r="432" spans="1:7" x14ac:dyDescent="0.15">
      <c r="A432" s="1">
        <v>830</v>
      </c>
      <c r="B432" s="1" t="s">
        <v>16672</v>
      </c>
      <c r="C432" s="1" t="s">
        <v>16702</v>
      </c>
      <c r="F432" s="1" t="s">
        <v>12660</v>
      </c>
      <c r="G432" s="1" t="s">
        <v>10299</v>
      </c>
    </row>
    <row r="433" spans="1:7" x14ac:dyDescent="0.15">
      <c r="A433" s="1">
        <v>833</v>
      </c>
      <c r="B433" s="1" t="s">
        <v>16672</v>
      </c>
      <c r="C433" s="1" t="s">
        <v>10300</v>
      </c>
      <c r="F433" s="1" t="s">
        <v>10301</v>
      </c>
      <c r="G433" s="1" t="s">
        <v>10302</v>
      </c>
    </row>
    <row r="434" spans="1:7" x14ac:dyDescent="0.15">
      <c r="A434" s="1">
        <v>834</v>
      </c>
      <c r="B434" s="1" t="s">
        <v>16672</v>
      </c>
      <c r="C434" s="1" t="s">
        <v>16709</v>
      </c>
      <c r="F434" s="1" t="s">
        <v>10301</v>
      </c>
      <c r="G434" s="1" t="s">
        <v>10303</v>
      </c>
    </row>
    <row r="435" spans="1:7" x14ac:dyDescent="0.15">
      <c r="A435" s="1">
        <v>841</v>
      </c>
      <c r="B435" s="1" t="s">
        <v>16672</v>
      </c>
      <c r="C435" s="1" t="s">
        <v>10310</v>
      </c>
      <c r="F435" s="1" t="s">
        <v>10311</v>
      </c>
      <c r="G435" s="1" t="s">
        <v>10312</v>
      </c>
    </row>
    <row r="436" spans="1:7" x14ac:dyDescent="0.15">
      <c r="A436" s="1">
        <v>842</v>
      </c>
      <c r="B436" s="1" t="s">
        <v>16672</v>
      </c>
      <c r="C436" s="1" t="s">
        <v>16716</v>
      </c>
      <c r="F436" s="1" t="s">
        <v>10311</v>
      </c>
      <c r="G436" s="1" t="s">
        <v>10313</v>
      </c>
    </row>
    <row r="437" spans="1:7" x14ac:dyDescent="0.15">
      <c r="A437" s="1">
        <v>843</v>
      </c>
      <c r="B437" s="1" t="s">
        <v>16672</v>
      </c>
      <c r="C437" s="1" t="s">
        <v>10314</v>
      </c>
      <c r="F437" s="1" t="s">
        <v>10315</v>
      </c>
      <c r="G437" s="1" t="s">
        <v>10316</v>
      </c>
    </row>
    <row r="438" spans="1:7" x14ac:dyDescent="0.15">
      <c r="A438" s="1">
        <v>844</v>
      </c>
      <c r="B438" s="1" t="s">
        <v>16672</v>
      </c>
      <c r="C438" s="1" t="s">
        <v>16723</v>
      </c>
      <c r="F438" s="1" t="s">
        <v>10315</v>
      </c>
      <c r="G438" s="1" t="s">
        <v>10317</v>
      </c>
    </row>
    <row r="439" spans="1:7" x14ac:dyDescent="0.15">
      <c r="A439" s="1">
        <v>847</v>
      </c>
      <c r="B439" s="1" t="s">
        <v>16672</v>
      </c>
      <c r="C439" s="1" t="s">
        <v>10574</v>
      </c>
      <c r="F439" s="1" t="s">
        <v>10575</v>
      </c>
      <c r="G439" s="1" t="s">
        <v>10321</v>
      </c>
    </row>
    <row r="440" spans="1:7" x14ac:dyDescent="0.15">
      <c r="A440" s="1">
        <v>848</v>
      </c>
      <c r="B440" s="1" t="s">
        <v>16672</v>
      </c>
      <c r="C440" s="1" t="s">
        <v>16730</v>
      </c>
      <c r="F440" s="1" t="s">
        <v>10322</v>
      </c>
      <c r="G440" s="1" t="s">
        <v>10323</v>
      </c>
    </row>
    <row r="441" spans="1:7" x14ac:dyDescent="0.15">
      <c r="A441" s="1">
        <v>850</v>
      </c>
      <c r="B441" s="1" t="s">
        <v>16672</v>
      </c>
      <c r="C441" s="1" t="s">
        <v>16734</v>
      </c>
      <c r="F441" s="1" t="s">
        <v>10324</v>
      </c>
      <c r="G441" s="1" t="s">
        <v>10325</v>
      </c>
    </row>
    <row r="442" spans="1:7" x14ac:dyDescent="0.15">
      <c r="A442" s="1">
        <v>851</v>
      </c>
      <c r="B442" s="1" t="s">
        <v>16672</v>
      </c>
      <c r="C442" s="1" t="s">
        <v>16738</v>
      </c>
      <c r="F442" s="1" t="s">
        <v>10326</v>
      </c>
      <c r="G442" s="1" t="s">
        <v>10327</v>
      </c>
    </row>
    <row r="443" spans="1:7" x14ac:dyDescent="0.15">
      <c r="A443" s="1">
        <v>853</v>
      </c>
      <c r="B443" s="1" t="s">
        <v>16672</v>
      </c>
      <c r="C443" s="1" t="s">
        <v>16742</v>
      </c>
      <c r="F443" s="1" t="s">
        <v>10329</v>
      </c>
      <c r="G443" s="1" t="s">
        <v>10330</v>
      </c>
    </row>
    <row r="444" spans="1:7" x14ac:dyDescent="0.15">
      <c r="A444" s="1">
        <v>854</v>
      </c>
      <c r="B444" s="1" t="s">
        <v>16672</v>
      </c>
      <c r="C444" s="1" t="s">
        <v>16746</v>
      </c>
      <c r="F444" s="1" t="s">
        <v>10331</v>
      </c>
      <c r="G444" s="1" t="s">
        <v>10332</v>
      </c>
    </row>
    <row r="445" spans="1:7" x14ac:dyDescent="0.15">
      <c r="A445" s="1">
        <v>855</v>
      </c>
      <c r="B445" s="1" t="s">
        <v>16672</v>
      </c>
      <c r="C445" s="1" t="s">
        <v>16750</v>
      </c>
      <c r="F445" s="1" t="s">
        <v>10333</v>
      </c>
      <c r="G445" s="1" t="s">
        <v>10334</v>
      </c>
    </row>
    <row r="446" spans="1:7" x14ac:dyDescent="0.15">
      <c r="A446" s="1">
        <v>856</v>
      </c>
      <c r="B446" s="1" t="s">
        <v>16672</v>
      </c>
      <c r="C446" s="1" t="s">
        <v>10335</v>
      </c>
      <c r="F446" s="1" t="s">
        <v>11221</v>
      </c>
      <c r="G446" s="1" t="s">
        <v>10336</v>
      </c>
    </row>
    <row r="447" spans="1:7" x14ac:dyDescent="0.15">
      <c r="A447" s="1">
        <v>857</v>
      </c>
      <c r="B447" s="1" t="s">
        <v>16672</v>
      </c>
      <c r="C447" s="1" t="s">
        <v>16758</v>
      </c>
      <c r="F447" s="1" t="s">
        <v>11221</v>
      </c>
      <c r="G447" s="1" t="s">
        <v>10337</v>
      </c>
    </row>
    <row r="448" spans="1:7" x14ac:dyDescent="0.15">
      <c r="A448" s="1">
        <v>861</v>
      </c>
      <c r="B448" s="1" t="s">
        <v>16672</v>
      </c>
      <c r="C448" s="1" t="s">
        <v>11153</v>
      </c>
      <c r="D448" s="1" t="s">
        <v>12625</v>
      </c>
      <c r="F448" s="1" t="s">
        <v>11154</v>
      </c>
      <c r="G448" s="1" t="s">
        <v>10340</v>
      </c>
    </row>
    <row r="449" spans="1:7" x14ac:dyDescent="0.15">
      <c r="A449" s="1">
        <v>862</v>
      </c>
      <c r="B449" s="1" t="s">
        <v>16672</v>
      </c>
      <c r="C449" s="1" t="s">
        <v>10786</v>
      </c>
      <c r="D449" s="1" t="s">
        <v>12625</v>
      </c>
      <c r="F449" s="1" t="s">
        <v>10787</v>
      </c>
      <c r="G449" s="1" t="s">
        <v>10341</v>
      </c>
    </row>
    <row r="450" spans="1:7" x14ac:dyDescent="0.15">
      <c r="A450" s="1">
        <v>863</v>
      </c>
      <c r="B450" s="1" t="s">
        <v>16672</v>
      </c>
      <c r="C450" s="1" t="s">
        <v>10342</v>
      </c>
      <c r="D450" s="1" t="s">
        <v>12625</v>
      </c>
      <c r="F450" s="1" t="s">
        <v>10343</v>
      </c>
      <c r="G450" s="1" t="s">
        <v>10344</v>
      </c>
    </row>
    <row r="451" spans="1:7" x14ac:dyDescent="0.15">
      <c r="A451" s="1">
        <v>864</v>
      </c>
      <c r="B451" s="1" t="s">
        <v>16672</v>
      </c>
      <c r="C451" s="1" t="s">
        <v>10345</v>
      </c>
      <c r="F451" s="1" t="s">
        <v>10582</v>
      </c>
      <c r="G451" s="1" t="s">
        <v>10346</v>
      </c>
    </row>
    <row r="452" spans="1:7" x14ac:dyDescent="0.15">
      <c r="A452" s="1">
        <v>865</v>
      </c>
      <c r="B452" s="1" t="s">
        <v>16672</v>
      </c>
      <c r="C452" s="1" t="s">
        <v>16765</v>
      </c>
      <c r="F452" s="1" t="s">
        <v>10582</v>
      </c>
      <c r="G452" s="1" t="s">
        <v>10347</v>
      </c>
    </row>
    <row r="453" spans="1:7" x14ac:dyDescent="0.15">
      <c r="A453" s="1">
        <v>867</v>
      </c>
      <c r="B453" s="1" t="s">
        <v>16672</v>
      </c>
      <c r="C453" s="1" t="s">
        <v>10348</v>
      </c>
      <c r="F453" s="1" t="s">
        <v>10349</v>
      </c>
      <c r="G453" s="1" t="s">
        <v>10350</v>
      </c>
    </row>
    <row r="454" spans="1:7" x14ac:dyDescent="0.15">
      <c r="A454" s="1">
        <v>868</v>
      </c>
      <c r="B454" s="1" t="s">
        <v>16672</v>
      </c>
      <c r="C454" s="1" t="s">
        <v>16772</v>
      </c>
      <c r="F454" s="1" t="s">
        <v>10349</v>
      </c>
      <c r="G454" s="1" t="s">
        <v>10351</v>
      </c>
    </row>
    <row r="455" spans="1:7" x14ac:dyDescent="0.15">
      <c r="A455" s="1">
        <v>869</v>
      </c>
      <c r="B455" s="1" t="s">
        <v>16672</v>
      </c>
      <c r="C455" s="1" t="s">
        <v>10352</v>
      </c>
      <c r="F455" s="1" t="s">
        <v>10353</v>
      </c>
      <c r="G455" s="1" t="s">
        <v>10354</v>
      </c>
    </row>
    <row r="456" spans="1:7" x14ac:dyDescent="0.15">
      <c r="A456" s="1">
        <v>870</v>
      </c>
      <c r="B456" s="1" t="s">
        <v>16672</v>
      </c>
      <c r="C456" s="1" t="s">
        <v>16779</v>
      </c>
      <c r="F456" s="1" t="s">
        <v>10353</v>
      </c>
      <c r="G456" s="1" t="s">
        <v>10355</v>
      </c>
    </row>
    <row r="457" spans="1:7" x14ac:dyDescent="0.15">
      <c r="A457" s="1">
        <v>871</v>
      </c>
      <c r="B457" s="1" t="s">
        <v>16672</v>
      </c>
      <c r="C457" s="1" t="s">
        <v>10356</v>
      </c>
      <c r="F457" s="1" t="s">
        <v>10357</v>
      </c>
      <c r="G457" s="1" t="s">
        <v>10358</v>
      </c>
    </row>
    <row r="458" spans="1:7" x14ac:dyDescent="0.15">
      <c r="A458" s="1">
        <v>872</v>
      </c>
      <c r="B458" s="1" t="s">
        <v>16672</v>
      </c>
      <c r="C458" s="1" t="s">
        <v>16786</v>
      </c>
      <c r="F458" s="1" t="s">
        <v>10357</v>
      </c>
      <c r="G458" s="1" t="s">
        <v>10359</v>
      </c>
    </row>
    <row r="459" spans="1:7" x14ac:dyDescent="0.15">
      <c r="A459" s="1">
        <v>873</v>
      </c>
      <c r="B459" s="1" t="s">
        <v>16672</v>
      </c>
      <c r="C459" s="1" t="s">
        <v>10360</v>
      </c>
      <c r="F459" s="1" t="s">
        <v>10361</v>
      </c>
      <c r="G459" s="1" t="s">
        <v>10362</v>
      </c>
    </row>
    <row r="460" spans="1:7" x14ac:dyDescent="0.15">
      <c r="A460" s="1">
        <v>874</v>
      </c>
      <c r="B460" s="1" t="s">
        <v>16672</v>
      </c>
      <c r="C460" s="1" t="s">
        <v>16793</v>
      </c>
      <c r="F460" s="1" t="s">
        <v>10361</v>
      </c>
      <c r="G460" s="1" t="s">
        <v>10363</v>
      </c>
    </row>
    <row r="461" spans="1:7" x14ac:dyDescent="0.15">
      <c r="A461" s="1">
        <v>879</v>
      </c>
      <c r="B461" s="1" t="s">
        <v>16672</v>
      </c>
      <c r="C461" s="1" t="s">
        <v>10365</v>
      </c>
      <c r="D461" s="1" t="s">
        <v>12593</v>
      </c>
      <c r="F461" s="1" t="s">
        <v>10366</v>
      </c>
      <c r="G461" s="1" t="s">
        <v>12595</v>
      </c>
    </row>
    <row r="462" spans="1:7" x14ac:dyDescent="0.15">
      <c r="A462" s="1">
        <v>880</v>
      </c>
      <c r="B462" s="1" t="s">
        <v>16672</v>
      </c>
      <c r="C462" s="1" t="s">
        <v>16800</v>
      </c>
      <c r="D462" s="1" t="s">
        <v>12593</v>
      </c>
      <c r="F462" s="1" t="s">
        <v>10366</v>
      </c>
      <c r="G462" s="1" t="s">
        <v>10367</v>
      </c>
    </row>
    <row r="463" spans="1:7" x14ac:dyDescent="0.15">
      <c r="A463" s="1">
        <v>881</v>
      </c>
      <c r="B463" s="1" t="s">
        <v>16672</v>
      </c>
      <c r="C463" s="1" t="s">
        <v>10368</v>
      </c>
      <c r="D463" s="1" t="s">
        <v>12593</v>
      </c>
      <c r="F463" s="1" t="s">
        <v>10369</v>
      </c>
      <c r="G463" s="1" t="s">
        <v>12595</v>
      </c>
    </row>
    <row r="464" spans="1:7" x14ac:dyDescent="0.15">
      <c r="A464" s="1">
        <v>882</v>
      </c>
      <c r="B464" s="1" t="s">
        <v>16672</v>
      </c>
      <c r="C464" s="1" t="s">
        <v>16807</v>
      </c>
      <c r="D464" s="1" t="s">
        <v>12593</v>
      </c>
      <c r="F464" s="1" t="s">
        <v>10369</v>
      </c>
      <c r="G464" s="1" t="s">
        <v>10370</v>
      </c>
    </row>
    <row r="465" spans="1:7" x14ac:dyDescent="0.15">
      <c r="A465" s="1">
        <v>883</v>
      </c>
      <c r="B465" s="1" t="s">
        <v>16672</v>
      </c>
      <c r="C465" s="1" t="s">
        <v>10371</v>
      </c>
      <c r="D465" s="1" t="s">
        <v>12593</v>
      </c>
      <c r="F465" s="1" t="s">
        <v>10372</v>
      </c>
      <c r="G465" s="1" t="s">
        <v>12595</v>
      </c>
    </row>
    <row r="466" spans="1:7" x14ac:dyDescent="0.15">
      <c r="A466" s="1">
        <v>884</v>
      </c>
      <c r="B466" s="1" t="s">
        <v>16672</v>
      </c>
      <c r="C466" s="1" t="s">
        <v>16814</v>
      </c>
      <c r="D466" s="1" t="s">
        <v>12593</v>
      </c>
      <c r="F466" s="1" t="s">
        <v>10372</v>
      </c>
      <c r="G466" s="1" t="s">
        <v>10373</v>
      </c>
    </row>
    <row r="467" spans="1:7" x14ac:dyDescent="0.15">
      <c r="A467" s="1">
        <v>885</v>
      </c>
      <c r="B467" s="1" t="s">
        <v>16672</v>
      </c>
      <c r="C467" s="1" t="s">
        <v>10374</v>
      </c>
      <c r="F467" s="1" t="s">
        <v>10375</v>
      </c>
      <c r="G467" s="1" t="s">
        <v>10376</v>
      </c>
    </row>
    <row r="468" spans="1:7" x14ac:dyDescent="0.15">
      <c r="A468" s="1">
        <v>886</v>
      </c>
      <c r="B468" s="1" t="s">
        <v>16672</v>
      </c>
      <c r="C468" s="1" t="s">
        <v>16821</v>
      </c>
      <c r="F468" s="1" t="s">
        <v>10377</v>
      </c>
      <c r="G468" s="1" t="s">
        <v>10378</v>
      </c>
    </row>
    <row r="469" spans="1:7" x14ac:dyDescent="0.15">
      <c r="A469" s="1">
        <v>888</v>
      </c>
      <c r="B469" s="1" t="s">
        <v>16672</v>
      </c>
      <c r="C469" s="1" t="s">
        <v>10380</v>
      </c>
      <c r="F469" s="1" t="s">
        <v>10381</v>
      </c>
      <c r="G469" s="1" t="s">
        <v>10382</v>
      </c>
    </row>
    <row r="470" spans="1:7" x14ac:dyDescent="0.15">
      <c r="A470" s="1">
        <v>889</v>
      </c>
      <c r="B470" s="1" t="s">
        <v>16672</v>
      </c>
      <c r="C470" s="1" t="s">
        <v>16828</v>
      </c>
      <c r="F470" s="1" t="s">
        <v>10381</v>
      </c>
      <c r="G470" s="1" t="s">
        <v>10383</v>
      </c>
    </row>
    <row r="471" spans="1:7" x14ac:dyDescent="0.15">
      <c r="A471" s="1">
        <v>890</v>
      </c>
      <c r="B471" s="1" t="s">
        <v>16672</v>
      </c>
      <c r="C471" s="1" t="s">
        <v>10384</v>
      </c>
      <c r="F471" s="1" t="s">
        <v>10385</v>
      </c>
      <c r="G471" s="1" t="s">
        <v>10386</v>
      </c>
    </row>
    <row r="472" spans="1:7" x14ac:dyDescent="0.15">
      <c r="A472" s="1">
        <v>891</v>
      </c>
      <c r="B472" s="1" t="s">
        <v>16672</v>
      </c>
      <c r="C472" s="1" t="s">
        <v>16835</v>
      </c>
      <c r="F472" s="1" t="s">
        <v>10385</v>
      </c>
      <c r="G472" s="1" t="s">
        <v>10387</v>
      </c>
    </row>
    <row r="473" spans="1:7" x14ac:dyDescent="0.15">
      <c r="A473" s="1">
        <v>893</v>
      </c>
      <c r="B473" s="1" t="s">
        <v>16672</v>
      </c>
      <c r="C473" s="1" t="s">
        <v>10389</v>
      </c>
      <c r="F473" s="1" t="s">
        <v>10390</v>
      </c>
      <c r="G473" s="1" t="s">
        <v>10391</v>
      </c>
    </row>
    <row r="474" spans="1:7" x14ac:dyDescent="0.15">
      <c r="A474" s="1">
        <v>894</v>
      </c>
      <c r="B474" s="1" t="s">
        <v>16672</v>
      </c>
      <c r="C474" s="1" t="s">
        <v>16258</v>
      </c>
      <c r="F474" s="1" t="s">
        <v>10390</v>
      </c>
      <c r="G474" s="1" t="s">
        <v>10392</v>
      </c>
    </row>
    <row r="475" spans="1:7" x14ac:dyDescent="0.15">
      <c r="A475" s="1">
        <v>896</v>
      </c>
      <c r="B475" s="1" t="s">
        <v>16672</v>
      </c>
      <c r="C475" s="1" t="s">
        <v>10394</v>
      </c>
      <c r="F475" s="1" t="s">
        <v>10395</v>
      </c>
      <c r="G475" s="1" t="s">
        <v>10396</v>
      </c>
    </row>
    <row r="476" spans="1:7" x14ac:dyDescent="0.15">
      <c r="A476" s="1">
        <v>897</v>
      </c>
      <c r="B476" s="1" t="s">
        <v>16672</v>
      </c>
      <c r="C476" s="1" t="s">
        <v>16265</v>
      </c>
      <c r="F476" s="1" t="s">
        <v>10395</v>
      </c>
      <c r="G476" s="1" t="s">
        <v>10397</v>
      </c>
    </row>
    <row r="477" spans="1:7" x14ac:dyDescent="0.15">
      <c r="A477" s="1">
        <v>898</v>
      </c>
      <c r="B477" s="1" t="s">
        <v>16672</v>
      </c>
      <c r="C477" s="1" t="s">
        <v>10398</v>
      </c>
      <c r="F477" s="1" t="s">
        <v>10399</v>
      </c>
      <c r="G477" s="1" t="s">
        <v>10400</v>
      </c>
    </row>
    <row r="478" spans="1:7" x14ac:dyDescent="0.15">
      <c r="A478" s="1">
        <v>899</v>
      </c>
      <c r="B478" s="1" t="s">
        <v>16672</v>
      </c>
      <c r="C478" s="1" t="s">
        <v>16272</v>
      </c>
      <c r="F478" s="1" t="s">
        <v>10399</v>
      </c>
      <c r="G478" s="1" t="s">
        <v>10401</v>
      </c>
    </row>
    <row r="479" spans="1:7" x14ac:dyDescent="0.15">
      <c r="A479" s="1">
        <v>902</v>
      </c>
      <c r="B479" s="1" t="s">
        <v>16672</v>
      </c>
      <c r="C479" s="1" t="s">
        <v>10404</v>
      </c>
      <c r="F479" s="1" t="s">
        <v>10405</v>
      </c>
      <c r="G479" s="1" t="s">
        <v>10406</v>
      </c>
    </row>
    <row r="480" spans="1:7" x14ac:dyDescent="0.15">
      <c r="A480" s="1">
        <v>903</v>
      </c>
      <c r="B480" s="1" t="s">
        <v>16672</v>
      </c>
      <c r="C480" s="1" t="s">
        <v>16279</v>
      </c>
      <c r="F480" s="1" t="s">
        <v>10405</v>
      </c>
      <c r="G480" s="1" t="s">
        <v>10407</v>
      </c>
    </row>
    <row r="481" spans="1:7" x14ac:dyDescent="0.15">
      <c r="A481" s="1">
        <v>905</v>
      </c>
      <c r="B481" s="1" t="s">
        <v>16672</v>
      </c>
      <c r="C481" s="1" t="s">
        <v>10409</v>
      </c>
      <c r="F481" s="1" t="s">
        <v>10410</v>
      </c>
      <c r="G481" s="1" t="s">
        <v>10411</v>
      </c>
    </row>
    <row r="482" spans="1:7" x14ac:dyDescent="0.15">
      <c r="A482" s="1">
        <v>906</v>
      </c>
      <c r="B482" s="1" t="s">
        <v>16672</v>
      </c>
      <c r="C482" s="1" t="s">
        <v>16286</v>
      </c>
      <c r="F482" s="1" t="s">
        <v>10410</v>
      </c>
      <c r="G482" s="1" t="s">
        <v>10412</v>
      </c>
    </row>
    <row r="483" spans="1:7" x14ac:dyDescent="0.15">
      <c r="A483" s="1">
        <v>908</v>
      </c>
      <c r="B483" s="1" t="s">
        <v>16672</v>
      </c>
      <c r="C483" s="1" t="s">
        <v>10414</v>
      </c>
      <c r="F483" s="1" t="s">
        <v>11200</v>
      </c>
      <c r="G483" s="1" t="s">
        <v>10415</v>
      </c>
    </row>
    <row r="484" spans="1:7" x14ac:dyDescent="0.15">
      <c r="A484" s="1">
        <v>909</v>
      </c>
      <c r="B484" s="1" t="s">
        <v>16672</v>
      </c>
      <c r="C484" s="1" t="s">
        <v>16293</v>
      </c>
      <c r="F484" s="1" t="s">
        <v>11200</v>
      </c>
      <c r="G484" s="1" t="s">
        <v>10416</v>
      </c>
    </row>
    <row r="485" spans="1:7" x14ac:dyDescent="0.15">
      <c r="A485" s="1">
        <v>912</v>
      </c>
      <c r="B485" s="1" t="s">
        <v>16672</v>
      </c>
      <c r="C485" s="1" t="s">
        <v>10417</v>
      </c>
      <c r="F485" s="1" t="s">
        <v>10418</v>
      </c>
      <c r="G485" s="1" t="s">
        <v>10419</v>
      </c>
    </row>
    <row r="486" spans="1:7" x14ac:dyDescent="0.15">
      <c r="A486" s="1">
        <v>913</v>
      </c>
      <c r="B486" s="1" t="s">
        <v>16672</v>
      </c>
      <c r="C486" s="1" t="s">
        <v>16300</v>
      </c>
      <c r="F486" s="1" t="s">
        <v>10418</v>
      </c>
      <c r="G486" s="1" t="s">
        <v>10420</v>
      </c>
    </row>
    <row r="487" spans="1:7" x14ac:dyDescent="0.15">
      <c r="A487" s="1">
        <v>914</v>
      </c>
      <c r="B487" s="1" t="s">
        <v>16672</v>
      </c>
      <c r="C487" s="1" t="s">
        <v>10421</v>
      </c>
      <c r="D487" s="1" t="s">
        <v>12593</v>
      </c>
      <c r="F487" s="1" t="s">
        <v>10422</v>
      </c>
      <c r="G487" s="1" t="s">
        <v>12595</v>
      </c>
    </row>
    <row r="488" spans="1:7" x14ac:dyDescent="0.15">
      <c r="A488" s="1">
        <v>915</v>
      </c>
      <c r="B488" s="1" t="s">
        <v>16672</v>
      </c>
      <c r="C488" s="1" t="s">
        <v>16307</v>
      </c>
      <c r="D488" s="1" t="s">
        <v>12593</v>
      </c>
      <c r="F488" s="1" t="s">
        <v>10422</v>
      </c>
      <c r="G488" s="1" t="s">
        <v>10423</v>
      </c>
    </row>
    <row r="489" spans="1:7" x14ac:dyDescent="0.15">
      <c r="A489" s="1">
        <v>916</v>
      </c>
      <c r="B489" s="1" t="s">
        <v>16672</v>
      </c>
      <c r="C489" s="1" t="s">
        <v>10424</v>
      </c>
      <c r="D489" s="1" t="s">
        <v>12593</v>
      </c>
      <c r="F489" s="1" t="s">
        <v>10425</v>
      </c>
      <c r="G489" s="1" t="s">
        <v>12595</v>
      </c>
    </row>
    <row r="490" spans="1:7" x14ac:dyDescent="0.15">
      <c r="A490" s="1">
        <v>917</v>
      </c>
      <c r="B490" s="1" t="s">
        <v>16672</v>
      </c>
      <c r="C490" s="1" t="s">
        <v>16314</v>
      </c>
      <c r="D490" s="1" t="s">
        <v>11582</v>
      </c>
      <c r="F490" s="1" t="s">
        <v>10425</v>
      </c>
      <c r="G490" s="1" t="s">
        <v>10426</v>
      </c>
    </row>
    <row r="491" spans="1:7" x14ac:dyDescent="0.15">
      <c r="A491" s="1">
        <v>918</v>
      </c>
      <c r="B491" s="1" t="s">
        <v>16672</v>
      </c>
      <c r="C491" s="1" t="s">
        <v>10427</v>
      </c>
      <c r="F491" s="1" t="s">
        <v>10379</v>
      </c>
      <c r="G491" s="1" t="s">
        <v>10428</v>
      </c>
    </row>
    <row r="492" spans="1:7" x14ac:dyDescent="0.15">
      <c r="A492" s="1">
        <v>919</v>
      </c>
      <c r="B492" s="1" t="s">
        <v>16672</v>
      </c>
      <c r="C492" s="1" t="s">
        <v>16321</v>
      </c>
      <c r="F492" s="1" t="s">
        <v>10379</v>
      </c>
      <c r="G492" s="1" t="s">
        <v>10429</v>
      </c>
    </row>
    <row r="493" spans="1:7" x14ac:dyDescent="0.15">
      <c r="A493" s="1">
        <v>921</v>
      </c>
      <c r="B493" s="1" t="s">
        <v>16672</v>
      </c>
      <c r="C493" s="1" t="s">
        <v>10430</v>
      </c>
      <c r="F493" s="1" t="s">
        <v>10431</v>
      </c>
      <c r="G493" s="1" t="s">
        <v>10432</v>
      </c>
    </row>
    <row r="494" spans="1:7" x14ac:dyDescent="0.15">
      <c r="A494" s="1">
        <v>922</v>
      </c>
      <c r="B494" s="1" t="s">
        <v>16672</v>
      </c>
      <c r="C494" s="1" t="s">
        <v>16328</v>
      </c>
      <c r="F494" s="1" t="s">
        <v>10431</v>
      </c>
      <c r="G494" s="1" t="s">
        <v>10433</v>
      </c>
    </row>
    <row r="495" spans="1:7" x14ac:dyDescent="0.15">
      <c r="A495" s="1">
        <v>925</v>
      </c>
      <c r="B495" s="1" t="s">
        <v>16672</v>
      </c>
      <c r="C495" s="1" t="s">
        <v>10436</v>
      </c>
      <c r="D495" s="1" t="s">
        <v>12625</v>
      </c>
      <c r="F495" s="1" t="s">
        <v>12662</v>
      </c>
      <c r="G495" s="1" t="s">
        <v>10437</v>
      </c>
    </row>
    <row r="496" spans="1:7" x14ac:dyDescent="0.15">
      <c r="A496" s="1">
        <v>926</v>
      </c>
      <c r="B496" s="1" t="s">
        <v>16672</v>
      </c>
      <c r="C496" s="1" t="s">
        <v>12661</v>
      </c>
      <c r="D496" s="1" t="s">
        <v>12625</v>
      </c>
      <c r="F496" s="1" t="s">
        <v>12662</v>
      </c>
      <c r="G496" s="1" t="s">
        <v>10438</v>
      </c>
    </row>
    <row r="497" spans="1:7" x14ac:dyDescent="0.15">
      <c r="A497" s="1">
        <v>927</v>
      </c>
      <c r="B497" s="1" t="s">
        <v>16672</v>
      </c>
      <c r="C497" s="1" t="s">
        <v>10439</v>
      </c>
      <c r="D497" s="1" t="s">
        <v>12625</v>
      </c>
      <c r="F497" s="1" t="s">
        <v>12631</v>
      </c>
      <c r="G497" s="1" t="s">
        <v>10440</v>
      </c>
    </row>
    <row r="498" spans="1:7" x14ac:dyDescent="0.15">
      <c r="A498" s="1">
        <v>928</v>
      </c>
      <c r="B498" s="1" t="s">
        <v>16672</v>
      </c>
      <c r="C498" s="1" t="s">
        <v>12630</v>
      </c>
      <c r="D498" s="1" t="s">
        <v>12625</v>
      </c>
      <c r="F498" s="1" t="s">
        <v>12631</v>
      </c>
      <c r="G498" s="1" t="s">
        <v>10441</v>
      </c>
    </row>
    <row r="499" spans="1:7" x14ac:dyDescent="0.15">
      <c r="A499" s="1">
        <v>929</v>
      </c>
      <c r="B499" s="1" t="s">
        <v>16672</v>
      </c>
      <c r="C499" s="1" t="s">
        <v>10442</v>
      </c>
      <c r="D499" s="1" t="s">
        <v>12625</v>
      </c>
      <c r="F499" s="1" t="s">
        <v>10443</v>
      </c>
      <c r="G499" s="1" t="s">
        <v>10444</v>
      </c>
    </row>
    <row r="500" spans="1:7" x14ac:dyDescent="0.15">
      <c r="A500" s="1">
        <v>930</v>
      </c>
      <c r="B500" s="1" t="s">
        <v>16672</v>
      </c>
      <c r="C500" s="1" t="s">
        <v>10445</v>
      </c>
      <c r="D500" s="1" t="s">
        <v>12625</v>
      </c>
      <c r="F500" s="1" t="s">
        <v>10443</v>
      </c>
      <c r="G500" s="1" t="s">
        <v>10446</v>
      </c>
    </row>
    <row r="501" spans="1:7" x14ac:dyDescent="0.15">
      <c r="A501" s="1">
        <v>932</v>
      </c>
      <c r="B501" s="1" t="s">
        <v>16672</v>
      </c>
      <c r="C501" s="1" t="s">
        <v>10449</v>
      </c>
      <c r="D501" s="1" t="s">
        <v>12625</v>
      </c>
      <c r="F501" s="1" t="s">
        <v>10450</v>
      </c>
      <c r="G501" s="1" t="s">
        <v>10451</v>
      </c>
    </row>
    <row r="502" spans="1:7" x14ac:dyDescent="0.15">
      <c r="A502" s="1">
        <v>933</v>
      </c>
      <c r="B502" s="1" t="s">
        <v>16672</v>
      </c>
      <c r="C502" s="1" t="s">
        <v>10452</v>
      </c>
      <c r="D502" s="1" t="s">
        <v>12625</v>
      </c>
      <c r="F502" s="1" t="s">
        <v>10450</v>
      </c>
      <c r="G502" s="1" t="s">
        <v>10453</v>
      </c>
    </row>
    <row r="503" spans="1:7" x14ac:dyDescent="0.15">
      <c r="A503" s="1">
        <v>934</v>
      </c>
      <c r="B503" s="1" t="s">
        <v>16672</v>
      </c>
      <c r="C503" s="1" t="s">
        <v>10454</v>
      </c>
      <c r="D503" s="1" t="s">
        <v>12625</v>
      </c>
      <c r="F503" s="1" t="s">
        <v>10455</v>
      </c>
      <c r="G503" s="1" t="s">
        <v>10456</v>
      </c>
    </row>
    <row r="504" spans="1:7" x14ac:dyDescent="0.15">
      <c r="A504" s="1">
        <v>935</v>
      </c>
      <c r="B504" s="1" t="s">
        <v>16672</v>
      </c>
      <c r="C504" s="1" t="s">
        <v>10457</v>
      </c>
      <c r="D504" s="1" t="s">
        <v>11582</v>
      </c>
      <c r="F504" s="1" t="s">
        <v>10455</v>
      </c>
      <c r="G504" s="1" t="s">
        <v>10458</v>
      </c>
    </row>
    <row r="505" spans="1:7" x14ac:dyDescent="0.15">
      <c r="A505" s="1">
        <v>936</v>
      </c>
      <c r="B505" s="1" t="s">
        <v>16672</v>
      </c>
      <c r="C505" s="1" t="s">
        <v>10459</v>
      </c>
      <c r="D505" s="1" t="s">
        <v>12625</v>
      </c>
      <c r="F505" s="1" t="s">
        <v>10460</v>
      </c>
      <c r="G505" s="1" t="s">
        <v>10461</v>
      </c>
    </row>
    <row r="506" spans="1:7" x14ac:dyDescent="0.15">
      <c r="A506" s="1">
        <v>937</v>
      </c>
      <c r="B506" s="1" t="s">
        <v>16672</v>
      </c>
      <c r="C506" s="1" t="s">
        <v>10462</v>
      </c>
      <c r="D506" s="1" t="s">
        <v>12625</v>
      </c>
      <c r="F506" s="1" t="s">
        <v>10460</v>
      </c>
      <c r="G506" s="1" t="s">
        <v>10463</v>
      </c>
    </row>
    <row r="507" spans="1:7" x14ac:dyDescent="0.15">
      <c r="A507" s="1">
        <v>938</v>
      </c>
      <c r="B507" s="1" t="s">
        <v>16672</v>
      </c>
      <c r="C507" s="1" t="s">
        <v>10550</v>
      </c>
      <c r="D507" s="1" t="s">
        <v>12625</v>
      </c>
      <c r="F507" s="1" t="s">
        <v>10551</v>
      </c>
      <c r="G507" s="1" t="s">
        <v>10552</v>
      </c>
    </row>
    <row r="508" spans="1:7" x14ac:dyDescent="0.15">
      <c r="A508" s="1">
        <v>940</v>
      </c>
      <c r="B508" s="1" t="s">
        <v>16672</v>
      </c>
      <c r="C508" s="1" t="s">
        <v>10553</v>
      </c>
      <c r="D508" s="1" t="s">
        <v>12625</v>
      </c>
      <c r="F508" s="1" t="s">
        <v>10551</v>
      </c>
      <c r="G508" s="1" t="s">
        <v>10554</v>
      </c>
    </row>
    <row r="509" spans="1:7" x14ac:dyDescent="0.15">
      <c r="A509" s="1">
        <v>943</v>
      </c>
      <c r="B509" s="1" t="s">
        <v>16672</v>
      </c>
      <c r="C509" s="1" t="s">
        <v>10556</v>
      </c>
      <c r="F509" s="1" t="s">
        <v>10557</v>
      </c>
      <c r="G509" s="1" t="s">
        <v>10558</v>
      </c>
    </row>
    <row r="510" spans="1:7" x14ac:dyDescent="0.15">
      <c r="A510" s="1">
        <v>944</v>
      </c>
      <c r="B510" s="1" t="s">
        <v>16672</v>
      </c>
      <c r="C510" s="1" t="s">
        <v>16335</v>
      </c>
      <c r="F510" s="1" t="s">
        <v>10557</v>
      </c>
      <c r="G510" s="1" t="s">
        <v>10559</v>
      </c>
    </row>
    <row r="511" spans="1:7" x14ac:dyDescent="0.15">
      <c r="A511" s="1">
        <v>945</v>
      </c>
      <c r="B511" s="1" t="s">
        <v>16338</v>
      </c>
      <c r="C511" s="1" t="s">
        <v>11515</v>
      </c>
      <c r="F511" s="1" t="s">
        <v>11516</v>
      </c>
      <c r="G511" s="1" t="s">
        <v>10560</v>
      </c>
    </row>
    <row r="512" spans="1:7" x14ac:dyDescent="0.15">
      <c r="A512" s="1">
        <v>947</v>
      </c>
      <c r="B512" s="1" t="s">
        <v>16338</v>
      </c>
      <c r="C512" s="1" t="s">
        <v>10561</v>
      </c>
      <c r="D512" s="1" t="s">
        <v>12625</v>
      </c>
      <c r="F512" s="1" t="s">
        <v>10562</v>
      </c>
      <c r="G512" s="1" t="s">
        <v>10563</v>
      </c>
    </row>
    <row r="513" spans="1:7" x14ac:dyDescent="0.15">
      <c r="A513" s="1">
        <v>948</v>
      </c>
      <c r="B513" s="1" t="s">
        <v>16338</v>
      </c>
      <c r="C513" s="1" t="s">
        <v>16339</v>
      </c>
      <c r="D513" s="1" t="s">
        <v>11582</v>
      </c>
      <c r="F513" s="1" t="s">
        <v>10562</v>
      </c>
      <c r="G513" s="1" t="s">
        <v>10564</v>
      </c>
    </row>
    <row r="514" spans="1:7" x14ac:dyDescent="0.15">
      <c r="A514" s="1">
        <v>949</v>
      </c>
      <c r="B514" s="1" t="s">
        <v>16338</v>
      </c>
      <c r="C514" s="1" t="s">
        <v>10565</v>
      </c>
      <c r="F514" s="1" t="s">
        <v>10566</v>
      </c>
      <c r="G514" s="1" t="s">
        <v>10567</v>
      </c>
    </row>
    <row r="515" spans="1:7" x14ac:dyDescent="0.15">
      <c r="A515" s="1">
        <v>950</v>
      </c>
      <c r="B515" s="1" t="s">
        <v>16338</v>
      </c>
      <c r="C515" s="1" t="s">
        <v>16347</v>
      </c>
      <c r="F515" s="1" t="s">
        <v>12663</v>
      </c>
      <c r="G515" s="1" t="s">
        <v>10568</v>
      </c>
    </row>
    <row r="516" spans="1:7" x14ac:dyDescent="0.15">
      <c r="A516" s="1">
        <v>952</v>
      </c>
      <c r="B516" s="1" t="s">
        <v>16338</v>
      </c>
      <c r="C516" s="1" t="s">
        <v>10569</v>
      </c>
      <c r="F516" s="1" t="s">
        <v>10570</v>
      </c>
      <c r="G516" s="1" t="s">
        <v>10571</v>
      </c>
    </row>
    <row r="517" spans="1:7" x14ac:dyDescent="0.15">
      <c r="A517" s="1">
        <v>953</v>
      </c>
      <c r="B517" s="1" t="s">
        <v>16338</v>
      </c>
      <c r="C517" s="1" t="s">
        <v>16355</v>
      </c>
      <c r="F517" s="1" t="s">
        <v>10572</v>
      </c>
      <c r="G517" s="1" t="s">
        <v>10573</v>
      </c>
    </row>
    <row r="518" spans="1:7" x14ac:dyDescent="0.15">
      <c r="A518" s="1">
        <v>955</v>
      </c>
      <c r="B518" s="1" t="s">
        <v>16338</v>
      </c>
      <c r="C518" s="1" t="s">
        <v>10576</v>
      </c>
      <c r="F518" s="1" t="s">
        <v>10577</v>
      </c>
      <c r="G518" s="1" t="s">
        <v>10578</v>
      </c>
    </row>
    <row r="519" spans="1:7" x14ac:dyDescent="0.15">
      <c r="A519" s="1">
        <v>956</v>
      </c>
      <c r="B519" s="1" t="s">
        <v>16338</v>
      </c>
      <c r="C519" s="1" t="s">
        <v>16363</v>
      </c>
      <c r="D519" s="1" t="s">
        <v>11582</v>
      </c>
      <c r="F519" s="1" t="s">
        <v>11223</v>
      </c>
      <c r="G519" s="1" t="s">
        <v>10579</v>
      </c>
    </row>
    <row r="520" spans="1:7" x14ac:dyDescent="0.15">
      <c r="A520" s="1">
        <v>957</v>
      </c>
      <c r="B520" s="1" t="s">
        <v>16338</v>
      </c>
      <c r="C520" s="1" t="s">
        <v>16367</v>
      </c>
      <c r="F520" s="1" t="s">
        <v>10580</v>
      </c>
      <c r="G520" s="1" t="s">
        <v>10581</v>
      </c>
    </row>
    <row r="521" spans="1:7" x14ac:dyDescent="0.15">
      <c r="A521" s="1">
        <v>959</v>
      </c>
      <c r="B521" s="1" t="s">
        <v>16338</v>
      </c>
      <c r="C521" s="1" t="s">
        <v>16371</v>
      </c>
      <c r="F521" s="1" t="s">
        <v>10583</v>
      </c>
      <c r="G521" s="1" t="s">
        <v>10584</v>
      </c>
    </row>
    <row r="522" spans="1:7" x14ac:dyDescent="0.15">
      <c r="A522" s="1">
        <v>960</v>
      </c>
      <c r="B522" s="1" t="s">
        <v>16338</v>
      </c>
      <c r="C522" s="1" t="s">
        <v>10982</v>
      </c>
      <c r="D522" s="1" t="s">
        <v>12625</v>
      </c>
      <c r="F522" s="1" t="s">
        <v>10983</v>
      </c>
      <c r="G522" s="1" t="s">
        <v>10585</v>
      </c>
    </row>
    <row r="523" spans="1:7" x14ac:dyDescent="0.15">
      <c r="A523" s="1">
        <v>961</v>
      </c>
      <c r="B523" s="1" t="s">
        <v>16338</v>
      </c>
      <c r="C523" s="1" t="s">
        <v>16375</v>
      </c>
      <c r="F523" s="1" t="s">
        <v>10464</v>
      </c>
      <c r="G523" s="1" t="s">
        <v>10465</v>
      </c>
    </row>
    <row r="524" spans="1:7" x14ac:dyDescent="0.15">
      <c r="A524" s="1">
        <v>962</v>
      </c>
      <c r="B524" s="1" t="s">
        <v>16338</v>
      </c>
      <c r="C524" s="1" t="s">
        <v>10466</v>
      </c>
      <c r="F524" s="1" t="s">
        <v>10467</v>
      </c>
      <c r="G524" s="1" t="s">
        <v>10468</v>
      </c>
    </row>
    <row r="525" spans="1:7" x14ac:dyDescent="0.15">
      <c r="A525" s="1">
        <v>963</v>
      </c>
      <c r="B525" s="1" t="s">
        <v>16338</v>
      </c>
      <c r="C525" s="1" t="s">
        <v>16383</v>
      </c>
      <c r="F525" s="1" t="s">
        <v>10304</v>
      </c>
      <c r="G525" s="1" t="s">
        <v>10469</v>
      </c>
    </row>
    <row r="526" spans="1:7" x14ac:dyDescent="0.15">
      <c r="A526" s="1">
        <v>964</v>
      </c>
      <c r="B526" s="1" t="s">
        <v>16338</v>
      </c>
      <c r="C526" s="1" t="s">
        <v>16387</v>
      </c>
      <c r="D526" s="1" t="s">
        <v>12593</v>
      </c>
      <c r="F526" s="1" t="s">
        <v>10470</v>
      </c>
      <c r="G526" s="1" t="s">
        <v>10471</v>
      </c>
    </row>
    <row r="527" spans="1:7" x14ac:dyDescent="0.15">
      <c r="A527" s="1">
        <v>965</v>
      </c>
      <c r="B527" s="1" t="s">
        <v>16338</v>
      </c>
      <c r="C527" s="1" t="s">
        <v>16391</v>
      </c>
      <c r="F527" s="1" t="s">
        <v>10472</v>
      </c>
      <c r="G527" s="1" t="s">
        <v>10473</v>
      </c>
    </row>
    <row r="528" spans="1:7" x14ac:dyDescent="0.15">
      <c r="A528" s="1">
        <v>966</v>
      </c>
      <c r="B528" s="1" t="s">
        <v>16338</v>
      </c>
      <c r="C528" s="1" t="s">
        <v>16395</v>
      </c>
      <c r="D528" s="1" t="s">
        <v>11582</v>
      </c>
      <c r="F528" s="1" t="s">
        <v>10474</v>
      </c>
      <c r="G528" s="1" t="s">
        <v>10475</v>
      </c>
    </row>
    <row r="529" spans="1:7" x14ac:dyDescent="0.15">
      <c r="A529" s="1">
        <v>967</v>
      </c>
      <c r="B529" s="1" t="s">
        <v>16338</v>
      </c>
      <c r="C529" s="1" t="s">
        <v>16399</v>
      </c>
      <c r="F529" s="1" t="s">
        <v>11152</v>
      </c>
      <c r="G529" s="1" t="s">
        <v>10476</v>
      </c>
    </row>
    <row r="530" spans="1:7" x14ac:dyDescent="0.15">
      <c r="A530" s="1">
        <v>968</v>
      </c>
      <c r="B530" s="1" t="s">
        <v>16338</v>
      </c>
      <c r="C530" s="1" t="s">
        <v>16403</v>
      </c>
      <c r="F530" s="1" t="s">
        <v>10477</v>
      </c>
      <c r="G530" s="1" t="s">
        <v>10478</v>
      </c>
    </row>
    <row r="531" spans="1:7" x14ac:dyDescent="0.15">
      <c r="A531" s="1">
        <v>969</v>
      </c>
      <c r="B531" s="1" t="s">
        <v>16338</v>
      </c>
      <c r="C531" s="1" t="s">
        <v>10305</v>
      </c>
      <c r="F531" s="1" t="s">
        <v>10306</v>
      </c>
      <c r="G531" s="1" t="s">
        <v>10479</v>
      </c>
    </row>
    <row r="532" spans="1:7" x14ac:dyDescent="0.15">
      <c r="A532" s="1">
        <v>970</v>
      </c>
      <c r="B532" s="1" t="s">
        <v>16338</v>
      </c>
      <c r="C532" s="1" t="s">
        <v>16411</v>
      </c>
      <c r="F532" s="1" t="s">
        <v>10480</v>
      </c>
      <c r="G532" s="1" t="s">
        <v>10481</v>
      </c>
    </row>
    <row r="533" spans="1:7" x14ac:dyDescent="0.15">
      <c r="A533" s="1">
        <v>972</v>
      </c>
      <c r="B533" s="1" t="s">
        <v>16338</v>
      </c>
      <c r="C533" s="1" t="s">
        <v>16415</v>
      </c>
      <c r="F533" s="1" t="s">
        <v>10482</v>
      </c>
      <c r="G533" s="1" t="s">
        <v>10483</v>
      </c>
    </row>
    <row r="534" spans="1:7" x14ac:dyDescent="0.15">
      <c r="A534" s="1">
        <v>973</v>
      </c>
      <c r="B534" s="1" t="s">
        <v>16338</v>
      </c>
      <c r="C534" s="1" t="s">
        <v>16419</v>
      </c>
      <c r="F534" s="1" t="s">
        <v>10484</v>
      </c>
      <c r="G534" s="1" t="s">
        <v>10485</v>
      </c>
    </row>
    <row r="535" spans="1:7" x14ac:dyDescent="0.15">
      <c r="A535" s="1">
        <v>974</v>
      </c>
      <c r="B535" s="1" t="s">
        <v>16338</v>
      </c>
      <c r="C535" s="1" t="s">
        <v>16423</v>
      </c>
      <c r="F535" s="1" t="s">
        <v>10486</v>
      </c>
      <c r="G535" s="1" t="s">
        <v>10487</v>
      </c>
    </row>
    <row r="536" spans="1:7" x14ac:dyDescent="0.15">
      <c r="A536" s="1">
        <v>975</v>
      </c>
      <c r="B536" s="1" t="s">
        <v>16338</v>
      </c>
      <c r="C536" s="1" t="s">
        <v>16427</v>
      </c>
      <c r="F536" s="1" t="s">
        <v>10488</v>
      </c>
      <c r="G536" s="1" t="s">
        <v>10489</v>
      </c>
    </row>
    <row r="537" spans="1:7" x14ac:dyDescent="0.15">
      <c r="A537" s="1">
        <v>976</v>
      </c>
      <c r="B537" s="1" t="s">
        <v>16338</v>
      </c>
      <c r="C537" s="1" t="s">
        <v>10490</v>
      </c>
      <c r="D537" s="1" t="s">
        <v>12625</v>
      </c>
      <c r="F537" s="1" t="s">
        <v>10491</v>
      </c>
      <c r="G537" s="1" t="s">
        <v>10492</v>
      </c>
    </row>
    <row r="538" spans="1:7" x14ac:dyDescent="0.15">
      <c r="A538" s="1">
        <v>977</v>
      </c>
      <c r="B538" s="1" t="s">
        <v>16338</v>
      </c>
      <c r="C538" s="1" t="s">
        <v>16431</v>
      </c>
      <c r="F538" s="1" t="s">
        <v>10493</v>
      </c>
      <c r="G538" s="1" t="s">
        <v>10494</v>
      </c>
    </row>
    <row r="539" spans="1:7" x14ac:dyDescent="0.15">
      <c r="A539" s="1">
        <v>978</v>
      </c>
      <c r="B539" s="1" t="s">
        <v>16338</v>
      </c>
      <c r="C539" s="1" t="s">
        <v>10495</v>
      </c>
      <c r="F539" s="1" t="s">
        <v>10496</v>
      </c>
      <c r="G539" s="1" t="s">
        <v>10497</v>
      </c>
    </row>
    <row r="540" spans="1:7" x14ac:dyDescent="0.15">
      <c r="A540" s="1">
        <v>979</v>
      </c>
      <c r="B540" s="1" t="s">
        <v>16338</v>
      </c>
      <c r="C540" s="1" t="s">
        <v>16439</v>
      </c>
      <c r="D540" s="1" t="s">
        <v>12593</v>
      </c>
      <c r="F540" s="1" t="s">
        <v>10498</v>
      </c>
      <c r="G540" s="1" t="s">
        <v>10499</v>
      </c>
    </row>
    <row r="541" spans="1:7" x14ac:dyDescent="0.15">
      <c r="A541" s="1">
        <v>980</v>
      </c>
      <c r="B541" s="1" t="s">
        <v>16338</v>
      </c>
      <c r="C541" s="1" t="s">
        <v>16443</v>
      </c>
      <c r="F541" s="1" t="s">
        <v>10434</v>
      </c>
      <c r="G541" s="1" t="s">
        <v>10500</v>
      </c>
    </row>
    <row r="542" spans="1:7" x14ac:dyDescent="0.15">
      <c r="A542" s="1">
        <v>981</v>
      </c>
      <c r="B542" s="1" t="s">
        <v>16338</v>
      </c>
      <c r="C542" s="1" t="s">
        <v>16447</v>
      </c>
      <c r="F542" s="1" t="s">
        <v>10388</v>
      </c>
      <c r="G542" s="1" t="s">
        <v>10501</v>
      </c>
    </row>
    <row r="543" spans="1:7" x14ac:dyDescent="0.15">
      <c r="A543" s="1">
        <v>982</v>
      </c>
      <c r="B543" s="1" t="s">
        <v>16338</v>
      </c>
      <c r="C543" s="1" t="s">
        <v>10447</v>
      </c>
      <c r="D543" s="1" t="s">
        <v>12625</v>
      </c>
      <c r="F543" s="1" t="s">
        <v>10448</v>
      </c>
      <c r="G543" s="1" t="s">
        <v>10502</v>
      </c>
    </row>
    <row r="544" spans="1:7" x14ac:dyDescent="0.15">
      <c r="A544" s="1">
        <v>983</v>
      </c>
      <c r="B544" s="1" t="s">
        <v>16338</v>
      </c>
      <c r="C544" s="1" t="s">
        <v>10503</v>
      </c>
      <c r="D544" s="1" t="s">
        <v>12625</v>
      </c>
      <c r="F544" s="1" t="s">
        <v>10504</v>
      </c>
      <c r="G544" s="1" t="s">
        <v>10505</v>
      </c>
    </row>
    <row r="545" spans="1:7" x14ac:dyDescent="0.15">
      <c r="A545" s="1">
        <v>984</v>
      </c>
      <c r="B545" s="1" t="s">
        <v>16338</v>
      </c>
      <c r="C545" s="1" t="s">
        <v>16451</v>
      </c>
      <c r="F545" s="1" t="s">
        <v>10506</v>
      </c>
      <c r="G545" s="1" t="s">
        <v>10507</v>
      </c>
    </row>
    <row r="546" spans="1:7" x14ac:dyDescent="0.15">
      <c r="A546" s="1">
        <v>985</v>
      </c>
      <c r="B546" s="1" t="s">
        <v>16338</v>
      </c>
      <c r="C546" s="1" t="s">
        <v>10364</v>
      </c>
      <c r="F546" s="1" t="s">
        <v>10088</v>
      </c>
      <c r="G546" s="1" t="s">
        <v>10089</v>
      </c>
    </row>
    <row r="547" spans="1:7" x14ac:dyDescent="0.15">
      <c r="A547" s="1">
        <v>986</v>
      </c>
      <c r="B547" s="1" t="s">
        <v>16338</v>
      </c>
      <c r="C547" s="1" t="s">
        <v>16459</v>
      </c>
      <c r="F547" s="1" t="s">
        <v>10307</v>
      </c>
      <c r="G547" s="1" t="s">
        <v>10090</v>
      </c>
    </row>
    <row r="548" spans="1:7" x14ac:dyDescent="0.15">
      <c r="A548" s="1">
        <v>987</v>
      </c>
      <c r="B548" s="1" t="s">
        <v>16338</v>
      </c>
      <c r="C548" s="1" t="s">
        <v>16463</v>
      </c>
      <c r="F548" s="1" t="s">
        <v>10091</v>
      </c>
      <c r="G548" s="1" t="s">
        <v>10092</v>
      </c>
    </row>
    <row r="549" spans="1:7" x14ac:dyDescent="0.15">
      <c r="A549" s="1">
        <v>988</v>
      </c>
      <c r="B549" s="1" t="s">
        <v>16338</v>
      </c>
      <c r="C549" s="1" t="s">
        <v>10093</v>
      </c>
      <c r="D549" s="1" t="s">
        <v>12625</v>
      </c>
      <c r="F549" s="1" t="s">
        <v>10094</v>
      </c>
      <c r="G549" s="1" t="s">
        <v>10095</v>
      </c>
    </row>
    <row r="550" spans="1:7" x14ac:dyDescent="0.15">
      <c r="A550" s="1">
        <v>989</v>
      </c>
      <c r="B550" s="1" t="s">
        <v>16338</v>
      </c>
      <c r="C550" s="1" t="s">
        <v>10096</v>
      </c>
      <c r="D550" s="1" t="s">
        <v>12625</v>
      </c>
      <c r="F550" s="1" t="s">
        <v>10097</v>
      </c>
      <c r="G550" s="1" t="s">
        <v>10098</v>
      </c>
    </row>
    <row r="551" spans="1:7" x14ac:dyDescent="0.15">
      <c r="A551" s="1">
        <v>990</v>
      </c>
      <c r="B551" s="1" t="s">
        <v>16338</v>
      </c>
      <c r="C551" s="1" t="s">
        <v>16467</v>
      </c>
      <c r="F551" s="1" t="s">
        <v>10099</v>
      </c>
      <c r="G551" s="1" t="s">
        <v>10100</v>
      </c>
    </row>
    <row r="552" spans="1:7" x14ac:dyDescent="0.15">
      <c r="A552" s="1">
        <v>991</v>
      </c>
      <c r="B552" s="1" t="s">
        <v>16338</v>
      </c>
      <c r="C552" s="1" t="s">
        <v>10101</v>
      </c>
      <c r="F552" s="1" t="s">
        <v>10102</v>
      </c>
      <c r="G552" s="1" t="s">
        <v>10103</v>
      </c>
    </row>
    <row r="553" spans="1:7" x14ac:dyDescent="0.15">
      <c r="A553" s="1">
        <v>992</v>
      </c>
      <c r="B553" s="1" t="s">
        <v>16338</v>
      </c>
      <c r="C553" s="1" t="s">
        <v>16475</v>
      </c>
      <c r="F553" s="1" t="s">
        <v>10292</v>
      </c>
      <c r="G553" s="1" t="s">
        <v>10104</v>
      </c>
    </row>
    <row r="554" spans="1:7" x14ac:dyDescent="0.15">
      <c r="A554" s="1">
        <v>994</v>
      </c>
      <c r="B554" s="1" t="s">
        <v>16338</v>
      </c>
      <c r="C554" s="1" t="s">
        <v>16479</v>
      </c>
      <c r="F554" s="1" t="s">
        <v>10106</v>
      </c>
      <c r="G554" s="1" t="s">
        <v>10107</v>
      </c>
    </row>
    <row r="555" spans="1:7" x14ac:dyDescent="0.15">
      <c r="A555" s="1">
        <v>996</v>
      </c>
      <c r="B555" s="1" t="s">
        <v>16338</v>
      </c>
      <c r="C555" s="1" t="s">
        <v>16483</v>
      </c>
      <c r="F555" s="1" t="s">
        <v>10109</v>
      </c>
      <c r="G555" s="1" t="s">
        <v>10110</v>
      </c>
    </row>
    <row r="556" spans="1:7" x14ac:dyDescent="0.15">
      <c r="A556" s="1">
        <v>997</v>
      </c>
      <c r="B556" s="1" t="s">
        <v>16338</v>
      </c>
      <c r="C556" s="1" t="s">
        <v>16487</v>
      </c>
      <c r="F556" s="1" t="s">
        <v>10111</v>
      </c>
      <c r="G556" s="1" t="s">
        <v>10112</v>
      </c>
    </row>
    <row r="557" spans="1:7" x14ac:dyDescent="0.15">
      <c r="A557" s="1">
        <v>998</v>
      </c>
      <c r="B557" s="1" t="s">
        <v>16338</v>
      </c>
      <c r="C557" s="1" t="s">
        <v>10113</v>
      </c>
      <c r="F557" s="1" t="s">
        <v>10114</v>
      </c>
      <c r="G557" s="1" t="s">
        <v>10115</v>
      </c>
    </row>
    <row r="558" spans="1:7" x14ac:dyDescent="0.15">
      <c r="A558" s="1">
        <v>999</v>
      </c>
      <c r="B558" s="1" t="s">
        <v>16338</v>
      </c>
      <c r="C558" s="1" t="s">
        <v>15918</v>
      </c>
      <c r="F558" s="1" t="s">
        <v>10393</v>
      </c>
      <c r="G558" s="1" t="s">
        <v>10116</v>
      </c>
    </row>
    <row r="559" spans="1:7" x14ac:dyDescent="0.15">
      <c r="A559" s="1">
        <v>1000</v>
      </c>
      <c r="B559" s="1" t="s">
        <v>16338</v>
      </c>
      <c r="C559" s="1" t="s">
        <v>15922</v>
      </c>
      <c r="F559" s="1" t="s">
        <v>10413</v>
      </c>
      <c r="G559" s="1" t="s">
        <v>10117</v>
      </c>
    </row>
    <row r="560" spans="1:7" x14ac:dyDescent="0.15">
      <c r="A560" s="1">
        <v>1001</v>
      </c>
      <c r="B560" s="1" t="s">
        <v>16338</v>
      </c>
      <c r="C560" s="1" t="s">
        <v>15926</v>
      </c>
      <c r="F560" s="1" t="s">
        <v>10118</v>
      </c>
      <c r="G560" s="1" t="s">
        <v>10119</v>
      </c>
    </row>
    <row r="561" spans="1:7" x14ac:dyDescent="0.15">
      <c r="A561" s="1">
        <v>1002</v>
      </c>
      <c r="B561" s="1" t="s">
        <v>16338</v>
      </c>
      <c r="C561" s="1" t="s">
        <v>10120</v>
      </c>
      <c r="F561" s="1" t="s">
        <v>10121</v>
      </c>
      <c r="G561" s="1" t="s">
        <v>10122</v>
      </c>
    </row>
    <row r="562" spans="1:7" x14ac:dyDescent="0.15">
      <c r="A562" s="1">
        <v>1003</v>
      </c>
      <c r="B562" s="1" t="s">
        <v>16338</v>
      </c>
      <c r="C562" s="1" t="s">
        <v>15934</v>
      </c>
      <c r="F562" s="1" t="s">
        <v>10328</v>
      </c>
      <c r="G562" s="1" t="s">
        <v>10123</v>
      </c>
    </row>
    <row r="563" spans="1:7" x14ac:dyDescent="0.15">
      <c r="A563" s="1">
        <v>1006</v>
      </c>
      <c r="B563" s="1" t="s">
        <v>16338</v>
      </c>
      <c r="C563" s="1" t="s">
        <v>10124</v>
      </c>
      <c r="F563" s="1" t="s">
        <v>10125</v>
      </c>
      <c r="G563" s="1" t="s">
        <v>10126</v>
      </c>
    </row>
    <row r="564" spans="1:7" x14ac:dyDescent="0.15">
      <c r="A564" s="1">
        <v>1007</v>
      </c>
      <c r="B564" s="1" t="s">
        <v>16338</v>
      </c>
      <c r="C564" s="1" t="s">
        <v>15942</v>
      </c>
      <c r="D564" s="1" t="s">
        <v>11582</v>
      </c>
      <c r="F564" s="1" t="s">
        <v>10127</v>
      </c>
      <c r="G564" s="1" t="s">
        <v>10128</v>
      </c>
    </row>
    <row r="565" spans="1:7" x14ac:dyDescent="0.15">
      <c r="A565" s="1">
        <v>1008</v>
      </c>
      <c r="B565" s="1" t="s">
        <v>16338</v>
      </c>
      <c r="C565" s="1" t="s">
        <v>15946</v>
      </c>
      <c r="F565" s="1" t="s">
        <v>10129</v>
      </c>
      <c r="G565" s="1" t="s">
        <v>10130</v>
      </c>
    </row>
    <row r="566" spans="1:7" x14ac:dyDescent="0.15">
      <c r="A566" s="1">
        <v>1009</v>
      </c>
      <c r="B566" s="1" t="s">
        <v>16338</v>
      </c>
      <c r="C566" s="1" t="s">
        <v>15950</v>
      </c>
      <c r="F566" s="1" t="s">
        <v>10131</v>
      </c>
      <c r="G566" s="1" t="s">
        <v>10132</v>
      </c>
    </row>
    <row r="567" spans="1:7" x14ac:dyDescent="0.15">
      <c r="A567" s="1">
        <v>1010</v>
      </c>
      <c r="B567" s="1" t="s">
        <v>16338</v>
      </c>
      <c r="C567" s="1" t="s">
        <v>10133</v>
      </c>
      <c r="D567" s="1" t="s">
        <v>12625</v>
      </c>
      <c r="F567" s="1" t="s">
        <v>10134</v>
      </c>
      <c r="G567" s="1" t="s">
        <v>10135</v>
      </c>
    </row>
    <row r="568" spans="1:7" x14ac:dyDescent="0.15">
      <c r="A568" s="1">
        <v>1011</v>
      </c>
      <c r="B568" s="1" t="s">
        <v>16338</v>
      </c>
      <c r="C568" s="1" t="s">
        <v>10136</v>
      </c>
      <c r="D568" s="1" t="s">
        <v>12625</v>
      </c>
      <c r="F568" s="1" t="s">
        <v>10137</v>
      </c>
      <c r="G568" s="1" t="s">
        <v>10138</v>
      </c>
    </row>
    <row r="569" spans="1:7" x14ac:dyDescent="0.15">
      <c r="A569" s="1">
        <v>1012</v>
      </c>
      <c r="B569" s="1" t="s">
        <v>16338</v>
      </c>
      <c r="C569" s="1" t="s">
        <v>11222</v>
      </c>
      <c r="D569" s="1" t="s">
        <v>11582</v>
      </c>
      <c r="F569" s="1" t="s">
        <v>11223</v>
      </c>
      <c r="G569" s="1" t="s">
        <v>10139</v>
      </c>
    </row>
    <row r="570" spans="1:7" x14ac:dyDescent="0.15">
      <c r="A570" s="1">
        <v>1013</v>
      </c>
      <c r="B570" s="1" t="s">
        <v>16338</v>
      </c>
      <c r="C570" s="1" t="s">
        <v>10338</v>
      </c>
      <c r="D570" s="1" t="s">
        <v>12625</v>
      </c>
      <c r="F570" s="1" t="s">
        <v>10339</v>
      </c>
      <c r="G570" s="1" t="s">
        <v>10140</v>
      </c>
    </row>
    <row r="571" spans="1:7" x14ac:dyDescent="0.15">
      <c r="A571" s="1">
        <v>1015</v>
      </c>
      <c r="B571" s="1" t="s">
        <v>16338</v>
      </c>
      <c r="C571" s="1" t="s">
        <v>11155</v>
      </c>
      <c r="D571" s="1" t="s">
        <v>12625</v>
      </c>
      <c r="F571" s="1" t="s">
        <v>11156</v>
      </c>
      <c r="G571" s="1" t="s">
        <v>10142</v>
      </c>
    </row>
    <row r="572" spans="1:7" x14ac:dyDescent="0.15">
      <c r="A572" s="1">
        <v>1016</v>
      </c>
      <c r="B572" s="1" t="s">
        <v>16338</v>
      </c>
      <c r="C572" s="1" t="s">
        <v>10788</v>
      </c>
      <c r="D572" s="1" t="s">
        <v>12625</v>
      </c>
      <c r="F572" s="1" t="s">
        <v>10789</v>
      </c>
      <c r="G572" s="1" t="s">
        <v>10143</v>
      </c>
    </row>
    <row r="573" spans="1:7" x14ac:dyDescent="0.15">
      <c r="A573" s="1">
        <v>1017</v>
      </c>
      <c r="B573" s="1" t="s">
        <v>16338</v>
      </c>
      <c r="C573" s="1" t="s">
        <v>10144</v>
      </c>
      <c r="D573" s="1" t="s">
        <v>12625</v>
      </c>
      <c r="F573" s="1" t="s">
        <v>10145</v>
      </c>
      <c r="G573" s="1" t="s">
        <v>10146</v>
      </c>
    </row>
    <row r="574" spans="1:7" x14ac:dyDescent="0.15">
      <c r="A574" s="1">
        <v>1018</v>
      </c>
      <c r="B574" s="1" t="s">
        <v>16338</v>
      </c>
      <c r="C574" s="1" t="s">
        <v>10147</v>
      </c>
      <c r="D574" s="1" t="s">
        <v>12625</v>
      </c>
      <c r="F574" s="1" t="s">
        <v>10148</v>
      </c>
      <c r="G574" s="1" t="s">
        <v>10149</v>
      </c>
    </row>
    <row r="575" spans="1:7" x14ac:dyDescent="0.15">
      <c r="A575" s="1">
        <v>1019</v>
      </c>
      <c r="B575" s="1" t="s">
        <v>16338</v>
      </c>
      <c r="C575" s="1" t="s">
        <v>10150</v>
      </c>
      <c r="D575" s="1" t="s">
        <v>11582</v>
      </c>
      <c r="F575" s="1" t="s">
        <v>10151</v>
      </c>
      <c r="G575" s="1" t="s">
        <v>10152</v>
      </c>
    </row>
    <row r="576" spans="1:7" x14ac:dyDescent="0.15">
      <c r="A576" s="1">
        <v>1020</v>
      </c>
      <c r="B576" s="1" t="s">
        <v>16338</v>
      </c>
      <c r="C576" s="1" t="s">
        <v>10153</v>
      </c>
      <c r="D576" s="1" t="s">
        <v>12625</v>
      </c>
      <c r="F576" s="1" t="s">
        <v>10154</v>
      </c>
      <c r="G576" s="1" t="s">
        <v>10155</v>
      </c>
    </row>
    <row r="577" spans="1:7" x14ac:dyDescent="0.15">
      <c r="A577" s="1">
        <v>1021</v>
      </c>
      <c r="B577" s="1" t="s">
        <v>16338</v>
      </c>
      <c r="C577" s="1" t="s">
        <v>12664</v>
      </c>
      <c r="D577" s="1" t="s">
        <v>11582</v>
      </c>
      <c r="F577" s="1" t="s">
        <v>10156</v>
      </c>
      <c r="G577" s="1" t="s">
        <v>10157</v>
      </c>
    </row>
    <row r="578" spans="1:7" x14ac:dyDescent="0.15">
      <c r="A578" s="1">
        <v>1022</v>
      </c>
      <c r="B578" s="1" t="s">
        <v>16338</v>
      </c>
      <c r="C578" s="1" t="s">
        <v>10158</v>
      </c>
      <c r="D578" s="1" t="s">
        <v>11582</v>
      </c>
      <c r="F578" s="1" t="s">
        <v>10159</v>
      </c>
      <c r="G578" s="1" t="s">
        <v>10160</v>
      </c>
    </row>
    <row r="579" spans="1:7" x14ac:dyDescent="0.15">
      <c r="A579" s="1">
        <v>1023</v>
      </c>
      <c r="B579" s="1" t="s">
        <v>16338</v>
      </c>
      <c r="C579" s="1" t="s">
        <v>10161</v>
      </c>
      <c r="D579" s="1" t="s">
        <v>11582</v>
      </c>
      <c r="F579" s="1" t="s">
        <v>10162</v>
      </c>
      <c r="G579" s="1" t="s">
        <v>10163</v>
      </c>
    </row>
    <row r="580" spans="1:7" x14ac:dyDescent="0.15">
      <c r="A580" s="1">
        <v>1024</v>
      </c>
      <c r="B580" s="1" t="s">
        <v>16338</v>
      </c>
      <c r="C580" s="1" t="s">
        <v>10164</v>
      </c>
      <c r="D580" s="1" t="s">
        <v>11582</v>
      </c>
      <c r="F580" s="1" t="s">
        <v>10165</v>
      </c>
      <c r="G580" s="1" t="s">
        <v>10166</v>
      </c>
    </row>
    <row r="581" spans="1:7" x14ac:dyDescent="0.15">
      <c r="A581" s="1">
        <v>1025</v>
      </c>
      <c r="B581" s="1" t="s">
        <v>16338</v>
      </c>
      <c r="C581" s="1" t="s">
        <v>10167</v>
      </c>
      <c r="D581" s="1" t="s">
        <v>12625</v>
      </c>
      <c r="F581" s="1" t="s">
        <v>10168</v>
      </c>
      <c r="G581" s="1" t="s">
        <v>10169</v>
      </c>
    </row>
    <row r="582" spans="1:7" x14ac:dyDescent="0.15">
      <c r="A582" s="1">
        <v>1026</v>
      </c>
      <c r="B582" s="1" t="s">
        <v>16338</v>
      </c>
      <c r="C582" s="1" t="s">
        <v>10170</v>
      </c>
      <c r="D582" s="1" t="s">
        <v>12625</v>
      </c>
      <c r="F582" s="1" t="s">
        <v>10171</v>
      </c>
      <c r="G582" s="1" t="s">
        <v>10172</v>
      </c>
    </row>
    <row r="583" spans="1:7" x14ac:dyDescent="0.15">
      <c r="A583" s="1">
        <v>1027</v>
      </c>
      <c r="B583" s="1" t="s">
        <v>16338</v>
      </c>
      <c r="C583" s="1" t="s">
        <v>10173</v>
      </c>
      <c r="D583" s="1" t="s">
        <v>12625</v>
      </c>
      <c r="F583" s="1" t="s">
        <v>10174</v>
      </c>
      <c r="G583" s="1" t="s">
        <v>10175</v>
      </c>
    </row>
    <row r="584" spans="1:7" x14ac:dyDescent="0.15">
      <c r="A584" s="1">
        <v>1028</v>
      </c>
      <c r="B584" s="1" t="s">
        <v>16338</v>
      </c>
      <c r="C584" s="1" t="s">
        <v>10176</v>
      </c>
      <c r="D584" s="1" t="s">
        <v>12625</v>
      </c>
      <c r="F584" s="1" t="s">
        <v>10177</v>
      </c>
      <c r="G584" s="1" t="s">
        <v>10178</v>
      </c>
    </row>
    <row r="585" spans="1:7" x14ac:dyDescent="0.15">
      <c r="A585" s="1">
        <v>1029</v>
      </c>
      <c r="B585" s="1" t="s">
        <v>16338</v>
      </c>
      <c r="C585" s="1" t="s">
        <v>10179</v>
      </c>
      <c r="D585" s="1" t="s">
        <v>11582</v>
      </c>
      <c r="F585" s="1" t="s">
        <v>10425</v>
      </c>
      <c r="G585" s="1" t="s">
        <v>10180</v>
      </c>
    </row>
    <row r="586" spans="1:7" x14ac:dyDescent="0.15">
      <c r="A586" s="1">
        <v>1031</v>
      </c>
      <c r="B586" s="1" t="s">
        <v>16338</v>
      </c>
      <c r="C586" s="1" t="s">
        <v>10181</v>
      </c>
      <c r="F586" s="1" t="s">
        <v>10182</v>
      </c>
      <c r="G586" s="1" t="s">
        <v>10183</v>
      </c>
    </row>
    <row r="587" spans="1:7" x14ac:dyDescent="0.15">
      <c r="A587" s="1">
        <v>1032</v>
      </c>
      <c r="B587" s="1" t="s">
        <v>16338</v>
      </c>
      <c r="C587" s="1" t="s">
        <v>15958</v>
      </c>
      <c r="F587" s="1" t="s">
        <v>10182</v>
      </c>
      <c r="G587" s="1" t="s">
        <v>10184</v>
      </c>
    </row>
    <row r="588" spans="1:7" x14ac:dyDescent="0.15">
      <c r="A588" s="1">
        <v>1033</v>
      </c>
      <c r="B588" s="1" t="s">
        <v>15962</v>
      </c>
      <c r="C588" s="1" t="s">
        <v>11560</v>
      </c>
      <c r="F588" s="1" t="s">
        <v>10185</v>
      </c>
      <c r="G588" s="1" t="s">
        <v>10186</v>
      </c>
    </row>
    <row r="589" spans="1:7" x14ac:dyDescent="0.15">
      <c r="A589" s="1">
        <v>1037</v>
      </c>
      <c r="B589" s="1" t="s">
        <v>15962</v>
      </c>
      <c r="C589" s="1" t="s">
        <v>10187</v>
      </c>
      <c r="F589" s="1" t="s">
        <v>10188</v>
      </c>
      <c r="G589" s="1" t="s">
        <v>10189</v>
      </c>
    </row>
    <row r="590" spans="1:7" x14ac:dyDescent="0.15">
      <c r="A590" s="1">
        <v>1040</v>
      </c>
      <c r="B590" s="1" t="s">
        <v>15962</v>
      </c>
      <c r="C590" s="1" t="s">
        <v>15971</v>
      </c>
      <c r="F590" s="1" t="s">
        <v>10654</v>
      </c>
      <c r="G590" s="1" t="s">
        <v>10191</v>
      </c>
    </row>
    <row r="591" spans="1:7" x14ac:dyDescent="0.15">
      <c r="A591" s="1">
        <v>1041</v>
      </c>
      <c r="B591" s="1" t="s">
        <v>15962</v>
      </c>
      <c r="C591" s="1" t="s">
        <v>15975</v>
      </c>
      <c r="F591" s="1" t="s">
        <v>10586</v>
      </c>
      <c r="G591" s="1" t="s">
        <v>10192</v>
      </c>
    </row>
    <row r="592" spans="1:7" x14ac:dyDescent="0.15">
      <c r="A592" s="1">
        <v>1045</v>
      </c>
      <c r="B592" s="1" t="s">
        <v>15962</v>
      </c>
      <c r="C592" s="1" t="s">
        <v>15979</v>
      </c>
      <c r="F592" s="1" t="s">
        <v>10194</v>
      </c>
      <c r="G592" s="1" t="s">
        <v>10195</v>
      </c>
    </row>
    <row r="593" spans="1:7" x14ac:dyDescent="0.15">
      <c r="A593" s="1">
        <v>1047</v>
      </c>
      <c r="B593" s="1" t="s">
        <v>15962</v>
      </c>
      <c r="C593" s="1" t="s">
        <v>10197</v>
      </c>
      <c r="D593" s="1" t="s">
        <v>11582</v>
      </c>
      <c r="F593" s="1" t="s">
        <v>10198</v>
      </c>
      <c r="G593" s="1" t="s">
        <v>10199</v>
      </c>
    </row>
    <row r="594" spans="1:7" x14ac:dyDescent="0.15">
      <c r="A594" s="1">
        <v>1048</v>
      </c>
      <c r="B594" s="1" t="s">
        <v>15962</v>
      </c>
      <c r="C594" s="1" t="s">
        <v>10200</v>
      </c>
      <c r="D594" s="1" t="s">
        <v>12625</v>
      </c>
      <c r="F594" s="1" t="s">
        <v>10201</v>
      </c>
      <c r="G594" s="1" t="s">
        <v>10202</v>
      </c>
    </row>
    <row r="595" spans="1:7" x14ac:dyDescent="0.15">
      <c r="A595" s="1">
        <v>1049</v>
      </c>
      <c r="B595" s="1" t="s">
        <v>15962</v>
      </c>
      <c r="C595" s="1" t="s">
        <v>10203</v>
      </c>
      <c r="D595" s="1" t="s">
        <v>12625</v>
      </c>
      <c r="F595" s="1" t="s">
        <v>11567</v>
      </c>
      <c r="G595" s="1" t="s">
        <v>10204</v>
      </c>
    </row>
    <row r="596" spans="1:7" x14ac:dyDescent="0.15">
      <c r="A596" s="1">
        <v>1050</v>
      </c>
      <c r="B596" s="1" t="s">
        <v>15962</v>
      </c>
      <c r="C596" s="1" t="s">
        <v>11566</v>
      </c>
      <c r="D596" s="1" t="s">
        <v>12625</v>
      </c>
      <c r="F596" s="1" t="s">
        <v>11567</v>
      </c>
      <c r="G596" s="1" t="s">
        <v>10205</v>
      </c>
    </row>
    <row r="597" spans="1:7" x14ac:dyDescent="0.15">
      <c r="A597" s="1">
        <v>1052</v>
      </c>
      <c r="B597" s="1" t="s">
        <v>15962</v>
      </c>
      <c r="C597" s="1" t="s">
        <v>11332</v>
      </c>
      <c r="F597" s="1" t="s">
        <v>11316</v>
      </c>
      <c r="G597" s="1" t="s">
        <v>10206</v>
      </c>
    </row>
    <row r="598" spans="1:7" x14ac:dyDescent="0.15">
      <c r="A598" s="1">
        <v>1053</v>
      </c>
      <c r="B598" s="1" t="s">
        <v>15962</v>
      </c>
      <c r="C598" s="1" t="s">
        <v>15983</v>
      </c>
      <c r="D598" s="1" t="s">
        <v>12625</v>
      </c>
      <c r="F598" s="1" t="s">
        <v>10207</v>
      </c>
      <c r="G598" s="1" t="s">
        <v>10208</v>
      </c>
    </row>
    <row r="599" spans="1:7" x14ac:dyDescent="0.15">
      <c r="A599" s="1">
        <v>1055</v>
      </c>
      <c r="B599" s="1" t="s">
        <v>15962</v>
      </c>
      <c r="C599" s="1" t="s">
        <v>15987</v>
      </c>
      <c r="F599" s="1" t="s">
        <v>11408</v>
      </c>
      <c r="G599" s="1" t="s">
        <v>10209</v>
      </c>
    </row>
    <row r="600" spans="1:7" x14ac:dyDescent="0.15">
      <c r="A600" s="1">
        <v>1057</v>
      </c>
      <c r="B600" s="1" t="s">
        <v>15962</v>
      </c>
      <c r="C600" s="1" t="s">
        <v>15991</v>
      </c>
      <c r="F600" s="1" t="s">
        <v>11423</v>
      </c>
      <c r="G600" s="1" t="s">
        <v>10210</v>
      </c>
    </row>
    <row r="601" spans="1:7" x14ac:dyDescent="0.15">
      <c r="A601" s="1">
        <v>1059</v>
      </c>
      <c r="B601" s="1" t="s">
        <v>15962</v>
      </c>
      <c r="C601" s="1" t="s">
        <v>11427</v>
      </c>
      <c r="D601" s="1" t="s">
        <v>12625</v>
      </c>
      <c r="F601" s="1" t="s">
        <v>11428</v>
      </c>
      <c r="G601" s="1" t="s">
        <v>10211</v>
      </c>
    </row>
    <row r="602" spans="1:7" x14ac:dyDescent="0.15">
      <c r="A602" s="1">
        <v>1061</v>
      </c>
      <c r="B602" s="1" t="s">
        <v>15962</v>
      </c>
      <c r="C602" s="1" t="s">
        <v>11440</v>
      </c>
      <c r="D602" s="1" t="s">
        <v>12625</v>
      </c>
      <c r="F602" s="1" t="s">
        <v>11441</v>
      </c>
      <c r="G602" s="1" t="s">
        <v>10212</v>
      </c>
    </row>
    <row r="603" spans="1:7" x14ac:dyDescent="0.15">
      <c r="A603" s="1">
        <v>1064</v>
      </c>
      <c r="B603" s="1" t="s">
        <v>15962</v>
      </c>
      <c r="C603" s="1" t="s">
        <v>15995</v>
      </c>
      <c r="F603" s="1" t="s">
        <v>10213</v>
      </c>
      <c r="G603" s="1" t="s">
        <v>10214</v>
      </c>
    </row>
    <row r="604" spans="1:7" x14ac:dyDescent="0.15">
      <c r="A604" s="1">
        <v>1065</v>
      </c>
      <c r="B604" s="1" t="s">
        <v>15962</v>
      </c>
      <c r="C604" s="1" t="s">
        <v>11341</v>
      </c>
      <c r="F604" s="1" t="s">
        <v>10215</v>
      </c>
      <c r="G604" s="1" t="s">
        <v>10216</v>
      </c>
    </row>
    <row r="605" spans="1:7" x14ac:dyDescent="0.15">
      <c r="A605" s="1">
        <v>1066</v>
      </c>
      <c r="B605" s="1" t="s">
        <v>15962</v>
      </c>
      <c r="C605" s="1" t="s">
        <v>15999</v>
      </c>
      <c r="D605" s="1" t="s">
        <v>12625</v>
      </c>
      <c r="F605" s="1" t="s">
        <v>10217</v>
      </c>
      <c r="G605" s="1" t="s">
        <v>10218</v>
      </c>
    </row>
    <row r="606" spans="1:7" x14ac:dyDescent="0.15">
      <c r="A606" s="1">
        <v>1071</v>
      </c>
      <c r="B606" s="1" t="s">
        <v>15962</v>
      </c>
      <c r="C606" s="1" t="s">
        <v>11346</v>
      </c>
      <c r="D606" s="1" t="s">
        <v>12625</v>
      </c>
      <c r="F606" s="1" t="s">
        <v>11347</v>
      </c>
      <c r="G606" s="1" t="s">
        <v>10219</v>
      </c>
    </row>
    <row r="607" spans="1:7" x14ac:dyDescent="0.15">
      <c r="A607" s="1">
        <v>1073</v>
      </c>
      <c r="B607" s="1" t="s">
        <v>15962</v>
      </c>
      <c r="C607" s="1" t="s">
        <v>16003</v>
      </c>
      <c r="F607" s="1" t="s">
        <v>11365</v>
      </c>
      <c r="G607" s="1" t="s">
        <v>10220</v>
      </c>
    </row>
    <row r="608" spans="1:7" x14ac:dyDescent="0.15">
      <c r="A608" s="1">
        <v>1077</v>
      </c>
      <c r="B608" s="1" t="s">
        <v>15962</v>
      </c>
      <c r="C608" s="1" t="s">
        <v>16007</v>
      </c>
      <c r="D608" s="1" t="s">
        <v>12593</v>
      </c>
      <c r="F608" s="1" t="s">
        <v>10221</v>
      </c>
      <c r="G608" s="1" t="s">
        <v>10222</v>
      </c>
    </row>
    <row r="609" spans="1:7" x14ac:dyDescent="0.15">
      <c r="A609" s="1">
        <v>1078</v>
      </c>
      <c r="B609" s="1" t="s">
        <v>15962</v>
      </c>
      <c r="C609" s="1" t="s">
        <v>10223</v>
      </c>
      <c r="D609" s="1" t="s">
        <v>12625</v>
      </c>
      <c r="F609" s="1" t="s">
        <v>10224</v>
      </c>
      <c r="G609" s="1" t="s">
        <v>10225</v>
      </c>
    </row>
    <row r="610" spans="1:7" x14ac:dyDescent="0.15">
      <c r="A610" s="1">
        <v>1081</v>
      </c>
      <c r="B610" s="1" t="s">
        <v>15962</v>
      </c>
      <c r="C610" s="1" t="s">
        <v>10226</v>
      </c>
      <c r="D610" s="1" t="s">
        <v>12625</v>
      </c>
      <c r="F610" s="1" t="s">
        <v>10227</v>
      </c>
      <c r="G610" s="1" t="s">
        <v>10228</v>
      </c>
    </row>
    <row r="611" spans="1:7" x14ac:dyDescent="0.15">
      <c r="A611" s="1">
        <v>1085</v>
      </c>
      <c r="B611" s="1" t="s">
        <v>15962</v>
      </c>
      <c r="C611" s="1" t="s">
        <v>16011</v>
      </c>
      <c r="D611" s="1" t="s">
        <v>12625</v>
      </c>
      <c r="F611" s="1" t="s">
        <v>10229</v>
      </c>
      <c r="G611" s="1" t="s">
        <v>10230</v>
      </c>
    </row>
    <row r="612" spans="1:7" x14ac:dyDescent="0.15">
      <c r="A612" s="1">
        <v>1088</v>
      </c>
      <c r="B612" s="1" t="s">
        <v>15962</v>
      </c>
      <c r="C612" s="1" t="s">
        <v>11432</v>
      </c>
      <c r="D612" s="1" t="s">
        <v>12625</v>
      </c>
      <c r="F612" s="1" t="s">
        <v>11433</v>
      </c>
      <c r="G612" s="1" t="s">
        <v>10231</v>
      </c>
    </row>
    <row r="613" spans="1:7" x14ac:dyDescent="0.15">
      <c r="A613" s="1">
        <v>1093</v>
      </c>
      <c r="B613" s="1" t="s">
        <v>15962</v>
      </c>
      <c r="C613" s="1" t="s">
        <v>10232</v>
      </c>
      <c r="D613" s="1" t="s">
        <v>12625</v>
      </c>
      <c r="F613" s="1" t="s">
        <v>10233</v>
      </c>
      <c r="G613" s="1" t="s">
        <v>10234</v>
      </c>
    </row>
    <row r="614" spans="1:7" x14ac:dyDescent="0.15">
      <c r="A614" s="1">
        <v>1097</v>
      </c>
      <c r="B614" s="1" t="s">
        <v>15962</v>
      </c>
      <c r="C614" s="1" t="s">
        <v>10235</v>
      </c>
      <c r="D614" s="1" t="s">
        <v>12625</v>
      </c>
      <c r="F614" s="1" t="s">
        <v>10236</v>
      </c>
      <c r="G614" s="1" t="s">
        <v>10237</v>
      </c>
    </row>
    <row r="615" spans="1:7" x14ac:dyDescent="0.15">
      <c r="A615" s="1">
        <v>1100</v>
      </c>
      <c r="B615" s="1" t="s">
        <v>15962</v>
      </c>
      <c r="C615" s="1" t="s">
        <v>11445</v>
      </c>
      <c r="D615" s="1" t="s">
        <v>12625</v>
      </c>
      <c r="F615" s="1" t="s">
        <v>11446</v>
      </c>
      <c r="G615" s="1" t="s">
        <v>10238</v>
      </c>
    </row>
    <row r="616" spans="1:7" x14ac:dyDescent="0.15">
      <c r="A616" s="1">
        <v>1104</v>
      </c>
      <c r="B616" s="1" t="s">
        <v>15962</v>
      </c>
      <c r="C616" s="1" t="s">
        <v>16013</v>
      </c>
      <c r="F616" s="1" t="s">
        <v>10239</v>
      </c>
      <c r="G616" s="1" t="s">
        <v>10240</v>
      </c>
    </row>
    <row r="617" spans="1:7" x14ac:dyDescent="0.15">
      <c r="A617" s="1">
        <v>1105</v>
      </c>
      <c r="B617" s="1" t="s">
        <v>15962</v>
      </c>
      <c r="C617" s="1" t="s">
        <v>11335</v>
      </c>
      <c r="F617" s="1" t="s">
        <v>11336</v>
      </c>
      <c r="G617" s="1" t="s">
        <v>10241</v>
      </c>
    </row>
    <row r="618" spans="1:7" x14ac:dyDescent="0.15">
      <c r="A618" s="1">
        <v>1106</v>
      </c>
      <c r="B618" s="1" t="s">
        <v>15962</v>
      </c>
      <c r="C618" s="1" t="s">
        <v>16017</v>
      </c>
      <c r="D618" s="1" t="s">
        <v>12625</v>
      </c>
      <c r="F618" s="1" t="s">
        <v>10242</v>
      </c>
      <c r="G618" s="1" t="s">
        <v>10243</v>
      </c>
    </row>
    <row r="619" spans="1:7" x14ac:dyDescent="0.15">
      <c r="A619" s="1">
        <v>1110</v>
      </c>
      <c r="B619" s="1" t="s">
        <v>15962</v>
      </c>
      <c r="C619" s="1" t="s">
        <v>16021</v>
      </c>
      <c r="F619" s="1" t="s">
        <v>11415</v>
      </c>
      <c r="G619" s="1" t="s">
        <v>10244</v>
      </c>
    </row>
    <row r="620" spans="1:7" x14ac:dyDescent="0.15">
      <c r="A620" s="1">
        <v>1112</v>
      </c>
      <c r="B620" s="1" t="s">
        <v>15962</v>
      </c>
      <c r="C620" s="1" t="s">
        <v>16025</v>
      </c>
      <c r="F620" s="1" t="s">
        <v>11368</v>
      </c>
      <c r="G620" s="1" t="s">
        <v>10245</v>
      </c>
    </row>
    <row r="621" spans="1:7" x14ac:dyDescent="0.15">
      <c r="A621" s="1">
        <v>1114</v>
      </c>
      <c r="B621" s="1" t="s">
        <v>15962</v>
      </c>
      <c r="C621" s="1" t="s">
        <v>10246</v>
      </c>
      <c r="D621" s="1" t="s">
        <v>12625</v>
      </c>
      <c r="F621" s="1" t="s">
        <v>10247</v>
      </c>
      <c r="G621" s="1" t="s">
        <v>10248</v>
      </c>
    </row>
    <row r="622" spans="1:7" x14ac:dyDescent="0.15">
      <c r="A622" s="1">
        <v>1115</v>
      </c>
      <c r="B622" s="1" t="s">
        <v>15962</v>
      </c>
      <c r="C622" s="1" t="s">
        <v>10249</v>
      </c>
      <c r="D622" s="1" t="s">
        <v>12625</v>
      </c>
      <c r="F622" s="1" t="s">
        <v>10250</v>
      </c>
      <c r="G622" s="1" t="s">
        <v>10251</v>
      </c>
    </row>
    <row r="623" spans="1:7" x14ac:dyDescent="0.15">
      <c r="A623" s="1">
        <v>1116</v>
      </c>
      <c r="B623" s="1" t="s">
        <v>15962</v>
      </c>
      <c r="C623" s="1" t="s">
        <v>10252</v>
      </c>
      <c r="D623" s="1" t="s">
        <v>12625</v>
      </c>
      <c r="F623" s="1" t="s">
        <v>10253</v>
      </c>
      <c r="G623" s="1" t="s">
        <v>10254</v>
      </c>
    </row>
    <row r="624" spans="1:7" x14ac:dyDescent="0.15">
      <c r="A624" s="1">
        <v>1117</v>
      </c>
      <c r="B624" s="1" t="s">
        <v>15962</v>
      </c>
      <c r="C624" s="1" t="s">
        <v>10255</v>
      </c>
      <c r="D624" s="1" t="s">
        <v>12625</v>
      </c>
      <c r="F624" s="1" t="s">
        <v>10256</v>
      </c>
      <c r="G624" s="1" t="s">
        <v>10257</v>
      </c>
    </row>
    <row r="625" spans="1:7" x14ac:dyDescent="0.15">
      <c r="A625" s="1">
        <v>1118</v>
      </c>
      <c r="B625" s="1" t="s">
        <v>15962</v>
      </c>
      <c r="C625" s="1" t="s">
        <v>16029</v>
      </c>
      <c r="F625" s="1" t="s">
        <v>10258</v>
      </c>
      <c r="G625" s="1" t="s">
        <v>10259</v>
      </c>
    </row>
    <row r="626" spans="1:7" x14ac:dyDescent="0.15">
      <c r="A626" s="1">
        <v>1119</v>
      </c>
      <c r="B626" s="1" t="s">
        <v>15962</v>
      </c>
      <c r="C626" s="1" t="s">
        <v>10260</v>
      </c>
      <c r="F626" s="1" t="s">
        <v>11337</v>
      </c>
      <c r="G626" s="1" t="s">
        <v>10261</v>
      </c>
    </row>
    <row r="627" spans="1:7" x14ac:dyDescent="0.15">
      <c r="A627" s="1">
        <v>1120</v>
      </c>
      <c r="B627" s="1" t="s">
        <v>15962</v>
      </c>
      <c r="C627" s="1" t="s">
        <v>16037</v>
      </c>
      <c r="F627" s="1" t="s">
        <v>11337</v>
      </c>
      <c r="G627" s="1" t="s">
        <v>10262</v>
      </c>
    </row>
    <row r="628" spans="1:7" x14ac:dyDescent="0.15">
      <c r="A628" s="1">
        <v>1121</v>
      </c>
      <c r="B628" s="1" t="s">
        <v>15962</v>
      </c>
      <c r="C628" s="1" t="s">
        <v>11318</v>
      </c>
      <c r="F628" s="1" t="s">
        <v>11319</v>
      </c>
      <c r="G628" s="1" t="s">
        <v>10263</v>
      </c>
    </row>
    <row r="629" spans="1:7" x14ac:dyDescent="0.15">
      <c r="A629" s="1">
        <v>1122</v>
      </c>
      <c r="B629" s="1" t="s">
        <v>15962</v>
      </c>
      <c r="C629" s="1" t="s">
        <v>16040</v>
      </c>
      <c r="D629" s="1" t="s">
        <v>12625</v>
      </c>
      <c r="F629" s="1" t="s">
        <v>10264</v>
      </c>
      <c r="G629" s="1" t="s">
        <v>10265</v>
      </c>
    </row>
    <row r="630" spans="1:7" x14ac:dyDescent="0.15">
      <c r="A630" s="1">
        <v>1123</v>
      </c>
      <c r="B630" s="1" t="s">
        <v>15962</v>
      </c>
      <c r="C630" s="1" t="s">
        <v>10266</v>
      </c>
      <c r="D630" s="1" t="s">
        <v>12625</v>
      </c>
      <c r="F630" s="1" t="s">
        <v>10267</v>
      </c>
      <c r="G630" s="1" t="s">
        <v>10268</v>
      </c>
    </row>
    <row r="631" spans="1:7" x14ac:dyDescent="0.15">
      <c r="A631" s="1">
        <v>1124</v>
      </c>
      <c r="B631" s="1" t="s">
        <v>15962</v>
      </c>
      <c r="C631" s="1" t="s">
        <v>10269</v>
      </c>
      <c r="D631" s="1" t="s">
        <v>12625</v>
      </c>
      <c r="F631" s="1" t="s">
        <v>10270</v>
      </c>
      <c r="G631" s="1" t="s">
        <v>10271</v>
      </c>
    </row>
    <row r="632" spans="1:7" x14ac:dyDescent="0.15">
      <c r="A632" s="1">
        <v>1128</v>
      </c>
      <c r="B632" s="1" t="s">
        <v>15962</v>
      </c>
      <c r="C632" s="1" t="s">
        <v>16044</v>
      </c>
      <c r="D632" s="1" t="s">
        <v>12593</v>
      </c>
      <c r="F632" s="1" t="s">
        <v>11319</v>
      </c>
      <c r="G632" s="1" t="s">
        <v>10274</v>
      </c>
    </row>
    <row r="633" spans="1:7" x14ac:dyDescent="0.15">
      <c r="A633" s="1">
        <v>1129</v>
      </c>
      <c r="B633" s="1" t="s">
        <v>15962</v>
      </c>
      <c r="C633" s="1" t="s">
        <v>10275</v>
      </c>
      <c r="D633" s="1" t="s">
        <v>12625</v>
      </c>
      <c r="F633" s="1" t="s">
        <v>10276</v>
      </c>
      <c r="G633" s="1" t="s">
        <v>10277</v>
      </c>
    </row>
    <row r="634" spans="1:7" x14ac:dyDescent="0.15">
      <c r="A634" s="1">
        <v>1130</v>
      </c>
      <c r="B634" s="1" t="s">
        <v>15962</v>
      </c>
      <c r="C634" s="1" t="s">
        <v>10278</v>
      </c>
      <c r="D634" s="1" t="s">
        <v>12625</v>
      </c>
      <c r="F634" s="1" t="s">
        <v>10279</v>
      </c>
      <c r="G634" s="1" t="s">
        <v>10280</v>
      </c>
    </row>
    <row r="635" spans="1:7" x14ac:dyDescent="0.15">
      <c r="A635" s="1">
        <v>1131</v>
      </c>
      <c r="B635" s="1" t="s">
        <v>15962</v>
      </c>
      <c r="C635" s="1" t="s">
        <v>10281</v>
      </c>
      <c r="D635" s="1" t="s">
        <v>12625</v>
      </c>
      <c r="F635" s="1" t="s">
        <v>10282</v>
      </c>
      <c r="G635" s="1" t="s">
        <v>9843</v>
      </c>
    </row>
    <row r="636" spans="1:7" x14ac:dyDescent="0.15">
      <c r="A636" s="1">
        <v>1132</v>
      </c>
      <c r="B636" s="1" t="s">
        <v>15962</v>
      </c>
      <c r="C636" s="1" t="s">
        <v>9844</v>
      </c>
      <c r="D636" s="1" t="s">
        <v>12625</v>
      </c>
      <c r="F636" s="1" t="s">
        <v>9845</v>
      </c>
      <c r="G636" s="1" t="s">
        <v>9846</v>
      </c>
    </row>
    <row r="637" spans="1:7" x14ac:dyDescent="0.15">
      <c r="A637" s="1">
        <v>1133</v>
      </c>
      <c r="B637" s="1" t="s">
        <v>15962</v>
      </c>
      <c r="C637" s="1" t="s">
        <v>9847</v>
      </c>
      <c r="D637" s="1" t="s">
        <v>12625</v>
      </c>
      <c r="F637" s="1" t="s">
        <v>9848</v>
      </c>
      <c r="G637" s="1" t="s">
        <v>9849</v>
      </c>
    </row>
    <row r="638" spans="1:7" x14ac:dyDescent="0.15">
      <c r="A638" s="1">
        <v>1134</v>
      </c>
      <c r="B638" s="1" t="s">
        <v>15962</v>
      </c>
      <c r="C638" s="1" t="s">
        <v>9850</v>
      </c>
      <c r="D638" s="1" t="s">
        <v>12625</v>
      </c>
      <c r="F638" s="1" t="s">
        <v>9851</v>
      </c>
      <c r="G638" s="1" t="s">
        <v>9852</v>
      </c>
    </row>
    <row r="639" spans="1:7" x14ac:dyDescent="0.15">
      <c r="A639" s="1">
        <v>1136</v>
      </c>
      <c r="B639" s="1" t="s">
        <v>15962</v>
      </c>
      <c r="C639" s="1" t="s">
        <v>9853</v>
      </c>
      <c r="D639" s="1" t="s">
        <v>12625</v>
      </c>
      <c r="F639" s="1" t="s">
        <v>9851</v>
      </c>
      <c r="G639" s="1" t="s">
        <v>9854</v>
      </c>
    </row>
    <row r="640" spans="1:7" x14ac:dyDescent="0.15">
      <c r="A640" s="1">
        <v>1137</v>
      </c>
      <c r="B640" s="1" t="s">
        <v>15962</v>
      </c>
      <c r="C640" s="1" t="s">
        <v>11339</v>
      </c>
      <c r="F640" s="1" t="s">
        <v>11340</v>
      </c>
      <c r="G640" s="1" t="s">
        <v>9855</v>
      </c>
    </row>
    <row r="641" spans="1:7" x14ac:dyDescent="0.15">
      <c r="A641" s="1">
        <v>1138</v>
      </c>
      <c r="B641" s="1" t="s">
        <v>15962</v>
      </c>
      <c r="C641" s="1" t="s">
        <v>16047</v>
      </c>
      <c r="D641" s="1" t="s">
        <v>12625</v>
      </c>
      <c r="F641" s="1" t="s">
        <v>9856</v>
      </c>
      <c r="G641" s="1" t="s">
        <v>9857</v>
      </c>
    </row>
    <row r="642" spans="1:7" x14ac:dyDescent="0.15">
      <c r="A642" s="1">
        <v>1142</v>
      </c>
      <c r="B642" s="1" t="s">
        <v>15962</v>
      </c>
      <c r="C642" s="1" t="s">
        <v>16051</v>
      </c>
      <c r="F642" s="1" t="s">
        <v>11380</v>
      </c>
      <c r="G642" s="1" t="s">
        <v>9858</v>
      </c>
    </row>
    <row r="643" spans="1:7" x14ac:dyDescent="0.15">
      <c r="A643" s="1">
        <v>1145</v>
      </c>
      <c r="B643" s="1" t="s">
        <v>15962</v>
      </c>
      <c r="C643" s="1" t="s">
        <v>16055</v>
      </c>
      <c r="F643" s="1" t="s">
        <v>11419</v>
      </c>
      <c r="G643" s="1" t="s">
        <v>9859</v>
      </c>
    </row>
    <row r="644" spans="1:7" x14ac:dyDescent="0.15">
      <c r="A644" s="1">
        <v>1148</v>
      </c>
      <c r="B644" s="1" t="s">
        <v>15962</v>
      </c>
      <c r="C644" s="1" t="s">
        <v>16059</v>
      </c>
      <c r="F644" s="1" t="s">
        <v>9860</v>
      </c>
      <c r="G644" s="1" t="s">
        <v>9861</v>
      </c>
    </row>
    <row r="645" spans="1:7" x14ac:dyDescent="0.15">
      <c r="A645" s="1">
        <v>1152</v>
      </c>
      <c r="B645" s="1" t="s">
        <v>15962</v>
      </c>
      <c r="C645" s="1" t="s">
        <v>16063</v>
      </c>
      <c r="F645" s="1" t="s">
        <v>10739</v>
      </c>
      <c r="G645" s="1" t="s">
        <v>9862</v>
      </c>
    </row>
    <row r="646" spans="1:7" x14ac:dyDescent="0.15">
      <c r="A646" s="1">
        <v>1157</v>
      </c>
      <c r="B646" s="1" t="s">
        <v>15962</v>
      </c>
      <c r="C646" s="1" t="s">
        <v>9863</v>
      </c>
      <c r="D646" s="1" t="s">
        <v>12625</v>
      </c>
      <c r="F646" s="1" t="s">
        <v>9864</v>
      </c>
      <c r="G646" s="1" t="s">
        <v>9865</v>
      </c>
    </row>
    <row r="647" spans="1:7" x14ac:dyDescent="0.15">
      <c r="A647" s="1">
        <v>1159</v>
      </c>
      <c r="B647" s="1" t="s">
        <v>15962</v>
      </c>
      <c r="C647" s="1" t="s">
        <v>9866</v>
      </c>
      <c r="D647" s="1" t="s">
        <v>12625</v>
      </c>
      <c r="F647" s="1" t="s">
        <v>9867</v>
      </c>
      <c r="G647" s="1" t="s">
        <v>9868</v>
      </c>
    </row>
    <row r="648" spans="1:7" x14ac:dyDescent="0.15">
      <c r="A648" s="1">
        <v>1163</v>
      </c>
      <c r="B648" s="1" t="s">
        <v>15962</v>
      </c>
      <c r="C648" s="1" t="s">
        <v>16067</v>
      </c>
      <c r="F648" s="1" t="s">
        <v>9869</v>
      </c>
      <c r="G648" s="1" t="s">
        <v>9870</v>
      </c>
    </row>
    <row r="649" spans="1:7" x14ac:dyDescent="0.15">
      <c r="A649" s="1">
        <v>1164</v>
      </c>
      <c r="B649" s="1" t="s">
        <v>15962</v>
      </c>
      <c r="C649" s="1" t="s">
        <v>9871</v>
      </c>
      <c r="D649" s="1" t="s">
        <v>12625</v>
      </c>
      <c r="F649" s="1" t="s">
        <v>11357</v>
      </c>
      <c r="G649" s="1" t="s">
        <v>9872</v>
      </c>
    </row>
    <row r="650" spans="1:7" x14ac:dyDescent="0.15">
      <c r="A650" s="1">
        <v>1166</v>
      </c>
      <c r="B650" s="1" t="s">
        <v>15962</v>
      </c>
      <c r="C650" s="1" t="s">
        <v>11356</v>
      </c>
      <c r="D650" s="1" t="s">
        <v>12625</v>
      </c>
      <c r="F650" s="1" t="s">
        <v>11357</v>
      </c>
      <c r="G650" s="1" t="s">
        <v>9873</v>
      </c>
    </row>
    <row r="651" spans="1:7" x14ac:dyDescent="0.15">
      <c r="A651" s="1">
        <v>1167</v>
      </c>
      <c r="B651" s="1" t="s">
        <v>15962</v>
      </c>
      <c r="C651" s="1" t="s">
        <v>11338</v>
      </c>
      <c r="F651" s="1" t="s">
        <v>11317</v>
      </c>
      <c r="G651" s="1" t="s">
        <v>9874</v>
      </c>
    </row>
    <row r="652" spans="1:7" x14ac:dyDescent="0.15">
      <c r="A652" s="1">
        <v>1168</v>
      </c>
      <c r="B652" s="1" t="s">
        <v>15962</v>
      </c>
      <c r="C652" s="1" t="s">
        <v>16071</v>
      </c>
      <c r="D652" s="1" t="s">
        <v>12625</v>
      </c>
      <c r="F652" s="1" t="s">
        <v>9875</v>
      </c>
      <c r="G652" s="1" t="s">
        <v>9876</v>
      </c>
    </row>
    <row r="653" spans="1:7" x14ac:dyDescent="0.15">
      <c r="A653" s="1">
        <v>1170</v>
      </c>
      <c r="B653" s="1" t="s">
        <v>15962</v>
      </c>
      <c r="C653" s="1" t="s">
        <v>16075</v>
      </c>
      <c r="F653" s="1" t="s">
        <v>9877</v>
      </c>
      <c r="G653" s="1" t="s">
        <v>9878</v>
      </c>
    </row>
    <row r="654" spans="1:7" x14ac:dyDescent="0.15">
      <c r="A654" s="1">
        <v>1172</v>
      </c>
      <c r="B654" s="1" t="s">
        <v>15962</v>
      </c>
      <c r="C654" s="1" t="s">
        <v>16079</v>
      </c>
      <c r="F654" s="1" t="s">
        <v>9879</v>
      </c>
      <c r="G654" s="1" t="s">
        <v>9880</v>
      </c>
    </row>
    <row r="655" spans="1:7" x14ac:dyDescent="0.15">
      <c r="A655" s="1">
        <v>1176</v>
      </c>
      <c r="B655" s="1" t="s">
        <v>15962</v>
      </c>
      <c r="C655" s="1" t="s">
        <v>9885</v>
      </c>
      <c r="D655" s="1" t="s">
        <v>12625</v>
      </c>
      <c r="F655" s="1" t="s">
        <v>9886</v>
      </c>
      <c r="G655" s="1" t="s">
        <v>9887</v>
      </c>
    </row>
    <row r="656" spans="1:7" x14ac:dyDescent="0.15">
      <c r="A656" s="1">
        <v>1178</v>
      </c>
      <c r="B656" s="1" t="s">
        <v>15962</v>
      </c>
      <c r="C656" s="1" t="s">
        <v>16083</v>
      </c>
      <c r="F656" s="1" t="s">
        <v>9889</v>
      </c>
      <c r="G656" s="1" t="s">
        <v>9890</v>
      </c>
    </row>
    <row r="657" spans="1:7" x14ac:dyDescent="0.15">
      <c r="A657" s="1">
        <v>1179</v>
      </c>
      <c r="B657" s="1" t="s">
        <v>15962</v>
      </c>
      <c r="C657" s="1" t="s">
        <v>9891</v>
      </c>
      <c r="F657" s="1" t="s">
        <v>9892</v>
      </c>
      <c r="G657" s="1" t="s">
        <v>9893</v>
      </c>
    </row>
    <row r="658" spans="1:7" x14ac:dyDescent="0.15">
      <c r="A658" s="1">
        <v>1180</v>
      </c>
      <c r="B658" s="1" t="s">
        <v>15962</v>
      </c>
      <c r="C658" s="1" t="s">
        <v>16087</v>
      </c>
      <c r="D658" s="1" t="s">
        <v>11582</v>
      </c>
      <c r="F658" s="1" t="s">
        <v>9894</v>
      </c>
      <c r="G658" s="1" t="s">
        <v>9895</v>
      </c>
    </row>
    <row r="659" spans="1:7" x14ac:dyDescent="0.15">
      <c r="A659" s="1">
        <v>1185</v>
      </c>
      <c r="B659" s="1" t="s">
        <v>15962</v>
      </c>
      <c r="C659" s="1" t="s">
        <v>16091</v>
      </c>
      <c r="D659" s="1" t="s">
        <v>11582</v>
      </c>
      <c r="F659" s="1" t="s">
        <v>9899</v>
      </c>
      <c r="G659" s="1" t="s">
        <v>9900</v>
      </c>
    </row>
    <row r="660" spans="1:7" x14ac:dyDescent="0.15">
      <c r="A660" s="1">
        <v>1186</v>
      </c>
      <c r="B660" s="1" t="s">
        <v>15962</v>
      </c>
      <c r="C660" s="1" t="s">
        <v>16095</v>
      </c>
      <c r="F660" s="1" t="s">
        <v>9901</v>
      </c>
      <c r="G660" s="1" t="s">
        <v>9902</v>
      </c>
    </row>
    <row r="661" spans="1:7" x14ac:dyDescent="0.15">
      <c r="A661" s="1">
        <v>1187</v>
      </c>
      <c r="B661" s="1" t="s">
        <v>15962</v>
      </c>
      <c r="C661" s="1" t="s">
        <v>16099</v>
      </c>
      <c r="F661" s="1" t="s">
        <v>9903</v>
      </c>
      <c r="G661" s="1" t="s">
        <v>9904</v>
      </c>
    </row>
    <row r="662" spans="1:7" x14ac:dyDescent="0.15">
      <c r="A662" s="1">
        <v>1189</v>
      </c>
      <c r="B662" s="1" t="s">
        <v>15962</v>
      </c>
      <c r="C662" s="1" t="s">
        <v>16103</v>
      </c>
      <c r="F662" s="1" t="s">
        <v>9905</v>
      </c>
      <c r="G662" s="1" t="s">
        <v>9906</v>
      </c>
    </row>
    <row r="663" spans="1:7" x14ac:dyDescent="0.15">
      <c r="A663" s="1">
        <v>1190</v>
      </c>
      <c r="B663" s="1" t="s">
        <v>15962</v>
      </c>
      <c r="C663" s="1" t="s">
        <v>9907</v>
      </c>
      <c r="D663" s="1" t="s">
        <v>12625</v>
      </c>
      <c r="F663" s="1" t="s">
        <v>11349</v>
      </c>
      <c r="G663" s="1" t="s">
        <v>9908</v>
      </c>
    </row>
    <row r="664" spans="1:7" x14ac:dyDescent="0.15">
      <c r="A664" s="1">
        <v>1191</v>
      </c>
      <c r="B664" s="1" t="s">
        <v>15962</v>
      </c>
      <c r="C664" s="1" t="s">
        <v>11348</v>
      </c>
      <c r="D664" s="1" t="s">
        <v>12625</v>
      </c>
      <c r="F664" s="1" t="s">
        <v>11349</v>
      </c>
      <c r="G664" s="1" t="s">
        <v>9909</v>
      </c>
    </row>
    <row r="665" spans="1:7" x14ac:dyDescent="0.15">
      <c r="A665" s="1">
        <v>1192</v>
      </c>
      <c r="B665" s="1" t="s">
        <v>15962</v>
      </c>
      <c r="C665" s="1" t="s">
        <v>11320</v>
      </c>
      <c r="D665" s="1" t="s">
        <v>12625</v>
      </c>
      <c r="F665" s="1" t="s">
        <v>11362</v>
      </c>
      <c r="G665" s="1" t="s">
        <v>9910</v>
      </c>
    </row>
    <row r="666" spans="1:7" x14ac:dyDescent="0.15">
      <c r="A666" s="1">
        <v>1193</v>
      </c>
      <c r="B666" s="1" t="s">
        <v>15962</v>
      </c>
      <c r="C666" s="1" t="s">
        <v>9911</v>
      </c>
      <c r="D666" s="1" t="s">
        <v>12625</v>
      </c>
      <c r="F666" s="1" t="s">
        <v>9912</v>
      </c>
      <c r="G666" s="1" t="s">
        <v>9913</v>
      </c>
    </row>
    <row r="667" spans="1:7" x14ac:dyDescent="0.15">
      <c r="A667" s="1">
        <v>1195</v>
      </c>
      <c r="B667" s="1" t="s">
        <v>15962</v>
      </c>
      <c r="C667" s="1" t="s">
        <v>9914</v>
      </c>
      <c r="D667" s="1" t="s">
        <v>12625</v>
      </c>
      <c r="F667" s="1" t="s">
        <v>9915</v>
      </c>
      <c r="G667" s="1" t="s">
        <v>9916</v>
      </c>
    </row>
    <row r="668" spans="1:7" x14ac:dyDescent="0.15">
      <c r="A668" s="1">
        <v>1198</v>
      </c>
      <c r="B668" s="1" t="s">
        <v>15962</v>
      </c>
      <c r="C668" s="1" t="s">
        <v>9917</v>
      </c>
      <c r="D668" s="1" t="s">
        <v>12625</v>
      </c>
      <c r="F668" s="1" t="s">
        <v>9918</v>
      </c>
      <c r="G668" s="1" t="s">
        <v>9919</v>
      </c>
    </row>
    <row r="669" spans="1:7" x14ac:dyDescent="0.15">
      <c r="A669" s="1">
        <v>1199</v>
      </c>
      <c r="B669" s="1" t="s">
        <v>15962</v>
      </c>
      <c r="C669" s="1" t="s">
        <v>9920</v>
      </c>
      <c r="D669" s="1" t="s">
        <v>12625</v>
      </c>
      <c r="F669" s="1" t="s">
        <v>9921</v>
      </c>
      <c r="G669" s="1" t="s">
        <v>9922</v>
      </c>
    </row>
    <row r="670" spans="1:7" x14ac:dyDescent="0.15">
      <c r="A670" s="1">
        <v>1200</v>
      </c>
      <c r="B670" s="1" t="s">
        <v>15962</v>
      </c>
      <c r="C670" s="1" t="s">
        <v>9923</v>
      </c>
      <c r="D670" s="1" t="s">
        <v>12625</v>
      </c>
      <c r="F670" s="1" t="s">
        <v>9924</v>
      </c>
      <c r="G670" s="1" t="s">
        <v>9925</v>
      </c>
    </row>
    <row r="671" spans="1:7" x14ac:dyDescent="0.15">
      <c r="A671" s="1">
        <v>1201</v>
      </c>
      <c r="B671" s="1" t="s">
        <v>15962</v>
      </c>
      <c r="C671" s="1" t="s">
        <v>9926</v>
      </c>
      <c r="D671" s="1" t="s">
        <v>12625</v>
      </c>
      <c r="F671" s="1" t="s">
        <v>9927</v>
      </c>
      <c r="G671" s="1" t="s">
        <v>9928</v>
      </c>
    </row>
    <row r="672" spans="1:7" x14ac:dyDescent="0.15">
      <c r="A672" s="1">
        <v>1202</v>
      </c>
      <c r="B672" s="1" t="s">
        <v>15962</v>
      </c>
      <c r="C672" s="1" t="s">
        <v>9929</v>
      </c>
      <c r="D672" s="1" t="s">
        <v>12625</v>
      </c>
      <c r="F672" s="1" t="s">
        <v>9930</v>
      </c>
      <c r="G672" s="1" t="s">
        <v>9931</v>
      </c>
    </row>
    <row r="673" spans="1:7" x14ac:dyDescent="0.15">
      <c r="A673" s="1">
        <v>1203</v>
      </c>
      <c r="B673" s="1" t="s">
        <v>15962</v>
      </c>
      <c r="C673" s="1" t="s">
        <v>9932</v>
      </c>
      <c r="D673" s="1" t="s">
        <v>12625</v>
      </c>
      <c r="F673" s="1" t="s">
        <v>9933</v>
      </c>
      <c r="G673" s="1" t="s">
        <v>9934</v>
      </c>
    </row>
    <row r="674" spans="1:7" x14ac:dyDescent="0.15">
      <c r="A674" s="1">
        <v>1204</v>
      </c>
      <c r="B674" s="1" t="s">
        <v>15962</v>
      </c>
      <c r="C674" s="1" t="s">
        <v>9935</v>
      </c>
      <c r="D674" s="1" t="s">
        <v>12625</v>
      </c>
      <c r="F674" s="1" t="s">
        <v>9936</v>
      </c>
      <c r="G674" s="1" t="s">
        <v>9937</v>
      </c>
    </row>
    <row r="675" spans="1:7" x14ac:dyDescent="0.15">
      <c r="A675" s="1">
        <v>1205</v>
      </c>
      <c r="B675" s="1" t="s">
        <v>15962</v>
      </c>
      <c r="C675" s="1" t="s">
        <v>9938</v>
      </c>
      <c r="D675" s="1" t="s">
        <v>12625</v>
      </c>
      <c r="F675" s="1" t="s">
        <v>9939</v>
      </c>
      <c r="G675" s="1" t="s">
        <v>9940</v>
      </c>
    </row>
    <row r="676" spans="1:7" x14ac:dyDescent="0.15">
      <c r="A676" s="1">
        <v>1206</v>
      </c>
      <c r="B676" s="1" t="s">
        <v>15962</v>
      </c>
      <c r="C676" s="1" t="s">
        <v>11321</v>
      </c>
      <c r="D676" s="1" t="s">
        <v>12625</v>
      </c>
      <c r="F676" s="1" t="s">
        <v>9941</v>
      </c>
      <c r="G676" s="1" t="s">
        <v>9942</v>
      </c>
    </row>
    <row r="677" spans="1:7" x14ac:dyDescent="0.15">
      <c r="A677" s="1">
        <v>1208</v>
      </c>
      <c r="B677" s="1" t="s">
        <v>15962</v>
      </c>
      <c r="C677" s="1" t="s">
        <v>9943</v>
      </c>
      <c r="D677" s="1" t="s">
        <v>12625</v>
      </c>
      <c r="F677" s="1" t="s">
        <v>9944</v>
      </c>
      <c r="G677" s="1" t="s">
        <v>9945</v>
      </c>
    </row>
    <row r="678" spans="1:7" x14ac:dyDescent="0.15">
      <c r="A678" s="1">
        <v>1213</v>
      </c>
      <c r="B678" s="1" t="s">
        <v>15962</v>
      </c>
      <c r="C678" s="1" t="s">
        <v>9946</v>
      </c>
      <c r="D678" s="1" t="s">
        <v>12625</v>
      </c>
      <c r="F678" s="1" t="s">
        <v>9947</v>
      </c>
      <c r="G678" s="1" t="s">
        <v>9948</v>
      </c>
    </row>
    <row r="679" spans="1:7" x14ac:dyDescent="0.15">
      <c r="A679" s="1">
        <v>1216</v>
      </c>
      <c r="B679" s="1" t="s">
        <v>15962</v>
      </c>
      <c r="C679" s="1" t="s">
        <v>9949</v>
      </c>
      <c r="D679" s="1" t="s">
        <v>12625</v>
      </c>
      <c r="F679" s="1" t="s">
        <v>9950</v>
      </c>
      <c r="G679" s="1" t="s">
        <v>9951</v>
      </c>
    </row>
    <row r="680" spans="1:7" x14ac:dyDescent="0.15">
      <c r="A680" s="1">
        <v>1218</v>
      </c>
      <c r="B680" s="1" t="s">
        <v>15962</v>
      </c>
      <c r="C680" s="1" t="s">
        <v>9952</v>
      </c>
      <c r="D680" s="1" t="s">
        <v>12625</v>
      </c>
      <c r="F680" s="1" t="s">
        <v>9953</v>
      </c>
      <c r="G680" s="1" t="s">
        <v>9954</v>
      </c>
    </row>
    <row r="681" spans="1:7" x14ac:dyDescent="0.15">
      <c r="A681" s="1">
        <v>1220</v>
      </c>
      <c r="B681" s="1" t="s">
        <v>15962</v>
      </c>
      <c r="C681" s="1" t="s">
        <v>9955</v>
      </c>
      <c r="D681" s="1" t="s">
        <v>12625</v>
      </c>
      <c r="F681" s="1" t="s">
        <v>9956</v>
      </c>
      <c r="G681" s="1" t="s">
        <v>9957</v>
      </c>
    </row>
    <row r="682" spans="1:7" x14ac:dyDescent="0.15">
      <c r="A682" s="1">
        <v>1221</v>
      </c>
      <c r="B682" s="1" t="s">
        <v>15962</v>
      </c>
      <c r="C682" s="1" t="s">
        <v>9958</v>
      </c>
      <c r="D682" s="1" t="s">
        <v>12625</v>
      </c>
      <c r="F682" s="1" t="s">
        <v>9959</v>
      </c>
      <c r="G682" s="1" t="s">
        <v>9960</v>
      </c>
    </row>
    <row r="683" spans="1:7" x14ac:dyDescent="0.15">
      <c r="A683" s="1">
        <v>1222</v>
      </c>
      <c r="B683" s="1" t="s">
        <v>15962</v>
      </c>
      <c r="C683" s="1" t="s">
        <v>9961</v>
      </c>
      <c r="D683" s="1" t="s">
        <v>12625</v>
      </c>
      <c r="F683" s="1" t="s">
        <v>9962</v>
      </c>
      <c r="G683" s="1" t="s">
        <v>9963</v>
      </c>
    </row>
    <row r="684" spans="1:7" x14ac:dyDescent="0.15">
      <c r="A684" s="1">
        <v>1224</v>
      </c>
      <c r="B684" s="1" t="s">
        <v>15962</v>
      </c>
      <c r="C684" s="1" t="s">
        <v>9964</v>
      </c>
      <c r="D684" s="1" t="s">
        <v>12625</v>
      </c>
      <c r="F684" s="1" t="s">
        <v>9965</v>
      </c>
      <c r="G684" s="1" t="s">
        <v>9966</v>
      </c>
    </row>
    <row r="685" spans="1:7" x14ac:dyDescent="0.15">
      <c r="A685" s="1">
        <v>1225</v>
      </c>
      <c r="B685" s="1" t="s">
        <v>15962</v>
      </c>
      <c r="C685" s="1" t="s">
        <v>10610</v>
      </c>
      <c r="D685" s="1" t="s">
        <v>11582</v>
      </c>
      <c r="F685" s="1" t="s">
        <v>9967</v>
      </c>
      <c r="G685" s="1" t="s">
        <v>9968</v>
      </c>
    </row>
    <row r="686" spans="1:7" x14ac:dyDescent="0.15">
      <c r="A686" s="1">
        <v>1226</v>
      </c>
      <c r="B686" s="1" t="s">
        <v>15962</v>
      </c>
      <c r="C686" s="1" t="s">
        <v>9969</v>
      </c>
      <c r="D686" s="1" t="s">
        <v>12625</v>
      </c>
      <c r="F686" s="1" t="s">
        <v>9970</v>
      </c>
      <c r="G686" s="1" t="s">
        <v>9971</v>
      </c>
    </row>
    <row r="687" spans="1:7" x14ac:dyDescent="0.15">
      <c r="A687" s="1">
        <v>1227</v>
      </c>
      <c r="B687" s="1" t="s">
        <v>15962</v>
      </c>
      <c r="C687" s="1" t="s">
        <v>9972</v>
      </c>
      <c r="F687" s="1" t="s">
        <v>9973</v>
      </c>
      <c r="G687" s="1" t="s">
        <v>9974</v>
      </c>
    </row>
    <row r="688" spans="1:7" x14ac:dyDescent="0.15">
      <c r="A688" s="1">
        <v>1228</v>
      </c>
      <c r="B688" s="1" t="s">
        <v>15962</v>
      </c>
      <c r="C688" s="1" t="s">
        <v>16111</v>
      </c>
      <c r="F688" s="1" t="s">
        <v>9973</v>
      </c>
      <c r="G688" s="1" t="s">
        <v>9975</v>
      </c>
    </row>
    <row r="689" spans="1:7" x14ac:dyDescent="0.15">
      <c r="A689" s="1">
        <v>1229</v>
      </c>
      <c r="B689" s="1" t="s">
        <v>17136</v>
      </c>
      <c r="C689" s="1" t="s">
        <v>11575</v>
      </c>
      <c r="F689" s="1" t="s">
        <v>11576</v>
      </c>
      <c r="G689" s="1" t="s">
        <v>9976</v>
      </c>
    </row>
    <row r="690" spans="1:7" x14ac:dyDescent="0.15">
      <c r="A690" s="1">
        <v>1230</v>
      </c>
      <c r="B690" s="1" t="s">
        <v>17136</v>
      </c>
      <c r="C690" s="1" t="s">
        <v>9977</v>
      </c>
      <c r="D690" s="1" t="s">
        <v>12625</v>
      </c>
      <c r="F690" s="1" t="s">
        <v>9978</v>
      </c>
      <c r="G690" s="1" t="s">
        <v>9979</v>
      </c>
    </row>
    <row r="691" spans="1:7" x14ac:dyDescent="0.15">
      <c r="A691" s="1">
        <v>1231</v>
      </c>
      <c r="B691" s="1" t="s">
        <v>17136</v>
      </c>
      <c r="C691" s="1" t="s">
        <v>16113</v>
      </c>
      <c r="D691" s="1" t="s">
        <v>12625</v>
      </c>
      <c r="F691" s="1" t="s">
        <v>9978</v>
      </c>
      <c r="G691" s="1" t="s">
        <v>9980</v>
      </c>
    </row>
    <row r="692" spans="1:7" x14ac:dyDescent="0.15">
      <c r="A692" s="1">
        <v>1232</v>
      </c>
      <c r="B692" s="1" t="s">
        <v>17136</v>
      </c>
      <c r="C692" s="1" t="s">
        <v>9981</v>
      </c>
      <c r="F692" s="1" t="s">
        <v>10660</v>
      </c>
      <c r="G692" s="1" t="s">
        <v>9982</v>
      </c>
    </row>
    <row r="693" spans="1:7" x14ac:dyDescent="0.15">
      <c r="A693" s="1">
        <v>1233</v>
      </c>
      <c r="B693" s="1" t="s">
        <v>17136</v>
      </c>
      <c r="C693" s="1" t="s">
        <v>17137</v>
      </c>
      <c r="F693" s="1" t="s">
        <v>10660</v>
      </c>
      <c r="G693" s="1" t="s">
        <v>9983</v>
      </c>
    </row>
    <row r="694" spans="1:7" x14ac:dyDescent="0.15">
      <c r="A694" s="1">
        <v>1235</v>
      </c>
      <c r="B694" s="1" t="s">
        <v>17136</v>
      </c>
      <c r="C694" s="1" t="s">
        <v>9984</v>
      </c>
      <c r="F694" s="1" t="s">
        <v>9985</v>
      </c>
      <c r="G694" s="1" t="s">
        <v>9986</v>
      </c>
    </row>
    <row r="695" spans="1:7" x14ac:dyDescent="0.15">
      <c r="A695" s="1">
        <v>1236</v>
      </c>
      <c r="B695" s="1" t="s">
        <v>17136</v>
      </c>
      <c r="C695" s="1" t="s">
        <v>17145</v>
      </c>
      <c r="F695" s="1" t="s">
        <v>9987</v>
      </c>
      <c r="G695" s="1" t="s">
        <v>9988</v>
      </c>
    </row>
    <row r="696" spans="1:7" x14ac:dyDescent="0.15">
      <c r="A696" s="1">
        <v>1238</v>
      </c>
      <c r="B696" s="1" t="s">
        <v>17136</v>
      </c>
      <c r="C696" s="1" t="s">
        <v>17149</v>
      </c>
      <c r="F696" s="1" t="s">
        <v>9989</v>
      </c>
      <c r="G696" s="1" t="s">
        <v>9990</v>
      </c>
    </row>
    <row r="697" spans="1:7" x14ac:dyDescent="0.15">
      <c r="A697" s="1">
        <v>1240</v>
      </c>
      <c r="B697" s="1" t="s">
        <v>17136</v>
      </c>
      <c r="C697" s="1" t="s">
        <v>9991</v>
      </c>
      <c r="D697" s="1" t="s">
        <v>12625</v>
      </c>
      <c r="F697" s="1" t="s">
        <v>9992</v>
      </c>
      <c r="G697" s="1" t="s">
        <v>9993</v>
      </c>
    </row>
    <row r="698" spans="1:7" x14ac:dyDescent="0.15">
      <c r="A698" s="1">
        <v>1246</v>
      </c>
      <c r="B698" s="1" t="s">
        <v>17136</v>
      </c>
      <c r="C698" s="1" t="s">
        <v>9998</v>
      </c>
      <c r="D698" s="1" t="s">
        <v>12625</v>
      </c>
      <c r="F698" s="1" t="s">
        <v>9999</v>
      </c>
      <c r="G698" s="1" t="s">
        <v>10000</v>
      </c>
    </row>
    <row r="699" spans="1:7" x14ac:dyDescent="0.15">
      <c r="A699" s="1">
        <v>1247</v>
      </c>
      <c r="B699" s="1" t="s">
        <v>17136</v>
      </c>
      <c r="C699" s="1" t="s">
        <v>10001</v>
      </c>
      <c r="D699" s="1" t="s">
        <v>12593</v>
      </c>
      <c r="F699" s="1" t="s">
        <v>10002</v>
      </c>
      <c r="G699" s="1" t="s">
        <v>12595</v>
      </c>
    </row>
    <row r="700" spans="1:7" x14ac:dyDescent="0.15">
      <c r="A700" s="1">
        <v>1248</v>
      </c>
      <c r="B700" s="1" t="s">
        <v>17136</v>
      </c>
      <c r="C700" s="1" t="s">
        <v>17157</v>
      </c>
      <c r="D700" s="1" t="s">
        <v>11582</v>
      </c>
      <c r="F700" s="1" t="s">
        <v>10002</v>
      </c>
      <c r="G700" s="1" t="s">
        <v>10003</v>
      </c>
    </row>
    <row r="701" spans="1:7" x14ac:dyDescent="0.15">
      <c r="A701" s="1">
        <v>1249</v>
      </c>
      <c r="B701" s="1" t="s">
        <v>17136</v>
      </c>
      <c r="C701" s="1" t="s">
        <v>10004</v>
      </c>
      <c r="F701" s="1" t="s">
        <v>10005</v>
      </c>
      <c r="G701" s="1" t="s">
        <v>10006</v>
      </c>
    </row>
    <row r="702" spans="1:7" x14ac:dyDescent="0.15">
      <c r="A702" s="1">
        <v>1250</v>
      </c>
      <c r="B702" s="1" t="s">
        <v>17136</v>
      </c>
      <c r="C702" s="1" t="s">
        <v>17164</v>
      </c>
      <c r="F702" s="1" t="s">
        <v>10007</v>
      </c>
      <c r="G702" s="1" t="s">
        <v>10008</v>
      </c>
    </row>
    <row r="703" spans="1:7" x14ac:dyDescent="0.15">
      <c r="A703" s="1">
        <v>1252</v>
      </c>
      <c r="B703" s="1" t="s">
        <v>17136</v>
      </c>
      <c r="C703" s="1" t="s">
        <v>17168</v>
      </c>
      <c r="F703" s="1" t="s">
        <v>10010</v>
      </c>
      <c r="G703" s="1" t="s">
        <v>10011</v>
      </c>
    </row>
    <row r="704" spans="1:7" x14ac:dyDescent="0.15">
      <c r="A704" s="1">
        <v>1254</v>
      </c>
      <c r="B704" s="1" t="s">
        <v>17136</v>
      </c>
      <c r="C704" s="1" t="s">
        <v>10013</v>
      </c>
      <c r="D704" s="1" t="s">
        <v>12625</v>
      </c>
      <c r="F704" s="1" t="s">
        <v>10014</v>
      </c>
      <c r="G704" s="1" t="s">
        <v>10015</v>
      </c>
    </row>
    <row r="705" spans="1:7" x14ac:dyDescent="0.15">
      <c r="A705" s="1">
        <v>1255</v>
      </c>
      <c r="B705" s="1" t="s">
        <v>17136</v>
      </c>
      <c r="C705" s="1" t="s">
        <v>17172</v>
      </c>
      <c r="F705" s="1" t="s">
        <v>10016</v>
      </c>
      <c r="G705" s="1" t="s">
        <v>10017</v>
      </c>
    </row>
    <row r="706" spans="1:7" x14ac:dyDescent="0.15">
      <c r="A706" s="1">
        <v>1256</v>
      </c>
      <c r="B706" s="1" t="s">
        <v>17136</v>
      </c>
      <c r="C706" s="1" t="s">
        <v>10018</v>
      </c>
      <c r="F706" s="1" t="s">
        <v>10019</v>
      </c>
      <c r="G706" s="1" t="s">
        <v>10020</v>
      </c>
    </row>
    <row r="707" spans="1:7" x14ac:dyDescent="0.15">
      <c r="A707" s="1">
        <v>1257</v>
      </c>
      <c r="B707" s="1" t="s">
        <v>17136</v>
      </c>
      <c r="C707" s="1" t="s">
        <v>17180</v>
      </c>
      <c r="F707" s="1" t="s">
        <v>10021</v>
      </c>
      <c r="G707" s="1" t="s">
        <v>10022</v>
      </c>
    </row>
    <row r="708" spans="1:7" x14ac:dyDescent="0.15">
      <c r="A708" s="1">
        <v>1259</v>
      </c>
      <c r="B708" s="1" t="s">
        <v>17136</v>
      </c>
      <c r="C708" s="1" t="s">
        <v>17184</v>
      </c>
      <c r="D708" s="1" t="s">
        <v>12593</v>
      </c>
      <c r="F708" s="1" t="s">
        <v>10023</v>
      </c>
      <c r="G708" s="1" t="s">
        <v>10024</v>
      </c>
    </row>
    <row r="709" spans="1:7" x14ac:dyDescent="0.15">
      <c r="A709" s="1">
        <v>1260</v>
      </c>
      <c r="B709" s="1" t="s">
        <v>17136</v>
      </c>
      <c r="C709" s="1" t="s">
        <v>17188</v>
      </c>
      <c r="D709" s="1" t="s">
        <v>12593</v>
      </c>
      <c r="F709" s="1" t="s">
        <v>10025</v>
      </c>
      <c r="G709" s="1" t="s">
        <v>10026</v>
      </c>
    </row>
    <row r="710" spans="1:7" x14ac:dyDescent="0.15">
      <c r="A710" s="1">
        <v>1261</v>
      </c>
      <c r="B710" s="1" t="s">
        <v>17136</v>
      </c>
      <c r="C710" s="1" t="s">
        <v>12370</v>
      </c>
      <c r="D710" s="1" t="s">
        <v>12625</v>
      </c>
      <c r="F710" s="1" t="s">
        <v>11742</v>
      </c>
      <c r="G710" s="1" t="s">
        <v>10027</v>
      </c>
    </row>
    <row r="711" spans="1:7" x14ac:dyDescent="0.15">
      <c r="A711" s="1">
        <v>1264</v>
      </c>
      <c r="B711" s="1" t="s">
        <v>17136</v>
      </c>
      <c r="C711" s="1" t="s">
        <v>17192</v>
      </c>
      <c r="F711" s="1" t="s">
        <v>10029</v>
      </c>
      <c r="G711" s="1" t="s">
        <v>10030</v>
      </c>
    </row>
    <row r="712" spans="1:7" x14ac:dyDescent="0.15">
      <c r="A712" s="1">
        <v>1271</v>
      </c>
      <c r="B712" s="1" t="s">
        <v>17136</v>
      </c>
      <c r="C712" s="1" t="s">
        <v>17196</v>
      </c>
      <c r="F712" s="1" t="s">
        <v>10032</v>
      </c>
      <c r="G712" s="1" t="s">
        <v>10033</v>
      </c>
    </row>
    <row r="713" spans="1:7" x14ac:dyDescent="0.15">
      <c r="A713" s="1">
        <v>1272</v>
      </c>
      <c r="B713" s="1" t="s">
        <v>17136</v>
      </c>
      <c r="C713" s="1" t="s">
        <v>10034</v>
      </c>
      <c r="F713" s="1" t="s">
        <v>11519</v>
      </c>
      <c r="G713" s="1" t="s">
        <v>10035</v>
      </c>
    </row>
    <row r="714" spans="1:7" x14ac:dyDescent="0.15">
      <c r="A714" s="1">
        <v>1273</v>
      </c>
      <c r="B714" s="1" t="s">
        <v>17136</v>
      </c>
      <c r="C714" s="1" t="s">
        <v>17204</v>
      </c>
      <c r="F714" s="1" t="s">
        <v>10036</v>
      </c>
      <c r="G714" s="1" t="s">
        <v>10037</v>
      </c>
    </row>
    <row r="715" spans="1:7" x14ac:dyDescent="0.15">
      <c r="A715" s="1">
        <v>1277</v>
      </c>
      <c r="B715" s="1" t="s">
        <v>17136</v>
      </c>
      <c r="C715" s="1" t="s">
        <v>17208</v>
      </c>
      <c r="D715" s="1" t="s">
        <v>12593</v>
      </c>
      <c r="F715" s="1" t="s">
        <v>10038</v>
      </c>
      <c r="G715" s="1" t="s">
        <v>10039</v>
      </c>
    </row>
    <row r="716" spans="1:7" x14ac:dyDescent="0.15">
      <c r="A716" s="1">
        <v>1278</v>
      </c>
      <c r="B716" s="1" t="s">
        <v>17136</v>
      </c>
      <c r="C716" s="1" t="s">
        <v>10040</v>
      </c>
      <c r="D716" s="1" t="s">
        <v>12625</v>
      </c>
      <c r="F716" s="1" t="s">
        <v>10041</v>
      </c>
      <c r="G716" s="1" t="s">
        <v>10042</v>
      </c>
    </row>
    <row r="717" spans="1:7" x14ac:dyDescent="0.15">
      <c r="A717" s="1">
        <v>1279</v>
      </c>
      <c r="B717" s="1" t="s">
        <v>17136</v>
      </c>
      <c r="C717" s="1" t="s">
        <v>10043</v>
      </c>
      <c r="D717" s="1" t="s">
        <v>11582</v>
      </c>
      <c r="F717" s="1" t="s">
        <v>10044</v>
      </c>
      <c r="G717" s="1" t="s">
        <v>10045</v>
      </c>
    </row>
    <row r="718" spans="1:7" x14ac:dyDescent="0.15">
      <c r="A718" s="1">
        <v>1280</v>
      </c>
      <c r="B718" s="1" t="s">
        <v>17136</v>
      </c>
      <c r="C718" s="1" t="s">
        <v>17212</v>
      </c>
      <c r="F718" s="1" t="s">
        <v>10046</v>
      </c>
      <c r="G718" s="1" t="s">
        <v>10047</v>
      </c>
    </row>
    <row r="719" spans="1:7" x14ac:dyDescent="0.15">
      <c r="A719" s="1">
        <v>1281</v>
      </c>
      <c r="B719" s="1" t="s">
        <v>17136</v>
      </c>
      <c r="C719" s="1" t="s">
        <v>10048</v>
      </c>
      <c r="F719" s="1" t="s">
        <v>10049</v>
      </c>
      <c r="G719" s="1" t="s">
        <v>10050</v>
      </c>
    </row>
    <row r="720" spans="1:7" x14ac:dyDescent="0.15">
      <c r="A720" s="1">
        <v>1282</v>
      </c>
      <c r="B720" s="1" t="s">
        <v>17136</v>
      </c>
      <c r="C720" s="1" t="s">
        <v>17220</v>
      </c>
      <c r="F720" s="1" t="s">
        <v>10051</v>
      </c>
      <c r="G720" s="1" t="s">
        <v>10052</v>
      </c>
    </row>
    <row r="721" spans="1:7" x14ac:dyDescent="0.15">
      <c r="A721" s="1">
        <v>1283</v>
      </c>
      <c r="B721" s="1" t="s">
        <v>17136</v>
      </c>
      <c r="C721" s="1" t="s">
        <v>10053</v>
      </c>
      <c r="D721" s="1" t="s">
        <v>12625</v>
      </c>
      <c r="F721" s="1" t="s">
        <v>10054</v>
      </c>
      <c r="G721" s="1" t="s">
        <v>10055</v>
      </c>
    </row>
    <row r="722" spans="1:7" x14ac:dyDescent="0.15">
      <c r="A722" s="1">
        <v>1285</v>
      </c>
      <c r="B722" s="1" t="s">
        <v>17136</v>
      </c>
      <c r="C722" s="1" t="s">
        <v>16119</v>
      </c>
      <c r="D722" s="1" t="s">
        <v>11582</v>
      </c>
      <c r="F722" s="1" t="s">
        <v>10057</v>
      </c>
      <c r="G722" s="1" t="s">
        <v>10058</v>
      </c>
    </row>
    <row r="723" spans="1:7" x14ac:dyDescent="0.15">
      <c r="A723" s="1">
        <v>1286</v>
      </c>
      <c r="B723" s="1" t="s">
        <v>17136</v>
      </c>
      <c r="C723" s="1" t="s">
        <v>16123</v>
      </c>
      <c r="F723" s="1" t="s">
        <v>10059</v>
      </c>
      <c r="G723" s="1" t="s">
        <v>10060</v>
      </c>
    </row>
    <row r="724" spans="1:7" x14ac:dyDescent="0.15">
      <c r="A724" s="1">
        <v>1289</v>
      </c>
      <c r="B724" s="1" t="s">
        <v>17136</v>
      </c>
      <c r="C724" s="1" t="s">
        <v>16127</v>
      </c>
      <c r="D724" s="1" t="s">
        <v>12593</v>
      </c>
      <c r="F724" s="1" t="s">
        <v>10063</v>
      </c>
      <c r="G724" s="1" t="s">
        <v>10064</v>
      </c>
    </row>
    <row r="725" spans="1:7" x14ac:dyDescent="0.15">
      <c r="A725" s="1">
        <v>1290</v>
      </c>
      <c r="B725" s="1" t="s">
        <v>17136</v>
      </c>
      <c r="C725" s="1" t="s">
        <v>16131</v>
      </c>
      <c r="F725" s="1" t="s">
        <v>10065</v>
      </c>
      <c r="G725" s="1" t="s">
        <v>10066</v>
      </c>
    </row>
    <row r="726" spans="1:7" x14ac:dyDescent="0.15">
      <c r="A726" s="1">
        <v>1292</v>
      </c>
      <c r="B726" s="1" t="s">
        <v>17136</v>
      </c>
      <c r="C726" s="1" t="s">
        <v>10067</v>
      </c>
      <c r="D726" s="1" t="s">
        <v>11582</v>
      </c>
      <c r="F726" s="1" t="s">
        <v>10068</v>
      </c>
      <c r="G726" s="1" t="s">
        <v>10069</v>
      </c>
    </row>
    <row r="727" spans="1:7" x14ac:dyDescent="0.15">
      <c r="A727" s="1">
        <v>1297</v>
      </c>
      <c r="B727" s="1" t="s">
        <v>17136</v>
      </c>
      <c r="C727" s="1" t="s">
        <v>10073</v>
      </c>
      <c r="D727" s="1" t="s">
        <v>12625</v>
      </c>
      <c r="F727" s="1" t="s">
        <v>10074</v>
      </c>
      <c r="G727" s="1" t="s">
        <v>10075</v>
      </c>
    </row>
    <row r="728" spans="1:7" x14ac:dyDescent="0.15">
      <c r="A728" s="1">
        <v>1299</v>
      </c>
      <c r="B728" s="1" t="s">
        <v>17136</v>
      </c>
      <c r="C728" s="1" t="s">
        <v>10076</v>
      </c>
      <c r="D728" s="1" t="s">
        <v>11582</v>
      </c>
      <c r="F728" s="1" t="s">
        <v>10077</v>
      </c>
      <c r="G728" s="1" t="s">
        <v>10078</v>
      </c>
    </row>
    <row r="729" spans="1:7" x14ac:dyDescent="0.15">
      <c r="A729" s="1">
        <v>1300</v>
      </c>
      <c r="B729" s="1" t="s">
        <v>17136</v>
      </c>
      <c r="C729" s="1" t="s">
        <v>16135</v>
      </c>
      <c r="F729" s="1" t="s">
        <v>10079</v>
      </c>
      <c r="G729" s="1" t="s">
        <v>10080</v>
      </c>
    </row>
    <row r="730" spans="1:7" x14ac:dyDescent="0.15">
      <c r="A730" s="1">
        <v>1301</v>
      </c>
      <c r="B730" s="1" t="s">
        <v>17136</v>
      </c>
      <c r="C730" s="1" t="s">
        <v>10081</v>
      </c>
      <c r="F730" s="1" t="s">
        <v>10082</v>
      </c>
      <c r="G730" s="1" t="s">
        <v>10083</v>
      </c>
    </row>
    <row r="731" spans="1:7" x14ac:dyDescent="0.15">
      <c r="A731" s="1">
        <v>1303</v>
      </c>
      <c r="B731" s="1" t="s">
        <v>17136</v>
      </c>
      <c r="C731" s="1" t="s">
        <v>16143</v>
      </c>
      <c r="F731" s="1" t="s">
        <v>10085</v>
      </c>
      <c r="G731" s="1" t="s">
        <v>10086</v>
      </c>
    </row>
    <row r="732" spans="1:7" x14ac:dyDescent="0.15">
      <c r="A732" s="1">
        <v>1304</v>
      </c>
      <c r="B732" s="1" t="s">
        <v>17136</v>
      </c>
      <c r="C732" s="1" t="s">
        <v>12378</v>
      </c>
      <c r="D732" s="1" t="s">
        <v>12625</v>
      </c>
      <c r="F732" s="1" t="s">
        <v>10087</v>
      </c>
      <c r="G732" s="1" t="s">
        <v>9581</v>
      </c>
    </row>
    <row r="733" spans="1:7" x14ac:dyDescent="0.15">
      <c r="A733" s="1">
        <v>1306</v>
      </c>
      <c r="B733" s="1" t="s">
        <v>17136</v>
      </c>
      <c r="C733" s="1" t="s">
        <v>9583</v>
      </c>
      <c r="D733" s="1" t="s">
        <v>12625</v>
      </c>
      <c r="F733" s="1" t="s">
        <v>9584</v>
      </c>
      <c r="G733" s="1" t="s">
        <v>9585</v>
      </c>
    </row>
    <row r="734" spans="1:7" x14ac:dyDescent="0.15">
      <c r="A734" s="1">
        <v>1308</v>
      </c>
      <c r="B734" s="1" t="s">
        <v>17136</v>
      </c>
      <c r="C734" s="1" t="s">
        <v>9586</v>
      </c>
      <c r="D734" s="1" t="s">
        <v>12625</v>
      </c>
      <c r="F734" s="1" t="s">
        <v>9587</v>
      </c>
      <c r="G734" s="1" t="s">
        <v>9588</v>
      </c>
    </row>
    <row r="735" spans="1:7" x14ac:dyDescent="0.15">
      <c r="A735" s="1">
        <v>1311</v>
      </c>
      <c r="B735" s="1" t="s">
        <v>17136</v>
      </c>
      <c r="C735" s="1" t="s">
        <v>9591</v>
      </c>
      <c r="D735" s="1" t="s">
        <v>11582</v>
      </c>
      <c r="F735" s="1" t="s">
        <v>9592</v>
      </c>
      <c r="G735" s="1" t="s">
        <v>9593</v>
      </c>
    </row>
    <row r="736" spans="1:7" x14ac:dyDescent="0.15">
      <c r="A736" s="1">
        <v>1312</v>
      </c>
      <c r="B736" s="1" t="s">
        <v>17136</v>
      </c>
      <c r="C736" s="1" t="s">
        <v>9594</v>
      </c>
      <c r="D736" s="1" t="s">
        <v>12625</v>
      </c>
      <c r="F736" s="1" t="s">
        <v>9595</v>
      </c>
      <c r="G736" s="1" t="s">
        <v>9596</v>
      </c>
    </row>
    <row r="737" spans="1:7" x14ac:dyDescent="0.15">
      <c r="A737" s="1">
        <v>1313</v>
      </c>
      <c r="B737" s="1" t="s">
        <v>17136</v>
      </c>
      <c r="C737" s="1" t="s">
        <v>9597</v>
      </c>
      <c r="F737" s="1" t="s">
        <v>9598</v>
      </c>
      <c r="G737" s="1" t="s">
        <v>9599</v>
      </c>
    </row>
    <row r="738" spans="1:7" x14ac:dyDescent="0.15">
      <c r="A738" s="1">
        <v>1314</v>
      </c>
      <c r="B738" s="1" t="s">
        <v>17136</v>
      </c>
      <c r="C738" s="1" t="s">
        <v>16152</v>
      </c>
      <c r="F738" s="1" t="s">
        <v>9598</v>
      </c>
      <c r="G738" s="1" t="s">
        <v>9600</v>
      </c>
    </row>
    <row r="739" spans="1:7" x14ac:dyDescent="0.15">
      <c r="A739" s="1">
        <v>1315</v>
      </c>
      <c r="B739" s="1" t="s">
        <v>16153</v>
      </c>
      <c r="C739" s="1" t="s">
        <v>9601</v>
      </c>
      <c r="D739" s="1" t="s">
        <v>12593</v>
      </c>
      <c r="F739" s="1" t="s">
        <v>9602</v>
      </c>
      <c r="G739" s="1" t="s">
        <v>9603</v>
      </c>
    </row>
    <row r="740" spans="1:7" x14ac:dyDescent="0.15">
      <c r="A740" s="1">
        <v>2664</v>
      </c>
      <c r="B740" s="1" t="s">
        <v>16153</v>
      </c>
      <c r="C740" s="1" t="s">
        <v>7328</v>
      </c>
      <c r="D740" s="1" t="s">
        <v>12593</v>
      </c>
      <c r="F740" s="1" t="s">
        <v>7329</v>
      </c>
      <c r="G740" s="1" t="s">
        <v>7330</v>
      </c>
    </row>
    <row r="741" spans="1:7" x14ac:dyDescent="0.15">
      <c r="A741" s="1">
        <v>2775</v>
      </c>
      <c r="B741" s="1" t="s">
        <v>15645</v>
      </c>
      <c r="C741" s="1" t="s">
        <v>9604</v>
      </c>
      <c r="F741" s="1" t="s">
        <v>7156</v>
      </c>
      <c r="G741" s="1" t="s">
        <v>7157</v>
      </c>
    </row>
    <row r="742" spans="1:7" x14ac:dyDescent="0.15">
      <c r="A742" s="1">
        <v>2776</v>
      </c>
      <c r="B742" s="1" t="s">
        <v>15645</v>
      </c>
      <c r="C742" s="1" t="s">
        <v>7158</v>
      </c>
      <c r="F742" s="1" t="s">
        <v>7159</v>
      </c>
      <c r="G742" s="1" t="s">
        <v>7160</v>
      </c>
    </row>
    <row r="743" spans="1:7" x14ac:dyDescent="0.15">
      <c r="A743" s="1">
        <v>2777</v>
      </c>
      <c r="B743" s="1" t="s">
        <v>15645</v>
      </c>
      <c r="C743" s="1" t="s">
        <v>15653</v>
      </c>
      <c r="F743" s="1" t="s">
        <v>7161</v>
      </c>
      <c r="G743" s="1" t="s">
        <v>7162</v>
      </c>
    </row>
    <row r="744" spans="1:7" x14ac:dyDescent="0.15">
      <c r="A744" s="1">
        <v>1317</v>
      </c>
      <c r="B744" s="1" t="s">
        <v>15656</v>
      </c>
      <c r="C744" s="1" t="s">
        <v>9606</v>
      </c>
      <c r="F744" s="1" t="s">
        <v>9607</v>
      </c>
      <c r="G744" s="1" t="s">
        <v>9608</v>
      </c>
    </row>
    <row r="745" spans="1:7" x14ac:dyDescent="0.15">
      <c r="A745" s="1">
        <v>1318</v>
      </c>
      <c r="B745" s="1" t="s">
        <v>15656</v>
      </c>
      <c r="C745" s="1" t="s">
        <v>9609</v>
      </c>
      <c r="D745" s="1" t="s">
        <v>12625</v>
      </c>
      <c r="F745" s="1" t="s">
        <v>9610</v>
      </c>
      <c r="G745" s="1" t="s">
        <v>9611</v>
      </c>
    </row>
    <row r="746" spans="1:7" x14ac:dyDescent="0.15">
      <c r="A746" s="1">
        <v>1319</v>
      </c>
      <c r="B746" s="1" t="s">
        <v>15656</v>
      </c>
      <c r="C746" s="1" t="s">
        <v>15657</v>
      </c>
      <c r="D746" s="1" t="s">
        <v>12625</v>
      </c>
      <c r="F746" s="1" t="s">
        <v>9612</v>
      </c>
      <c r="G746" s="1" t="s">
        <v>9613</v>
      </c>
    </row>
    <row r="747" spans="1:7" x14ac:dyDescent="0.15">
      <c r="A747" s="1">
        <v>1320</v>
      </c>
      <c r="B747" s="1" t="s">
        <v>15656</v>
      </c>
      <c r="C747" s="1" t="s">
        <v>9614</v>
      </c>
      <c r="D747" s="1" t="s">
        <v>11582</v>
      </c>
      <c r="F747" s="1" t="s">
        <v>9615</v>
      </c>
      <c r="G747" s="1" t="s">
        <v>9616</v>
      </c>
    </row>
    <row r="748" spans="1:7" x14ac:dyDescent="0.15">
      <c r="A748" s="1">
        <v>1321</v>
      </c>
      <c r="B748" s="1" t="s">
        <v>15656</v>
      </c>
      <c r="C748" s="1" t="s">
        <v>9617</v>
      </c>
      <c r="F748" s="1" t="s">
        <v>9618</v>
      </c>
      <c r="G748" s="1" t="s">
        <v>9619</v>
      </c>
    </row>
    <row r="749" spans="1:7" x14ac:dyDescent="0.15">
      <c r="A749" s="1">
        <v>1322</v>
      </c>
      <c r="B749" s="1" t="s">
        <v>15656</v>
      </c>
      <c r="C749" s="1" t="s">
        <v>15665</v>
      </c>
      <c r="F749" s="1" t="s">
        <v>9618</v>
      </c>
      <c r="G749" s="1" t="s">
        <v>9620</v>
      </c>
    </row>
    <row r="750" spans="1:7" x14ac:dyDescent="0.15">
      <c r="A750" s="1">
        <v>1323</v>
      </c>
      <c r="B750" s="1" t="s">
        <v>15656</v>
      </c>
      <c r="C750" s="1" t="s">
        <v>15669</v>
      </c>
      <c r="D750" s="1" t="s">
        <v>11582</v>
      </c>
      <c r="F750" s="1" t="s">
        <v>9615</v>
      </c>
      <c r="G750" s="1" t="s">
        <v>9621</v>
      </c>
    </row>
    <row r="751" spans="1:7" x14ac:dyDescent="0.15">
      <c r="A751" s="1">
        <v>1324</v>
      </c>
      <c r="B751" s="1" t="s">
        <v>15656</v>
      </c>
      <c r="C751" s="1" t="s">
        <v>15673</v>
      </c>
      <c r="D751" s="1" t="s">
        <v>11582</v>
      </c>
      <c r="F751" s="1" t="s">
        <v>9622</v>
      </c>
      <c r="G751" s="1" t="s">
        <v>9623</v>
      </c>
    </row>
    <row r="752" spans="1:7" x14ac:dyDescent="0.15">
      <c r="A752" s="1">
        <v>1325</v>
      </c>
      <c r="B752" s="1" t="s">
        <v>15656</v>
      </c>
      <c r="C752" s="1" t="s">
        <v>15677</v>
      </c>
      <c r="D752" s="1" t="s">
        <v>12593</v>
      </c>
      <c r="F752" s="1" t="s">
        <v>9624</v>
      </c>
      <c r="G752" s="1" t="s">
        <v>9625</v>
      </c>
    </row>
    <row r="753" spans="1:7" x14ac:dyDescent="0.15">
      <c r="A753" s="1">
        <v>1326</v>
      </c>
      <c r="B753" s="1" t="s">
        <v>15656</v>
      </c>
      <c r="C753" s="1" t="s">
        <v>15681</v>
      </c>
      <c r="D753" s="1" t="s">
        <v>11582</v>
      </c>
      <c r="F753" s="1" t="s">
        <v>9626</v>
      </c>
      <c r="G753" s="1" t="s">
        <v>9627</v>
      </c>
    </row>
    <row r="754" spans="1:7" x14ac:dyDescent="0.15">
      <c r="A754" s="1">
        <v>1327</v>
      </c>
      <c r="B754" s="1" t="s">
        <v>15656</v>
      </c>
      <c r="C754" s="1" t="s">
        <v>9628</v>
      </c>
      <c r="D754" s="1" t="s">
        <v>12625</v>
      </c>
      <c r="F754" s="1" t="s">
        <v>9629</v>
      </c>
      <c r="G754" s="1" t="s">
        <v>9630</v>
      </c>
    </row>
    <row r="755" spans="1:7" x14ac:dyDescent="0.15">
      <c r="A755" s="1">
        <v>1328</v>
      </c>
      <c r="B755" s="1" t="s">
        <v>15656</v>
      </c>
      <c r="C755" s="1" t="s">
        <v>9631</v>
      </c>
      <c r="D755" s="1" t="s">
        <v>12625</v>
      </c>
      <c r="F755" s="1" t="s">
        <v>9632</v>
      </c>
      <c r="G755" s="1" t="s">
        <v>9633</v>
      </c>
    </row>
    <row r="756" spans="1:7" x14ac:dyDescent="0.15">
      <c r="A756" s="1">
        <v>1329</v>
      </c>
      <c r="B756" s="1" t="s">
        <v>15656</v>
      </c>
      <c r="C756" s="1" t="s">
        <v>9634</v>
      </c>
      <c r="D756" s="1" t="s">
        <v>12625</v>
      </c>
      <c r="F756" s="1" t="s">
        <v>9635</v>
      </c>
      <c r="G756" s="1" t="s">
        <v>9636</v>
      </c>
    </row>
    <row r="757" spans="1:7" x14ac:dyDescent="0.15">
      <c r="A757" s="1">
        <v>1330</v>
      </c>
      <c r="B757" s="1" t="s">
        <v>15656</v>
      </c>
      <c r="C757" s="1" t="s">
        <v>9637</v>
      </c>
      <c r="D757" s="1" t="s">
        <v>12625</v>
      </c>
      <c r="F757" s="1" t="s">
        <v>9638</v>
      </c>
      <c r="G757" s="1" t="s">
        <v>9639</v>
      </c>
    </row>
    <row r="758" spans="1:7" x14ac:dyDescent="0.15">
      <c r="A758" s="1">
        <v>1331</v>
      </c>
      <c r="B758" s="1" t="s">
        <v>15656</v>
      </c>
      <c r="C758" s="1" t="s">
        <v>9640</v>
      </c>
      <c r="D758" s="1" t="s">
        <v>12625</v>
      </c>
      <c r="F758" s="1" t="s">
        <v>9641</v>
      </c>
      <c r="G758" s="1" t="s">
        <v>9642</v>
      </c>
    </row>
    <row r="759" spans="1:7" x14ac:dyDescent="0.15">
      <c r="A759" s="1">
        <v>1332</v>
      </c>
      <c r="B759" s="1" t="s">
        <v>15656</v>
      </c>
      <c r="C759" s="1" t="s">
        <v>9643</v>
      </c>
      <c r="D759" s="1" t="s">
        <v>12625</v>
      </c>
      <c r="F759" s="1" t="s">
        <v>9644</v>
      </c>
      <c r="G759" s="1" t="s">
        <v>9645</v>
      </c>
    </row>
    <row r="760" spans="1:7" x14ac:dyDescent="0.15">
      <c r="A760" s="1">
        <v>1333</v>
      </c>
      <c r="B760" s="1" t="s">
        <v>15656</v>
      </c>
      <c r="C760" s="1" t="s">
        <v>9646</v>
      </c>
      <c r="D760" s="1" t="s">
        <v>12625</v>
      </c>
      <c r="F760" s="1" t="s">
        <v>9647</v>
      </c>
      <c r="G760" s="1" t="s">
        <v>9648</v>
      </c>
    </row>
    <row r="761" spans="1:7" x14ac:dyDescent="0.15">
      <c r="A761" s="1">
        <v>1334</v>
      </c>
      <c r="B761" s="1" t="s">
        <v>15656</v>
      </c>
      <c r="C761" s="1" t="s">
        <v>9649</v>
      </c>
      <c r="D761" s="1" t="s">
        <v>12625</v>
      </c>
      <c r="F761" s="1" t="s">
        <v>9650</v>
      </c>
      <c r="G761" s="1" t="s">
        <v>9651</v>
      </c>
    </row>
    <row r="762" spans="1:7" x14ac:dyDescent="0.15">
      <c r="A762" s="1">
        <v>1335</v>
      </c>
      <c r="B762" s="1" t="s">
        <v>15656</v>
      </c>
      <c r="C762" s="1" t="s">
        <v>9652</v>
      </c>
      <c r="D762" s="1" t="s">
        <v>12625</v>
      </c>
      <c r="F762" s="1" t="s">
        <v>9653</v>
      </c>
      <c r="G762" s="1" t="s">
        <v>9654</v>
      </c>
    </row>
    <row r="763" spans="1:7" x14ac:dyDescent="0.15">
      <c r="A763" s="1">
        <v>1336</v>
      </c>
      <c r="B763" s="1" t="s">
        <v>15656</v>
      </c>
      <c r="C763" s="1" t="s">
        <v>9655</v>
      </c>
      <c r="D763" s="1" t="s">
        <v>12625</v>
      </c>
      <c r="F763" s="1" t="s">
        <v>9656</v>
      </c>
      <c r="G763" s="1" t="s">
        <v>9657</v>
      </c>
    </row>
    <row r="764" spans="1:7" x14ac:dyDescent="0.15">
      <c r="A764" s="1">
        <v>1337</v>
      </c>
      <c r="B764" s="1" t="s">
        <v>15656</v>
      </c>
      <c r="C764" s="1" t="s">
        <v>9658</v>
      </c>
      <c r="D764" s="1" t="s">
        <v>12625</v>
      </c>
      <c r="F764" s="1" t="s">
        <v>9659</v>
      </c>
      <c r="G764" s="1" t="s">
        <v>9660</v>
      </c>
    </row>
    <row r="765" spans="1:7" x14ac:dyDescent="0.15">
      <c r="A765" s="1">
        <v>1338</v>
      </c>
      <c r="B765" s="1" t="s">
        <v>15656</v>
      </c>
      <c r="C765" s="1" t="s">
        <v>9661</v>
      </c>
      <c r="D765" s="1" t="s">
        <v>12625</v>
      </c>
      <c r="F765" s="1" t="s">
        <v>9662</v>
      </c>
      <c r="G765" s="1" t="s">
        <v>9663</v>
      </c>
    </row>
    <row r="766" spans="1:7" x14ac:dyDescent="0.15">
      <c r="A766" s="1">
        <v>1339</v>
      </c>
      <c r="B766" s="1" t="s">
        <v>15656</v>
      </c>
      <c r="C766" s="1" t="s">
        <v>9664</v>
      </c>
      <c r="D766" s="1" t="s">
        <v>12625</v>
      </c>
      <c r="F766" s="1" t="s">
        <v>9665</v>
      </c>
      <c r="G766" s="1" t="s">
        <v>9666</v>
      </c>
    </row>
    <row r="767" spans="1:7" x14ac:dyDescent="0.15">
      <c r="A767" s="1">
        <v>1340</v>
      </c>
      <c r="B767" s="1" t="s">
        <v>15656</v>
      </c>
      <c r="C767" s="1" t="s">
        <v>9667</v>
      </c>
      <c r="D767" s="1" t="s">
        <v>12625</v>
      </c>
      <c r="F767" s="1" t="s">
        <v>9668</v>
      </c>
      <c r="G767" s="1" t="s">
        <v>9669</v>
      </c>
    </row>
    <row r="768" spans="1:7" x14ac:dyDescent="0.15">
      <c r="A768" s="1">
        <v>1341</v>
      </c>
      <c r="B768" s="1" t="s">
        <v>15656</v>
      </c>
      <c r="C768" s="1" t="s">
        <v>9670</v>
      </c>
      <c r="D768" s="1" t="s">
        <v>11582</v>
      </c>
      <c r="F768" s="1" t="s">
        <v>9671</v>
      </c>
      <c r="G768" s="1" t="s">
        <v>9672</v>
      </c>
    </row>
    <row r="769" spans="1:7" x14ac:dyDescent="0.15">
      <c r="A769" s="1">
        <v>1342</v>
      </c>
      <c r="B769" s="1" t="s">
        <v>15656</v>
      </c>
      <c r="C769" s="1" t="s">
        <v>9673</v>
      </c>
      <c r="D769" s="1" t="s">
        <v>11582</v>
      </c>
      <c r="F769" s="1" t="s">
        <v>9674</v>
      </c>
      <c r="G769" s="1" t="s">
        <v>9675</v>
      </c>
    </row>
    <row r="770" spans="1:7" x14ac:dyDescent="0.15">
      <c r="A770" s="1">
        <v>1343</v>
      </c>
      <c r="B770" s="1" t="s">
        <v>15656</v>
      </c>
      <c r="C770" s="1" t="s">
        <v>9676</v>
      </c>
      <c r="D770" s="1" t="s">
        <v>11582</v>
      </c>
      <c r="F770" s="1" t="s">
        <v>9677</v>
      </c>
      <c r="G770" s="1" t="s">
        <v>9678</v>
      </c>
    </row>
    <row r="771" spans="1:7" x14ac:dyDescent="0.15">
      <c r="A771" s="1">
        <v>1344</v>
      </c>
      <c r="B771" s="1" t="s">
        <v>15656</v>
      </c>
      <c r="C771" s="1" t="s">
        <v>9679</v>
      </c>
      <c r="D771" s="1" t="s">
        <v>12625</v>
      </c>
      <c r="F771" s="1" t="s">
        <v>9680</v>
      </c>
      <c r="G771" s="1" t="s">
        <v>9681</v>
      </c>
    </row>
    <row r="772" spans="1:7" x14ac:dyDescent="0.15">
      <c r="A772" s="1">
        <v>1345</v>
      </c>
      <c r="B772" s="1" t="s">
        <v>15656</v>
      </c>
      <c r="C772" s="1" t="s">
        <v>9682</v>
      </c>
      <c r="D772" s="1" t="s">
        <v>12625</v>
      </c>
      <c r="F772" s="1" t="s">
        <v>9683</v>
      </c>
      <c r="G772" s="1" t="s">
        <v>9684</v>
      </c>
    </row>
    <row r="773" spans="1:7" x14ac:dyDescent="0.15">
      <c r="A773" s="1">
        <v>1346</v>
      </c>
      <c r="B773" s="1" t="s">
        <v>15656</v>
      </c>
      <c r="C773" s="1" t="s">
        <v>9685</v>
      </c>
      <c r="D773" s="1" t="s">
        <v>12625</v>
      </c>
      <c r="F773" s="1" t="s">
        <v>9683</v>
      </c>
      <c r="G773" s="1" t="s">
        <v>9686</v>
      </c>
    </row>
    <row r="774" spans="1:7" x14ac:dyDescent="0.15">
      <c r="A774" s="1">
        <v>1347</v>
      </c>
      <c r="B774" s="1" t="s">
        <v>15685</v>
      </c>
      <c r="C774" s="1" t="s">
        <v>11481</v>
      </c>
      <c r="F774" s="1" t="s">
        <v>11482</v>
      </c>
      <c r="G774" s="1" t="s">
        <v>9687</v>
      </c>
    </row>
    <row r="775" spans="1:7" x14ac:dyDescent="0.15">
      <c r="A775" s="1">
        <v>1350</v>
      </c>
      <c r="B775" s="1" t="s">
        <v>15685</v>
      </c>
      <c r="C775" s="1" t="s">
        <v>9688</v>
      </c>
      <c r="F775" s="1" t="s">
        <v>10651</v>
      </c>
      <c r="G775" s="1" t="s">
        <v>9689</v>
      </c>
    </row>
    <row r="776" spans="1:7" x14ac:dyDescent="0.15">
      <c r="A776" s="1">
        <v>1351</v>
      </c>
      <c r="B776" s="1" t="s">
        <v>15685</v>
      </c>
      <c r="C776" s="1" t="s">
        <v>15694</v>
      </c>
      <c r="F776" s="1" t="s">
        <v>10651</v>
      </c>
      <c r="G776" s="1" t="s">
        <v>9690</v>
      </c>
    </row>
    <row r="777" spans="1:7" x14ac:dyDescent="0.15">
      <c r="A777" s="1">
        <v>1355</v>
      </c>
      <c r="B777" s="1" t="s">
        <v>15685</v>
      </c>
      <c r="C777" s="1" t="s">
        <v>9691</v>
      </c>
      <c r="D777" s="1" t="s">
        <v>12593</v>
      </c>
      <c r="F777" s="1" t="s">
        <v>10198</v>
      </c>
      <c r="G777" s="1" t="s">
        <v>12595</v>
      </c>
    </row>
    <row r="778" spans="1:7" x14ac:dyDescent="0.15">
      <c r="A778" s="1">
        <v>1356</v>
      </c>
      <c r="B778" s="1" t="s">
        <v>15685</v>
      </c>
      <c r="C778" s="1" t="s">
        <v>15701</v>
      </c>
      <c r="D778" s="1" t="s">
        <v>11582</v>
      </c>
      <c r="F778" s="1" t="s">
        <v>10198</v>
      </c>
      <c r="G778" s="1" t="s">
        <v>9692</v>
      </c>
    </row>
    <row r="779" spans="1:7" x14ac:dyDescent="0.15">
      <c r="A779" s="1">
        <v>1357</v>
      </c>
      <c r="B779" s="1" t="s">
        <v>15685</v>
      </c>
      <c r="C779" s="1" t="s">
        <v>9693</v>
      </c>
      <c r="F779" s="1" t="s">
        <v>9694</v>
      </c>
      <c r="G779" s="1" t="s">
        <v>9695</v>
      </c>
    </row>
    <row r="780" spans="1:7" x14ac:dyDescent="0.15">
      <c r="A780" s="1">
        <v>1358</v>
      </c>
      <c r="B780" s="1" t="s">
        <v>15685</v>
      </c>
      <c r="C780" s="1" t="s">
        <v>15708</v>
      </c>
      <c r="F780" s="1" t="s">
        <v>9694</v>
      </c>
      <c r="G780" s="1" t="s">
        <v>9696</v>
      </c>
    </row>
    <row r="781" spans="1:7" x14ac:dyDescent="0.15">
      <c r="A781" s="1">
        <v>1359</v>
      </c>
      <c r="B781" s="1" t="s">
        <v>15685</v>
      </c>
      <c r="C781" s="1" t="s">
        <v>9697</v>
      </c>
      <c r="F781" s="1" t="s">
        <v>9698</v>
      </c>
      <c r="G781" s="1" t="s">
        <v>9699</v>
      </c>
    </row>
    <row r="782" spans="1:7" x14ac:dyDescent="0.15">
      <c r="A782" s="1">
        <v>1360</v>
      </c>
      <c r="B782" s="1" t="s">
        <v>15685</v>
      </c>
      <c r="C782" s="1" t="s">
        <v>15715</v>
      </c>
      <c r="F782" s="1" t="s">
        <v>9698</v>
      </c>
      <c r="G782" s="1" t="s">
        <v>9700</v>
      </c>
    </row>
    <row r="783" spans="1:7" x14ac:dyDescent="0.15">
      <c r="A783" s="1">
        <v>1361</v>
      </c>
      <c r="B783" s="1" t="s">
        <v>15685</v>
      </c>
      <c r="C783" s="1" t="s">
        <v>9701</v>
      </c>
      <c r="F783" s="1" t="s">
        <v>9702</v>
      </c>
      <c r="G783" s="1" t="s">
        <v>9703</v>
      </c>
    </row>
    <row r="784" spans="1:7" x14ac:dyDescent="0.15">
      <c r="A784" s="1">
        <v>1362</v>
      </c>
      <c r="B784" s="1" t="s">
        <v>15685</v>
      </c>
      <c r="C784" s="1" t="s">
        <v>15722</v>
      </c>
      <c r="F784" s="1" t="s">
        <v>11570</v>
      </c>
      <c r="G784" s="1" t="s">
        <v>9704</v>
      </c>
    </row>
    <row r="785" spans="1:7" x14ac:dyDescent="0.15">
      <c r="A785" s="1">
        <v>1363</v>
      </c>
      <c r="B785" s="1" t="s">
        <v>15685</v>
      </c>
      <c r="C785" s="1" t="s">
        <v>11378</v>
      </c>
      <c r="D785" s="1" t="s">
        <v>12625</v>
      </c>
      <c r="F785" s="1" t="s">
        <v>11379</v>
      </c>
      <c r="G785" s="1" t="s">
        <v>9705</v>
      </c>
    </row>
    <row r="786" spans="1:7" x14ac:dyDescent="0.15">
      <c r="A786" s="1">
        <v>1364</v>
      </c>
      <c r="B786" s="1" t="s">
        <v>15685</v>
      </c>
      <c r="C786" s="1" t="s">
        <v>9706</v>
      </c>
      <c r="F786" s="1" t="s">
        <v>11375</v>
      </c>
      <c r="G786" s="1" t="s">
        <v>9707</v>
      </c>
    </row>
    <row r="787" spans="1:7" x14ac:dyDescent="0.15">
      <c r="A787" s="1">
        <v>1365</v>
      </c>
      <c r="B787" s="1" t="s">
        <v>15685</v>
      </c>
      <c r="C787" s="1" t="s">
        <v>15729</v>
      </c>
      <c r="F787" s="1" t="s">
        <v>11375</v>
      </c>
      <c r="G787" s="1" t="s">
        <v>9708</v>
      </c>
    </row>
    <row r="788" spans="1:7" x14ac:dyDescent="0.15">
      <c r="A788" s="1">
        <v>1366</v>
      </c>
      <c r="B788" s="1" t="s">
        <v>15685</v>
      </c>
      <c r="C788" s="1" t="s">
        <v>9709</v>
      </c>
      <c r="F788" s="1" t="s">
        <v>10742</v>
      </c>
      <c r="G788" s="1" t="s">
        <v>9710</v>
      </c>
    </row>
    <row r="789" spans="1:7" x14ac:dyDescent="0.15">
      <c r="A789" s="1">
        <v>1367</v>
      </c>
      <c r="B789" s="1" t="s">
        <v>15685</v>
      </c>
      <c r="C789" s="1" t="s">
        <v>15736</v>
      </c>
      <c r="F789" s="1" t="s">
        <v>10742</v>
      </c>
      <c r="G789" s="1" t="s">
        <v>9711</v>
      </c>
    </row>
    <row r="790" spans="1:7" x14ac:dyDescent="0.15">
      <c r="A790" s="1">
        <v>1369</v>
      </c>
      <c r="B790" s="1" t="s">
        <v>15685</v>
      </c>
      <c r="C790" s="1" t="s">
        <v>9712</v>
      </c>
      <c r="F790" s="1" t="s">
        <v>9713</v>
      </c>
      <c r="G790" s="1" t="s">
        <v>9714</v>
      </c>
    </row>
    <row r="791" spans="1:7" x14ac:dyDescent="0.15">
      <c r="A791" s="1">
        <v>1370</v>
      </c>
      <c r="B791" s="1" t="s">
        <v>15685</v>
      </c>
      <c r="C791" s="1" t="s">
        <v>15743</v>
      </c>
      <c r="F791" s="1" t="s">
        <v>9713</v>
      </c>
      <c r="G791" s="1" t="s">
        <v>9715</v>
      </c>
    </row>
    <row r="792" spans="1:7" x14ac:dyDescent="0.15">
      <c r="A792" s="1">
        <v>1372</v>
      </c>
      <c r="B792" s="1" t="s">
        <v>15685</v>
      </c>
      <c r="C792" s="1" t="s">
        <v>9716</v>
      </c>
      <c r="F792" s="1" t="s">
        <v>9717</v>
      </c>
      <c r="G792" s="1" t="s">
        <v>9718</v>
      </c>
    </row>
    <row r="793" spans="1:7" x14ac:dyDescent="0.15">
      <c r="A793" s="1">
        <v>1373</v>
      </c>
      <c r="B793" s="1" t="s">
        <v>15685</v>
      </c>
      <c r="C793" s="1" t="s">
        <v>15750</v>
      </c>
      <c r="F793" s="1" t="s">
        <v>9717</v>
      </c>
      <c r="G793" s="1" t="s">
        <v>9719</v>
      </c>
    </row>
    <row r="794" spans="1:7" x14ac:dyDescent="0.15">
      <c r="A794" s="1">
        <v>1374</v>
      </c>
      <c r="B794" s="1" t="s">
        <v>15753</v>
      </c>
      <c r="C794" s="1" t="s">
        <v>9720</v>
      </c>
      <c r="F794" s="1" t="s">
        <v>9721</v>
      </c>
      <c r="G794" s="1" t="s">
        <v>9722</v>
      </c>
    </row>
    <row r="795" spans="1:7" x14ac:dyDescent="0.15">
      <c r="A795" s="1">
        <v>1375</v>
      </c>
      <c r="B795" s="1" t="s">
        <v>15753</v>
      </c>
      <c r="C795" s="1" t="s">
        <v>9723</v>
      </c>
      <c r="F795" s="1" t="s">
        <v>9724</v>
      </c>
      <c r="G795" s="1" t="s">
        <v>9725</v>
      </c>
    </row>
    <row r="796" spans="1:7" x14ac:dyDescent="0.15">
      <c r="A796" s="1">
        <v>1376</v>
      </c>
      <c r="B796" s="1" t="s">
        <v>15753</v>
      </c>
      <c r="C796" s="1" t="s">
        <v>15762</v>
      </c>
      <c r="F796" s="1" t="s">
        <v>9726</v>
      </c>
      <c r="G796" s="1" t="s">
        <v>9727</v>
      </c>
    </row>
    <row r="797" spans="1:7" x14ac:dyDescent="0.15">
      <c r="A797" s="1">
        <v>1377</v>
      </c>
      <c r="B797" s="1" t="s">
        <v>15753</v>
      </c>
      <c r="C797" s="1" t="s">
        <v>15766</v>
      </c>
      <c r="F797" s="1" t="s">
        <v>9728</v>
      </c>
      <c r="G797" s="1" t="s">
        <v>9729</v>
      </c>
    </row>
    <row r="798" spans="1:7" x14ac:dyDescent="0.15">
      <c r="A798" s="1">
        <v>1378</v>
      </c>
      <c r="B798" s="1" t="s">
        <v>15753</v>
      </c>
      <c r="C798" s="1" t="s">
        <v>15770</v>
      </c>
      <c r="F798" s="1" t="s">
        <v>9730</v>
      </c>
      <c r="G798" s="1" t="s">
        <v>9731</v>
      </c>
    </row>
    <row r="799" spans="1:7" x14ac:dyDescent="0.15">
      <c r="A799" s="1">
        <v>1379</v>
      </c>
      <c r="B799" s="1" t="s">
        <v>15753</v>
      </c>
      <c r="C799" s="1" t="s">
        <v>15774</v>
      </c>
      <c r="F799" s="1" t="s">
        <v>9732</v>
      </c>
      <c r="G799" s="1" t="s">
        <v>9733</v>
      </c>
    </row>
    <row r="800" spans="1:7" x14ac:dyDescent="0.15">
      <c r="A800" s="1">
        <v>1380</v>
      </c>
      <c r="B800" s="1" t="s">
        <v>15778</v>
      </c>
      <c r="C800" s="1" t="s">
        <v>9734</v>
      </c>
      <c r="F800" s="1" t="s">
        <v>9735</v>
      </c>
      <c r="G800" s="1" t="s">
        <v>9736</v>
      </c>
    </row>
    <row r="801" spans="1:7" x14ac:dyDescent="0.15">
      <c r="A801" s="1">
        <v>1381</v>
      </c>
      <c r="B801" s="1" t="s">
        <v>15778</v>
      </c>
      <c r="C801" s="1" t="s">
        <v>9737</v>
      </c>
      <c r="F801" s="1" t="s">
        <v>11191</v>
      </c>
      <c r="G801" s="1" t="s">
        <v>9738</v>
      </c>
    </row>
    <row r="802" spans="1:7" x14ac:dyDescent="0.15">
      <c r="A802" s="1">
        <v>1382</v>
      </c>
      <c r="B802" s="1" t="s">
        <v>15778</v>
      </c>
      <c r="C802" s="1" t="s">
        <v>15787</v>
      </c>
      <c r="F802" s="1" t="s">
        <v>11191</v>
      </c>
      <c r="G802" s="1" t="s">
        <v>9739</v>
      </c>
    </row>
    <row r="803" spans="1:7" x14ac:dyDescent="0.15">
      <c r="A803" s="1">
        <v>1385</v>
      </c>
      <c r="B803" s="1" t="s">
        <v>15778</v>
      </c>
      <c r="C803" s="1" t="s">
        <v>9742</v>
      </c>
      <c r="F803" s="1" t="s">
        <v>9743</v>
      </c>
      <c r="G803" s="1" t="s">
        <v>9744</v>
      </c>
    </row>
    <row r="804" spans="1:7" x14ac:dyDescent="0.15">
      <c r="A804" s="1">
        <v>1386</v>
      </c>
      <c r="B804" s="1" t="s">
        <v>15778</v>
      </c>
      <c r="C804" s="1" t="s">
        <v>15794</v>
      </c>
      <c r="F804" s="1" t="s">
        <v>9745</v>
      </c>
      <c r="G804" s="1" t="s">
        <v>9746</v>
      </c>
    </row>
    <row r="805" spans="1:7" x14ac:dyDescent="0.15">
      <c r="A805" s="1">
        <v>1389</v>
      </c>
      <c r="B805" s="1" t="s">
        <v>15778</v>
      </c>
      <c r="C805" s="1" t="s">
        <v>9749</v>
      </c>
      <c r="F805" s="1" t="s">
        <v>9750</v>
      </c>
      <c r="G805" s="1" t="s">
        <v>9751</v>
      </c>
    </row>
    <row r="806" spans="1:7" x14ac:dyDescent="0.15">
      <c r="A806" s="1">
        <v>1390</v>
      </c>
      <c r="B806" s="1" t="s">
        <v>15778</v>
      </c>
      <c r="C806" s="1" t="s">
        <v>15801</v>
      </c>
      <c r="F806" s="1" t="s">
        <v>9750</v>
      </c>
      <c r="G806" s="1" t="s">
        <v>9752</v>
      </c>
    </row>
    <row r="807" spans="1:7" x14ac:dyDescent="0.15">
      <c r="A807" s="1">
        <v>1391</v>
      </c>
      <c r="B807" s="1" t="s">
        <v>15803</v>
      </c>
      <c r="C807" s="1" t="s">
        <v>11577</v>
      </c>
      <c r="F807" s="1" t="s">
        <v>11578</v>
      </c>
      <c r="G807" s="1" t="s">
        <v>9753</v>
      </c>
    </row>
    <row r="808" spans="1:7" x14ac:dyDescent="0.15">
      <c r="A808" s="1">
        <v>1396</v>
      </c>
      <c r="B808" s="1" t="s">
        <v>15803</v>
      </c>
      <c r="C808" s="1" t="s">
        <v>9756</v>
      </c>
      <c r="F808" s="1" t="s">
        <v>9757</v>
      </c>
      <c r="G808" s="1" t="s">
        <v>9758</v>
      </c>
    </row>
    <row r="809" spans="1:7" x14ac:dyDescent="0.15">
      <c r="A809" s="1">
        <v>1397</v>
      </c>
      <c r="B809" s="1" t="s">
        <v>15803</v>
      </c>
      <c r="C809" s="1" t="s">
        <v>15812</v>
      </c>
      <c r="F809" s="1" t="s">
        <v>10707</v>
      </c>
      <c r="G809" s="1" t="s">
        <v>9759</v>
      </c>
    </row>
    <row r="810" spans="1:7" x14ac:dyDescent="0.15">
      <c r="A810" s="1">
        <v>1398</v>
      </c>
      <c r="B810" s="1" t="s">
        <v>15803</v>
      </c>
      <c r="C810" s="1" t="s">
        <v>9760</v>
      </c>
      <c r="D810" s="1" t="s">
        <v>12625</v>
      </c>
      <c r="F810" s="1" t="s">
        <v>9761</v>
      </c>
      <c r="G810" s="1" t="s">
        <v>9762</v>
      </c>
    </row>
    <row r="811" spans="1:7" x14ac:dyDescent="0.15">
      <c r="A811" s="1">
        <v>1399</v>
      </c>
      <c r="B811" s="1" t="s">
        <v>15803</v>
      </c>
      <c r="C811" s="1" t="s">
        <v>11713</v>
      </c>
      <c r="F811" s="1" t="s">
        <v>9763</v>
      </c>
      <c r="G811" s="1" t="s">
        <v>9764</v>
      </c>
    </row>
    <row r="812" spans="1:7" x14ac:dyDescent="0.15">
      <c r="A812" s="1">
        <v>1400</v>
      </c>
      <c r="B812" s="1" t="s">
        <v>15803</v>
      </c>
      <c r="C812" s="1" t="s">
        <v>15819</v>
      </c>
      <c r="F812" s="1" t="s">
        <v>9765</v>
      </c>
      <c r="G812" s="1" t="s">
        <v>9766</v>
      </c>
    </row>
    <row r="813" spans="1:7" x14ac:dyDescent="0.15">
      <c r="A813" s="1">
        <v>1401</v>
      </c>
      <c r="B813" s="1" t="s">
        <v>15803</v>
      </c>
      <c r="C813" s="1" t="s">
        <v>15823</v>
      </c>
      <c r="F813" s="1" t="s">
        <v>9767</v>
      </c>
      <c r="G813" s="1" t="s">
        <v>9768</v>
      </c>
    </row>
    <row r="814" spans="1:7" x14ac:dyDescent="0.15">
      <c r="A814" s="1">
        <v>1402</v>
      </c>
      <c r="B814" s="1" t="s">
        <v>15803</v>
      </c>
      <c r="C814" s="1" t="s">
        <v>9769</v>
      </c>
      <c r="D814" s="1" t="s">
        <v>11582</v>
      </c>
      <c r="F814" s="1" t="s">
        <v>9770</v>
      </c>
      <c r="G814" s="1" t="s">
        <v>9771</v>
      </c>
    </row>
    <row r="815" spans="1:7" x14ac:dyDescent="0.15">
      <c r="A815" s="1">
        <v>1403</v>
      </c>
      <c r="B815" s="1" t="s">
        <v>15803</v>
      </c>
      <c r="C815" s="1" t="s">
        <v>9772</v>
      </c>
      <c r="D815" s="1" t="s">
        <v>12625</v>
      </c>
      <c r="F815" s="1" t="s">
        <v>9773</v>
      </c>
      <c r="G815" s="1" t="s">
        <v>9774</v>
      </c>
    </row>
    <row r="816" spans="1:7" x14ac:dyDescent="0.15">
      <c r="A816" s="1">
        <v>1404</v>
      </c>
      <c r="B816" s="1" t="s">
        <v>15803</v>
      </c>
      <c r="C816" s="1" t="s">
        <v>9775</v>
      </c>
      <c r="D816" s="1" t="s">
        <v>12625</v>
      </c>
      <c r="F816" s="1" t="s">
        <v>9776</v>
      </c>
      <c r="G816" s="1" t="s">
        <v>9777</v>
      </c>
    </row>
    <row r="817" spans="1:7" x14ac:dyDescent="0.15">
      <c r="A817" s="1">
        <v>1405</v>
      </c>
      <c r="B817" s="1" t="s">
        <v>15803</v>
      </c>
      <c r="C817" s="1" t="s">
        <v>9778</v>
      </c>
      <c r="D817" s="1" t="s">
        <v>12625</v>
      </c>
      <c r="F817" s="1" t="s">
        <v>9779</v>
      </c>
      <c r="G817" s="1" t="s">
        <v>9780</v>
      </c>
    </row>
    <row r="818" spans="1:7" x14ac:dyDescent="0.15">
      <c r="A818" s="1">
        <v>1406</v>
      </c>
      <c r="B818" s="1" t="s">
        <v>15803</v>
      </c>
      <c r="C818" s="1" t="s">
        <v>9781</v>
      </c>
      <c r="D818" s="1" t="s">
        <v>12625</v>
      </c>
      <c r="F818" s="1" t="s">
        <v>9782</v>
      </c>
      <c r="G818" s="1" t="s">
        <v>9783</v>
      </c>
    </row>
    <row r="819" spans="1:7" x14ac:dyDescent="0.15">
      <c r="A819" s="1">
        <v>1407</v>
      </c>
      <c r="B819" s="1" t="s">
        <v>15803</v>
      </c>
      <c r="C819" s="1" t="s">
        <v>9784</v>
      </c>
      <c r="D819" s="1" t="s">
        <v>11582</v>
      </c>
      <c r="F819" s="1" t="s">
        <v>9785</v>
      </c>
      <c r="G819" s="1" t="s">
        <v>9786</v>
      </c>
    </row>
    <row r="820" spans="1:7" x14ac:dyDescent="0.15">
      <c r="A820" s="1">
        <v>1408</v>
      </c>
      <c r="B820" s="1" t="s">
        <v>15803</v>
      </c>
      <c r="C820" s="1" t="s">
        <v>9787</v>
      </c>
      <c r="D820" s="1" t="s">
        <v>12625</v>
      </c>
      <c r="F820" s="1" t="s">
        <v>9788</v>
      </c>
      <c r="G820" s="1" t="s">
        <v>9789</v>
      </c>
    </row>
    <row r="821" spans="1:7" x14ac:dyDescent="0.15">
      <c r="A821" s="1">
        <v>1409</v>
      </c>
      <c r="B821" s="1" t="s">
        <v>15803</v>
      </c>
      <c r="C821" s="1" t="s">
        <v>9790</v>
      </c>
      <c r="D821" s="1" t="s">
        <v>12625</v>
      </c>
      <c r="F821" s="1" t="s">
        <v>9791</v>
      </c>
      <c r="G821" s="1" t="s">
        <v>9792</v>
      </c>
    </row>
    <row r="822" spans="1:7" x14ac:dyDescent="0.15">
      <c r="A822" s="1">
        <v>1410</v>
      </c>
      <c r="B822" s="1" t="s">
        <v>15803</v>
      </c>
      <c r="C822" s="1" t="s">
        <v>12615</v>
      </c>
      <c r="F822" s="1" t="s">
        <v>11226</v>
      </c>
      <c r="G822" s="1" t="s">
        <v>9793</v>
      </c>
    </row>
    <row r="823" spans="1:7" x14ac:dyDescent="0.15">
      <c r="A823" s="1">
        <v>1412</v>
      </c>
      <c r="B823" s="1" t="s">
        <v>15803</v>
      </c>
      <c r="C823" s="1" t="s">
        <v>15831</v>
      </c>
      <c r="F823" s="1" t="s">
        <v>11226</v>
      </c>
      <c r="G823" s="1" t="s">
        <v>9794</v>
      </c>
    </row>
    <row r="824" spans="1:7" x14ac:dyDescent="0.15">
      <c r="A824" s="1">
        <v>1413</v>
      </c>
      <c r="B824" s="1" t="s">
        <v>15803</v>
      </c>
      <c r="C824" s="1" t="s">
        <v>15835</v>
      </c>
      <c r="F824" s="1" t="s">
        <v>9795</v>
      </c>
      <c r="G824" s="1" t="s">
        <v>9796</v>
      </c>
    </row>
    <row r="825" spans="1:7" x14ac:dyDescent="0.15">
      <c r="A825" s="1">
        <v>1414</v>
      </c>
      <c r="B825" s="1" t="s">
        <v>15803</v>
      </c>
      <c r="C825" s="1" t="s">
        <v>15839</v>
      </c>
      <c r="F825" s="1" t="s">
        <v>9797</v>
      </c>
      <c r="G825" s="1" t="s">
        <v>9798</v>
      </c>
    </row>
    <row r="826" spans="1:7" x14ac:dyDescent="0.15">
      <c r="A826" s="1">
        <v>1415</v>
      </c>
      <c r="B826" s="1" t="s">
        <v>15803</v>
      </c>
      <c r="C826" s="1" t="s">
        <v>9799</v>
      </c>
      <c r="D826" s="1" t="s">
        <v>12625</v>
      </c>
      <c r="F826" s="1" t="s">
        <v>9800</v>
      </c>
      <c r="G826" s="1" t="s">
        <v>9801</v>
      </c>
    </row>
    <row r="827" spans="1:7" x14ac:dyDescent="0.15">
      <c r="A827" s="1">
        <v>1416</v>
      </c>
      <c r="B827" s="1" t="s">
        <v>15803</v>
      </c>
      <c r="C827" s="1" t="s">
        <v>15843</v>
      </c>
      <c r="F827" s="1" t="s">
        <v>9802</v>
      </c>
      <c r="G827" s="1" t="s">
        <v>9803</v>
      </c>
    </row>
    <row r="828" spans="1:7" x14ac:dyDescent="0.15">
      <c r="A828" s="1">
        <v>1417</v>
      </c>
      <c r="B828" s="1" t="s">
        <v>15803</v>
      </c>
      <c r="C828" s="1" t="s">
        <v>9804</v>
      </c>
      <c r="F828" s="1" t="s">
        <v>11714</v>
      </c>
      <c r="G828" s="1" t="s">
        <v>9805</v>
      </c>
    </row>
    <row r="829" spans="1:7" x14ac:dyDescent="0.15">
      <c r="A829" s="1">
        <v>1418</v>
      </c>
      <c r="B829" s="1" t="s">
        <v>15803</v>
      </c>
      <c r="C829" s="1" t="s">
        <v>15851</v>
      </c>
      <c r="F829" s="1" t="s">
        <v>9806</v>
      </c>
      <c r="G829" s="1" t="s">
        <v>9807</v>
      </c>
    </row>
    <row r="830" spans="1:7" x14ac:dyDescent="0.15">
      <c r="A830" s="1">
        <v>1419</v>
      </c>
      <c r="B830" s="1" t="s">
        <v>15803</v>
      </c>
      <c r="C830" s="1" t="s">
        <v>15855</v>
      </c>
      <c r="D830" s="1" t="s">
        <v>11582</v>
      </c>
      <c r="F830" s="1" t="s">
        <v>9770</v>
      </c>
      <c r="G830" s="1" t="s">
        <v>9808</v>
      </c>
    </row>
    <row r="831" spans="1:7" x14ac:dyDescent="0.15">
      <c r="A831" s="1">
        <v>1420</v>
      </c>
      <c r="B831" s="1" t="s">
        <v>15803</v>
      </c>
      <c r="C831" s="1" t="s">
        <v>9809</v>
      </c>
      <c r="D831" s="1" t="s">
        <v>11582</v>
      </c>
      <c r="F831" s="1" t="s">
        <v>9810</v>
      </c>
      <c r="G831" s="1" t="s">
        <v>9811</v>
      </c>
    </row>
    <row r="832" spans="1:7" x14ac:dyDescent="0.15">
      <c r="A832" s="1">
        <v>1421</v>
      </c>
      <c r="B832" s="1" t="s">
        <v>15803</v>
      </c>
      <c r="C832" s="1" t="s">
        <v>9812</v>
      </c>
      <c r="D832" s="1" t="s">
        <v>12625</v>
      </c>
      <c r="F832" s="1" t="s">
        <v>9813</v>
      </c>
      <c r="G832" s="1" t="s">
        <v>9814</v>
      </c>
    </row>
    <row r="833" spans="1:7" x14ac:dyDescent="0.15">
      <c r="A833" s="1">
        <v>1422</v>
      </c>
      <c r="B833" s="1" t="s">
        <v>15803</v>
      </c>
      <c r="C833" s="1" t="s">
        <v>9815</v>
      </c>
      <c r="D833" s="1" t="s">
        <v>12625</v>
      </c>
      <c r="F833" s="1" t="s">
        <v>9816</v>
      </c>
      <c r="G833" s="1" t="s">
        <v>9817</v>
      </c>
    </row>
    <row r="834" spans="1:7" x14ac:dyDescent="0.15">
      <c r="A834" s="1">
        <v>1423</v>
      </c>
      <c r="B834" s="1" t="s">
        <v>15803</v>
      </c>
      <c r="C834" s="1" t="s">
        <v>9818</v>
      </c>
      <c r="D834" s="1" t="s">
        <v>12625</v>
      </c>
      <c r="F834" s="1" t="s">
        <v>9819</v>
      </c>
      <c r="G834" s="1" t="s">
        <v>9820</v>
      </c>
    </row>
    <row r="835" spans="1:7" x14ac:dyDescent="0.15">
      <c r="A835" s="1">
        <v>1424</v>
      </c>
      <c r="B835" s="1" t="s">
        <v>15803</v>
      </c>
      <c r="C835" s="1" t="s">
        <v>9821</v>
      </c>
      <c r="D835" s="1" t="s">
        <v>12625</v>
      </c>
      <c r="F835" s="1" t="s">
        <v>9822</v>
      </c>
      <c r="G835" s="1" t="s">
        <v>9823</v>
      </c>
    </row>
    <row r="836" spans="1:7" x14ac:dyDescent="0.15">
      <c r="A836" s="1">
        <v>1425</v>
      </c>
      <c r="B836" s="1" t="s">
        <v>15803</v>
      </c>
      <c r="C836" s="1" t="s">
        <v>15859</v>
      </c>
      <c r="F836" s="1" t="s">
        <v>9824</v>
      </c>
      <c r="G836" s="1" t="s">
        <v>9825</v>
      </c>
    </row>
    <row r="837" spans="1:7" x14ac:dyDescent="0.15">
      <c r="A837" s="1">
        <v>1426</v>
      </c>
      <c r="B837" s="1" t="s">
        <v>15803</v>
      </c>
      <c r="C837" s="1" t="s">
        <v>11732</v>
      </c>
      <c r="F837" s="1" t="s">
        <v>11733</v>
      </c>
      <c r="G837" s="1" t="s">
        <v>9826</v>
      </c>
    </row>
    <row r="838" spans="1:7" x14ac:dyDescent="0.15">
      <c r="A838" s="1">
        <v>1427</v>
      </c>
      <c r="B838" s="1" t="s">
        <v>15803</v>
      </c>
      <c r="C838" s="1" t="s">
        <v>15867</v>
      </c>
      <c r="D838" s="1" t="s">
        <v>12593</v>
      </c>
      <c r="F838" s="1" t="s">
        <v>9827</v>
      </c>
      <c r="G838" s="1" t="s">
        <v>9828</v>
      </c>
    </row>
    <row r="839" spans="1:7" x14ac:dyDescent="0.15">
      <c r="A839" s="1">
        <v>1428</v>
      </c>
      <c r="B839" s="1" t="s">
        <v>15803</v>
      </c>
      <c r="C839" s="1" t="s">
        <v>9829</v>
      </c>
      <c r="D839" s="1" t="s">
        <v>12625</v>
      </c>
      <c r="F839" s="1" t="s">
        <v>9830</v>
      </c>
      <c r="G839" s="1" t="s">
        <v>9831</v>
      </c>
    </row>
    <row r="840" spans="1:7" x14ac:dyDescent="0.15">
      <c r="A840" s="1">
        <v>1430</v>
      </c>
      <c r="B840" s="1" t="s">
        <v>15803</v>
      </c>
      <c r="C840" s="1" t="s">
        <v>9832</v>
      </c>
      <c r="D840" s="1" t="s">
        <v>12625</v>
      </c>
      <c r="F840" s="1" t="s">
        <v>9833</v>
      </c>
      <c r="G840" s="1" t="s">
        <v>9834</v>
      </c>
    </row>
    <row r="841" spans="1:7" x14ac:dyDescent="0.15">
      <c r="A841" s="1">
        <v>1431</v>
      </c>
      <c r="B841" s="1" t="s">
        <v>15803</v>
      </c>
      <c r="C841" s="1" t="s">
        <v>9835</v>
      </c>
      <c r="D841" s="1" t="s">
        <v>11582</v>
      </c>
      <c r="F841" s="1" t="s">
        <v>9836</v>
      </c>
      <c r="G841" s="1" t="s">
        <v>9837</v>
      </c>
    </row>
    <row r="842" spans="1:7" x14ac:dyDescent="0.15">
      <c r="A842" s="1">
        <v>1432</v>
      </c>
      <c r="B842" s="1" t="s">
        <v>15803</v>
      </c>
      <c r="C842" s="1" t="s">
        <v>9838</v>
      </c>
      <c r="D842" s="1" t="s">
        <v>11582</v>
      </c>
      <c r="F842" s="1" t="s">
        <v>9839</v>
      </c>
      <c r="G842" s="1" t="s">
        <v>9840</v>
      </c>
    </row>
    <row r="843" spans="1:7" x14ac:dyDescent="0.15">
      <c r="A843" s="1">
        <v>1433</v>
      </c>
      <c r="B843" s="1" t="s">
        <v>15803</v>
      </c>
      <c r="C843" s="1" t="s">
        <v>9841</v>
      </c>
      <c r="D843" s="1" t="s">
        <v>12625</v>
      </c>
      <c r="F843" s="1" t="s">
        <v>9842</v>
      </c>
      <c r="G843" s="1" t="s">
        <v>9414</v>
      </c>
    </row>
    <row r="844" spans="1:7" x14ac:dyDescent="0.15">
      <c r="A844" s="1">
        <v>1434</v>
      </c>
      <c r="B844" s="1" t="s">
        <v>15803</v>
      </c>
      <c r="C844" s="1" t="s">
        <v>9415</v>
      </c>
      <c r="D844" s="1" t="s">
        <v>11582</v>
      </c>
      <c r="F844" s="1" t="s">
        <v>9416</v>
      </c>
      <c r="G844" s="1" t="s">
        <v>9417</v>
      </c>
    </row>
    <row r="845" spans="1:7" x14ac:dyDescent="0.15">
      <c r="A845" s="1">
        <v>1435</v>
      </c>
      <c r="B845" s="1" t="s">
        <v>15803</v>
      </c>
      <c r="C845" s="1" t="s">
        <v>9418</v>
      </c>
      <c r="D845" s="1" t="s">
        <v>12625</v>
      </c>
      <c r="F845" s="1" t="s">
        <v>9419</v>
      </c>
      <c r="G845" s="1" t="s">
        <v>9420</v>
      </c>
    </row>
    <row r="846" spans="1:7" x14ac:dyDescent="0.15">
      <c r="A846" s="1">
        <v>1436</v>
      </c>
      <c r="B846" s="1" t="s">
        <v>15803</v>
      </c>
      <c r="C846" s="1" t="s">
        <v>9421</v>
      </c>
      <c r="D846" s="1" t="s">
        <v>12593</v>
      </c>
      <c r="F846" s="1" t="s">
        <v>9422</v>
      </c>
      <c r="G846" s="1" t="s">
        <v>9423</v>
      </c>
    </row>
    <row r="847" spans="1:7" x14ac:dyDescent="0.15">
      <c r="A847" s="1">
        <v>1437</v>
      </c>
      <c r="B847" s="1" t="s">
        <v>15803</v>
      </c>
      <c r="C847" s="1" t="s">
        <v>15874</v>
      </c>
      <c r="D847" s="1" t="s">
        <v>11582</v>
      </c>
      <c r="F847" s="1" t="s">
        <v>9810</v>
      </c>
      <c r="G847" s="1" t="s">
        <v>9424</v>
      </c>
    </row>
    <row r="848" spans="1:7" x14ac:dyDescent="0.15">
      <c r="A848" s="1">
        <v>1438</v>
      </c>
      <c r="B848" s="1" t="s">
        <v>15803</v>
      </c>
      <c r="C848" s="1" t="s">
        <v>15878</v>
      </c>
      <c r="D848" s="1" t="s">
        <v>11582</v>
      </c>
      <c r="F848" s="1" t="s">
        <v>12617</v>
      </c>
      <c r="G848" s="1" t="s">
        <v>9425</v>
      </c>
    </row>
    <row r="849" spans="1:7" x14ac:dyDescent="0.15">
      <c r="A849" s="1">
        <v>1439</v>
      </c>
      <c r="B849" s="1" t="s">
        <v>15803</v>
      </c>
      <c r="C849" s="1" t="s">
        <v>15882</v>
      </c>
      <c r="D849" s="1" t="s">
        <v>11582</v>
      </c>
      <c r="F849" s="1" t="s">
        <v>9426</v>
      </c>
      <c r="G849" s="1" t="s">
        <v>9427</v>
      </c>
    </row>
    <row r="850" spans="1:7" x14ac:dyDescent="0.15">
      <c r="A850" s="1">
        <v>1440</v>
      </c>
      <c r="B850" s="1" t="s">
        <v>15803</v>
      </c>
      <c r="C850" s="1" t="s">
        <v>15886</v>
      </c>
      <c r="D850" s="1" t="s">
        <v>11582</v>
      </c>
      <c r="F850" s="1" t="s">
        <v>9428</v>
      </c>
      <c r="G850" s="1" t="s">
        <v>9429</v>
      </c>
    </row>
    <row r="851" spans="1:7" x14ac:dyDescent="0.15">
      <c r="A851" s="1">
        <v>1441</v>
      </c>
      <c r="B851" s="1" t="s">
        <v>15803</v>
      </c>
      <c r="C851" s="1" t="s">
        <v>15890</v>
      </c>
      <c r="D851" s="1" t="s">
        <v>11582</v>
      </c>
      <c r="F851" s="1" t="s">
        <v>11744</v>
      </c>
      <c r="G851" s="1" t="s">
        <v>9430</v>
      </c>
    </row>
    <row r="852" spans="1:7" x14ac:dyDescent="0.15">
      <c r="A852" s="1">
        <v>1442</v>
      </c>
      <c r="B852" s="1" t="s">
        <v>15803</v>
      </c>
      <c r="C852" s="1" t="s">
        <v>15894</v>
      </c>
      <c r="D852" s="1" t="s">
        <v>11582</v>
      </c>
      <c r="F852" s="1" t="s">
        <v>9839</v>
      </c>
      <c r="G852" s="1" t="s">
        <v>9431</v>
      </c>
    </row>
    <row r="853" spans="1:7" x14ac:dyDescent="0.15">
      <c r="A853" s="1">
        <v>1443</v>
      </c>
      <c r="B853" s="1" t="s">
        <v>15803</v>
      </c>
      <c r="C853" s="1" t="s">
        <v>15898</v>
      </c>
      <c r="D853" s="1" t="s">
        <v>11582</v>
      </c>
      <c r="F853" s="1" t="s">
        <v>9785</v>
      </c>
      <c r="G853" s="1" t="s">
        <v>9432</v>
      </c>
    </row>
    <row r="854" spans="1:7" x14ac:dyDescent="0.15">
      <c r="A854" s="1">
        <v>1444</v>
      </c>
      <c r="B854" s="1" t="s">
        <v>15803</v>
      </c>
      <c r="C854" s="1" t="s">
        <v>15902</v>
      </c>
      <c r="D854" s="1" t="s">
        <v>11582</v>
      </c>
      <c r="F854" s="1" t="s">
        <v>9433</v>
      </c>
      <c r="G854" s="1" t="s">
        <v>9434</v>
      </c>
    </row>
    <row r="855" spans="1:7" x14ac:dyDescent="0.15">
      <c r="A855" s="1">
        <v>1445</v>
      </c>
      <c r="B855" s="1" t="s">
        <v>15803</v>
      </c>
      <c r="C855" s="1" t="s">
        <v>15906</v>
      </c>
      <c r="D855" s="1" t="s">
        <v>12593</v>
      </c>
      <c r="F855" s="1" t="s">
        <v>9435</v>
      </c>
      <c r="G855" s="1" t="s">
        <v>9436</v>
      </c>
    </row>
    <row r="856" spans="1:7" x14ac:dyDescent="0.15">
      <c r="A856" s="1">
        <v>1446</v>
      </c>
      <c r="B856" s="1" t="s">
        <v>15803</v>
      </c>
      <c r="C856" s="1" t="s">
        <v>15910</v>
      </c>
      <c r="D856" s="1" t="s">
        <v>11582</v>
      </c>
      <c r="F856" s="1" t="s">
        <v>9437</v>
      </c>
      <c r="G856" s="1" t="s">
        <v>9438</v>
      </c>
    </row>
    <row r="857" spans="1:7" x14ac:dyDescent="0.15">
      <c r="A857" s="1">
        <v>1447</v>
      </c>
      <c r="B857" s="1" t="s">
        <v>15803</v>
      </c>
      <c r="C857" s="1" t="s">
        <v>15914</v>
      </c>
      <c r="D857" s="1" t="s">
        <v>11582</v>
      </c>
      <c r="F857" s="1" t="s">
        <v>9439</v>
      </c>
      <c r="G857" s="1" t="s">
        <v>9440</v>
      </c>
    </row>
    <row r="858" spans="1:7" x14ac:dyDescent="0.15">
      <c r="A858" s="1">
        <v>1448</v>
      </c>
      <c r="B858" s="1" t="s">
        <v>15803</v>
      </c>
      <c r="C858" s="1" t="s">
        <v>15145</v>
      </c>
      <c r="D858" s="1" t="s">
        <v>11582</v>
      </c>
      <c r="F858" s="1" t="s">
        <v>11728</v>
      </c>
      <c r="G858" s="1" t="s">
        <v>9441</v>
      </c>
    </row>
    <row r="859" spans="1:7" x14ac:dyDescent="0.15">
      <c r="A859" s="1">
        <v>1449</v>
      </c>
      <c r="B859" s="1" t="s">
        <v>15803</v>
      </c>
      <c r="C859" s="1" t="s">
        <v>15149</v>
      </c>
      <c r="D859" s="1" t="s">
        <v>11582</v>
      </c>
      <c r="F859" s="1" t="s">
        <v>9442</v>
      </c>
      <c r="G859" s="1" t="s">
        <v>9443</v>
      </c>
    </row>
    <row r="860" spans="1:7" x14ac:dyDescent="0.15">
      <c r="A860" s="1">
        <v>1450</v>
      </c>
      <c r="B860" s="1" t="s">
        <v>15803</v>
      </c>
      <c r="C860" s="1" t="s">
        <v>15153</v>
      </c>
      <c r="D860" s="1" t="s">
        <v>11582</v>
      </c>
      <c r="F860" s="1" t="s">
        <v>9444</v>
      </c>
      <c r="G860" s="1" t="s">
        <v>9445</v>
      </c>
    </row>
    <row r="861" spans="1:7" x14ac:dyDescent="0.15">
      <c r="A861" s="1">
        <v>1451</v>
      </c>
      <c r="B861" s="1" t="s">
        <v>15803</v>
      </c>
      <c r="C861" s="1" t="s">
        <v>15157</v>
      </c>
      <c r="D861" s="1" t="s">
        <v>11582</v>
      </c>
      <c r="F861" s="1" t="s">
        <v>9836</v>
      </c>
      <c r="G861" s="1" t="s">
        <v>9446</v>
      </c>
    </row>
    <row r="862" spans="1:7" x14ac:dyDescent="0.15">
      <c r="A862" s="1">
        <v>1452</v>
      </c>
      <c r="B862" s="1" t="s">
        <v>15803</v>
      </c>
      <c r="C862" s="1" t="s">
        <v>15161</v>
      </c>
      <c r="D862" s="1" t="s">
        <v>12593</v>
      </c>
      <c r="F862" s="1" t="s">
        <v>9447</v>
      </c>
      <c r="G862" s="1" t="s">
        <v>9423</v>
      </c>
    </row>
    <row r="863" spans="1:7" x14ac:dyDescent="0.15">
      <c r="A863" s="1">
        <v>1453</v>
      </c>
      <c r="B863" s="1" t="s">
        <v>15803</v>
      </c>
      <c r="C863" s="1" t="s">
        <v>12647</v>
      </c>
      <c r="F863" s="1" t="s">
        <v>11716</v>
      </c>
      <c r="G863" s="1" t="s">
        <v>9448</v>
      </c>
    </row>
    <row r="864" spans="1:7" x14ac:dyDescent="0.15">
      <c r="A864" s="1">
        <v>1454</v>
      </c>
      <c r="B864" s="1" t="s">
        <v>15803</v>
      </c>
      <c r="C864" s="1" t="s">
        <v>15169</v>
      </c>
      <c r="F864" s="1" t="s">
        <v>11716</v>
      </c>
      <c r="G864" s="1" t="s">
        <v>9449</v>
      </c>
    </row>
    <row r="865" spans="1:7" x14ac:dyDescent="0.15">
      <c r="A865" s="1">
        <v>1455</v>
      </c>
      <c r="B865" s="1" t="s">
        <v>15803</v>
      </c>
      <c r="C865" s="1" t="s">
        <v>15173</v>
      </c>
      <c r="F865" s="1" t="s">
        <v>11757</v>
      </c>
      <c r="G865" s="1" t="s">
        <v>9450</v>
      </c>
    </row>
    <row r="866" spans="1:7" x14ac:dyDescent="0.15">
      <c r="A866" s="1">
        <v>1456</v>
      </c>
      <c r="B866" s="1" t="s">
        <v>15803</v>
      </c>
      <c r="C866" s="1" t="s">
        <v>15177</v>
      </c>
      <c r="D866" s="1" t="s">
        <v>12593</v>
      </c>
      <c r="F866" s="1" t="s">
        <v>9451</v>
      </c>
      <c r="G866" s="1" t="s">
        <v>9452</v>
      </c>
    </row>
    <row r="867" spans="1:7" x14ac:dyDescent="0.15">
      <c r="A867" s="1">
        <v>1457</v>
      </c>
      <c r="B867" s="1" t="s">
        <v>15803</v>
      </c>
      <c r="C867" s="1" t="s">
        <v>15181</v>
      </c>
      <c r="D867" s="1" t="s">
        <v>11582</v>
      </c>
      <c r="F867" s="1" t="s">
        <v>9453</v>
      </c>
      <c r="G867" s="1" t="s">
        <v>9454</v>
      </c>
    </row>
    <row r="868" spans="1:7" x14ac:dyDescent="0.15">
      <c r="A868" s="1">
        <v>1458</v>
      </c>
      <c r="B868" s="1" t="s">
        <v>15803</v>
      </c>
      <c r="C868" s="1" t="s">
        <v>15185</v>
      </c>
      <c r="D868" s="1" t="s">
        <v>12593</v>
      </c>
      <c r="F868" s="1" t="s">
        <v>9455</v>
      </c>
      <c r="G868" s="1" t="s">
        <v>9456</v>
      </c>
    </row>
    <row r="869" spans="1:7" x14ac:dyDescent="0.15">
      <c r="A869" s="1">
        <v>1459</v>
      </c>
      <c r="B869" s="1" t="s">
        <v>15803</v>
      </c>
      <c r="C869" s="1" t="s">
        <v>11746</v>
      </c>
      <c r="D869" s="1" t="s">
        <v>12625</v>
      </c>
      <c r="F869" s="1" t="s">
        <v>11747</v>
      </c>
      <c r="G869" s="1" t="s">
        <v>9457</v>
      </c>
    </row>
    <row r="870" spans="1:7" x14ac:dyDescent="0.15">
      <c r="A870" s="1">
        <v>1461</v>
      </c>
      <c r="B870" s="1" t="s">
        <v>15803</v>
      </c>
      <c r="C870" s="1" t="s">
        <v>9459</v>
      </c>
      <c r="D870" s="1" t="s">
        <v>12625</v>
      </c>
      <c r="F870" s="1" t="s">
        <v>9460</v>
      </c>
      <c r="G870" s="1" t="s">
        <v>9461</v>
      </c>
    </row>
    <row r="871" spans="1:7" x14ac:dyDescent="0.15">
      <c r="A871" s="1">
        <v>1462</v>
      </c>
      <c r="B871" s="1" t="s">
        <v>15803</v>
      </c>
      <c r="C871" s="1" t="s">
        <v>12645</v>
      </c>
      <c r="D871" s="1" t="s">
        <v>12625</v>
      </c>
      <c r="F871" s="1" t="s">
        <v>12646</v>
      </c>
      <c r="G871" s="1" t="s">
        <v>9462</v>
      </c>
    </row>
    <row r="872" spans="1:7" x14ac:dyDescent="0.15">
      <c r="A872" s="1">
        <v>1463</v>
      </c>
      <c r="B872" s="1" t="s">
        <v>15803</v>
      </c>
      <c r="C872" s="1" t="s">
        <v>15189</v>
      </c>
      <c r="F872" s="1" t="s">
        <v>9463</v>
      </c>
      <c r="G872" s="1" t="s">
        <v>9464</v>
      </c>
    </row>
    <row r="873" spans="1:7" x14ac:dyDescent="0.15">
      <c r="A873" s="1">
        <v>1464</v>
      </c>
      <c r="B873" s="1" t="s">
        <v>15803</v>
      </c>
      <c r="C873" s="1" t="s">
        <v>12620</v>
      </c>
      <c r="D873" s="1" t="s">
        <v>12625</v>
      </c>
      <c r="F873" s="1" t="s">
        <v>12621</v>
      </c>
      <c r="G873" s="1" t="s">
        <v>9465</v>
      </c>
    </row>
    <row r="874" spans="1:7" x14ac:dyDescent="0.15">
      <c r="A874" s="1">
        <v>1465</v>
      </c>
      <c r="B874" s="1" t="s">
        <v>15803</v>
      </c>
      <c r="C874" s="1" t="s">
        <v>9466</v>
      </c>
      <c r="D874" s="1" t="s">
        <v>12625</v>
      </c>
      <c r="F874" s="1" t="s">
        <v>9467</v>
      </c>
      <c r="G874" s="1" t="s">
        <v>9468</v>
      </c>
    </row>
    <row r="875" spans="1:7" x14ac:dyDescent="0.15">
      <c r="A875" s="1">
        <v>1466</v>
      </c>
      <c r="B875" s="1" t="s">
        <v>15803</v>
      </c>
      <c r="C875" s="1" t="s">
        <v>9469</v>
      </c>
      <c r="D875" s="1" t="s">
        <v>12625</v>
      </c>
      <c r="F875" s="1" t="s">
        <v>9470</v>
      </c>
      <c r="G875" s="1" t="s">
        <v>9471</v>
      </c>
    </row>
    <row r="876" spans="1:7" x14ac:dyDescent="0.15">
      <c r="A876" s="1">
        <v>1467</v>
      </c>
      <c r="B876" s="1" t="s">
        <v>15803</v>
      </c>
      <c r="C876" s="1" t="s">
        <v>9472</v>
      </c>
      <c r="D876" s="1" t="s">
        <v>12625</v>
      </c>
      <c r="F876" s="1" t="s">
        <v>9473</v>
      </c>
      <c r="G876" s="1" t="s">
        <v>9474</v>
      </c>
    </row>
    <row r="877" spans="1:7" x14ac:dyDescent="0.15">
      <c r="A877" s="1">
        <v>1468</v>
      </c>
      <c r="B877" s="1" t="s">
        <v>15803</v>
      </c>
      <c r="C877" s="1" t="s">
        <v>11725</v>
      </c>
      <c r="D877" s="1" t="s">
        <v>12625</v>
      </c>
      <c r="F877" s="1" t="s">
        <v>11726</v>
      </c>
      <c r="G877" s="1" t="s">
        <v>9475</v>
      </c>
    </row>
    <row r="878" spans="1:7" x14ac:dyDescent="0.15">
      <c r="A878" s="1">
        <v>1471</v>
      </c>
      <c r="B878" s="1" t="s">
        <v>15803</v>
      </c>
      <c r="C878" s="1" t="s">
        <v>11236</v>
      </c>
      <c r="D878" s="1" t="s">
        <v>12625</v>
      </c>
      <c r="F878" s="1" t="s">
        <v>11237</v>
      </c>
      <c r="G878" s="1" t="s">
        <v>9478</v>
      </c>
    </row>
    <row r="879" spans="1:7" x14ac:dyDescent="0.15">
      <c r="A879" s="1">
        <v>1473</v>
      </c>
      <c r="B879" s="1" t="s">
        <v>15803</v>
      </c>
      <c r="C879" s="1" t="s">
        <v>9476</v>
      </c>
      <c r="D879" s="1" t="s">
        <v>11582</v>
      </c>
      <c r="F879" s="1" t="s">
        <v>9479</v>
      </c>
      <c r="G879" s="1" t="s">
        <v>9480</v>
      </c>
    </row>
    <row r="880" spans="1:7" x14ac:dyDescent="0.15">
      <c r="A880" s="1">
        <v>1476</v>
      </c>
      <c r="B880" s="1" t="s">
        <v>15803</v>
      </c>
      <c r="C880" s="1" t="s">
        <v>9485</v>
      </c>
      <c r="D880" s="1" t="s">
        <v>12625</v>
      </c>
      <c r="F880" s="1" t="s">
        <v>9486</v>
      </c>
      <c r="G880" s="1" t="s">
        <v>9487</v>
      </c>
    </row>
    <row r="881" spans="1:7" x14ac:dyDescent="0.15">
      <c r="A881" s="1">
        <v>1477</v>
      </c>
      <c r="B881" s="1" t="s">
        <v>15803</v>
      </c>
      <c r="C881" s="1" t="s">
        <v>11734</v>
      </c>
      <c r="D881" s="1" t="s">
        <v>12625</v>
      </c>
      <c r="F881" s="1" t="s">
        <v>9458</v>
      </c>
      <c r="G881" s="1" t="s">
        <v>9488</v>
      </c>
    </row>
    <row r="882" spans="1:7" x14ac:dyDescent="0.15">
      <c r="A882" s="1">
        <v>1478</v>
      </c>
      <c r="B882" s="1" t="s">
        <v>15803</v>
      </c>
      <c r="C882" s="1" t="s">
        <v>9489</v>
      </c>
      <c r="D882" s="1" t="s">
        <v>12625</v>
      </c>
      <c r="F882" s="1" t="s">
        <v>11239</v>
      </c>
      <c r="G882" s="1" t="s">
        <v>9490</v>
      </c>
    </row>
    <row r="883" spans="1:7" x14ac:dyDescent="0.15">
      <c r="A883" s="1">
        <v>1479</v>
      </c>
      <c r="B883" s="1" t="s">
        <v>15803</v>
      </c>
      <c r="C883" s="1" t="s">
        <v>11240</v>
      </c>
      <c r="D883" s="1" t="s">
        <v>12625</v>
      </c>
      <c r="F883" s="1" t="s">
        <v>11241</v>
      </c>
      <c r="G883" s="1" t="s">
        <v>9491</v>
      </c>
    </row>
    <row r="884" spans="1:7" x14ac:dyDescent="0.15">
      <c r="A884" s="1">
        <v>1480</v>
      </c>
      <c r="B884" s="1" t="s">
        <v>15803</v>
      </c>
      <c r="C884" s="1" t="s">
        <v>11242</v>
      </c>
      <c r="D884" s="1" t="s">
        <v>12625</v>
      </c>
      <c r="F884" s="1" t="s">
        <v>11243</v>
      </c>
      <c r="G884" s="1" t="s">
        <v>9492</v>
      </c>
    </row>
    <row r="885" spans="1:7" x14ac:dyDescent="0.15">
      <c r="A885" s="1">
        <v>1481</v>
      </c>
      <c r="B885" s="1" t="s">
        <v>15803</v>
      </c>
      <c r="C885" s="1" t="s">
        <v>9493</v>
      </c>
      <c r="D885" s="1" t="s">
        <v>12625</v>
      </c>
      <c r="F885" s="1" t="s">
        <v>9494</v>
      </c>
      <c r="G885" s="1" t="s">
        <v>9495</v>
      </c>
    </row>
    <row r="886" spans="1:7" x14ac:dyDescent="0.15">
      <c r="A886" s="1">
        <v>1482</v>
      </c>
      <c r="B886" s="1" t="s">
        <v>15803</v>
      </c>
      <c r="C886" s="1" t="s">
        <v>9496</v>
      </c>
      <c r="D886" s="1" t="s">
        <v>12625</v>
      </c>
      <c r="F886" s="1" t="s">
        <v>9497</v>
      </c>
      <c r="G886" s="1" t="s">
        <v>9498</v>
      </c>
    </row>
    <row r="887" spans="1:7" x14ac:dyDescent="0.15">
      <c r="A887" s="1">
        <v>1483</v>
      </c>
      <c r="B887" s="1" t="s">
        <v>15803</v>
      </c>
      <c r="C887" s="1" t="s">
        <v>9499</v>
      </c>
      <c r="D887" s="1" t="s">
        <v>12625</v>
      </c>
      <c r="F887" s="1" t="s">
        <v>9500</v>
      </c>
      <c r="G887" s="1" t="s">
        <v>9501</v>
      </c>
    </row>
    <row r="888" spans="1:7" x14ac:dyDescent="0.15">
      <c r="A888" s="1">
        <v>1486</v>
      </c>
      <c r="B888" s="1" t="s">
        <v>15803</v>
      </c>
      <c r="C888" s="1" t="s">
        <v>9504</v>
      </c>
      <c r="D888" s="1" t="s">
        <v>12625</v>
      </c>
      <c r="F888" s="1" t="s">
        <v>9505</v>
      </c>
      <c r="G888" s="1" t="s">
        <v>9506</v>
      </c>
    </row>
    <row r="889" spans="1:7" x14ac:dyDescent="0.15">
      <c r="A889" s="1">
        <v>1487</v>
      </c>
      <c r="B889" s="1" t="s">
        <v>15803</v>
      </c>
      <c r="C889" s="1" t="s">
        <v>9507</v>
      </c>
      <c r="D889" s="1" t="s">
        <v>12625</v>
      </c>
      <c r="F889" s="1" t="s">
        <v>9508</v>
      </c>
      <c r="G889" s="1" t="s">
        <v>9509</v>
      </c>
    </row>
    <row r="890" spans="1:7" x14ac:dyDescent="0.15">
      <c r="A890" s="1">
        <v>1489</v>
      </c>
      <c r="B890" s="1" t="s">
        <v>15803</v>
      </c>
      <c r="C890" s="1" t="s">
        <v>9511</v>
      </c>
      <c r="D890" s="1" t="s">
        <v>12625</v>
      </c>
      <c r="F890" s="1" t="s">
        <v>9512</v>
      </c>
      <c r="G890" s="1" t="s">
        <v>9513</v>
      </c>
    </row>
    <row r="891" spans="1:7" x14ac:dyDescent="0.15">
      <c r="A891" s="1">
        <v>1490</v>
      </c>
      <c r="B891" s="1" t="s">
        <v>15803</v>
      </c>
      <c r="C891" s="1" t="s">
        <v>9514</v>
      </c>
      <c r="D891" s="1" t="s">
        <v>12625</v>
      </c>
      <c r="F891" s="1" t="s">
        <v>11238</v>
      </c>
      <c r="G891" s="1" t="s">
        <v>9515</v>
      </c>
    </row>
    <row r="892" spans="1:7" x14ac:dyDescent="0.15">
      <c r="A892" s="1">
        <v>1491</v>
      </c>
      <c r="B892" s="1" t="s">
        <v>15803</v>
      </c>
      <c r="C892" s="1" t="s">
        <v>9516</v>
      </c>
      <c r="D892" s="1" t="s">
        <v>12625</v>
      </c>
      <c r="F892" s="1" t="s">
        <v>9517</v>
      </c>
      <c r="G892" s="1" t="s">
        <v>9518</v>
      </c>
    </row>
    <row r="893" spans="1:7" x14ac:dyDescent="0.15">
      <c r="A893" s="1">
        <v>1492</v>
      </c>
      <c r="B893" s="1" t="s">
        <v>15803</v>
      </c>
      <c r="C893" s="1" t="s">
        <v>9519</v>
      </c>
      <c r="D893" s="1" t="s">
        <v>12625</v>
      </c>
      <c r="F893" s="1" t="s">
        <v>9520</v>
      </c>
      <c r="G893" s="1" t="s">
        <v>9521</v>
      </c>
    </row>
    <row r="894" spans="1:7" x14ac:dyDescent="0.15">
      <c r="A894" s="1">
        <v>1493</v>
      </c>
      <c r="B894" s="1" t="s">
        <v>15803</v>
      </c>
      <c r="C894" s="1" t="s">
        <v>11736</v>
      </c>
      <c r="D894" s="1" t="s">
        <v>12625</v>
      </c>
      <c r="F894" s="1" t="s">
        <v>11737</v>
      </c>
      <c r="G894" s="1" t="s">
        <v>9522</v>
      </c>
    </row>
    <row r="895" spans="1:7" x14ac:dyDescent="0.15">
      <c r="A895" s="1">
        <v>1494</v>
      </c>
      <c r="B895" s="1" t="s">
        <v>15803</v>
      </c>
      <c r="C895" s="1" t="s">
        <v>9523</v>
      </c>
      <c r="D895" s="1" t="s">
        <v>11582</v>
      </c>
      <c r="F895" s="1" t="s">
        <v>9453</v>
      </c>
      <c r="G895" s="1" t="s">
        <v>9524</v>
      </c>
    </row>
    <row r="896" spans="1:7" x14ac:dyDescent="0.15">
      <c r="A896" s="1">
        <v>1496</v>
      </c>
      <c r="B896" s="1" t="s">
        <v>15803</v>
      </c>
      <c r="C896" s="1" t="s">
        <v>9526</v>
      </c>
      <c r="D896" s="1" t="s">
        <v>12625</v>
      </c>
      <c r="F896" s="1" t="s">
        <v>9527</v>
      </c>
      <c r="G896" s="1" t="s">
        <v>9528</v>
      </c>
    </row>
    <row r="897" spans="1:7" x14ac:dyDescent="0.15">
      <c r="A897" s="1">
        <v>1497</v>
      </c>
      <c r="B897" s="1" t="s">
        <v>15803</v>
      </c>
      <c r="C897" s="1" t="s">
        <v>9529</v>
      </c>
      <c r="D897" s="1" t="s">
        <v>12625</v>
      </c>
      <c r="F897" s="1" t="s">
        <v>9530</v>
      </c>
      <c r="G897" s="1" t="s">
        <v>9531</v>
      </c>
    </row>
    <row r="898" spans="1:7" x14ac:dyDescent="0.15">
      <c r="A898" s="1">
        <v>1498</v>
      </c>
      <c r="B898" s="1" t="s">
        <v>15803</v>
      </c>
      <c r="C898" s="1" t="s">
        <v>9532</v>
      </c>
      <c r="D898" s="1" t="s">
        <v>11582</v>
      </c>
      <c r="F898" s="1" t="s">
        <v>9433</v>
      </c>
      <c r="G898" s="1" t="s">
        <v>9533</v>
      </c>
    </row>
    <row r="899" spans="1:7" x14ac:dyDescent="0.15">
      <c r="A899" s="1">
        <v>1499</v>
      </c>
      <c r="B899" s="1" t="s">
        <v>15803</v>
      </c>
      <c r="C899" s="1" t="s">
        <v>9534</v>
      </c>
      <c r="D899" s="1" t="s">
        <v>12625</v>
      </c>
      <c r="F899" s="1" t="s">
        <v>9535</v>
      </c>
      <c r="G899" s="1" t="s">
        <v>9536</v>
      </c>
    </row>
    <row r="900" spans="1:7" x14ac:dyDescent="0.15">
      <c r="A900" s="1">
        <v>1500</v>
      </c>
      <c r="B900" s="1" t="s">
        <v>15803</v>
      </c>
      <c r="C900" s="1" t="s">
        <v>9537</v>
      </c>
      <c r="D900" s="1" t="s">
        <v>12625</v>
      </c>
      <c r="F900" s="1" t="s">
        <v>9538</v>
      </c>
      <c r="G900" s="1" t="s">
        <v>9539</v>
      </c>
    </row>
    <row r="901" spans="1:7" x14ac:dyDescent="0.15">
      <c r="A901" s="1">
        <v>1501</v>
      </c>
      <c r="B901" s="1" t="s">
        <v>15803</v>
      </c>
      <c r="C901" s="1" t="s">
        <v>9540</v>
      </c>
      <c r="D901" s="1" t="s">
        <v>12625</v>
      </c>
      <c r="F901" s="1" t="s">
        <v>11737</v>
      </c>
      <c r="G901" s="1" t="s">
        <v>9541</v>
      </c>
    </row>
    <row r="902" spans="1:7" x14ac:dyDescent="0.15">
      <c r="A902" s="1">
        <v>1502</v>
      </c>
      <c r="B902" s="1" t="s">
        <v>15803</v>
      </c>
      <c r="C902" s="1" t="s">
        <v>9542</v>
      </c>
      <c r="D902" s="1" t="s">
        <v>12625</v>
      </c>
      <c r="F902" s="1" t="s">
        <v>9543</v>
      </c>
      <c r="G902" s="1" t="s">
        <v>9544</v>
      </c>
    </row>
    <row r="903" spans="1:7" x14ac:dyDescent="0.15">
      <c r="A903" s="1">
        <v>1503</v>
      </c>
      <c r="B903" s="1" t="s">
        <v>15803</v>
      </c>
      <c r="C903" s="1" t="s">
        <v>9545</v>
      </c>
      <c r="D903" s="1" t="s">
        <v>12625</v>
      </c>
      <c r="F903" s="1" t="s">
        <v>9546</v>
      </c>
      <c r="G903" s="1" t="s">
        <v>9547</v>
      </c>
    </row>
    <row r="904" spans="1:7" x14ac:dyDescent="0.15">
      <c r="A904" s="1">
        <v>1504</v>
      </c>
      <c r="B904" s="1" t="s">
        <v>15803</v>
      </c>
      <c r="C904" s="1" t="s">
        <v>11717</v>
      </c>
      <c r="D904" s="1" t="s">
        <v>11582</v>
      </c>
      <c r="F904" s="1" t="s">
        <v>11718</v>
      </c>
      <c r="G904" s="1" t="s">
        <v>9548</v>
      </c>
    </row>
    <row r="905" spans="1:7" x14ac:dyDescent="0.15">
      <c r="A905" s="1">
        <v>1505</v>
      </c>
      <c r="B905" s="1" t="s">
        <v>15803</v>
      </c>
      <c r="C905" s="1" t="s">
        <v>9549</v>
      </c>
      <c r="D905" s="1" t="s">
        <v>11582</v>
      </c>
      <c r="F905" s="1" t="s">
        <v>9439</v>
      </c>
      <c r="G905" s="1" t="s">
        <v>9550</v>
      </c>
    </row>
    <row r="906" spans="1:7" x14ac:dyDescent="0.15">
      <c r="A906" s="1">
        <v>1506</v>
      </c>
      <c r="B906" s="1" t="s">
        <v>15803</v>
      </c>
      <c r="C906" s="1" t="s">
        <v>11720</v>
      </c>
      <c r="D906" s="1" t="s">
        <v>12625</v>
      </c>
      <c r="F906" s="1" t="s">
        <v>11721</v>
      </c>
      <c r="G906" s="1" t="s">
        <v>9551</v>
      </c>
    </row>
    <row r="907" spans="1:7" x14ac:dyDescent="0.15">
      <c r="A907" s="1">
        <v>1508</v>
      </c>
      <c r="B907" s="1" t="s">
        <v>15803</v>
      </c>
      <c r="C907" s="1" t="s">
        <v>9552</v>
      </c>
      <c r="D907" s="1" t="s">
        <v>12625</v>
      </c>
      <c r="F907" s="1" t="s">
        <v>9553</v>
      </c>
      <c r="G907" s="1" t="s">
        <v>9554</v>
      </c>
    </row>
    <row r="908" spans="1:7" x14ac:dyDescent="0.15">
      <c r="A908" s="1">
        <v>1509</v>
      </c>
      <c r="B908" s="1" t="s">
        <v>15803</v>
      </c>
      <c r="C908" s="1" t="s">
        <v>9555</v>
      </c>
      <c r="D908" s="1" t="s">
        <v>12625</v>
      </c>
      <c r="F908" s="1" t="s">
        <v>11728</v>
      </c>
      <c r="G908" s="1" t="s">
        <v>9556</v>
      </c>
    </row>
    <row r="909" spans="1:7" x14ac:dyDescent="0.15">
      <c r="A909" s="1">
        <v>1510</v>
      </c>
      <c r="B909" s="1" t="s">
        <v>15803</v>
      </c>
      <c r="C909" s="1" t="s">
        <v>11727</v>
      </c>
      <c r="D909" s="1" t="s">
        <v>11582</v>
      </c>
      <c r="F909" s="1" t="s">
        <v>11728</v>
      </c>
      <c r="G909" s="1" t="s">
        <v>9557</v>
      </c>
    </row>
    <row r="910" spans="1:7" x14ac:dyDescent="0.15">
      <c r="A910" s="1">
        <v>1511</v>
      </c>
      <c r="B910" s="1" t="s">
        <v>15803</v>
      </c>
      <c r="C910" s="1" t="s">
        <v>11715</v>
      </c>
      <c r="D910" s="1" t="s">
        <v>12625</v>
      </c>
      <c r="F910" s="1" t="s">
        <v>9558</v>
      </c>
      <c r="G910" s="1" t="s">
        <v>9559</v>
      </c>
    </row>
    <row r="911" spans="1:7" x14ac:dyDescent="0.15">
      <c r="A911" s="1">
        <v>1512</v>
      </c>
      <c r="B911" s="1" t="s">
        <v>15803</v>
      </c>
      <c r="C911" s="1" t="s">
        <v>12616</v>
      </c>
      <c r="D911" s="1" t="s">
        <v>11582</v>
      </c>
      <c r="F911" s="1" t="s">
        <v>12617</v>
      </c>
      <c r="G911" s="1" t="s">
        <v>9560</v>
      </c>
    </row>
    <row r="912" spans="1:7" x14ac:dyDescent="0.15">
      <c r="A912" s="1">
        <v>1513</v>
      </c>
      <c r="B912" s="1" t="s">
        <v>15803</v>
      </c>
      <c r="C912" s="1" t="s">
        <v>12587</v>
      </c>
      <c r="D912" s="1" t="s">
        <v>11582</v>
      </c>
      <c r="F912" s="1" t="s">
        <v>12588</v>
      </c>
      <c r="G912" s="1" t="s">
        <v>9561</v>
      </c>
    </row>
    <row r="913" spans="1:7" x14ac:dyDescent="0.15">
      <c r="A913" s="1">
        <v>1514</v>
      </c>
      <c r="B913" s="1" t="s">
        <v>15803</v>
      </c>
      <c r="C913" s="1" t="s">
        <v>9562</v>
      </c>
      <c r="D913" s="1" t="s">
        <v>11582</v>
      </c>
      <c r="F913" s="1" t="s">
        <v>9442</v>
      </c>
      <c r="G913" s="1" t="s">
        <v>9563</v>
      </c>
    </row>
    <row r="914" spans="1:7" x14ac:dyDescent="0.15">
      <c r="A914" s="1">
        <v>1515</v>
      </c>
      <c r="B914" s="1" t="s">
        <v>15803</v>
      </c>
      <c r="C914" s="1" t="s">
        <v>12589</v>
      </c>
      <c r="D914" s="1" t="s">
        <v>12625</v>
      </c>
      <c r="F914" s="1" t="s">
        <v>12590</v>
      </c>
      <c r="G914" s="1" t="s">
        <v>9564</v>
      </c>
    </row>
    <row r="915" spans="1:7" x14ac:dyDescent="0.15">
      <c r="A915" s="1">
        <v>1516</v>
      </c>
      <c r="B915" s="1" t="s">
        <v>15803</v>
      </c>
      <c r="C915" s="1" t="s">
        <v>11290</v>
      </c>
      <c r="D915" s="1" t="s">
        <v>12625</v>
      </c>
      <c r="F915" s="1" t="s">
        <v>11291</v>
      </c>
      <c r="G915" s="1" t="s">
        <v>9565</v>
      </c>
    </row>
    <row r="916" spans="1:7" x14ac:dyDescent="0.15">
      <c r="A916" s="1">
        <v>1517</v>
      </c>
      <c r="B916" s="1" t="s">
        <v>15803</v>
      </c>
      <c r="C916" s="1" t="s">
        <v>9566</v>
      </c>
      <c r="D916" s="1" t="s">
        <v>12625</v>
      </c>
      <c r="F916" s="1" t="s">
        <v>9567</v>
      </c>
      <c r="G916" s="1" t="s">
        <v>9568</v>
      </c>
    </row>
    <row r="917" spans="1:7" x14ac:dyDescent="0.15">
      <c r="A917" s="1">
        <v>1518</v>
      </c>
      <c r="B917" s="1" t="s">
        <v>15803</v>
      </c>
      <c r="C917" s="1" t="s">
        <v>11288</v>
      </c>
      <c r="D917" s="1" t="s">
        <v>12625</v>
      </c>
      <c r="F917" s="1" t="s">
        <v>11289</v>
      </c>
      <c r="G917" s="1" t="s">
        <v>9569</v>
      </c>
    </row>
    <row r="918" spans="1:7" x14ac:dyDescent="0.15">
      <c r="A918" s="1">
        <v>1519</v>
      </c>
      <c r="B918" s="1" t="s">
        <v>15803</v>
      </c>
      <c r="C918" s="1" t="s">
        <v>9570</v>
      </c>
      <c r="D918" s="1" t="s">
        <v>12625</v>
      </c>
      <c r="F918" s="1" t="s">
        <v>9571</v>
      </c>
      <c r="G918" s="1" t="s">
        <v>9572</v>
      </c>
    </row>
    <row r="919" spans="1:7" x14ac:dyDescent="0.15">
      <c r="A919" s="1">
        <v>1520</v>
      </c>
      <c r="B919" s="1" t="s">
        <v>15803</v>
      </c>
      <c r="C919" s="1" t="s">
        <v>9573</v>
      </c>
      <c r="D919" s="1" t="s">
        <v>11582</v>
      </c>
      <c r="F919" s="1" t="s">
        <v>9574</v>
      </c>
      <c r="G919" s="1" t="s">
        <v>9575</v>
      </c>
    </row>
    <row r="920" spans="1:7" x14ac:dyDescent="0.15">
      <c r="A920" s="1">
        <v>1521</v>
      </c>
      <c r="B920" s="1" t="s">
        <v>15803</v>
      </c>
      <c r="C920" s="1" t="s">
        <v>9576</v>
      </c>
      <c r="D920" s="1" t="s">
        <v>12625</v>
      </c>
      <c r="F920" s="1" t="s">
        <v>9577</v>
      </c>
      <c r="G920" s="1" t="s">
        <v>9578</v>
      </c>
    </row>
    <row r="921" spans="1:7" x14ac:dyDescent="0.15">
      <c r="A921" s="1">
        <v>1522</v>
      </c>
      <c r="B921" s="1" t="s">
        <v>15803</v>
      </c>
      <c r="C921" s="1" t="s">
        <v>9579</v>
      </c>
      <c r="F921" s="1" t="s">
        <v>9580</v>
      </c>
      <c r="G921" s="1" t="s">
        <v>9141</v>
      </c>
    </row>
    <row r="922" spans="1:7" x14ac:dyDescent="0.15">
      <c r="A922" s="1">
        <v>1523</v>
      </c>
      <c r="B922" s="1" t="s">
        <v>15803</v>
      </c>
      <c r="C922" s="1" t="s">
        <v>15197</v>
      </c>
      <c r="F922" s="1" t="s">
        <v>9580</v>
      </c>
      <c r="G922" s="1" t="s">
        <v>9142</v>
      </c>
    </row>
    <row r="923" spans="1:7" x14ac:dyDescent="0.15">
      <c r="A923" s="1">
        <v>1524</v>
      </c>
      <c r="B923" s="1" t="s">
        <v>15199</v>
      </c>
      <c r="C923" s="1" t="s">
        <v>10667</v>
      </c>
      <c r="F923" s="1" t="s">
        <v>9143</v>
      </c>
      <c r="G923" s="1" t="s">
        <v>9144</v>
      </c>
    </row>
    <row r="924" spans="1:7" x14ac:dyDescent="0.15">
      <c r="A924" s="1">
        <v>1525</v>
      </c>
      <c r="B924" s="1" t="s">
        <v>15199</v>
      </c>
      <c r="C924" s="1" t="s">
        <v>9145</v>
      </c>
      <c r="F924" s="1" t="s">
        <v>9146</v>
      </c>
      <c r="G924" s="1" t="s">
        <v>9147</v>
      </c>
    </row>
    <row r="925" spans="1:7" x14ac:dyDescent="0.15">
      <c r="A925" s="1">
        <v>1526</v>
      </c>
      <c r="B925" s="1" t="s">
        <v>15199</v>
      </c>
      <c r="C925" s="1" t="s">
        <v>15207</v>
      </c>
      <c r="F925" s="1" t="s">
        <v>9148</v>
      </c>
      <c r="G925" s="1" t="s">
        <v>9149</v>
      </c>
    </row>
    <row r="926" spans="1:7" x14ac:dyDescent="0.15">
      <c r="A926" s="1">
        <v>1527</v>
      </c>
      <c r="B926" s="1" t="s">
        <v>15199</v>
      </c>
      <c r="C926" s="1" t="s">
        <v>9150</v>
      </c>
      <c r="D926" s="1" t="s">
        <v>12625</v>
      </c>
      <c r="F926" s="1" t="s">
        <v>9151</v>
      </c>
      <c r="G926" s="1" t="s">
        <v>9152</v>
      </c>
    </row>
    <row r="927" spans="1:7" x14ac:dyDescent="0.15">
      <c r="A927" s="1">
        <v>1528</v>
      </c>
      <c r="B927" s="1" t="s">
        <v>15199</v>
      </c>
      <c r="C927" s="1" t="s">
        <v>9153</v>
      </c>
      <c r="D927" s="1" t="s">
        <v>12625</v>
      </c>
      <c r="F927" s="1" t="s">
        <v>9154</v>
      </c>
      <c r="G927" s="1" t="s">
        <v>9155</v>
      </c>
    </row>
    <row r="928" spans="1:7" x14ac:dyDescent="0.15">
      <c r="A928" s="1">
        <v>1529</v>
      </c>
      <c r="B928" s="1" t="s">
        <v>15199</v>
      </c>
      <c r="C928" s="1" t="s">
        <v>9156</v>
      </c>
      <c r="D928" s="1" t="s">
        <v>12625</v>
      </c>
      <c r="F928" s="1" t="s">
        <v>9157</v>
      </c>
      <c r="G928" s="1" t="s">
        <v>9158</v>
      </c>
    </row>
    <row r="929" spans="1:7" x14ac:dyDescent="0.15">
      <c r="A929" s="1">
        <v>1530</v>
      </c>
      <c r="B929" s="1" t="s">
        <v>15199</v>
      </c>
      <c r="C929" s="1" t="s">
        <v>9159</v>
      </c>
      <c r="D929" s="1" t="s">
        <v>12625</v>
      </c>
      <c r="F929" s="1" t="s">
        <v>9160</v>
      </c>
      <c r="G929" s="1" t="s">
        <v>9161</v>
      </c>
    </row>
    <row r="930" spans="1:7" x14ac:dyDescent="0.15">
      <c r="A930" s="1">
        <v>1531</v>
      </c>
      <c r="B930" s="1" t="s">
        <v>15199</v>
      </c>
      <c r="C930" s="1" t="s">
        <v>9162</v>
      </c>
      <c r="D930" s="1" t="s">
        <v>12625</v>
      </c>
      <c r="F930" s="1" t="s">
        <v>9163</v>
      </c>
      <c r="G930" s="1" t="s">
        <v>9164</v>
      </c>
    </row>
    <row r="931" spans="1:7" x14ac:dyDescent="0.15">
      <c r="A931" s="1">
        <v>1532</v>
      </c>
      <c r="B931" s="1" t="s">
        <v>15199</v>
      </c>
      <c r="C931" s="1" t="s">
        <v>9165</v>
      </c>
      <c r="F931" s="1" t="s">
        <v>9166</v>
      </c>
      <c r="G931" s="1" t="s">
        <v>9167</v>
      </c>
    </row>
    <row r="932" spans="1:7" x14ac:dyDescent="0.15">
      <c r="A932" s="1">
        <v>1533</v>
      </c>
      <c r="B932" s="1" t="s">
        <v>15199</v>
      </c>
      <c r="C932" s="1" t="s">
        <v>15214</v>
      </c>
      <c r="F932" s="1" t="s">
        <v>9166</v>
      </c>
      <c r="G932" s="1" t="s">
        <v>9168</v>
      </c>
    </row>
    <row r="933" spans="1:7" x14ac:dyDescent="0.15">
      <c r="A933" s="1">
        <v>1535</v>
      </c>
      <c r="B933" s="1" t="s">
        <v>15199</v>
      </c>
      <c r="C933" s="1" t="s">
        <v>15218</v>
      </c>
      <c r="D933" s="1" t="s">
        <v>11582</v>
      </c>
      <c r="F933" s="1" t="s">
        <v>10455</v>
      </c>
      <c r="G933" s="1" t="s">
        <v>9169</v>
      </c>
    </row>
    <row r="934" spans="1:7" x14ac:dyDescent="0.15">
      <c r="A934" s="1">
        <v>1536</v>
      </c>
      <c r="B934" s="1" t="s">
        <v>15199</v>
      </c>
      <c r="C934" s="1" t="s">
        <v>11219</v>
      </c>
      <c r="D934" s="1" t="s">
        <v>12625</v>
      </c>
      <c r="F934" s="1" t="s">
        <v>11220</v>
      </c>
      <c r="G934" s="1" t="s">
        <v>9170</v>
      </c>
    </row>
    <row r="935" spans="1:7" x14ac:dyDescent="0.15">
      <c r="A935" s="1">
        <v>1537</v>
      </c>
      <c r="B935" s="1" t="s">
        <v>15199</v>
      </c>
      <c r="C935" s="1" t="s">
        <v>15222</v>
      </c>
      <c r="F935" s="1" t="s">
        <v>9171</v>
      </c>
      <c r="G935" s="1" t="s">
        <v>9172</v>
      </c>
    </row>
    <row r="936" spans="1:7" x14ac:dyDescent="0.15">
      <c r="A936" s="1">
        <v>1538</v>
      </c>
      <c r="B936" s="1" t="s">
        <v>15199</v>
      </c>
      <c r="C936" s="1" t="s">
        <v>9173</v>
      </c>
      <c r="F936" s="1" t="s">
        <v>9174</v>
      </c>
      <c r="G936" s="1" t="s">
        <v>9175</v>
      </c>
    </row>
    <row r="937" spans="1:7" x14ac:dyDescent="0.15">
      <c r="A937" s="1">
        <v>1539</v>
      </c>
      <c r="B937" s="1" t="s">
        <v>15199</v>
      </c>
      <c r="C937" s="1" t="s">
        <v>15230</v>
      </c>
      <c r="F937" s="1" t="s">
        <v>9176</v>
      </c>
      <c r="G937" s="1" t="s">
        <v>9177</v>
      </c>
    </row>
    <row r="938" spans="1:7" x14ac:dyDescent="0.15">
      <c r="A938" s="1">
        <v>1546</v>
      </c>
      <c r="B938" s="1" t="s">
        <v>15199</v>
      </c>
      <c r="C938" s="1" t="s">
        <v>9182</v>
      </c>
      <c r="D938" s="1" t="s">
        <v>12625</v>
      </c>
      <c r="F938" s="1" t="s">
        <v>9183</v>
      </c>
      <c r="G938" s="1" t="s">
        <v>9184</v>
      </c>
    </row>
    <row r="939" spans="1:7" x14ac:dyDescent="0.15">
      <c r="A939" s="1">
        <v>1547</v>
      </c>
      <c r="B939" s="1" t="s">
        <v>15199</v>
      </c>
      <c r="C939" s="1" t="s">
        <v>9185</v>
      </c>
      <c r="D939" s="1" t="s">
        <v>12625</v>
      </c>
      <c r="F939" s="1" t="s">
        <v>9186</v>
      </c>
      <c r="G939" s="1" t="s">
        <v>9187</v>
      </c>
    </row>
    <row r="940" spans="1:7" x14ac:dyDescent="0.15">
      <c r="A940" s="1">
        <v>1548</v>
      </c>
      <c r="B940" s="1" t="s">
        <v>15199</v>
      </c>
      <c r="C940" s="1" t="s">
        <v>9188</v>
      </c>
      <c r="F940" s="1" t="s">
        <v>9189</v>
      </c>
      <c r="G940" s="1" t="s">
        <v>9190</v>
      </c>
    </row>
    <row r="941" spans="1:7" x14ac:dyDescent="0.15">
      <c r="A941" s="1">
        <v>1549</v>
      </c>
      <c r="B941" s="1" t="s">
        <v>15199</v>
      </c>
      <c r="C941" s="1" t="s">
        <v>15237</v>
      </c>
      <c r="F941" s="1" t="s">
        <v>9189</v>
      </c>
      <c r="G941" s="1" t="s">
        <v>9191</v>
      </c>
    </row>
    <row r="942" spans="1:7" x14ac:dyDescent="0.15">
      <c r="A942" s="1">
        <v>2779</v>
      </c>
      <c r="B942" s="1" t="s">
        <v>15240</v>
      </c>
      <c r="C942" s="1" t="s">
        <v>9192</v>
      </c>
      <c r="F942" s="1" t="s">
        <v>7163</v>
      </c>
      <c r="G942" s="1" t="s">
        <v>7164</v>
      </c>
    </row>
    <row r="943" spans="1:7" x14ac:dyDescent="0.15">
      <c r="A943" s="1">
        <v>2780</v>
      </c>
      <c r="B943" s="1" t="s">
        <v>15240</v>
      </c>
      <c r="C943" s="1" t="s">
        <v>7165</v>
      </c>
      <c r="F943" s="1" t="s">
        <v>7166</v>
      </c>
      <c r="G943" s="1" t="s">
        <v>7167</v>
      </c>
    </row>
    <row r="944" spans="1:7" x14ac:dyDescent="0.15">
      <c r="A944" s="1">
        <v>2781</v>
      </c>
      <c r="B944" s="1" t="s">
        <v>15240</v>
      </c>
      <c r="C944" s="1" t="s">
        <v>15249</v>
      </c>
      <c r="F944" s="1" t="s">
        <v>7166</v>
      </c>
      <c r="G944" s="1" t="s">
        <v>7168</v>
      </c>
    </row>
    <row r="945" spans="1:7" x14ac:dyDescent="0.15">
      <c r="A945" s="1">
        <v>2782</v>
      </c>
      <c r="B945" s="1" t="s">
        <v>15240</v>
      </c>
      <c r="C945" s="1" t="s">
        <v>7169</v>
      </c>
      <c r="F945" s="1" t="s">
        <v>7170</v>
      </c>
      <c r="G945" s="1" t="s">
        <v>7171</v>
      </c>
    </row>
    <row r="946" spans="1:7" x14ac:dyDescent="0.15">
      <c r="A946" s="1">
        <v>2783</v>
      </c>
      <c r="B946" s="1" t="s">
        <v>15240</v>
      </c>
      <c r="C946" s="1" t="s">
        <v>15257</v>
      </c>
      <c r="F946" s="1" t="s">
        <v>7170</v>
      </c>
      <c r="G946" s="1" t="s">
        <v>7172</v>
      </c>
    </row>
    <row r="947" spans="1:7" x14ac:dyDescent="0.15">
      <c r="A947" s="1">
        <v>2784</v>
      </c>
      <c r="B947" s="1" t="s">
        <v>15240</v>
      </c>
      <c r="C947" s="1" t="s">
        <v>7173</v>
      </c>
      <c r="F947" s="1" t="s">
        <v>7174</v>
      </c>
      <c r="G947" s="1" t="s">
        <v>7175</v>
      </c>
    </row>
    <row r="948" spans="1:7" x14ac:dyDescent="0.15">
      <c r="A948" s="1">
        <v>2785</v>
      </c>
      <c r="B948" s="1" t="s">
        <v>15240</v>
      </c>
      <c r="C948" s="1" t="s">
        <v>15265</v>
      </c>
      <c r="F948" s="1" t="s">
        <v>7174</v>
      </c>
      <c r="G948" s="1" t="s">
        <v>7176</v>
      </c>
    </row>
    <row r="949" spans="1:7" x14ac:dyDescent="0.15">
      <c r="A949" s="1">
        <v>1551</v>
      </c>
      <c r="B949" s="1" t="s">
        <v>17224</v>
      </c>
      <c r="C949" s="1" t="s">
        <v>9194</v>
      </c>
      <c r="F949" s="1" t="s">
        <v>9195</v>
      </c>
      <c r="G949" s="1" t="s">
        <v>9196</v>
      </c>
    </row>
    <row r="950" spans="1:7" x14ac:dyDescent="0.15">
      <c r="A950" s="1">
        <v>1552</v>
      </c>
      <c r="B950" s="1" t="s">
        <v>17224</v>
      </c>
      <c r="C950" s="1" t="s">
        <v>9197</v>
      </c>
      <c r="F950" s="1" t="s">
        <v>9198</v>
      </c>
      <c r="G950" s="1" t="s">
        <v>9199</v>
      </c>
    </row>
    <row r="951" spans="1:7" x14ac:dyDescent="0.15">
      <c r="A951" s="1">
        <v>1553</v>
      </c>
      <c r="B951" s="1" t="s">
        <v>17224</v>
      </c>
      <c r="C951" s="1" t="s">
        <v>17232</v>
      </c>
      <c r="F951" s="1" t="s">
        <v>9198</v>
      </c>
      <c r="G951" s="1" t="s">
        <v>9200</v>
      </c>
    </row>
    <row r="952" spans="1:7" x14ac:dyDescent="0.15">
      <c r="A952" s="1">
        <v>1554</v>
      </c>
      <c r="B952" s="1" t="s">
        <v>17235</v>
      </c>
      <c r="C952" s="1" t="s">
        <v>9754</v>
      </c>
      <c r="F952" s="1" t="s">
        <v>9201</v>
      </c>
      <c r="G952" s="1" t="s">
        <v>9202</v>
      </c>
    </row>
    <row r="953" spans="1:7" x14ac:dyDescent="0.15">
      <c r="A953" s="1">
        <v>1556</v>
      </c>
      <c r="B953" s="1" t="s">
        <v>17235</v>
      </c>
      <c r="C953" s="1" t="s">
        <v>9203</v>
      </c>
      <c r="F953" s="1" t="s">
        <v>10678</v>
      </c>
      <c r="G953" s="1" t="s">
        <v>9204</v>
      </c>
    </row>
    <row r="954" spans="1:7" x14ac:dyDescent="0.15">
      <c r="A954" s="1">
        <v>1557</v>
      </c>
      <c r="B954" s="1" t="s">
        <v>17235</v>
      </c>
      <c r="C954" s="1" t="s">
        <v>17244</v>
      </c>
      <c r="F954" s="1" t="s">
        <v>10678</v>
      </c>
      <c r="G954" s="1" t="s">
        <v>9205</v>
      </c>
    </row>
    <row r="955" spans="1:7" x14ac:dyDescent="0.15">
      <c r="A955" s="1">
        <v>1558</v>
      </c>
      <c r="B955" s="1" t="s">
        <v>17235</v>
      </c>
      <c r="C955" s="1" t="s">
        <v>9206</v>
      </c>
      <c r="F955" s="1" t="s">
        <v>9207</v>
      </c>
      <c r="G955" s="1" t="s">
        <v>9208</v>
      </c>
    </row>
    <row r="956" spans="1:7" x14ac:dyDescent="0.15">
      <c r="A956" s="1">
        <v>1562</v>
      </c>
      <c r="B956" s="1" t="s">
        <v>17235</v>
      </c>
      <c r="C956" s="1" t="s">
        <v>17251</v>
      </c>
      <c r="F956" s="1" t="s">
        <v>9207</v>
      </c>
      <c r="G956" s="1" t="s">
        <v>9209</v>
      </c>
    </row>
    <row r="957" spans="1:7" x14ac:dyDescent="0.15">
      <c r="A957" s="1">
        <v>1564</v>
      </c>
      <c r="B957" s="1" t="s">
        <v>17235</v>
      </c>
      <c r="C957" s="1" t="s">
        <v>9211</v>
      </c>
      <c r="F957" s="1" t="s">
        <v>11192</v>
      </c>
      <c r="G957" s="1" t="s">
        <v>9212</v>
      </c>
    </row>
    <row r="958" spans="1:7" x14ac:dyDescent="0.15">
      <c r="A958" s="1">
        <v>1565</v>
      </c>
      <c r="B958" s="1" t="s">
        <v>17235</v>
      </c>
      <c r="C958" s="1" t="s">
        <v>17258</v>
      </c>
      <c r="F958" s="1" t="s">
        <v>11192</v>
      </c>
      <c r="G958" s="1" t="s">
        <v>9213</v>
      </c>
    </row>
    <row r="959" spans="1:7" x14ac:dyDescent="0.15">
      <c r="A959" s="1">
        <v>1568</v>
      </c>
      <c r="B959" s="1" t="s">
        <v>17235</v>
      </c>
      <c r="C959" s="1" t="s">
        <v>9214</v>
      </c>
      <c r="F959" s="1" t="s">
        <v>9215</v>
      </c>
      <c r="G959" s="1" t="s">
        <v>9216</v>
      </c>
    </row>
    <row r="960" spans="1:7" x14ac:dyDescent="0.15">
      <c r="A960" s="1">
        <v>1569</v>
      </c>
      <c r="B960" s="1" t="s">
        <v>17235</v>
      </c>
      <c r="C960" s="1" t="s">
        <v>17265</v>
      </c>
      <c r="F960" s="1" t="s">
        <v>9215</v>
      </c>
      <c r="G960" s="1" t="s">
        <v>9217</v>
      </c>
    </row>
    <row r="961" spans="1:7" x14ac:dyDescent="0.15">
      <c r="A961" s="1">
        <v>1570</v>
      </c>
      <c r="B961" s="1" t="s">
        <v>17235</v>
      </c>
      <c r="C961" s="1" t="s">
        <v>9218</v>
      </c>
      <c r="F961" s="1" t="s">
        <v>9503</v>
      </c>
      <c r="G961" s="1" t="s">
        <v>9219</v>
      </c>
    </row>
    <row r="962" spans="1:7" x14ac:dyDescent="0.15">
      <c r="A962" s="1">
        <v>1572</v>
      </c>
      <c r="B962" s="1" t="s">
        <v>17235</v>
      </c>
      <c r="C962" s="1" t="s">
        <v>17272</v>
      </c>
      <c r="F962" s="1" t="s">
        <v>9503</v>
      </c>
      <c r="G962" s="1" t="s">
        <v>9220</v>
      </c>
    </row>
    <row r="963" spans="1:7" x14ac:dyDescent="0.15">
      <c r="A963" s="1">
        <v>1574</v>
      </c>
      <c r="B963" s="1" t="s">
        <v>17235</v>
      </c>
      <c r="C963" s="1" t="s">
        <v>9222</v>
      </c>
      <c r="F963" s="1" t="s">
        <v>10056</v>
      </c>
      <c r="G963" s="1" t="s">
        <v>9223</v>
      </c>
    </row>
    <row r="964" spans="1:7" x14ac:dyDescent="0.15">
      <c r="A964" s="1">
        <v>1575</v>
      </c>
      <c r="B964" s="1" t="s">
        <v>17235</v>
      </c>
      <c r="C964" s="1" t="s">
        <v>17279</v>
      </c>
      <c r="F964" s="1" t="s">
        <v>10056</v>
      </c>
      <c r="G964" s="1" t="s">
        <v>9224</v>
      </c>
    </row>
    <row r="965" spans="1:7" x14ac:dyDescent="0.15">
      <c r="A965" s="1">
        <v>1580</v>
      </c>
      <c r="B965" s="1" t="s">
        <v>17235</v>
      </c>
      <c r="C965" s="1" t="s">
        <v>9227</v>
      </c>
      <c r="F965" s="1" t="s">
        <v>11540</v>
      </c>
      <c r="G965" s="1" t="s">
        <v>9228</v>
      </c>
    </row>
    <row r="966" spans="1:7" x14ac:dyDescent="0.15">
      <c r="A966" s="1">
        <v>1581</v>
      </c>
      <c r="B966" s="1" t="s">
        <v>17235</v>
      </c>
      <c r="C966" s="1" t="s">
        <v>17286</v>
      </c>
      <c r="F966" s="1" t="s">
        <v>11540</v>
      </c>
      <c r="G966" s="1" t="s">
        <v>9229</v>
      </c>
    </row>
    <row r="967" spans="1:7" x14ac:dyDescent="0.15">
      <c r="A967" s="1">
        <v>1582</v>
      </c>
      <c r="B967" s="1" t="s">
        <v>17235</v>
      </c>
      <c r="C967" s="1" t="s">
        <v>11541</v>
      </c>
      <c r="D967" s="1" t="s">
        <v>12625</v>
      </c>
      <c r="F967" s="1" t="s">
        <v>11542</v>
      </c>
      <c r="G967" s="1" t="s">
        <v>9230</v>
      </c>
    </row>
    <row r="968" spans="1:7" x14ac:dyDescent="0.15">
      <c r="A968" s="1">
        <v>1583</v>
      </c>
      <c r="B968" s="1" t="s">
        <v>17235</v>
      </c>
      <c r="C968" s="1" t="s">
        <v>9231</v>
      </c>
      <c r="D968" s="1" t="s">
        <v>12625</v>
      </c>
      <c r="F968" s="1" t="s">
        <v>9232</v>
      </c>
      <c r="G968" s="1" t="s">
        <v>9233</v>
      </c>
    </row>
    <row r="969" spans="1:7" x14ac:dyDescent="0.15">
      <c r="A969" s="1">
        <v>1584</v>
      </c>
      <c r="B969" s="1" t="s">
        <v>17235</v>
      </c>
      <c r="C969" s="1" t="s">
        <v>9234</v>
      </c>
      <c r="F969" s="1" t="s">
        <v>11350</v>
      </c>
      <c r="G969" s="1" t="s">
        <v>9235</v>
      </c>
    </row>
    <row r="970" spans="1:7" x14ac:dyDescent="0.15">
      <c r="A970" s="1">
        <v>1585</v>
      </c>
      <c r="B970" s="1" t="s">
        <v>17235</v>
      </c>
      <c r="C970" s="1" t="s">
        <v>17293</v>
      </c>
      <c r="F970" s="1" t="s">
        <v>11350</v>
      </c>
      <c r="G970" s="1" t="s">
        <v>9236</v>
      </c>
    </row>
    <row r="971" spans="1:7" x14ac:dyDescent="0.15">
      <c r="A971" s="1">
        <v>1586</v>
      </c>
      <c r="B971" s="1" t="s">
        <v>17235</v>
      </c>
      <c r="C971" s="1" t="s">
        <v>9237</v>
      </c>
      <c r="F971" s="1" t="s">
        <v>9748</v>
      </c>
      <c r="G971" s="1" t="s">
        <v>9238</v>
      </c>
    </row>
    <row r="972" spans="1:7" x14ac:dyDescent="0.15">
      <c r="A972" s="1">
        <v>1587</v>
      </c>
      <c r="B972" s="1" t="s">
        <v>17235</v>
      </c>
      <c r="C972" s="1" t="s">
        <v>17300</v>
      </c>
      <c r="F972" s="1" t="s">
        <v>9748</v>
      </c>
      <c r="G972" s="1" t="s">
        <v>9239</v>
      </c>
    </row>
    <row r="973" spans="1:7" x14ac:dyDescent="0.15">
      <c r="A973" s="1">
        <v>1588</v>
      </c>
      <c r="B973" s="1" t="s">
        <v>17235</v>
      </c>
      <c r="C973" s="1" t="s">
        <v>9240</v>
      </c>
      <c r="F973" s="1" t="s">
        <v>9241</v>
      </c>
      <c r="G973" s="1" t="s">
        <v>9242</v>
      </c>
    </row>
    <row r="974" spans="1:7" x14ac:dyDescent="0.15">
      <c r="A974" s="1">
        <v>1589</v>
      </c>
      <c r="B974" s="1" t="s">
        <v>17235</v>
      </c>
      <c r="C974" s="1" t="s">
        <v>15273</v>
      </c>
      <c r="F974" s="1" t="s">
        <v>9241</v>
      </c>
      <c r="G974" s="1" t="s">
        <v>9243</v>
      </c>
    </row>
    <row r="975" spans="1:7" x14ac:dyDescent="0.15">
      <c r="A975" s="1">
        <v>1590</v>
      </c>
      <c r="B975" s="1" t="s">
        <v>17235</v>
      </c>
      <c r="C975" s="1" t="s">
        <v>9244</v>
      </c>
      <c r="D975" s="1" t="s">
        <v>12625</v>
      </c>
      <c r="F975" s="1" t="s">
        <v>9245</v>
      </c>
      <c r="G975" s="1" t="s">
        <v>9246</v>
      </c>
    </row>
    <row r="976" spans="1:7" x14ac:dyDescent="0.15">
      <c r="A976" s="1">
        <v>1591</v>
      </c>
      <c r="B976" s="1" t="s">
        <v>17235</v>
      </c>
      <c r="C976" s="1" t="s">
        <v>9247</v>
      </c>
      <c r="D976" s="1" t="s">
        <v>12625</v>
      </c>
      <c r="F976" s="1" t="s">
        <v>9245</v>
      </c>
      <c r="G976" s="1" t="s">
        <v>9248</v>
      </c>
    </row>
    <row r="977" spans="1:7" x14ac:dyDescent="0.15">
      <c r="A977" s="1">
        <v>1592</v>
      </c>
      <c r="B977" s="1" t="s">
        <v>17235</v>
      </c>
      <c r="C977" s="1" t="s">
        <v>9249</v>
      </c>
      <c r="D977" s="1" t="s">
        <v>12625</v>
      </c>
      <c r="F977" s="1" t="s">
        <v>9250</v>
      </c>
      <c r="G977" s="1" t="s">
        <v>9251</v>
      </c>
    </row>
    <row r="978" spans="1:7" x14ac:dyDescent="0.15">
      <c r="A978" s="1">
        <v>1593</v>
      </c>
      <c r="B978" s="1" t="s">
        <v>17235</v>
      </c>
      <c r="C978" s="1" t="s">
        <v>9252</v>
      </c>
      <c r="D978" s="1" t="s">
        <v>12625</v>
      </c>
      <c r="F978" s="1" t="s">
        <v>9250</v>
      </c>
      <c r="G978" s="1" t="s">
        <v>9253</v>
      </c>
    </row>
    <row r="979" spans="1:7" x14ac:dyDescent="0.15">
      <c r="A979" s="1">
        <v>1594</v>
      </c>
      <c r="B979" s="1" t="s">
        <v>17235</v>
      </c>
      <c r="C979" s="1" t="s">
        <v>9254</v>
      </c>
      <c r="D979" s="1" t="s">
        <v>12625</v>
      </c>
      <c r="F979" s="1" t="s">
        <v>9255</v>
      </c>
      <c r="G979" s="1" t="s">
        <v>9256</v>
      </c>
    </row>
    <row r="980" spans="1:7" x14ac:dyDescent="0.15">
      <c r="A980" s="1">
        <v>1595</v>
      </c>
      <c r="B980" s="1" t="s">
        <v>17235</v>
      </c>
      <c r="C980" s="1" t="s">
        <v>9257</v>
      </c>
      <c r="D980" s="1" t="s">
        <v>12625</v>
      </c>
      <c r="F980" s="1" t="s">
        <v>9255</v>
      </c>
      <c r="G980" s="1" t="s">
        <v>9258</v>
      </c>
    </row>
    <row r="981" spans="1:7" x14ac:dyDescent="0.15">
      <c r="A981" s="1">
        <v>1596</v>
      </c>
      <c r="B981" s="1" t="s">
        <v>17235</v>
      </c>
      <c r="C981" s="1" t="s">
        <v>9259</v>
      </c>
      <c r="D981" s="1" t="s">
        <v>12625</v>
      </c>
      <c r="F981" s="1" t="s">
        <v>11744</v>
      </c>
      <c r="G981" s="1" t="s">
        <v>9260</v>
      </c>
    </row>
    <row r="982" spans="1:7" x14ac:dyDescent="0.15">
      <c r="A982" s="1">
        <v>1597</v>
      </c>
      <c r="B982" s="1" t="s">
        <v>17235</v>
      </c>
      <c r="C982" s="1" t="s">
        <v>11743</v>
      </c>
      <c r="D982" s="1" t="s">
        <v>11582</v>
      </c>
      <c r="F982" s="1" t="s">
        <v>11744</v>
      </c>
      <c r="G982" s="1" t="s">
        <v>9261</v>
      </c>
    </row>
    <row r="983" spans="1:7" x14ac:dyDescent="0.15">
      <c r="A983" s="1">
        <v>1598</v>
      </c>
      <c r="B983" s="1" t="s">
        <v>17235</v>
      </c>
      <c r="C983" s="1" t="s">
        <v>9262</v>
      </c>
      <c r="D983" s="1" t="s">
        <v>12625</v>
      </c>
      <c r="F983" s="1" t="s">
        <v>9263</v>
      </c>
      <c r="G983" s="1" t="s">
        <v>9264</v>
      </c>
    </row>
    <row r="984" spans="1:7" x14ac:dyDescent="0.15">
      <c r="A984" s="1">
        <v>1599</v>
      </c>
      <c r="B984" s="1" t="s">
        <v>17235</v>
      </c>
      <c r="C984" s="1" t="s">
        <v>9265</v>
      </c>
      <c r="D984" s="1" t="s">
        <v>12625</v>
      </c>
      <c r="F984" s="1" t="s">
        <v>9263</v>
      </c>
      <c r="G984" s="1" t="s">
        <v>9266</v>
      </c>
    </row>
    <row r="985" spans="1:7" x14ac:dyDescent="0.15">
      <c r="A985" s="1">
        <v>1600</v>
      </c>
      <c r="B985" s="1" t="s">
        <v>17235</v>
      </c>
      <c r="C985" s="1" t="s">
        <v>11351</v>
      </c>
      <c r="D985" s="1" t="s">
        <v>12625</v>
      </c>
      <c r="F985" s="1" t="s">
        <v>11343</v>
      </c>
      <c r="G985" s="1" t="s">
        <v>9267</v>
      </c>
    </row>
    <row r="986" spans="1:7" x14ac:dyDescent="0.15">
      <c r="A986" s="1">
        <v>1601</v>
      </c>
      <c r="B986" s="1" t="s">
        <v>17235</v>
      </c>
      <c r="C986" s="1" t="s">
        <v>11342</v>
      </c>
      <c r="D986" s="1" t="s">
        <v>12625</v>
      </c>
      <c r="F986" s="1" t="s">
        <v>11343</v>
      </c>
      <c r="G986" s="1" t="s">
        <v>9268</v>
      </c>
    </row>
    <row r="987" spans="1:7" x14ac:dyDescent="0.15">
      <c r="A987" s="1">
        <v>1602</v>
      </c>
      <c r="B987" s="1" t="s">
        <v>17235</v>
      </c>
      <c r="C987" s="1" t="s">
        <v>9269</v>
      </c>
      <c r="D987" s="1" t="s">
        <v>12625</v>
      </c>
      <c r="F987" s="1" t="s">
        <v>9270</v>
      </c>
      <c r="G987" s="1" t="s">
        <v>9271</v>
      </c>
    </row>
    <row r="988" spans="1:7" x14ac:dyDescent="0.15">
      <c r="A988" s="1">
        <v>1603</v>
      </c>
      <c r="B988" s="1" t="s">
        <v>17235</v>
      </c>
      <c r="C988" s="1" t="s">
        <v>9896</v>
      </c>
      <c r="D988" s="1" t="s">
        <v>12625</v>
      </c>
      <c r="F988" s="1" t="s">
        <v>9897</v>
      </c>
      <c r="G988" s="1" t="s">
        <v>9272</v>
      </c>
    </row>
    <row r="989" spans="1:7" x14ac:dyDescent="0.15">
      <c r="A989" s="1">
        <v>1604</v>
      </c>
      <c r="B989" s="1" t="s">
        <v>17235</v>
      </c>
      <c r="C989" s="1" t="s">
        <v>9273</v>
      </c>
      <c r="D989" s="1" t="s">
        <v>12625</v>
      </c>
      <c r="F989" s="1" t="s">
        <v>9274</v>
      </c>
      <c r="G989" s="1" t="s">
        <v>9275</v>
      </c>
    </row>
    <row r="990" spans="1:7" x14ac:dyDescent="0.15">
      <c r="A990" s="1">
        <v>1605</v>
      </c>
      <c r="B990" s="1" t="s">
        <v>17235</v>
      </c>
      <c r="C990" s="1" t="s">
        <v>9276</v>
      </c>
      <c r="D990" s="1" t="s">
        <v>12625</v>
      </c>
      <c r="F990" s="1" t="s">
        <v>9277</v>
      </c>
      <c r="G990" s="1" t="s">
        <v>9278</v>
      </c>
    </row>
    <row r="991" spans="1:7" x14ac:dyDescent="0.15">
      <c r="A991" s="1">
        <v>1606</v>
      </c>
      <c r="B991" s="1" t="s">
        <v>17235</v>
      </c>
      <c r="C991" s="1" t="s">
        <v>10190</v>
      </c>
      <c r="D991" s="1" t="s">
        <v>12625</v>
      </c>
      <c r="F991" s="1" t="s">
        <v>9277</v>
      </c>
      <c r="G991" s="1" t="s">
        <v>9279</v>
      </c>
    </row>
    <row r="992" spans="1:7" x14ac:dyDescent="0.15">
      <c r="A992" s="1">
        <v>1607</v>
      </c>
      <c r="B992" s="1" t="s">
        <v>17235</v>
      </c>
      <c r="C992" s="1" t="s">
        <v>9280</v>
      </c>
      <c r="D992" s="1" t="s">
        <v>12625</v>
      </c>
      <c r="F992" s="1" t="s">
        <v>9428</v>
      </c>
      <c r="G992" s="1" t="s">
        <v>9281</v>
      </c>
    </row>
    <row r="993" spans="1:7" x14ac:dyDescent="0.15">
      <c r="A993" s="1">
        <v>1608</v>
      </c>
      <c r="B993" s="1" t="s">
        <v>17235</v>
      </c>
      <c r="C993" s="1" t="s">
        <v>9502</v>
      </c>
      <c r="D993" s="1" t="s">
        <v>11582</v>
      </c>
      <c r="F993" s="1" t="s">
        <v>9428</v>
      </c>
      <c r="G993" s="1" t="s">
        <v>9282</v>
      </c>
    </row>
    <row r="994" spans="1:7" x14ac:dyDescent="0.15">
      <c r="A994" s="1">
        <v>1609</v>
      </c>
      <c r="B994" s="1" t="s">
        <v>17235</v>
      </c>
      <c r="C994" s="1" t="s">
        <v>9283</v>
      </c>
      <c r="D994" s="1" t="s">
        <v>12625</v>
      </c>
      <c r="F994" s="1" t="s">
        <v>11194</v>
      </c>
      <c r="G994" s="1" t="s">
        <v>9284</v>
      </c>
    </row>
    <row r="995" spans="1:7" x14ac:dyDescent="0.15">
      <c r="A995" s="1">
        <v>1610</v>
      </c>
      <c r="B995" s="1" t="s">
        <v>17235</v>
      </c>
      <c r="C995" s="1" t="s">
        <v>11193</v>
      </c>
      <c r="D995" s="1" t="s">
        <v>12625</v>
      </c>
      <c r="F995" s="1" t="s">
        <v>11194</v>
      </c>
      <c r="G995" s="1" t="s">
        <v>9285</v>
      </c>
    </row>
    <row r="996" spans="1:7" x14ac:dyDescent="0.15">
      <c r="A996" s="1">
        <v>1612</v>
      </c>
      <c r="B996" s="1" t="s">
        <v>17235</v>
      </c>
      <c r="C996" s="1" t="s">
        <v>9286</v>
      </c>
      <c r="F996" s="1" t="s">
        <v>9287</v>
      </c>
      <c r="G996" s="1" t="s">
        <v>9288</v>
      </c>
    </row>
    <row r="997" spans="1:7" x14ac:dyDescent="0.15">
      <c r="A997" s="1">
        <v>1613</v>
      </c>
      <c r="B997" s="1" t="s">
        <v>17235</v>
      </c>
      <c r="C997" s="1" t="s">
        <v>15280</v>
      </c>
      <c r="F997" s="1" t="s">
        <v>9289</v>
      </c>
      <c r="G997" s="1" t="s">
        <v>9290</v>
      </c>
    </row>
    <row r="998" spans="1:7" x14ac:dyDescent="0.15">
      <c r="A998" s="1">
        <v>1614</v>
      </c>
      <c r="B998" s="1" t="s">
        <v>15282</v>
      </c>
      <c r="C998" s="1" t="s">
        <v>11275</v>
      </c>
      <c r="F998" s="1" t="s">
        <v>11276</v>
      </c>
      <c r="G998" s="1" t="s">
        <v>9291</v>
      </c>
    </row>
    <row r="999" spans="1:7" x14ac:dyDescent="0.15">
      <c r="A999" s="1">
        <v>1615</v>
      </c>
      <c r="B999" s="1" t="s">
        <v>15282</v>
      </c>
      <c r="C999" s="1" t="s">
        <v>9292</v>
      </c>
      <c r="F999" s="1" t="s">
        <v>9293</v>
      </c>
      <c r="G999" s="1" t="s">
        <v>9294</v>
      </c>
    </row>
    <row r="1000" spans="1:7" x14ac:dyDescent="0.15">
      <c r="A1000" s="1">
        <v>1616</v>
      </c>
      <c r="B1000" s="1" t="s">
        <v>15282</v>
      </c>
      <c r="C1000" s="1" t="s">
        <v>15291</v>
      </c>
      <c r="F1000" s="1" t="s">
        <v>9293</v>
      </c>
      <c r="G1000" s="1" t="s">
        <v>9295</v>
      </c>
    </row>
    <row r="1001" spans="1:7" x14ac:dyDescent="0.15">
      <c r="A1001" s="1">
        <v>1617</v>
      </c>
      <c r="B1001" s="1" t="s">
        <v>15282</v>
      </c>
      <c r="C1001" s="1" t="s">
        <v>9296</v>
      </c>
      <c r="F1001" s="1" t="s">
        <v>12644</v>
      </c>
      <c r="G1001" s="1" t="s">
        <v>9297</v>
      </c>
    </row>
    <row r="1002" spans="1:7" x14ac:dyDescent="0.15">
      <c r="A1002" s="1">
        <v>1618</v>
      </c>
      <c r="B1002" s="1" t="s">
        <v>15282</v>
      </c>
      <c r="C1002" s="1" t="s">
        <v>15298</v>
      </c>
      <c r="F1002" s="1" t="s">
        <v>12644</v>
      </c>
      <c r="G1002" s="1" t="s">
        <v>9298</v>
      </c>
    </row>
    <row r="1003" spans="1:7" x14ac:dyDescent="0.15">
      <c r="A1003" s="1">
        <v>1619</v>
      </c>
      <c r="B1003" s="1" t="s">
        <v>15282</v>
      </c>
      <c r="C1003" s="1" t="s">
        <v>9299</v>
      </c>
      <c r="F1003" s="1" t="s">
        <v>9300</v>
      </c>
      <c r="G1003" s="1" t="s">
        <v>9301</v>
      </c>
    </row>
    <row r="1004" spans="1:7" x14ac:dyDescent="0.15">
      <c r="A1004" s="1">
        <v>1620</v>
      </c>
      <c r="B1004" s="1" t="s">
        <v>15282</v>
      </c>
      <c r="C1004" s="1" t="s">
        <v>15305</v>
      </c>
      <c r="F1004" s="1" t="s">
        <v>10657</v>
      </c>
      <c r="G1004" s="1" t="s">
        <v>9302</v>
      </c>
    </row>
    <row r="1005" spans="1:7" x14ac:dyDescent="0.15">
      <c r="A1005" s="1">
        <v>1623</v>
      </c>
      <c r="B1005" s="1" t="s">
        <v>15282</v>
      </c>
      <c r="C1005" s="1" t="s">
        <v>15309</v>
      </c>
      <c r="D1005" s="1" t="s">
        <v>11582</v>
      </c>
      <c r="F1005" s="1" t="s">
        <v>9303</v>
      </c>
      <c r="G1005" s="1" t="s">
        <v>9304</v>
      </c>
    </row>
    <row r="1006" spans="1:7" x14ac:dyDescent="0.15">
      <c r="A1006" s="1">
        <v>1624</v>
      </c>
      <c r="B1006" s="1" t="s">
        <v>15282</v>
      </c>
      <c r="C1006" s="1" t="s">
        <v>15313</v>
      </c>
      <c r="D1006" s="1" t="s">
        <v>11582</v>
      </c>
      <c r="F1006" s="1" t="s">
        <v>9305</v>
      </c>
      <c r="G1006" s="1" t="s">
        <v>9306</v>
      </c>
    </row>
    <row r="1007" spans="1:7" x14ac:dyDescent="0.15">
      <c r="A1007" s="1">
        <v>1625</v>
      </c>
      <c r="B1007" s="1" t="s">
        <v>15282</v>
      </c>
      <c r="C1007" s="1" t="s">
        <v>15317</v>
      </c>
      <c r="F1007" s="1" t="s">
        <v>9307</v>
      </c>
      <c r="G1007" s="1" t="s">
        <v>9308</v>
      </c>
    </row>
    <row r="1008" spans="1:7" x14ac:dyDescent="0.15">
      <c r="A1008" s="1">
        <v>1626</v>
      </c>
      <c r="B1008" s="1" t="s">
        <v>15282</v>
      </c>
      <c r="C1008" s="1" t="s">
        <v>15321</v>
      </c>
      <c r="F1008" s="1" t="s">
        <v>9510</v>
      </c>
      <c r="G1008" s="1" t="s">
        <v>9309</v>
      </c>
    </row>
    <row r="1009" spans="1:7" x14ac:dyDescent="0.15">
      <c r="A1009" s="1">
        <v>1627</v>
      </c>
      <c r="B1009" s="1" t="s">
        <v>15282</v>
      </c>
      <c r="C1009" s="1" t="s">
        <v>15325</v>
      </c>
      <c r="D1009" s="1" t="s">
        <v>12593</v>
      </c>
      <c r="F1009" s="1" t="s">
        <v>9310</v>
      </c>
      <c r="G1009" s="1" t="s">
        <v>9311</v>
      </c>
    </row>
    <row r="1010" spans="1:7" x14ac:dyDescent="0.15">
      <c r="A1010" s="1">
        <v>1628</v>
      </c>
      <c r="B1010" s="1" t="s">
        <v>15282</v>
      </c>
      <c r="C1010" s="1" t="s">
        <v>15329</v>
      </c>
      <c r="F1010" s="1" t="s">
        <v>9312</v>
      </c>
      <c r="G1010" s="1" t="s">
        <v>9313</v>
      </c>
    </row>
    <row r="1011" spans="1:7" x14ac:dyDescent="0.15">
      <c r="A1011" s="1">
        <v>1629</v>
      </c>
      <c r="B1011" s="1" t="s">
        <v>15282</v>
      </c>
      <c r="C1011" s="1" t="s">
        <v>9314</v>
      </c>
      <c r="F1011" s="1" t="s">
        <v>9315</v>
      </c>
      <c r="G1011" s="1" t="s">
        <v>9316</v>
      </c>
    </row>
    <row r="1012" spans="1:7" x14ac:dyDescent="0.15">
      <c r="A1012" s="1">
        <v>1630</v>
      </c>
      <c r="B1012" s="1" t="s">
        <v>15282</v>
      </c>
      <c r="C1012" s="1" t="s">
        <v>15337</v>
      </c>
      <c r="F1012" s="1" t="s">
        <v>9315</v>
      </c>
      <c r="G1012" s="1" t="s">
        <v>9317</v>
      </c>
    </row>
    <row r="1013" spans="1:7" x14ac:dyDescent="0.15">
      <c r="A1013" s="1">
        <v>1631</v>
      </c>
      <c r="B1013" s="1" t="s">
        <v>15340</v>
      </c>
      <c r="C1013" s="1" t="s">
        <v>9318</v>
      </c>
      <c r="F1013" s="1" t="s">
        <v>9319</v>
      </c>
      <c r="G1013" s="1" t="s">
        <v>9320</v>
      </c>
    </row>
    <row r="1014" spans="1:7" x14ac:dyDescent="0.15">
      <c r="A1014" s="1">
        <v>2786</v>
      </c>
      <c r="B1014" s="1" t="s">
        <v>15340</v>
      </c>
      <c r="C1014" s="1" t="s">
        <v>7177</v>
      </c>
      <c r="F1014" s="1" t="s">
        <v>7178</v>
      </c>
      <c r="G1014" s="1" t="s">
        <v>7179</v>
      </c>
    </row>
    <row r="1015" spans="1:7" x14ac:dyDescent="0.15">
      <c r="A1015" s="1">
        <v>2787</v>
      </c>
      <c r="B1015" s="1" t="s">
        <v>15340</v>
      </c>
      <c r="C1015" s="1" t="s">
        <v>7180</v>
      </c>
      <c r="F1015" s="1" t="s">
        <v>7181</v>
      </c>
      <c r="G1015" s="1" t="s">
        <v>7182</v>
      </c>
    </row>
    <row r="1016" spans="1:7" x14ac:dyDescent="0.15">
      <c r="A1016" s="1">
        <v>2788</v>
      </c>
      <c r="B1016" s="1" t="s">
        <v>15340</v>
      </c>
      <c r="C1016" s="1" t="s">
        <v>15348</v>
      </c>
      <c r="F1016" s="1" t="s">
        <v>7183</v>
      </c>
      <c r="G1016" s="1" t="s">
        <v>7184</v>
      </c>
    </row>
    <row r="1017" spans="1:7" x14ac:dyDescent="0.15">
      <c r="A1017" s="1">
        <v>2789</v>
      </c>
      <c r="B1017" s="1" t="s">
        <v>15340</v>
      </c>
      <c r="C1017" s="1" t="s">
        <v>15352</v>
      </c>
      <c r="F1017" s="1" t="s">
        <v>7185</v>
      </c>
      <c r="G1017" s="1" t="s">
        <v>7186</v>
      </c>
    </row>
    <row r="1018" spans="1:7" x14ac:dyDescent="0.15">
      <c r="A1018" s="1">
        <v>2790</v>
      </c>
      <c r="B1018" s="1" t="s">
        <v>15340</v>
      </c>
      <c r="C1018" s="1" t="s">
        <v>15356</v>
      </c>
      <c r="F1018" s="1" t="s">
        <v>7187</v>
      </c>
      <c r="G1018" s="1" t="s">
        <v>7188</v>
      </c>
    </row>
    <row r="1019" spans="1:7" x14ac:dyDescent="0.15">
      <c r="A1019" s="1">
        <v>2791</v>
      </c>
      <c r="B1019" s="1" t="s">
        <v>15340</v>
      </c>
      <c r="C1019" s="1" t="s">
        <v>15360</v>
      </c>
      <c r="F1019" s="1" t="s">
        <v>7189</v>
      </c>
      <c r="G1019" s="1" t="s">
        <v>7190</v>
      </c>
    </row>
    <row r="1020" spans="1:7" x14ac:dyDescent="0.15">
      <c r="A1020" s="1">
        <v>2792</v>
      </c>
      <c r="B1020" s="1" t="s">
        <v>15340</v>
      </c>
      <c r="C1020" s="1" t="s">
        <v>15364</v>
      </c>
      <c r="F1020" s="1" t="s">
        <v>7191</v>
      </c>
      <c r="G1020" s="1" t="s">
        <v>7192</v>
      </c>
    </row>
    <row r="1021" spans="1:7" x14ac:dyDescent="0.15">
      <c r="A1021" s="1">
        <v>2793</v>
      </c>
      <c r="B1021" s="1" t="s">
        <v>15340</v>
      </c>
      <c r="C1021" s="1" t="s">
        <v>7193</v>
      </c>
      <c r="D1021" s="1" t="s">
        <v>12625</v>
      </c>
      <c r="F1021" s="1" t="s">
        <v>7194</v>
      </c>
      <c r="G1021" s="1" t="s">
        <v>7195</v>
      </c>
    </row>
    <row r="1022" spans="1:7" x14ac:dyDescent="0.15">
      <c r="A1022" s="1">
        <v>2794</v>
      </c>
      <c r="B1022" s="1" t="s">
        <v>15340</v>
      </c>
      <c r="C1022" s="1" t="s">
        <v>15368</v>
      </c>
      <c r="F1022" s="1" t="s">
        <v>7196</v>
      </c>
      <c r="G1022" s="1" t="s">
        <v>7197</v>
      </c>
    </row>
    <row r="1023" spans="1:7" x14ac:dyDescent="0.15">
      <c r="A1023" s="1">
        <v>2795</v>
      </c>
      <c r="B1023" s="1" t="s">
        <v>15372</v>
      </c>
      <c r="C1023" s="1" t="s">
        <v>7198</v>
      </c>
      <c r="F1023" s="1" t="s">
        <v>7199</v>
      </c>
      <c r="G1023" s="1" t="s">
        <v>7200</v>
      </c>
    </row>
    <row r="1024" spans="1:7" x14ac:dyDescent="0.15">
      <c r="A1024" s="1">
        <v>2796</v>
      </c>
      <c r="B1024" s="1" t="s">
        <v>15372</v>
      </c>
      <c r="C1024" s="1" t="s">
        <v>7201</v>
      </c>
      <c r="F1024" s="1" t="s">
        <v>7202</v>
      </c>
      <c r="G1024" s="1" t="s">
        <v>7203</v>
      </c>
    </row>
    <row r="1025" spans="1:7" x14ac:dyDescent="0.15">
      <c r="A1025" s="1">
        <v>2797</v>
      </c>
      <c r="B1025" s="1" t="s">
        <v>15372</v>
      </c>
      <c r="C1025" s="1" t="s">
        <v>15380</v>
      </c>
      <c r="F1025" s="1" t="s">
        <v>7204</v>
      </c>
      <c r="G1025" s="1" t="s">
        <v>7205</v>
      </c>
    </row>
    <row r="1026" spans="1:7" x14ac:dyDescent="0.15">
      <c r="A1026" s="1">
        <v>2798</v>
      </c>
      <c r="B1026" s="1" t="s">
        <v>15372</v>
      </c>
      <c r="C1026" s="1" t="s">
        <v>15383</v>
      </c>
      <c r="F1026" s="1" t="s">
        <v>7206</v>
      </c>
      <c r="G1026" s="1" t="s">
        <v>7207</v>
      </c>
    </row>
    <row r="1027" spans="1:7" x14ac:dyDescent="0.15">
      <c r="A1027" s="1">
        <v>2799</v>
      </c>
      <c r="B1027" s="1" t="s">
        <v>15372</v>
      </c>
      <c r="C1027" s="1" t="s">
        <v>15387</v>
      </c>
      <c r="F1027" s="1" t="s">
        <v>7208</v>
      </c>
      <c r="G1027" s="1" t="s">
        <v>7209</v>
      </c>
    </row>
    <row r="1028" spans="1:7" x14ac:dyDescent="0.15">
      <c r="A1028" s="1">
        <v>2800</v>
      </c>
      <c r="B1028" s="1" t="s">
        <v>15372</v>
      </c>
      <c r="C1028" s="1" t="s">
        <v>15391</v>
      </c>
      <c r="F1028" s="1" t="s">
        <v>7210</v>
      </c>
      <c r="G1028" s="1" t="s">
        <v>7211</v>
      </c>
    </row>
    <row r="1029" spans="1:7" x14ac:dyDescent="0.15">
      <c r="A1029" s="1">
        <v>2801</v>
      </c>
      <c r="B1029" s="1" t="s">
        <v>15372</v>
      </c>
      <c r="C1029" s="1" t="s">
        <v>7212</v>
      </c>
      <c r="D1029" s="1" t="s">
        <v>12625</v>
      </c>
      <c r="F1029" s="1" t="s">
        <v>7213</v>
      </c>
      <c r="G1029" s="1" t="s">
        <v>7214</v>
      </c>
    </row>
    <row r="1030" spans="1:7" x14ac:dyDescent="0.15">
      <c r="A1030" s="1">
        <v>2802</v>
      </c>
      <c r="B1030" s="1" t="s">
        <v>15372</v>
      </c>
      <c r="C1030" s="1" t="s">
        <v>15395</v>
      </c>
      <c r="F1030" s="1" t="s">
        <v>7215</v>
      </c>
      <c r="G1030" s="1" t="s">
        <v>7216</v>
      </c>
    </row>
    <row r="1031" spans="1:7" x14ac:dyDescent="0.15">
      <c r="A1031" s="1">
        <v>2803</v>
      </c>
      <c r="B1031" s="1" t="s">
        <v>15399</v>
      </c>
      <c r="C1031" s="1" t="s">
        <v>7217</v>
      </c>
      <c r="F1031" s="1" t="s">
        <v>7218</v>
      </c>
      <c r="G1031" s="1" t="s">
        <v>7219</v>
      </c>
    </row>
    <row r="1032" spans="1:7" x14ac:dyDescent="0.15">
      <c r="A1032" s="1">
        <v>2804</v>
      </c>
      <c r="B1032" s="1" t="s">
        <v>15399</v>
      </c>
      <c r="C1032" s="1" t="s">
        <v>7220</v>
      </c>
      <c r="F1032" s="1" t="s">
        <v>7221</v>
      </c>
      <c r="G1032" s="1" t="s">
        <v>7222</v>
      </c>
    </row>
    <row r="1033" spans="1:7" x14ac:dyDescent="0.15">
      <c r="A1033" s="1">
        <v>2805</v>
      </c>
      <c r="B1033" s="1" t="s">
        <v>15399</v>
      </c>
      <c r="C1033" s="1" t="s">
        <v>15408</v>
      </c>
      <c r="F1033" s="1" t="s">
        <v>7223</v>
      </c>
      <c r="G1033" s="1" t="s">
        <v>7224</v>
      </c>
    </row>
    <row r="1034" spans="1:7" x14ac:dyDescent="0.15">
      <c r="A1034" s="1">
        <v>2806</v>
      </c>
      <c r="B1034" s="1" t="s">
        <v>15399</v>
      </c>
      <c r="C1034" s="1" t="s">
        <v>15412</v>
      </c>
      <c r="F1034" s="1" t="s">
        <v>7225</v>
      </c>
      <c r="G1034" s="1" t="s">
        <v>7226</v>
      </c>
    </row>
    <row r="1035" spans="1:7" x14ac:dyDescent="0.15">
      <c r="A1035" s="1">
        <v>2807</v>
      </c>
      <c r="B1035" s="1" t="s">
        <v>15399</v>
      </c>
      <c r="C1035" s="1" t="s">
        <v>15416</v>
      </c>
      <c r="F1035" s="1" t="s">
        <v>7227</v>
      </c>
      <c r="G1035" s="1" t="s">
        <v>7228</v>
      </c>
    </row>
    <row r="1036" spans="1:7" x14ac:dyDescent="0.15">
      <c r="A1036" s="1">
        <v>2808</v>
      </c>
      <c r="B1036" s="1" t="s">
        <v>15399</v>
      </c>
      <c r="C1036" s="1" t="s">
        <v>15420</v>
      </c>
      <c r="F1036" s="1" t="s">
        <v>7229</v>
      </c>
      <c r="G1036" s="1" t="s">
        <v>7230</v>
      </c>
    </row>
    <row r="1037" spans="1:7" x14ac:dyDescent="0.15">
      <c r="A1037" s="1">
        <v>2809</v>
      </c>
      <c r="B1037" s="1" t="s">
        <v>15424</v>
      </c>
      <c r="C1037" s="1" t="s">
        <v>7231</v>
      </c>
      <c r="F1037" s="1" t="s">
        <v>7232</v>
      </c>
      <c r="G1037" s="1" t="s">
        <v>7233</v>
      </c>
    </row>
    <row r="1038" spans="1:7" x14ac:dyDescent="0.15">
      <c r="A1038" s="1">
        <v>2810</v>
      </c>
      <c r="B1038" s="1" t="s">
        <v>15424</v>
      </c>
      <c r="C1038" s="1" t="s">
        <v>7234</v>
      </c>
      <c r="F1038" s="1" t="s">
        <v>7235</v>
      </c>
      <c r="G1038" s="1" t="s">
        <v>7236</v>
      </c>
    </row>
    <row r="1039" spans="1:7" x14ac:dyDescent="0.15">
      <c r="A1039" s="1">
        <v>2811</v>
      </c>
      <c r="B1039" s="1" t="s">
        <v>15424</v>
      </c>
      <c r="C1039" s="1" t="s">
        <v>15433</v>
      </c>
      <c r="F1039" s="1" t="s">
        <v>7237</v>
      </c>
      <c r="G1039" s="1" t="s">
        <v>7238</v>
      </c>
    </row>
    <row r="1040" spans="1:7" x14ac:dyDescent="0.15">
      <c r="A1040" s="1">
        <v>2812</v>
      </c>
      <c r="B1040" s="1" t="s">
        <v>15424</v>
      </c>
      <c r="C1040" s="1" t="s">
        <v>15437</v>
      </c>
      <c r="F1040" s="1" t="s">
        <v>7239</v>
      </c>
      <c r="G1040" s="1" t="s">
        <v>7240</v>
      </c>
    </row>
    <row r="1041" spans="1:7" x14ac:dyDescent="0.15">
      <c r="A1041" s="1">
        <v>2813</v>
      </c>
      <c r="B1041" s="1" t="s">
        <v>15424</v>
      </c>
      <c r="C1041" s="1" t="s">
        <v>15441</v>
      </c>
      <c r="F1041" s="1" t="s">
        <v>7241</v>
      </c>
      <c r="G1041" s="1" t="s">
        <v>7242</v>
      </c>
    </row>
    <row r="1042" spans="1:7" x14ac:dyDescent="0.15">
      <c r="A1042" s="1">
        <v>2814</v>
      </c>
      <c r="B1042" s="1" t="s">
        <v>15424</v>
      </c>
      <c r="C1042" s="1" t="s">
        <v>15445</v>
      </c>
      <c r="F1042" s="1" t="s">
        <v>7243</v>
      </c>
      <c r="G1042" s="1" t="s">
        <v>7244</v>
      </c>
    </row>
    <row r="1043" spans="1:7" x14ac:dyDescent="0.15">
      <c r="A1043" s="1">
        <v>2815</v>
      </c>
      <c r="B1043" s="1" t="s">
        <v>15449</v>
      </c>
      <c r="C1043" s="1" t="s">
        <v>7245</v>
      </c>
      <c r="F1043" s="1" t="s">
        <v>7246</v>
      </c>
      <c r="G1043" s="1" t="s">
        <v>7247</v>
      </c>
    </row>
    <row r="1044" spans="1:7" x14ac:dyDescent="0.15">
      <c r="A1044" s="1">
        <v>2816</v>
      </c>
      <c r="B1044" s="1" t="s">
        <v>15449</v>
      </c>
      <c r="C1044" s="1" t="s">
        <v>7248</v>
      </c>
      <c r="F1044" s="1" t="s">
        <v>7249</v>
      </c>
      <c r="G1044" s="1" t="s">
        <v>7250</v>
      </c>
    </row>
    <row r="1045" spans="1:7" x14ac:dyDescent="0.15">
      <c r="A1045" s="1">
        <v>2817</v>
      </c>
      <c r="B1045" s="1" t="s">
        <v>15449</v>
      </c>
      <c r="C1045" s="1" t="s">
        <v>15458</v>
      </c>
      <c r="F1045" s="1" t="s">
        <v>7251</v>
      </c>
      <c r="G1045" s="1" t="s">
        <v>7252</v>
      </c>
    </row>
    <row r="1046" spans="1:7" x14ac:dyDescent="0.15">
      <c r="A1046" s="1">
        <v>2818</v>
      </c>
      <c r="B1046" s="1" t="s">
        <v>15449</v>
      </c>
      <c r="C1046" s="1" t="s">
        <v>15462</v>
      </c>
      <c r="F1046" s="1" t="s">
        <v>7253</v>
      </c>
      <c r="G1046" s="1" t="s">
        <v>7254</v>
      </c>
    </row>
    <row r="1047" spans="1:7" x14ac:dyDescent="0.15">
      <c r="A1047" s="1">
        <v>2819</v>
      </c>
      <c r="B1047" s="1" t="s">
        <v>15449</v>
      </c>
      <c r="C1047" s="1" t="s">
        <v>15466</v>
      </c>
      <c r="F1047" s="1" t="s">
        <v>7255</v>
      </c>
      <c r="G1047" s="1" t="s">
        <v>7256</v>
      </c>
    </row>
    <row r="1048" spans="1:7" x14ac:dyDescent="0.15">
      <c r="A1048" s="1">
        <v>2820</v>
      </c>
      <c r="B1048" s="1" t="s">
        <v>15449</v>
      </c>
      <c r="C1048" s="1" t="s">
        <v>15470</v>
      </c>
      <c r="F1048" s="1" t="s">
        <v>7257</v>
      </c>
      <c r="G1048" s="1" t="s">
        <v>7258</v>
      </c>
    </row>
    <row r="1049" spans="1:7" x14ac:dyDescent="0.15">
      <c r="A1049" s="1">
        <v>2821</v>
      </c>
      <c r="B1049" s="1" t="s">
        <v>15449</v>
      </c>
      <c r="C1049" s="1" t="s">
        <v>15474</v>
      </c>
      <c r="F1049" s="1" t="s">
        <v>7259</v>
      </c>
      <c r="G1049" s="1" t="s">
        <v>7260</v>
      </c>
    </row>
    <row r="1050" spans="1:7" x14ac:dyDescent="0.15">
      <c r="A1050" s="1">
        <v>2822</v>
      </c>
      <c r="B1050" s="1" t="s">
        <v>15449</v>
      </c>
      <c r="C1050" s="1" t="s">
        <v>15478</v>
      </c>
      <c r="F1050" s="1" t="s">
        <v>7261</v>
      </c>
      <c r="G1050" s="1" t="s">
        <v>7262</v>
      </c>
    </row>
    <row r="1051" spans="1:7" x14ac:dyDescent="0.15">
      <c r="A1051" s="1">
        <v>2823</v>
      </c>
      <c r="B1051" s="1" t="s">
        <v>15449</v>
      </c>
      <c r="C1051" s="1" t="s">
        <v>15482</v>
      </c>
      <c r="F1051" s="1" t="s">
        <v>7263</v>
      </c>
      <c r="G1051" s="1" t="s">
        <v>7264</v>
      </c>
    </row>
    <row r="1052" spans="1:7" x14ac:dyDescent="0.15">
      <c r="A1052" s="1">
        <v>2824</v>
      </c>
      <c r="B1052" s="1" t="s">
        <v>15449</v>
      </c>
      <c r="C1052" s="1" t="s">
        <v>15486</v>
      </c>
      <c r="F1052" s="1" t="s">
        <v>7265</v>
      </c>
      <c r="G1052" s="1" t="s">
        <v>7266</v>
      </c>
    </row>
    <row r="1053" spans="1:7" x14ac:dyDescent="0.15">
      <c r="A1053" s="1">
        <v>2825</v>
      </c>
      <c r="B1053" s="1" t="s">
        <v>15449</v>
      </c>
      <c r="C1053" s="1" t="s">
        <v>15490</v>
      </c>
      <c r="F1053" s="1" t="s">
        <v>7267</v>
      </c>
      <c r="G1053" s="1" t="s">
        <v>7268</v>
      </c>
    </row>
    <row r="1054" spans="1:7" x14ac:dyDescent="0.15">
      <c r="A1054" s="1">
        <v>2826</v>
      </c>
      <c r="B1054" s="1" t="s">
        <v>15449</v>
      </c>
      <c r="C1054" s="1" t="s">
        <v>15494</v>
      </c>
      <c r="F1054" s="1" t="s">
        <v>7269</v>
      </c>
      <c r="G1054" s="1" t="s">
        <v>7270</v>
      </c>
    </row>
    <row r="1055" spans="1:7" x14ac:dyDescent="0.15">
      <c r="A1055" s="1">
        <v>2827</v>
      </c>
      <c r="B1055" s="1" t="s">
        <v>15449</v>
      </c>
      <c r="C1055" s="1" t="s">
        <v>15498</v>
      </c>
      <c r="F1055" s="1" t="s">
        <v>7271</v>
      </c>
      <c r="G1055" s="1" t="s">
        <v>7272</v>
      </c>
    </row>
    <row r="1056" spans="1:7" x14ac:dyDescent="0.15">
      <c r="A1056" s="1">
        <v>2828</v>
      </c>
      <c r="B1056" s="1" t="s">
        <v>15449</v>
      </c>
      <c r="C1056" s="1" t="s">
        <v>15502</v>
      </c>
      <c r="F1056" s="1" t="s">
        <v>7273</v>
      </c>
      <c r="G1056" s="1" t="s">
        <v>7274</v>
      </c>
    </row>
    <row r="1057" spans="1:7" x14ac:dyDescent="0.15">
      <c r="A1057" s="1">
        <v>2829</v>
      </c>
      <c r="B1057" s="1" t="s">
        <v>15449</v>
      </c>
      <c r="C1057" s="1" t="s">
        <v>15506</v>
      </c>
      <c r="F1057" s="1" t="s">
        <v>7275</v>
      </c>
      <c r="G1057" s="1" t="s">
        <v>7276</v>
      </c>
    </row>
    <row r="1058" spans="1:7" x14ac:dyDescent="0.15">
      <c r="A1058" s="1">
        <v>2830</v>
      </c>
      <c r="B1058" s="1" t="s">
        <v>15449</v>
      </c>
      <c r="C1058" s="1" t="s">
        <v>15510</v>
      </c>
      <c r="F1058" s="1" t="s">
        <v>10671</v>
      </c>
      <c r="G1058" s="1" t="s">
        <v>7277</v>
      </c>
    </row>
    <row r="1059" spans="1:7" x14ac:dyDescent="0.15">
      <c r="A1059" s="1">
        <v>2831</v>
      </c>
      <c r="B1059" s="1" t="s">
        <v>15449</v>
      </c>
      <c r="C1059" s="1" t="s">
        <v>15514</v>
      </c>
      <c r="F1059" s="1" t="s">
        <v>7278</v>
      </c>
      <c r="G1059" s="1" t="s">
        <v>7279</v>
      </c>
    </row>
    <row r="1060" spans="1:7" x14ac:dyDescent="0.15">
      <c r="A1060" s="1">
        <v>2832</v>
      </c>
      <c r="B1060" s="1" t="s">
        <v>15449</v>
      </c>
      <c r="C1060" s="1" t="s">
        <v>15518</v>
      </c>
      <c r="F1060" s="1" t="s">
        <v>7280</v>
      </c>
      <c r="G1060" s="1" t="s">
        <v>7281</v>
      </c>
    </row>
    <row r="1061" spans="1:7" x14ac:dyDescent="0.15">
      <c r="A1061" s="1">
        <v>2833</v>
      </c>
      <c r="B1061" s="1" t="s">
        <v>15449</v>
      </c>
      <c r="C1061" s="1" t="s">
        <v>15522</v>
      </c>
      <c r="F1061" s="1" t="s">
        <v>7282</v>
      </c>
      <c r="G1061" s="1" t="s">
        <v>6425</v>
      </c>
    </row>
    <row r="1062" spans="1:7" x14ac:dyDescent="0.15">
      <c r="A1062" s="1">
        <v>2834</v>
      </c>
      <c r="B1062" s="1" t="s">
        <v>15449</v>
      </c>
      <c r="C1062" s="1" t="s">
        <v>6426</v>
      </c>
      <c r="D1062" s="1" t="s">
        <v>11582</v>
      </c>
      <c r="F1062" s="1" t="s">
        <v>8714</v>
      </c>
      <c r="G1062" s="1" t="s">
        <v>6427</v>
      </c>
    </row>
    <row r="1063" spans="1:7" x14ac:dyDescent="0.15">
      <c r="A1063" s="1">
        <v>2835</v>
      </c>
      <c r="B1063" s="1" t="s">
        <v>15449</v>
      </c>
      <c r="C1063" s="1" t="s">
        <v>15526</v>
      </c>
      <c r="F1063" s="1" t="s">
        <v>6428</v>
      </c>
      <c r="G1063" s="1" t="s">
        <v>6429</v>
      </c>
    </row>
    <row r="1064" spans="1:7" x14ac:dyDescent="0.15">
      <c r="A1064" s="1">
        <v>2836</v>
      </c>
      <c r="B1064" s="1" t="s">
        <v>15530</v>
      </c>
      <c r="C1064" s="1" t="s">
        <v>6430</v>
      </c>
      <c r="F1064" s="1" t="s">
        <v>6431</v>
      </c>
      <c r="G1064" s="1" t="s">
        <v>6432</v>
      </c>
    </row>
    <row r="1065" spans="1:7" x14ac:dyDescent="0.15">
      <c r="A1065" s="1">
        <v>2837</v>
      </c>
      <c r="B1065" s="1" t="s">
        <v>15530</v>
      </c>
      <c r="C1065" s="1" t="s">
        <v>6433</v>
      </c>
      <c r="F1065" s="1" t="s">
        <v>6434</v>
      </c>
      <c r="G1065" s="1" t="s">
        <v>6435</v>
      </c>
    </row>
    <row r="1066" spans="1:7" x14ac:dyDescent="0.15">
      <c r="A1066" s="1">
        <v>2838</v>
      </c>
      <c r="B1066" s="1" t="s">
        <v>15530</v>
      </c>
      <c r="C1066" s="1" t="s">
        <v>15539</v>
      </c>
      <c r="F1066" s="1" t="s">
        <v>6436</v>
      </c>
      <c r="G1066" s="1" t="s">
        <v>6437</v>
      </c>
    </row>
    <row r="1067" spans="1:7" x14ac:dyDescent="0.15">
      <c r="A1067" s="1">
        <v>2839</v>
      </c>
      <c r="B1067" s="1" t="s">
        <v>15530</v>
      </c>
      <c r="C1067" s="1" t="s">
        <v>15543</v>
      </c>
      <c r="F1067" s="1" t="s">
        <v>6438</v>
      </c>
      <c r="G1067" s="1" t="s">
        <v>6439</v>
      </c>
    </row>
    <row r="1068" spans="1:7" x14ac:dyDescent="0.15">
      <c r="A1068" s="1">
        <v>2840</v>
      </c>
      <c r="B1068" s="1" t="s">
        <v>15530</v>
      </c>
      <c r="C1068" s="1" t="s">
        <v>15547</v>
      </c>
      <c r="F1068" s="1" t="s">
        <v>6440</v>
      </c>
      <c r="G1068" s="1" t="s">
        <v>6441</v>
      </c>
    </row>
    <row r="1069" spans="1:7" x14ac:dyDescent="0.15">
      <c r="A1069" s="1">
        <v>2841</v>
      </c>
      <c r="B1069" s="1" t="s">
        <v>15530</v>
      </c>
      <c r="C1069" s="1" t="s">
        <v>15551</v>
      </c>
      <c r="F1069" s="1" t="s">
        <v>6442</v>
      </c>
      <c r="G1069" s="1" t="s">
        <v>6443</v>
      </c>
    </row>
    <row r="1070" spans="1:7" x14ac:dyDescent="0.15">
      <c r="A1070" s="1">
        <v>2842</v>
      </c>
      <c r="B1070" s="1" t="s">
        <v>15530</v>
      </c>
      <c r="C1070" s="1" t="s">
        <v>15555</v>
      </c>
      <c r="F1070" s="1" t="s">
        <v>6444</v>
      </c>
      <c r="G1070" s="1" t="s">
        <v>6445</v>
      </c>
    </row>
    <row r="1071" spans="1:7" x14ac:dyDescent="0.15">
      <c r="A1071" s="1">
        <v>1632</v>
      </c>
      <c r="B1071" s="1" t="s">
        <v>15559</v>
      </c>
      <c r="C1071" s="1" t="s">
        <v>9321</v>
      </c>
      <c r="F1071" s="1" t="s">
        <v>9322</v>
      </c>
      <c r="G1071" s="1" t="s">
        <v>9323</v>
      </c>
    </row>
    <row r="1072" spans="1:7" x14ac:dyDescent="0.15">
      <c r="A1072" s="1">
        <v>1634</v>
      </c>
      <c r="B1072" s="1" t="s">
        <v>15559</v>
      </c>
      <c r="C1072" s="1" t="s">
        <v>9326</v>
      </c>
      <c r="F1072" s="1" t="s">
        <v>9327</v>
      </c>
      <c r="G1072" s="1" t="s">
        <v>9328</v>
      </c>
    </row>
    <row r="1073" spans="1:7" x14ac:dyDescent="0.15">
      <c r="A1073" s="1">
        <v>1635</v>
      </c>
      <c r="B1073" s="1" t="s">
        <v>15559</v>
      </c>
      <c r="C1073" s="1" t="s">
        <v>15568</v>
      </c>
      <c r="F1073" s="1" t="s">
        <v>9327</v>
      </c>
      <c r="G1073" s="1" t="s">
        <v>9329</v>
      </c>
    </row>
    <row r="1074" spans="1:7" x14ac:dyDescent="0.15">
      <c r="A1074" s="1">
        <v>1636</v>
      </c>
      <c r="B1074" s="1" t="s">
        <v>15559</v>
      </c>
      <c r="C1074" s="1" t="s">
        <v>9330</v>
      </c>
      <c r="D1074" s="1" t="s">
        <v>12625</v>
      </c>
      <c r="F1074" s="1" t="s">
        <v>9331</v>
      </c>
      <c r="G1074" s="1" t="s">
        <v>9332</v>
      </c>
    </row>
    <row r="1075" spans="1:7" x14ac:dyDescent="0.15">
      <c r="A1075" s="1">
        <v>1639</v>
      </c>
      <c r="B1075" s="1" t="s">
        <v>15559</v>
      </c>
      <c r="C1075" s="1" t="s">
        <v>9333</v>
      </c>
      <c r="D1075" s="1" t="s">
        <v>12625</v>
      </c>
      <c r="F1075" s="1" t="s">
        <v>9334</v>
      </c>
      <c r="G1075" s="1" t="s">
        <v>9335</v>
      </c>
    </row>
    <row r="1076" spans="1:7" x14ac:dyDescent="0.15">
      <c r="A1076" s="1">
        <v>1640</v>
      </c>
      <c r="B1076" s="1" t="s">
        <v>15559</v>
      </c>
      <c r="C1076" s="1" t="s">
        <v>9336</v>
      </c>
      <c r="D1076" s="1" t="s">
        <v>12625</v>
      </c>
      <c r="F1076" s="1" t="s">
        <v>9337</v>
      </c>
      <c r="G1076" s="1" t="s">
        <v>9338</v>
      </c>
    </row>
    <row r="1077" spans="1:7" x14ac:dyDescent="0.15">
      <c r="A1077" s="1">
        <v>1641</v>
      </c>
      <c r="B1077" s="1" t="s">
        <v>15559</v>
      </c>
      <c r="C1077" s="1" t="s">
        <v>9339</v>
      </c>
      <c r="F1077" s="1" t="s">
        <v>9340</v>
      </c>
      <c r="G1077" s="1" t="s">
        <v>9341</v>
      </c>
    </row>
    <row r="1078" spans="1:7" x14ac:dyDescent="0.15">
      <c r="A1078" s="1">
        <v>1642</v>
      </c>
      <c r="B1078" s="1" t="s">
        <v>15559</v>
      </c>
      <c r="C1078" s="1" t="s">
        <v>15575</v>
      </c>
      <c r="F1078" s="1" t="s">
        <v>9340</v>
      </c>
      <c r="G1078" s="1" t="s">
        <v>9342</v>
      </c>
    </row>
    <row r="1079" spans="1:7" x14ac:dyDescent="0.15">
      <c r="A1079" s="1">
        <v>1643</v>
      </c>
      <c r="B1079" s="1" t="s">
        <v>15559</v>
      </c>
      <c r="C1079" s="1" t="s">
        <v>11322</v>
      </c>
      <c r="D1079" s="1" t="s">
        <v>12625</v>
      </c>
      <c r="F1079" s="1" t="s">
        <v>11323</v>
      </c>
      <c r="G1079" s="1" t="s">
        <v>9343</v>
      </c>
    </row>
    <row r="1080" spans="1:7" x14ac:dyDescent="0.15">
      <c r="A1080" s="1">
        <v>1644</v>
      </c>
      <c r="B1080" s="1" t="s">
        <v>15559</v>
      </c>
      <c r="C1080" s="1" t="s">
        <v>9344</v>
      </c>
      <c r="D1080" s="1" t="s">
        <v>12625</v>
      </c>
      <c r="F1080" s="1" t="s">
        <v>9345</v>
      </c>
      <c r="G1080" s="1" t="s">
        <v>9346</v>
      </c>
    </row>
    <row r="1081" spans="1:7" x14ac:dyDescent="0.15">
      <c r="A1081" s="1">
        <v>1645</v>
      </c>
      <c r="B1081" s="1" t="s">
        <v>15559</v>
      </c>
      <c r="C1081" s="1" t="s">
        <v>10272</v>
      </c>
      <c r="D1081" s="1" t="s">
        <v>12625</v>
      </c>
      <c r="F1081" s="1" t="s">
        <v>10273</v>
      </c>
      <c r="G1081" s="1" t="s">
        <v>9347</v>
      </c>
    </row>
    <row r="1082" spans="1:7" x14ac:dyDescent="0.15">
      <c r="A1082" s="1">
        <v>1646</v>
      </c>
      <c r="B1082" s="1" t="s">
        <v>15559</v>
      </c>
      <c r="C1082" s="1" t="s">
        <v>11324</v>
      </c>
      <c r="D1082" s="1" t="s">
        <v>11582</v>
      </c>
      <c r="F1082" s="1" t="s">
        <v>11325</v>
      </c>
      <c r="G1082" s="1" t="s">
        <v>9348</v>
      </c>
    </row>
    <row r="1083" spans="1:7" x14ac:dyDescent="0.15">
      <c r="A1083" s="1">
        <v>1647</v>
      </c>
      <c r="B1083" s="1" t="s">
        <v>15559</v>
      </c>
      <c r="C1083" s="1" t="s">
        <v>11326</v>
      </c>
      <c r="D1083" s="1" t="s">
        <v>11582</v>
      </c>
      <c r="F1083" s="1" t="s">
        <v>11327</v>
      </c>
      <c r="G1083" s="1" t="s">
        <v>9349</v>
      </c>
    </row>
    <row r="1084" spans="1:7" x14ac:dyDescent="0.15">
      <c r="A1084" s="1">
        <v>1649</v>
      </c>
      <c r="B1084" s="1" t="s">
        <v>15559</v>
      </c>
      <c r="C1084" s="1" t="s">
        <v>9350</v>
      </c>
      <c r="D1084" s="1" t="s">
        <v>12625</v>
      </c>
      <c r="F1084" s="1" t="s">
        <v>9351</v>
      </c>
      <c r="G1084" s="1" t="s">
        <v>9352</v>
      </c>
    </row>
    <row r="1085" spans="1:7" x14ac:dyDescent="0.15">
      <c r="A1085" s="1">
        <v>1650</v>
      </c>
      <c r="B1085" s="1" t="s">
        <v>15559</v>
      </c>
      <c r="C1085" s="1" t="s">
        <v>9353</v>
      </c>
      <c r="F1085" s="1" t="s">
        <v>9354</v>
      </c>
      <c r="G1085" s="1" t="s">
        <v>9355</v>
      </c>
    </row>
    <row r="1086" spans="1:7" x14ac:dyDescent="0.15">
      <c r="A1086" s="1">
        <v>1651</v>
      </c>
      <c r="B1086" s="1" t="s">
        <v>15559</v>
      </c>
      <c r="C1086" s="1" t="s">
        <v>14852</v>
      </c>
      <c r="F1086" s="1" t="s">
        <v>9354</v>
      </c>
      <c r="G1086" s="1" t="s">
        <v>9356</v>
      </c>
    </row>
    <row r="1087" spans="1:7" x14ac:dyDescent="0.15">
      <c r="A1087" s="1">
        <v>1652</v>
      </c>
      <c r="B1087" s="1" t="s">
        <v>14855</v>
      </c>
      <c r="C1087" s="1" t="s">
        <v>9324</v>
      </c>
      <c r="F1087" s="1" t="s">
        <v>9325</v>
      </c>
      <c r="G1087" s="1" t="s">
        <v>9357</v>
      </c>
    </row>
    <row r="1088" spans="1:7" x14ac:dyDescent="0.15">
      <c r="A1088" s="1">
        <v>1654</v>
      </c>
      <c r="B1088" s="1" t="s">
        <v>14855</v>
      </c>
      <c r="C1088" s="1" t="s">
        <v>9358</v>
      </c>
      <c r="D1088" s="1" t="s">
        <v>12593</v>
      </c>
      <c r="F1088" s="1" t="s">
        <v>9359</v>
      </c>
      <c r="G1088" s="1" t="s">
        <v>12595</v>
      </c>
    </row>
    <row r="1089" spans="1:7" x14ac:dyDescent="0.15">
      <c r="A1089" s="1">
        <v>1655</v>
      </c>
      <c r="B1089" s="1" t="s">
        <v>14855</v>
      </c>
      <c r="C1089" s="1" t="s">
        <v>14864</v>
      </c>
      <c r="D1089" s="1" t="s">
        <v>12593</v>
      </c>
      <c r="F1089" s="1" t="s">
        <v>9359</v>
      </c>
      <c r="G1089" s="1" t="s">
        <v>9360</v>
      </c>
    </row>
    <row r="1090" spans="1:7" x14ac:dyDescent="0.15">
      <c r="A1090" s="1">
        <v>1656</v>
      </c>
      <c r="B1090" s="1" t="s">
        <v>14855</v>
      </c>
      <c r="C1090" s="1" t="s">
        <v>9361</v>
      </c>
      <c r="F1090" s="1" t="s">
        <v>9888</v>
      </c>
      <c r="G1090" s="1" t="s">
        <v>9362</v>
      </c>
    </row>
    <row r="1091" spans="1:7" x14ac:dyDescent="0.15">
      <c r="A1091" s="1">
        <v>1657</v>
      </c>
      <c r="B1091" s="1" t="s">
        <v>14855</v>
      </c>
      <c r="C1091" s="1" t="s">
        <v>14871</v>
      </c>
      <c r="F1091" s="1" t="s">
        <v>9888</v>
      </c>
      <c r="G1091" s="1" t="s">
        <v>9363</v>
      </c>
    </row>
    <row r="1092" spans="1:7" x14ac:dyDescent="0.15">
      <c r="A1092" s="1">
        <v>1660</v>
      </c>
      <c r="B1092" s="1" t="s">
        <v>14855</v>
      </c>
      <c r="C1092" s="1" t="s">
        <v>9364</v>
      </c>
      <c r="F1092" s="1" t="s">
        <v>9365</v>
      </c>
      <c r="G1092" s="1" t="s">
        <v>9366</v>
      </c>
    </row>
    <row r="1093" spans="1:7" x14ac:dyDescent="0.15">
      <c r="A1093" s="1">
        <v>1661</v>
      </c>
      <c r="B1093" s="1" t="s">
        <v>14855</v>
      </c>
      <c r="C1093" s="1" t="s">
        <v>14878</v>
      </c>
      <c r="F1093" s="1" t="s">
        <v>9365</v>
      </c>
      <c r="G1093" s="1" t="s">
        <v>9367</v>
      </c>
    </row>
    <row r="1094" spans="1:7" x14ac:dyDescent="0.15">
      <c r="A1094" s="1">
        <v>1662</v>
      </c>
      <c r="B1094" s="1" t="s">
        <v>14855</v>
      </c>
      <c r="C1094" s="1" t="s">
        <v>9368</v>
      </c>
      <c r="F1094" s="1" t="s">
        <v>9369</v>
      </c>
      <c r="G1094" s="1" t="s">
        <v>9370</v>
      </c>
    </row>
    <row r="1095" spans="1:7" x14ac:dyDescent="0.15">
      <c r="A1095" s="1">
        <v>1663</v>
      </c>
      <c r="B1095" s="1" t="s">
        <v>14855</v>
      </c>
      <c r="C1095" s="1" t="s">
        <v>14885</v>
      </c>
      <c r="F1095" s="1" t="s">
        <v>9369</v>
      </c>
      <c r="G1095" s="1" t="s">
        <v>9371</v>
      </c>
    </row>
    <row r="1096" spans="1:7" x14ac:dyDescent="0.15">
      <c r="A1096" s="1">
        <v>1664</v>
      </c>
      <c r="B1096" s="1" t="s">
        <v>14855</v>
      </c>
      <c r="C1096" s="1" t="s">
        <v>9372</v>
      </c>
      <c r="F1096" s="1" t="s">
        <v>9373</v>
      </c>
      <c r="G1096" s="1" t="s">
        <v>9374</v>
      </c>
    </row>
    <row r="1097" spans="1:7" x14ac:dyDescent="0.15">
      <c r="A1097" s="1">
        <v>1666</v>
      </c>
      <c r="B1097" s="1" t="s">
        <v>14855</v>
      </c>
      <c r="C1097" s="1" t="s">
        <v>14892</v>
      </c>
      <c r="F1097" s="1" t="s">
        <v>9373</v>
      </c>
      <c r="G1097" s="1" t="s">
        <v>9375</v>
      </c>
    </row>
    <row r="1098" spans="1:7" x14ac:dyDescent="0.15">
      <c r="A1098" s="1">
        <v>1667</v>
      </c>
      <c r="B1098" s="1" t="s">
        <v>14855</v>
      </c>
      <c r="C1098" s="1" t="s">
        <v>9376</v>
      </c>
      <c r="F1098" s="1" t="s">
        <v>9377</v>
      </c>
      <c r="G1098" s="1" t="s">
        <v>9378</v>
      </c>
    </row>
    <row r="1099" spans="1:7" x14ac:dyDescent="0.15">
      <c r="A1099" s="1">
        <v>1668</v>
      </c>
      <c r="B1099" s="1" t="s">
        <v>14855</v>
      </c>
      <c r="C1099" s="1" t="s">
        <v>14899</v>
      </c>
      <c r="F1099" s="1" t="s">
        <v>9379</v>
      </c>
      <c r="G1099" s="1" t="s">
        <v>9380</v>
      </c>
    </row>
    <row r="1100" spans="1:7" x14ac:dyDescent="0.15">
      <c r="A1100" s="1">
        <v>1669</v>
      </c>
      <c r="B1100" s="1" t="s">
        <v>14855</v>
      </c>
      <c r="C1100" s="1" t="s">
        <v>14903</v>
      </c>
      <c r="F1100" s="1" t="s">
        <v>9381</v>
      </c>
      <c r="G1100" s="1" t="s">
        <v>9382</v>
      </c>
    </row>
    <row r="1101" spans="1:7" x14ac:dyDescent="0.15">
      <c r="A1101" s="1">
        <v>1670</v>
      </c>
      <c r="B1101" s="1" t="s">
        <v>14855</v>
      </c>
      <c r="C1101" s="1" t="s">
        <v>14907</v>
      </c>
      <c r="D1101" s="1" t="s">
        <v>12593</v>
      </c>
      <c r="F1101" s="1" t="s">
        <v>9882</v>
      </c>
      <c r="G1101" s="1" t="s">
        <v>9383</v>
      </c>
    </row>
    <row r="1102" spans="1:7" x14ac:dyDescent="0.15">
      <c r="A1102" s="1">
        <v>1671</v>
      </c>
      <c r="B1102" s="1" t="s">
        <v>14855</v>
      </c>
      <c r="C1102" s="1" t="s">
        <v>14911</v>
      </c>
      <c r="F1102" s="1" t="s">
        <v>9384</v>
      </c>
      <c r="G1102" s="1" t="s">
        <v>9385</v>
      </c>
    </row>
    <row r="1103" spans="1:7" x14ac:dyDescent="0.15">
      <c r="A1103" s="1">
        <v>1672</v>
      </c>
      <c r="B1103" s="1" t="s">
        <v>14855</v>
      </c>
      <c r="C1103" s="1" t="s">
        <v>9881</v>
      </c>
      <c r="D1103" s="1" t="s">
        <v>12625</v>
      </c>
      <c r="F1103" s="1" t="s">
        <v>9882</v>
      </c>
      <c r="G1103" s="1" t="s">
        <v>9386</v>
      </c>
    </row>
    <row r="1104" spans="1:7" x14ac:dyDescent="0.15">
      <c r="A1104" s="1">
        <v>1674</v>
      </c>
      <c r="B1104" s="1" t="s">
        <v>14855</v>
      </c>
      <c r="C1104" s="1" t="s">
        <v>9883</v>
      </c>
      <c r="D1104" s="1" t="s">
        <v>12625</v>
      </c>
      <c r="F1104" s="1" t="s">
        <v>9884</v>
      </c>
      <c r="G1104" s="1" t="s">
        <v>9387</v>
      </c>
    </row>
    <row r="1105" spans="1:7" x14ac:dyDescent="0.15">
      <c r="A1105" s="1">
        <v>1678</v>
      </c>
      <c r="B1105" s="1" t="s">
        <v>14855</v>
      </c>
      <c r="C1105" s="1" t="s">
        <v>14915</v>
      </c>
      <c r="F1105" s="1" t="s">
        <v>9388</v>
      </c>
      <c r="G1105" s="1" t="s">
        <v>9389</v>
      </c>
    </row>
    <row r="1106" spans="1:7" x14ac:dyDescent="0.15">
      <c r="A1106" s="1">
        <v>1679</v>
      </c>
      <c r="B1106" s="1" t="s">
        <v>14855</v>
      </c>
      <c r="C1106" s="1" t="s">
        <v>11074</v>
      </c>
      <c r="F1106" s="1" t="s">
        <v>11075</v>
      </c>
      <c r="G1106" s="1" t="s">
        <v>9390</v>
      </c>
    </row>
    <row r="1107" spans="1:7" x14ac:dyDescent="0.15">
      <c r="A1107" s="1">
        <v>1680</v>
      </c>
      <c r="B1107" s="1" t="s">
        <v>14855</v>
      </c>
      <c r="C1107" s="1" t="s">
        <v>14923</v>
      </c>
      <c r="F1107" s="1" t="s">
        <v>9391</v>
      </c>
      <c r="G1107" s="1" t="s">
        <v>9392</v>
      </c>
    </row>
    <row r="1108" spans="1:7" x14ac:dyDescent="0.15">
      <c r="A1108" s="1">
        <v>1682</v>
      </c>
      <c r="B1108" s="1" t="s">
        <v>14855</v>
      </c>
      <c r="C1108" s="1" t="s">
        <v>9395</v>
      </c>
      <c r="D1108" s="1" t="s">
        <v>12625</v>
      </c>
      <c r="F1108" s="1" t="s">
        <v>9396</v>
      </c>
      <c r="G1108" s="1" t="s">
        <v>9397</v>
      </c>
    </row>
    <row r="1109" spans="1:7" x14ac:dyDescent="0.15">
      <c r="A1109" s="1">
        <v>1683</v>
      </c>
      <c r="B1109" s="1" t="s">
        <v>14855</v>
      </c>
      <c r="C1109" s="1" t="s">
        <v>9398</v>
      </c>
      <c r="D1109" s="1" t="s">
        <v>12625</v>
      </c>
      <c r="F1109" s="1" t="s">
        <v>9399</v>
      </c>
      <c r="G1109" s="1" t="s">
        <v>9400</v>
      </c>
    </row>
    <row r="1110" spans="1:7" x14ac:dyDescent="0.15">
      <c r="A1110" s="1">
        <v>1684</v>
      </c>
      <c r="B1110" s="1" t="s">
        <v>14855</v>
      </c>
      <c r="C1110" s="1" t="s">
        <v>9401</v>
      </c>
      <c r="F1110" s="1" t="s">
        <v>9402</v>
      </c>
      <c r="G1110" s="1" t="s">
        <v>9403</v>
      </c>
    </row>
    <row r="1111" spans="1:7" x14ac:dyDescent="0.15">
      <c r="A1111" s="1">
        <v>1685</v>
      </c>
      <c r="B1111" s="1" t="s">
        <v>14855</v>
      </c>
      <c r="C1111" s="1" t="s">
        <v>14930</v>
      </c>
      <c r="F1111" s="1" t="s">
        <v>9402</v>
      </c>
      <c r="G1111" s="1" t="s">
        <v>9404</v>
      </c>
    </row>
    <row r="1112" spans="1:7" x14ac:dyDescent="0.15">
      <c r="A1112" s="1">
        <v>1686</v>
      </c>
      <c r="B1112" s="1" t="s">
        <v>14933</v>
      </c>
      <c r="C1112" s="1" t="s">
        <v>10285</v>
      </c>
      <c r="F1112" s="1" t="s">
        <v>10286</v>
      </c>
      <c r="G1112" s="1" t="s">
        <v>9405</v>
      </c>
    </row>
    <row r="1113" spans="1:7" x14ac:dyDescent="0.15">
      <c r="A1113" s="1">
        <v>1687</v>
      </c>
      <c r="B1113" s="1" t="s">
        <v>14933</v>
      </c>
      <c r="C1113" s="1" t="s">
        <v>9406</v>
      </c>
      <c r="F1113" s="1" t="s">
        <v>9407</v>
      </c>
      <c r="G1113" s="1" t="s">
        <v>9408</v>
      </c>
    </row>
    <row r="1114" spans="1:7" x14ac:dyDescent="0.15">
      <c r="A1114" s="1">
        <v>1688</v>
      </c>
      <c r="B1114" s="1" t="s">
        <v>14933</v>
      </c>
      <c r="C1114" s="1" t="s">
        <v>14942</v>
      </c>
      <c r="F1114" s="1" t="s">
        <v>9407</v>
      </c>
      <c r="G1114" s="1" t="s">
        <v>9409</v>
      </c>
    </row>
    <row r="1115" spans="1:7" x14ac:dyDescent="0.15">
      <c r="A1115" s="1">
        <v>1689</v>
      </c>
      <c r="B1115" s="1" t="s">
        <v>14933</v>
      </c>
      <c r="C1115" s="1" t="s">
        <v>9410</v>
      </c>
      <c r="F1115" s="1" t="s">
        <v>9411</v>
      </c>
      <c r="G1115" s="1" t="s">
        <v>9412</v>
      </c>
    </row>
    <row r="1116" spans="1:7" x14ac:dyDescent="0.15">
      <c r="A1116" s="1">
        <v>1690</v>
      </c>
      <c r="B1116" s="1" t="s">
        <v>14933</v>
      </c>
      <c r="C1116" s="1" t="s">
        <v>14949</v>
      </c>
      <c r="F1116" s="1" t="s">
        <v>9413</v>
      </c>
      <c r="G1116" s="1" t="s">
        <v>8951</v>
      </c>
    </row>
    <row r="1117" spans="1:7" x14ac:dyDescent="0.15">
      <c r="A1117" s="1">
        <v>1691</v>
      </c>
      <c r="B1117" s="1" t="s">
        <v>14933</v>
      </c>
      <c r="C1117" s="1" t="s">
        <v>8952</v>
      </c>
      <c r="D1117" s="1" t="s">
        <v>11582</v>
      </c>
      <c r="F1117" s="1" t="s">
        <v>8953</v>
      </c>
      <c r="G1117" s="1" t="s">
        <v>8954</v>
      </c>
    </row>
    <row r="1118" spans="1:7" x14ac:dyDescent="0.15">
      <c r="A1118" s="1">
        <v>1692</v>
      </c>
      <c r="B1118" s="1" t="s">
        <v>14933</v>
      </c>
      <c r="C1118" s="1" t="s">
        <v>8955</v>
      </c>
      <c r="D1118" s="1" t="s">
        <v>12625</v>
      </c>
      <c r="F1118" s="1" t="s">
        <v>8956</v>
      </c>
      <c r="G1118" s="1" t="s">
        <v>8957</v>
      </c>
    </row>
    <row r="1119" spans="1:7" x14ac:dyDescent="0.15">
      <c r="A1119" s="1">
        <v>1693</v>
      </c>
      <c r="B1119" s="1" t="s">
        <v>14933</v>
      </c>
      <c r="C1119" s="1" t="s">
        <v>8958</v>
      </c>
      <c r="D1119" s="1" t="s">
        <v>12625</v>
      </c>
      <c r="F1119" s="1" t="s">
        <v>8959</v>
      </c>
      <c r="G1119" s="1" t="s">
        <v>8960</v>
      </c>
    </row>
    <row r="1120" spans="1:7" x14ac:dyDescent="0.15">
      <c r="A1120" s="1">
        <v>1694</v>
      </c>
      <c r="B1120" s="1" t="s">
        <v>14933</v>
      </c>
      <c r="C1120" s="1" t="s">
        <v>8961</v>
      </c>
      <c r="D1120" s="1" t="s">
        <v>12593</v>
      </c>
      <c r="F1120" s="1" t="s">
        <v>8953</v>
      </c>
      <c r="G1120" s="1" t="s">
        <v>12595</v>
      </c>
    </row>
    <row r="1121" spans="1:7" x14ac:dyDescent="0.15">
      <c r="A1121" s="1">
        <v>1695</v>
      </c>
      <c r="B1121" s="1" t="s">
        <v>14933</v>
      </c>
      <c r="C1121" s="1" t="s">
        <v>14956</v>
      </c>
      <c r="D1121" s="1" t="s">
        <v>11582</v>
      </c>
      <c r="F1121" s="1" t="s">
        <v>8953</v>
      </c>
      <c r="G1121" s="1" t="s">
        <v>8962</v>
      </c>
    </row>
    <row r="1122" spans="1:7" x14ac:dyDescent="0.15">
      <c r="A1122" s="1">
        <v>1696</v>
      </c>
      <c r="B1122" s="1" t="s">
        <v>14933</v>
      </c>
      <c r="C1122" s="1" t="s">
        <v>8963</v>
      </c>
      <c r="F1122" s="1" t="s">
        <v>8964</v>
      </c>
      <c r="G1122" s="1" t="s">
        <v>8965</v>
      </c>
    </row>
    <row r="1123" spans="1:7" x14ac:dyDescent="0.15">
      <c r="A1123" s="1">
        <v>1697</v>
      </c>
      <c r="B1123" s="1" t="s">
        <v>14933</v>
      </c>
      <c r="C1123" s="1" t="s">
        <v>14963</v>
      </c>
      <c r="F1123" s="1" t="s">
        <v>8966</v>
      </c>
      <c r="G1123" s="1" t="s">
        <v>8967</v>
      </c>
    </row>
    <row r="1124" spans="1:7" x14ac:dyDescent="0.15">
      <c r="A1124" s="1">
        <v>1698</v>
      </c>
      <c r="B1124" s="1" t="s">
        <v>14933</v>
      </c>
      <c r="C1124" s="1" t="s">
        <v>8968</v>
      </c>
      <c r="D1124" s="1" t="s">
        <v>12625</v>
      </c>
      <c r="F1124" s="1" t="s">
        <v>8969</v>
      </c>
      <c r="G1124" s="1" t="s">
        <v>8970</v>
      </c>
    </row>
    <row r="1125" spans="1:7" x14ac:dyDescent="0.15">
      <c r="A1125" s="1">
        <v>1699</v>
      </c>
      <c r="B1125" s="1" t="s">
        <v>14933</v>
      </c>
      <c r="C1125" s="1" t="s">
        <v>8971</v>
      </c>
      <c r="D1125" s="1" t="s">
        <v>12625</v>
      </c>
      <c r="F1125" s="1" t="s">
        <v>8972</v>
      </c>
      <c r="G1125" s="1" t="s">
        <v>8973</v>
      </c>
    </row>
    <row r="1126" spans="1:7" x14ac:dyDescent="0.15">
      <c r="A1126" s="1">
        <v>1700</v>
      </c>
      <c r="B1126" s="1" t="s">
        <v>14933</v>
      </c>
      <c r="C1126" s="1" t="s">
        <v>8974</v>
      </c>
      <c r="D1126" s="1" t="s">
        <v>12625</v>
      </c>
      <c r="F1126" s="1" t="s">
        <v>8975</v>
      </c>
      <c r="G1126" s="1" t="s">
        <v>8976</v>
      </c>
    </row>
    <row r="1127" spans="1:7" x14ac:dyDescent="0.15">
      <c r="A1127" s="1">
        <v>1701</v>
      </c>
      <c r="B1127" s="1" t="s">
        <v>14933</v>
      </c>
      <c r="C1127" s="1" t="s">
        <v>8977</v>
      </c>
      <c r="D1127" s="1" t="s">
        <v>12625</v>
      </c>
      <c r="F1127" s="1" t="s">
        <v>8978</v>
      </c>
      <c r="G1127" s="1" t="s">
        <v>8979</v>
      </c>
    </row>
    <row r="1128" spans="1:7" x14ac:dyDescent="0.15">
      <c r="A1128" s="1">
        <v>1702</v>
      </c>
      <c r="B1128" s="1" t="s">
        <v>14933</v>
      </c>
      <c r="C1128" s="1" t="s">
        <v>10318</v>
      </c>
      <c r="F1128" s="1" t="s">
        <v>10319</v>
      </c>
      <c r="G1128" s="1" t="s">
        <v>8980</v>
      </c>
    </row>
    <row r="1129" spans="1:7" x14ac:dyDescent="0.15">
      <c r="A1129" s="1">
        <v>1703</v>
      </c>
      <c r="B1129" s="1" t="s">
        <v>14933</v>
      </c>
      <c r="C1129" s="1" t="s">
        <v>14970</v>
      </c>
      <c r="F1129" s="1" t="s">
        <v>10710</v>
      </c>
      <c r="G1129" s="1" t="s">
        <v>8981</v>
      </c>
    </row>
    <row r="1130" spans="1:7" x14ac:dyDescent="0.15">
      <c r="A1130" s="1">
        <v>1706</v>
      </c>
      <c r="B1130" s="1" t="s">
        <v>14933</v>
      </c>
      <c r="C1130" s="1" t="s">
        <v>14974</v>
      </c>
      <c r="F1130" s="1" t="s">
        <v>8982</v>
      </c>
      <c r="G1130" s="1" t="s">
        <v>8983</v>
      </c>
    </row>
    <row r="1131" spans="1:7" x14ac:dyDescent="0.15">
      <c r="A1131" s="1">
        <v>1707</v>
      </c>
      <c r="B1131" s="1" t="s">
        <v>14933</v>
      </c>
      <c r="C1131" s="1" t="s">
        <v>14978</v>
      </c>
      <c r="F1131" s="1" t="s">
        <v>8984</v>
      </c>
      <c r="G1131" s="1" t="s">
        <v>8985</v>
      </c>
    </row>
    <row r="1132" spans="1:7" x14ac:dyDescent="0.15">
      <c r="A1132" s="1">
        <v>1708</v>
      </c>
      <c r="B1132" s="1" t="s">
        <v>14933</v>
      </c>
      <c r="C1132" s="1" t="s">
        <v>14982</v>
      </c>
      <c r="F1132" s="1" t="s">
        <v>8986</v>
      </c>
      <c r="G1132" s="1" t="s">
        <v>8987</v>
      </c>
    </row>
    <row r="1133" spans="1:7" x14ac:dyDescent="0.15">
      <c r="A1133" s="1">
        <v>1709</v>
      </c>
      <c r="B1133" s="1" t="s">
        <v>14933</v>
      </c>
      <c r="C1133" s="1" t="s">
        <v>14986</v>
      </c>
      <c r="D1133" s="1" t="s">
        <v>11582</v>
      </c>
      <c r="F1133" s="1" t="s">
        <v>8988</v>
      </c>
      <c r="G1133" s="1" t="s">
        <v>8989</v>
      </c>
    </row>
    <row r="1134" spans="1:7" x14ac:dyDescent="0.15">
      <c r="A1134" s="1">
        <v>1710</v>
      </c>
      <c r="B1134" s="1" t="s">
        <v>14933</v>
      </c>
      <c r="C1134" s="1" t="s">
        <v>14990</v>
      </c>
      <c r="F1134" s="1" t="s">
        <v>8990</v>
      </c>
      <c r="G1134" s="1" t="s">
        <v>8991</v>
      </c>
    </row>
    <row r="1135" spans="1:7" x14ac:dyDescent="0.15">
      <c r="A1135" s="1">
        <v>1711</v>
      </c>
      <c r="B1135" s="1" t="s">
        <v>14933</v>
      </c>
      <c r="C1135" s="1" t="s">
        <v>14994</v>
      </c>
      <c r="F1135" s="1" t="s">
        <v>10435</v>
      </c>
      <c r="G1135" s="1" t="s">
        <v>8992</v>
      </c>
    </row>
    <row r="1136" spans="1:7" x14ac:dyDescent="0.15">
      <c r="A1136" s="1">
        <v>1713</v>
      </c>
      <c r="B1136" s="1" t="s">
        <v>14933</v>
      </c>
      <c r="C1136" s="1" t="s">
        <v>8993</v>
      </c>
      <c r="D1136" s="1" t="s">
        <v>12625</v>
      </c>
      <c r="F1136" s="1" t="s">
        <v>8994</v>
      </c>
      <c r="G1136" s="1" t="s">
        <v>8995</v>
      </c>
    </row>
    <row r="1137" spans="1:7" x14ac:dyDescent="0.15">
      <c r="A1137" s="1">
        <v>1714</v>
      </c>
      <c r="B1137" s="1" t="s">
        <v>14933</v>
      </c>
      <c r="C1137" s="1" t="s">
        <v>14998</v>
      </c>
      <c r="F1137" s="1" t="s">
        <v>8996</v>
      </c>
      <c r="G1137" s="1" t="s">
        <v>8997</v>
      </c>
    </row>
    <row r="1138" spans="1:7" x14ac:dyDescent="0.15">
      <c r="A1138" s="1">
        <v>1715</v>
      </c>
      <c r="B1138" s="1" t="s">
        <v>14933</v>
      </c>
      <c r="C1138" s="1" t="s">
        <v>8998</v>
      </c>
      <c r="F1138" s="1" t="s">
        <v>8999</v>
      </c>
      <c r="G1138" s="1" t="s">
        <v>9000</v>
      </c>
    </row>
    <row r="1139" spans="1:7" x14ac:dyDescent="0.15">
      <c r="A1139" s="1">
        <v>1716</v>
      </c>
      <c r="B1139" s="1" t="s">
        <v>14933</v>
      </c>
      <c r="C1139" s="1" t="s">
        <v>15006</v>
      </c>
      <c r="F1139" s="1" t="s">
        <v>9001</v>
      </c>
      <c r="G1139" s="1" t="s">
        <v>9002</v>
      </c>
    </row>
    <row r="1140" spans="1:7" x14ac:dyDescent="0.15">
      <c r="A1140" s="1">
        <v>1718</v>
      </c>
      <c r="B1140" s="1" t="s">
        <v>14933</v>
      </c>
      <c r="C1140" s="1" t="s">
        <v>15010</v>
      </c>
      <c r="F1140" s="1" t="s">
        <v>9003</v>
      </c>
      <c r="G1140" s="1" t="s">
        <v>9004</v>
      </c>
    </row>
    <row r="1141" spans="1:7" x14ac:dyDescent="0.15">
      <c r="A1141" s="1">
        <v>1719</v>
      </c>
      <c r="B1141" s="1" t="s">
        <v>14933</v>
      </c>
      <c r="C1141" s="1" t="s">
        <v>15014</v>
      </c>
      <c r="F1141" s="1" t="s">
        <v>10555</v>
      </c>
      <c r="G1141" s="1" t="s">
        <v>9005</v>
      </c>
    </row>
    <row r="1142" spans="1:7" x14ac:dyDescent="0.15">
      <c r="A1142" s="1">
        <v>1720</v>
      </c>
      <c r="B1142" s="1" t="s">
        <v>14933</v>
      </c>
      <c r="C1142" s="1" t="s">
        <v>15018</v>
      </c>
      <c r="F1142" s="1" t="s">
        <v>9006</v>
      </c>
      <c r="G1142" s="1" t="s">
        <v>9007</v>
      </c>
    </row>
    <row r="1143" spans="1:7" x14ac:dyDescent="0.15">
      <c r="A1143" s="1">
        <v>1721</v>
      </c>
      <c r="B1143" s="1" t="s">
        <v>14933</v>
      </c>
      <c r="C1143" s="1" t="s">
        <v>11258</v>
      </c>
      <c r="D1143" s="1" t="s">
        <v>12625</v>
      </c>
      <c r="F1143" s="1" t="s">
        <v>11259</v>
      </c>
      <c r="G1143" s="1" t="s">
        <v>9008</v>
      </c>
    </row>
    <row r="1144" spans="1:7" x14ac:dyDescent="0.15">
      <c r="A1144" s="1">
        <v>1722</v>
      </c>
      <c r="B1144" s="1" t="s">
        <v>14933</v>
      </c>
      <c r="C1144" s="1" t="s">
        <v>9009</v>
      </c>
      <c r="D1144" s="1" t="s">
        <v>12625</v>
      </c>
      <c r="F1144" s="1" t="s">
        <v>9010</v>
      </c>
      <c r="G1144" s="1" t="s">
        <v>9011</v>
      </c>
    </row>
    <row r="1145" spans="1:7" x14ac:dyDescent="0.15">
      <c r="A1145" s="1">
        <v>1723</v>
      </c>
      <c r="B1145" s="1" t="s">
        <v>14933</v>
      </c>
      <c r="C1145" s="1" t="s">
        <v>10408</v>
      </c>
      <c r="D1145" s="1" t="s">
        <v>11582</v>
      </c>
      <c r="F1145" s="1" t="s">
        <v>9012</v>
      </c>
      <c r="G1145" s="1" t="s">
        <v>9013</v>
      </c>
    </row>
    <row r="1146" spans="1:7" x14ac:dyDescent="0.15">
      <c r="A1146" s="1">
        <v>1725</v>
      </c>
      <c r="B1146" s="1" t="s">
        <v>14933</v>
      </c>
      <c r="C1146" s="1" t="s">
        <v>15022</v>
      </c>
      <c r="F1146" s="1" t="s">
        <v>9014</v>
      </c>
      <c r="G1146" s="1" t="s">
        <v>9015</v>
      </c>
    </row>
    <row r="1147" spans="1:7" x14ac:dyDescent="0.15">
      <c r="A1147" s="1">
        <v>1726</v>
      </c>
      <c r="B1147" s="1" t="s">
        <v>14933</v>
      </c>
      <c r="C1147" s="1" t="s">
        <v>9016</v>
      </c>
      <c r="D1147" s="1" t="s">
        <v>12593</v>
      </c>
      <c r="F1147" s="1" t="s">
        <v>9017</v>
      </c>
      <c r="G1147" s="1" t="s">
        <v>12595</v>
      </c>
    </row>
    <row r="1148" spans="1:7" x14ac:dyDescent="0.15">
      <c r="A1148" s="1">
        <v>1727</v>
      </c>
      <c r="B1148" s="1" t="s">
        <v>14933</v>
      </c>
      <c r="C1148" s="1" t="s">
        <v>15030</v>
      </c>
      <c r="D1148" s="1" t="s">
        <v>12593</v>
      </c>
      <c r="F1148" s="1" t="s">
        <v>9018</v>
      </c>
      <c r="G1148" s="1" t="s">
        <v>9019</v>
      </c>
    </row>
    <row r="1149" spans="1:7" x14ac:dyDescent="0.15">
      <c r="A1149" s="1">
        <v>1728</v>
      </c>
      <c r="B1149" s="1" t="s">
        <v>14933</v>
      </c>
      <c r="C1149" s="1" t="s">
        <v>15034</v>
      </c>
      <c r="D1149" s="1" t="s">
        <v>11582</v>
      </c>
      <c r="F1149" s="1" t="s">
        <v>9012</v>
      </c>
      <c r="G1149" s="1" t="s">
        <v>9020</v>
      </c>
    </row>
    <row r="1150" spans="1:7" x14ac:dyDescent="0.15">
      <c r="A1150" s="1">
        <v>1729</v>
      </c>
      <c r="B1150" s="1" t="s">
        <v>14933</v>
      </c>
      <c r="C1150" s="1" t="s">
        <v>15038</v>
      </c>
      <c r="D1150" s="1" t="s">
        <v>12593</v>
      </c>
      <c r="F1150" s="1" t="s">
        <v>9021</v>
      </c>
      <c r="G1150" s="1" t="s">
        <v>9022</v>
      </c>
    </row>
    <row r="1151" spans="1:7" x14ac:dyDescent="0.15">
      <c r="A1151" s="1">
        <v>1730</v>
      </c>
      <c r="B1151" s="1" t="s">
        <v>14933</v>
      </c>
      <c r="C1151" s="1" t="s">
        <v>12490</v>
      </c>
      <c r="D1151" s="1" t="s">
        <v>12593</v>
      </c>
      <c r="F1151" s="1" t="s">
        <v>9023</v>
      </c>
      <c r="G1151" s="1" t="s">
        <v>9019</v>
      </c>
    </row>
    <row r="1152" spans="1:7" x14ac:dyDescent="0.15">
      <c r="A1152" s="1">
        <v>1731</v>
      </c>
      <c r="B1152" s="1" t="s">
        <v>14933</v>
      </c>
      <c r="C1152" s="1" t="s">
        <v>10735</v>
      </c>
      <c r="F1152" s="1" t="s">
        <v>10736</v>
      </c>
      <c r="G1152" s="1" t="s">
        <v>9024</v>
      </c>
    </row>
    <row r="1153" spans="1:7" x14ac:dyDescent="0.15">
      <c r="A1153" s="1">
        <v>1732</v>
      </c>
      <c r="B1153" s="1" t="s">
        <v>14933</v>
      </c>
      <c r="C1153" s="1" t="s">
        <v>15046</v>
      </c>
      <c r="F1153" s="1" t="s">
        <v>9025</v>
      </c>
      <c r="G1153" s="1" t="s">
        <v>9026</v>
      </c>
    </row>
    <row r="1154" spans="1:7" x14ac:dyDescent="0.15">
      <c r="A1154" s="1">
        <v>1737</v>
      </c>
      <c r="B1154" s="1" t="s">
        <v>14933</v>
      </c>
      <c r="C1154" s="1" t="s">
        <v>15050</v>
      </c>
      <c r="F1154" s="1" t="s">
        <v>9028</v>
      </c>
      <c r="G1154" s="1" t="s">
        <v>9029</v>
      </c>
    </row>
    <row r="1155" spans="1:7" x14ac:dyDescent="0.15">
      <c r="A1155" s="1">
        <v>1738</v>
      </c>
      <c r="B1155" s="1" t="s">
        <v>14933</v>
      </c>
      <c r="C1155" s="1" t="s">
        <v>15054</v>
      </c>
      <c r="F1155" s="1" t="s">
        <v>9030</v>
      </c>
      <c r="G1155" s="1" t="s">
        <v>9031</v>
      </c>
    </row>
    <row r="1156" spans="1:7" x14ac:dyDescent="0.15">
      <c r="A1156" s="1">
        <v>1739</v>
      </c>
      <c r="B1156" s="1" t="s">
        <v>14933</v>
      </c>
      <c r="C1156" s="1" t="s">
        <v>15058</v>
      </c>
      <c r="F1156" s="1" t="s">
        <v>9032</v>
      </c>
      <c r="G1156" s="1" t="s">
        <v>9033</v>
      </c>
    </row>
    <row r="1157" spans="1:7" x14ac:dyDescent="0.15">
      <c r="A1157" s="1">
        <v>1740</v>
      </c>
      <c r="B1157" s="1" t="s">
        <v>14933</v>
      </c>
      <c r="C1157" s="1" t="s">
        <v>15062</v>
      </c>
      <c r="F1157" s="1" t="s">
        <v>10402</v>
      </c>
      <c r="G1157" s="1" t="s">
        <v>9034</v>
      </c>
    </row>
    <row r="1158" spans="1:7" x14ac:dyDescent="0.15">
      <c r="A1158" s="1">
        <v>1742</v>
      </c>
      <c r="B1158" s="1" t="s">
        <v>14933</v>
      </c>
      <c r="C1158" s="1" t="s">
        <v>15066</v>
      </c>
      <c r="F1158" s="1" t="s">
        <v>9035</v>
      </c>
      <c r="G1158" s="1" t="s">
        <v>9036</v>
      </c>
    </row>
    <row r="1159" spans="1:7" x14ac:dyDescent="0.15">
      <c r="A1159" s="1">
        <v>1744</v>
      </c>
      <c r="B1159" s="1" t="s">
        <v>14933</v>
      </c>
      <c r="C1159" s="1" t="s">
        <v>15070</v>
      </c>
      <c r="F1159" s="1" t="s">
        <v>9037</v>
      </c>
      <c r="G1159" s="1" t="s">
        <v>9038</v>
      </c>
    </row>
    <row r="1160" spans="1:7" x14ac:dyDescent="0.15">
      <c r="A1160" s="1">
        <v>1745</v>
      </c>
      <c r="B1160" s="1" t="s">
        <v>14933</v>
      </c>
      <c r="C1160" s="1" t="s">
        <v>15074</v>
      </c>
      <c r="F1160" s="1" t="s">
        <v>9039</v>
      </c>
      <c r="G1160" s="1" t="s">
        <v>9040</v>
      </c>
    </row>
    <row r="1161" spans="1:7" x14ac:dyDescent="0.15">
      <c r="A1161" s="1">
        <v>1746</v>
      </c>
      <c r="B1161" s="1" t="s">
        <v>14933</v>
      </c>
      <c r="C1161" s="1" t="s">
        <v>15078</v>
      </c>
      <c r="F1161" s="1" t="s">
        <v>9041</v>
      </c>
      <c r="G1161" s="1" t="s">
        <v>9042</v>
      </c>
    </row>
    <row r="1162" spans="1:7" x14ac:dyDescent="0.15">
      <c r="A1162" s="1">
        <v>1748</v>
      </c>
      <c r="B1162" s="1" t="s">
        <v>14933</v>
      </c>
      <c r="C1162" s="1" t="s">
        <v>15082</v>
      </c>
      <c r="F1162" s="1" t="s">
        <v>9043</v>
      </c>
      <c r="G1162" s="1" t="s">
        <v>9044</v>
      </c>
    </row>
    <row r="1163" spans="1:7" x14ac:dyDescent="0.15">
      <c r="A1163" s="1">
        <v>1749</v>
      </c>
      <c r="B1163" s="1" t="s">
        <v>14933</v>
      </c>
      <c r="C1163" s="1" t="s">
        <v>9045</v>
      </c>
      <c r="F1163" s="1" t="s">
        <v>9046</v>
      </c>
      <c r="G1163" s="1" t="s">
        <v>9047</v>
      </c>
    </row>
    <row r="1164" spans="1:7" x14ac:dyDescent="0.15">
      <c r="A1164" s="1">
        <v>1750</v>
      </c>
      <c r="B1164" s="1" t="s">
        <v>14933</v>
      </c>
      <c r="C1164" s="1" t="s">
        <v>15090</v>
      </c>
      <c r="F1164" s="1" t="s">
        <v>9046</v>
      </c>
      <c r="G1164" s="1" t="s">
        <v>9048</v>
      </c>
    </row>
    <row r="1165" spans="1:7" x14ac:dyDescent="0.15">
      <c r="A1165" s="1">
        <v>1751</v>
      </c>
      <c r="B1165" s="1" t="s">
        <v>15092</v>
      </c>
      <c r="C1165" s="1" t="s">
        <v>10691</v>
      </c>
      <c r="F1165" s="1" t="s">
        <v>9049</v>
      </c>
      <c r="G1165" s="1" t="s">
        <v>9050</v>
      </c>
    </row>
    <row r="1166" spans="1:7" x14ac:dyDescent="0.15">
      <c r="A1166" s="1">
        <v>1752</v>
      </c>
      <c r="B1166" s="1" t="s">
        <v>15092</v>
      </c>
      <c r="C1166" s="1" t="s">
        <v>9051</v>
      </c>
      <c r="F1166" s="1" t="s">
        <v>10308</v>
      </c>
      <c r="G1166" s="1" t="s">
        <v>9052</v>
      </c>
    </row>
    <row r="1167" spans="1:7" x14ac:dyDescent="0.15">
      <c r="A1167" s="1">
        <v>1753</v>
      </c>
      <c r="B1167" s="1" t="s">
        <v>15092</v>
      </c>
      <c r="C1167" s="1" t="s">
        <v>15101</v>
      </c>
      <c r="F1167" s="1" t="s">
        <v>10308</v>
      </c>
      <c r="G1167" s="1" t="s">
        <v>9053</v>
      </c>
    </row>
    <row r="1168" spans="1:7" x14ac:dyDescent="0.15">
      <c r="A1168" s="1">
        <v>1755</v>
      </c>
      <c r="B1168" s="1" t="s">
        <v>15092</v>
      </c>
      <c r="C1168" s="1" t="s">
        <v>9054</v>
      </c>
      <c r="F1168" s="1" t="s">
        <v>9055</v>
      </c>
      <c r="G1168" s="1" t="s">
        <v>9056</v>
      </c>
    </row>
    <row r="1169" spans="1:7" x14ac:dyDescent="0.15">
      <c r="A1169" s="1">
        <v>1756</v>
      </c>
      <c r="B1169" s="1" t="s">
        <v>15092</v>
      </c>
      <c r="C1169" s="1" t="s">
        <v>15109</v>
      </c>
      <c r="F1169" s="1" t="s">
        <v>9057</v>
      </c>
      <c r="G1169" s="1" t="s">
        <v>9058</v>
      </c>
    </row>
    <row r="1170" spans="1:7" x14ac:dyDescent="0.15">
      <c r="A1170" s="1">
        <v>1757</v>
      </c>
      <c r="B1170" s="1" t="s">
        <v>15092</v>
      </c>
      <c r="C1170" s="1" t="s">
        <v>15113</v>
      </c>
      <c r="F1170" s="1" t="s">
        <v>10403</v>
      </c>
      <c r="G1170" s="1" t="s">
        <v>9059</v>
      </c>
    </row>
    <row r="1171" spans="1:7" x14ac:dyDescent="0.15">
      <c r="A1171" s="1">
        <v>1758</v>
      </c>
      <c r="B1171" s="1" t="s">
        <v>15092</v>
      </c>
      <c r="C1171" s="1" t="s">
        <v>15117</v>
      </c>
      <c r="F1171" s="1" t="s">
        <v>9060</v>
      </c>
      <c r="G1171" s="1" t="s">
        <v>9061</v>
      </c>
    </row>
    <row r="1172" spans="1:7" x14ac:dyDescent="0.15">
      <c r="A1172" s="1">
        <v>1759</v>
      </c>
      <c r="B1172" s="1" t="s">
        <v>15092</v>
      </c>
      <c r="C1172" s="1" t="s">
        <v>9062</v>
      </c>
      <c r="F1172" s="1" t="s">
        <v>9063</v>
      </c>
      <c r="G1172" s="1" t="s">
        <v>9064</v>
      </c>
    </row>
    <row r="1173" spans="1:7" x14ac:dyDescent="0.15">
      <c r="A1173" s="1">
        <v>1760</v>
      </c>
      <c r="B1173" s="1" t="s">
        <v>15092</v>
      </c>
      <c r="C1173" s="1" t="s">
        <v>15125</v>
      </c>
      <c r="F1173" s="1" t="s">
        <v>10320</v>
      </c>
      <c r="G1173" s="1" t="s">
        <v>9065</v>
      </c>
    </row>
    <row r="1174" spans="1:7" x14ac:dyDescent="0.15">
      <c r="A1174" s="1">
        <v>1761</v>
      </c>
      <c r="B1174" s="1" t="s">
        <v>15092</v>
      </c>
      <c r="C1174" s="1" t="s">
        <v>15129</v>
      </c>
      <c r="F1174" s="1" t="s">
        <v>9066</v>
      </c>
      <c r="G1174" s="1" t="s">
        <v>9067</v>
      </c>
    </row>
    <row r="1175" spans="1:7" x14ac:dyDescent="0.15">
      <c r="A1175" s="1">
        <v>1762</v>
      </c>
      <c r="B1175" s="1" t="s">
        <v>15092</v>
      </c>
      <c r="C1175" s="1" t="s">
        <v>9068</v>
      </c>
      <c r="F1175" s="1" t="s">
        <v>9069</v>
      </c>
      <c r="G1175" s="1" t="s">
        <v>9070</v>
      </c>
    </row>
    <row r="1176" spans="1:7" x14ac:dyDescent="0.15">
      <c r="A1176" s="1">
        <v>1763</v>
      </c>
      <c r="B1176" s="1" t="s">
        <v>15092</v>
      </c>
      <c r="C1176" s="1" t="s">
        <v>15137</v>
      </c>
      <c r="F1176" s="1" t="s">
        <v>9069</v>
      </c>
      <c r="G1176" s="1" t="s">
        <v>9071</v>
      </c>
    </row>
    <row r="1177" spans="1:7" x14ac:dyDescent="0.15">
      <c r="A1177" s="1">
        <v>1764</v>
      </c>
      <c r="B1177" s="1" t="s">
        <v>17303</v>
      </c>
      <c r="C1177" s="1" t="s">
        <v>10920</v>
      </c>
      <c r="F1177" s="1" t="s">
        <v>10921</v>
      </c>
      <c r="G1177" s="1" t="s">
        <v>9072</v>
      </c>
    </row>
    <row r="1178" spans="1:7" x14ac:dyDescent="0.15">
      <c r="A1178" s="1">
        <v>1765</v>
      </c>
      <c r="B1178" s="1" t="s">
        <v>17303</v>
      </c>
      <c r="C1178" s="1" t="s">
        <v>9073</v>
      </c>
      <c r="F1178" s="1" t="s">
        <v>10681</v>
      </c>
      <c r="G1178" s="1" t="s">
        <v>9074</v>
      </c>
    </row>
    <row r="1179" spans="1:7" x14ac:dyDescent="0.15">
      <c r="A1179" s="1">
        <v>1766</v>
      </c>
      <c r="B1179" s="1" t="s">
        <v>17303</v>
      </c>
      <c r="C1179" s="1" t="s">
        <v>14580</v>
      </c>
      <c r="F1179" s="1" t="s">
        <v>10681</v>
      </c>
      <c r="G1179" s="1" t="s">
        <v>9075</v>
      </c>
    </row>
    <row r="1180" spans="1:7" x14ac:dyDescent="0.15">
      <c r="A1180" s="1">
        <v>1768</v>
      </c>
      <c r="B1180" s="1" t="s">
        <v>17303</v>
      </c>
      <c r="C1180" s="1" t="s">
        <v>9076</v>
      </c>
      <c r="F1180" s="1" t="s">
        <v>9077</v>
      </c>
      <c r="G1180" s="1" t="s">
        <v>9078</v>
      </c>
    </row>
    <row r="1181" spans="1:7" x14ac:dyDescent="0.15">
      <c r="A1181" s="1">
        <v>1769</v>
      </c>
      <c r="B1181" s="1" t="s">
        <v>17303</v>
      </c>
      <c r="C1181" s="1" t="s">
        <v>14587</v>
      </c>
      <c r="F1181" s="1" t="s">
        <v>9077</v>
      </c>
      <c r="G1181" s="1" t="s">
        <v>9079</v>
      </c>
    </row>
    <row r="1182" spans="1:7" x14ac:dyDescent="0.15">
      <c r="A1182" s="1">
        <v>1770</v>
      </c>
      <c r="B1182" s="1" t="s">
        <v>17303</v>
      </c>
      <c r="C1182" s="1" t="s">
        <v>9080</v>
      </c>
      <c r="F1182" s="1" t="s">
        <v>10193</v>
      </c>
      <c r="G1182" s="1" t="s">
        <v>9081</v>
      </c>
    </row>
    <row r="1183" spans="1:7" x14ac:dyDescent="0.15">
      <c r="A1183" s="1">
        <v>1771</v>
      </c>
      <c r="B1183" s="1" t="s">
        <v>17303</v>
      </c>
      <c r="C1183" s="1" t="s">
        <v>17308</v>
      </c>
      <c r="F1183" s="1" t="s">
        <v>10193</v>
      </c>
      <c r="G1183" s="1" t="s">
        <v>9082</v>
      </c>
    </row>
    <row r="1184" spans="1:7" x14ac:dyDescent="0.15">
      <c r="A1184" s="1">
        <v>1774</v>
      </c>
      <c r="B1184" s="1" t="s">
        <v>17303</v>
      </c>
      <c r="C1184" s="1" t="s">
        <v>10587</v>
      </c>
      <c r="F1184" s="1" t="s">
        <v>10588</v>
      </c>
      <c r="G1184" s="1" t="s">
        <v>10589</v>
      </c>
    </row>
    <row r="1185" spans="1:7" x14ac:dyDescent="0.15">
      <c r="A1185" s="1">
        <v>1775</v>
      </c>
      <c r="B1185" s="1" t="s">
        <v>17303</v>
      </c>
      <c r="C1185" s="1" t="s">
        <v>17315</v>
      </c>
      <c r="F1185" s="1" t="s">
        <v>10588</v>
      </c>
      <c r="G1185" s="1" t="s">
        <v>10590</v>
      </c>
    </row>
    <row r="1186" spans="1:7" x14ac:dyDescent="0.15">
      <c r="A1186" s="1">
        <v>1778</v>
      </c>
      <c r="B1186" s="1" t="s">
        <v>17303</v>
      </c>
      <c r="C1186" s="1" t="s">
        <v>10594</v>
      </c>
      <c r="D1186" s="1" t="s">
        <v>12625</v>
      </c>
      <c r="F1186" s="1" t="s">
        <v>10595</v>
      </c>
      <c r="G1186" s="1" t="s">
        <v>10596</v>
      </c>
    </row>
    <row r="1187" spans="1:7" x14ac:dyDescent="0.15">
      <c r="A1187" s="1">
        <v>1779</v>
      </c>
      <c r="B1187" s="1" t="s">
        <v>17303</v>
      </c>
      <c r="C1187" s="1" t="s">
        <v>10597</v>
      </c>
      <c r="D1187" s="1" t="s">
        <v>12625</v>
      </c>
      <c r="F1187" s="1" t="s">
        <v>10595</v>
      </c>
      <c r="G1187" s="1" t="s">
        <v>10598</v>
      </c>
    </row>
    <row r="1188" spans="1:7" x14ac:dyDescent="0.15">
      <c r="A1188" s="1">
        <v>1780</v>
      </c>
      <c r="B1188" s="1" t="s">
        <v>17303</v>
      </c>
      <c r="C1188" s="1" t="s">
        <v>10599</v>
      </c>
      <c r="F1188" s="1" t="s">
        <v>10600</v>
      </c>
      <c r="G1188" s="1" t="s">
        <v>10601</v>
      </c>
    </row>
    <row r="1189" spans="1:7" x14ac:dyDescent="0.15">
      <c r="A1189" s="1">
        <v>1781</v>
      </c>
      <c r="B1189" s="1" t="s">
        <v>17303</v>
      </c>
      <c r="C1189" s="1" t="s">
        <v>17322</v>
      </c>
      <c r="F1189" s="1" t="s">
        <v>10600</v>
      </c>
      <c r="G1189" s="1" t="s">
        <v>10602</v>
      </c>
    </row>
    <row r="1190" spans="1:7" x14ac:dyDescent="0.15">
      <c r="A1190" s="1">
        <v>1786</v>
      </c>
      <c r="B1190" s="1" t="s">
        <v>17303</v>
      </c>
      <c r="C1190" s="1" t="s">
        <v>11076</v>
      </c>
      <c r="F1190" s="1" t="s">
        <v>11077</v>
      </c>
      <c r="G1190" s="1" t="s">
        <v>11078</v>
      </c>
    </row>
    <row r="1191" spans="1:7" x14ac:dyDescent="0.15">
      <c r="A1191" s="1">
        <v>1787</v>
      </c>
      <c r="B1191" s="1" t="s">
        <v>17303</v>
      </c>
      <c r="C1191" s="1" t="s">
        <v>17329</v>
      </c>
      <c r="F1191" s="1" t="s">
        <v>11077</v>
      </c>
      <c r="G1191" s="1" t="s">
        <v>11079</v>
      </c>
    </row>
    <row r="1192" spans="1:7" x14ac:dyDescent="0.15">
      <c r="A1192" s="1">
        <v>1789</v>
      </c>
      <c r="B1192" s="1" t="s">
        <v>17303</v>
      </c>
      <c r="C1192" s="1" t="s">
        <v>11082</v>
      </c>
      <c r="F1192" s="1" t="s">
        <v>11083</v>
      </c>
      <c r="G1192" s="1" t="s">
        <v>11084</v>
      </c>
    </row>
    <row r="1193" spans="1:7" x14ac:dyDescent="0.15">
      <c r="A1193" s="1">
        <v>1790</v>
      </c>
      <c r="B1193" s="1" t="s">
        <v>17303</v>
      </c>
      <c r="C1193" s="1" t="s">
        <v>17336</v>
      </c>
      <c r="F1193" s="1" t="s">
        <v>11083</v>
      </c>
      <c r="G1193" s="1" t="s">
        <v>11085</v>
      </c>
    </row>
    <row r="1194" spans="1:7" x14ac:dyDescent="0.15">
      <c r="A1194" s="1">
        <v>1791</v>
      </c>
      <c r="B1194" s="1" t="s">
        <v>17303</v>
      </c>
      <c r="C1194" s="1" t="s">
        <v>11086</v>
      </c>
      <c r="F1194" s="1" t="s">
        <v>11087</v>
      </c>
      <c r="G1194" s="1" t="s">
        <v>11088</v>
      </c>
    </row>
    <row r="1195" spans="1:7" x14ac:dyDescent="0.15">
      <c r="A1195" s="1">
        <v>1792</v>
      </c>
      <c r="B1195" s="1" t="s">
        <v>17303</v>
      </c>
      <c r="C1195" s="1" t="s">
        <v>17343</v>
      </c>
      <c r="F1195" s="1" t="s">
        <v>11087</v>
      </c>
      <c r="G1195" s="1" t="s">
        <v>11089</v>
      </c>
    </row>
    <row r="1196" spans="1:7" x14ac:dyDescent="0.15">
      <c r="A1196" s="1">
        <v>1795</v>
      </c>
      <c r="B1196" s="1" t="s">
        <v>17303</v>
      </c>
      <c r="C1196" s="1" t="s">
        <v>9084</v>
      </c>
      <c r="D1196" s="1" t="s">
        <v>12625</v>
      </c>
      <c r="F1196" s="1" t="s">
        <v>9085</v>
      </c>
      <c r="G1196" s="1" t="s">
        <v>9086</v>
      </c>
    </row>
    <row r="1197" spans="1:7" x14ac:dyDescent="0.15">
      <c r="A1197" s="1">
        <v>1796</v>
      </c>
      <c r="B1197" s="1" t="s">
        <v>17303</v>
      </c>
      <c r="C1197" s="1" t="s">
        <v>9087</v>
      </c>
      <c r="D1197" s="1" t="s">
        <v>12625</v>
      </c>
      <c r="F1197" s="1" t="s">
        <v>9085</v>
      </c>
      <c r="G1197" s="1" t="s">
        <v>9088</v>
      </c>
    </row>
    <row r="1198" spans="1:7" x14ac:dyDescent="0.15">
      <c r="A1198" s="1">
        <v>1797</v>
      </c>
      <c r="B1198" s="1" t="s">
        <v>17303</v>
      </c>
      <c r="C1198" s="1" t="s">
        <v>9089</v>
      </c>
      <c r="F1198" s="1" t="s">
        <v>9221</v>
      </c>
      <c r="G1198" s="1" t="s">
        <v>9090</v>
      </c>
    </row>
    <row r="1199" spans="1:7" x14ac:dyDescent="0.15">
      <c r="A1199" s="1">
        <v>1798</v>
      </c>
      <c r="B1199" s="1" t="s">
        <v>17303</v>
      </c>
      <c r="C1199" s="1" t="s">
        <v>17350</v>
      </c>
      <c r="F1199" s="1" t="s">
        <v>9221</v>
      </c>
      <c r="G1199" s="1" t="s">
        <v>9091</v>
      </c>
    </row>
    <row r="1200" spans="1:7" x14ac:dyDescent="0.15">
      <c r="A1200" s="1">
        <v>1802</v>
      </c>
      <c r="B1200" s="1" t="s">
        <v>17303</v>
      </c>
      <c r="C1200" s="1" t="s">
        <v>9092</v>
      </c>
      <c r="F1200" s="1" t="s">
        <v>9093</v>
      </c>
      <c r="G1200" s="1" t="s">
        <v>9094</v>
      </c>
    </row>
    <row r="1201" spans="1:7" x14ac:dyDescent="0.15">
      <c r="A1201" s="1">
        <v>1803</v>
      </c>
      <c r="B1201" s="1" t="s">
        <v>17303</v>
      </c>
      <c r="C1201" s="1" t="s">
        <v>17357</v>
      </c>
      <c r="F1201" s="1" t="s">
        <v>9093</v>
      </c>
      <c r="G1201" s="1" t="s">
        <v>9095</v>
      </c>
    </row>
    <row r="1202" spans="1:7" x14ac:dyDescent="0.15">
      <c r="A1202" s="1">
        <v>1805</v>
      </c>
      <c r="B1202" s="1" t="s">
        <v>17303</v>
      </c>
      <c r="C1202" s="1" t="s">
        <v>9096</v>
      </c>
      <c r="F1202" s="1" t="s">
        <v>9097</v>
      </c>
      <c r="G1202" s="1" t="s">
        <v>9098</v>
      </c>
    </row>
    <row r="1203" spans="1:7" x14ac:dyDescent="0.15">
      <c r="A1203" s="1">
        <v>1806</v>
      </c>
      <c r="B1203" s="1" t="s">
        <v>17303</v>
      </c>
      <c r="C1203" s="1" t="s">
        <v>17364</v>
      </c>
      <c r="F1203" s="1" t="s">
        <v>9097</v>
      </c>
      <c r="G1203" s="1" t="s">
        <v>9099</v>
      </c>
    </row>
    <row r="1204" spans="1:7" x14ac:dyDescent="0.15">
      <c r="A1204" s="1">
        <v>1807</v>
      </c>
      <c r="B1204" s="1" t="s">
        <v>17303</v>
      </c>
      <c r="C1204" s="1" t="s">
        <v>9100</v>
      </c>
      <c r="D1204" s="1" t="s">
        <v>11582</v>
      </c>
      <c r="F1204" s="1" t="s">
        <v>11115</v>
      </c>
      <c r="G1204" s="1" t="s">
        <v>9101</v>
      </c>
    </row>
    <row r="1205" spans="1:7" x14ac:dyDescent="0.15">
      <c r="A1205" s="1">
        <v>1808</v>
      </c>
      <c r="B1205" s="1" t="s">
        <v>17303</v>
      </c>
      <c r="C1205" s="1" t="s">
        <v>9102</v>
      </c>
      <c r="D1205" s="1" t="s">
        <v>11582</v>
      </c>
      <c r="F1205" s="1" t="s">
        <v>11115</v>
      </c>
      <c r="G1205" s="1" t="s">
        <v>9103</v>
      </c>
    </row>
    <row r="1206" spans="1:7" x14ac:dyDescent="0.15">
      <c r="A1206" s="1">
        <v>1809</v>
      </c>
      <c r="B1206" s="1" t="s">
        <v>17303</v>
      </c>
      <c r="C1206" s="1" t="s">
        <v>9104</v>
      </c>
      <c r="D1206" s="1" t="s">
        <v>12625</v>
      </c>
      <c r="F1206" s="1" t="s">
        <v>9179</v>
      </c>
      <c r="G1206" s="1" t="s">
        <v>9105</v>
      </c>
    </row>
    <row r="1207" spans="1:7" x14ac:dyDescent="0.15">
      <c r="A1207" s="1">
        <v>1810</v>
      </c>
      <c r="B1207" s="1" t="s">
        <v>17303</v>
      </c>
      <c r="C1207" s="1" t="s">
        <v>9178</v>
      </c>
      <c r="D1207" s="1" t="s">
        <v>12625</v>
      </c>
      <c r="F1207" s="1" t="s">
        <v>9179</v>
      </c>
      <c r="G1207" s="1" t="s">
        <v>9106</v>
      </c>
    </row>
    <row r="1208" spans="1:7" x14ac:dyDescent="0.15">
      <c r="A1208" s="1">
        <v>1811</v>
      </c>
      <c r="B1208" s="1" t="s">
        <v>17303</v>
      </c>
      <c r="C1208" s="1" t="s">
        <v>9107</v>
      </c>
      <c r="D1208" s="1" t="s">
        <v>12625</v>
      </c>
      <c r="F1208" s="1" t="s">
        <v>11081</v>
      </c>
      <c r="G1208" s="1" t="s">
        <v>9108</v>
      </c>
    </row>
    <row r="1209" spans="1:7" x14ac:dyDescent="0.15">
      <c r="A1209" s="1">
        <v>1812</v>
      </c>
      <c r="B1209" s="1" t="s">
        <v>17303</v>
      </c>
      <c r="C1209" s="1" t="s">
        <v>11080</v>
      </c>
      <c r="D1209" s="1" t="s">
        <v>12625</v>
      </c>
      <c r="F1209" s="1" t="s">
        <v>11081</v>
      </c>
      <c r="G1209" s="1" t="s">
        <v>9109</v>
      </c>
    </row>
    <row r="1210" spans="1:7" x14ac:dyDescent="0.15">
      <c r="A1210" s="1">
        <v>1814</v>
      </c>
      <c r="B1210" s="1" t="s">
        <v>17303</v>
      </c>
      <c r="C1210" s="1" t="s">
        <v>9110</v>
      </c>
      <c r="D1210" s="1" t="s">
        <v>12625</v>
      </c>
      <c r="F1210" s="1" t="s">
        <v>9111</v>
      </c>
      <c r="G1210" s="1" t="s">
        <v>9112</v>
      </c>
    </row>
    <row r="1211" spans="1:7" x14ac:dyDescent="0.15">
      <c r="A1211" s="1">
        <v>1815</v>
      </c>
      <c r="B1211" s="1" t="s">
        <v>17303</v>
      </c>
      <c r="C1211" s="1" t="s">
        <v>9113</v>
      </c>
      <c r="D1211" s="1" t="s">
        <v>12625</v>
      </c>
      <c r="F1211" s="1" t="s">
        <v>9111</v>
      </c>
      <c r="G1211" s="1" t="s">
        <v>9114</v>
      </c>
    </row>
    <row r="1212" spans="1:7" x14ac:dyDescent="0.15">
      <c r="A1212" s="1">
        <v>1816</v>
      </c>
      <c r="B1212" s="1" t="s">
        <v>17303</v>
      </c>
      <c r="C1212" s="1" t="s">
        <v>9115</v>
      </c>
      <c r="D1212" s="1" t="s">
        <v>12625</v>
      </c>
      <c r="F1212" s="1" t="s">
        <v>9226</v>
      </c>
      <c r="G1212" s="1" t="s">
        <v>9116</v>
      </c>
    </row>
    <row r="1213" spans="1:7" x14ac:dyDescent="0.15">
      <c r="A1213" s="1">
        <v>1817</v>
      </c>
      <c r="B1213" s="1" t="s">
        <v>17303</v>
      </c>
      <c r="C1213" s="1" t="s">
        <v>9225</v>
      </c>
      <c r="D1213" s="1" t="s">
        <v>12625</v>
      </c>
      <c r="F1213" s="1" t="s">
        <v>9226</v>
      </c>
      <c r="G1213" s="1" t="s">
        <v>9117</v>
      </c>
    </row>
    <row r="1214" spans="1:7" x14ac:dyDescent="0.15">
      <c r="A1214" s="1">
        <v>1820</v>
      </c>
      <c r="B1214" s="1" t="s">
        <v>17303</v>
      </c>
      <c r="C1214" s="1" t="s">
        <v>9118</v>
      </c>
      <c r="D1214" s="1" t="s">
        <v>12625</v>
      </c>
      <c r="F1214" s="1" t="s">
        <v>9119</v>
      </c>
      <c r="G1214" s="1" t="s">
        <v>9120</v>
      </c>
    </row>
    <row r="1215" spans="1:7" x14ac:dyDescent="0.15">
      <c r="A1215" s="1">
        <v>1821</v>
      </c>
      <c r="B1215" s="1" t="s">
        <v>17303</v>
      </c>
      <c r="C1215" s="1" t="s">
        <v>9121</v>
      </c>
      <c r="D1215" s="1" t="s">
        <v>12625</v>
      </c>
      <c r="F1215" s="1" t="s">
        <v>9122</v>
      </c>
      <c r="G1215" s="1" t="s">
        <v>9123</v>
      </c>
    </row>
    <row r="1216" spans="1:7" x14ac:dyDescent="0.15">
      <c r="A1216" s="1">
        <v>1822</v>
      </c>
      <c r="B1216" s="1" t="s">
        <v>17303</v>
      </c>
      <c r="C1216" s="1" t="s">
        <v>9124</v>
      </c>
      <c r="D1216" s="1" t="s">
        <v>12625</v>
      </c>
      <c r="F1216" s="1" t="s">
        <v>9125</v>
      </c>
      <c r="G1216" s="1" t="s">
        <v>9126</v>
      </c>
    </row>
    <row r="1217" spans="1:7" x14ac:dyDescent="0.15">
      <c r="A1217" s="1">
        <v>1823</v>
      </c>
      <c r="B1217" s="1" t="s">
        <v>17303</v>
      </c>
      <c r="C1217" s="1" t="s">
        <v>9127</v>
      </c>
      <c r="D1217" s="1" t="s">
        <v>12625</v>
      </c>
      <c r="F1217" s="1" t="s">
        <v>9125</v>
      </c>
      <c r="G1217" s="1" t="s">
        <v>9128</v>
      </c>
    </row>
    <row r="1218" spans="1:7" x14ac:dyDescent="0.15">
      <c r="A1218" s="1">
        <v>1824</v>
      </c>
      <c r="B1218" s="1" t="s">
        <v>17303</v>
      </c>
      <c r="C1218" s="1" t="s">
        <v>9129</v>
      </c>
      <c r="D1218" s="1" t="s">
        <v>12625</v>
      </c>
      <c r="F1218" s="1" t="s">
        <v>10062</v>
      </c>
      <c r="G1218" s="1" t="s">
        <v>9130</v>
      </c>
    </row>
    <row r="1219" spans="1:7" x14ac:dyDescent="0.15">
      <c r="A1219" s="1">
        <v>1825</v>
      </c>
      <c r="B1219" s="1" t="s">
        <v>17303</v>
      </c>
      <c r="C1219" s="1" t="s">
        <v>10061</v>
      </c>
      <c r="D1219" s="1" t="s">
        <v>12625</v>
      </c>
      <c r="F1219" s="1" t="s">
        <v>10062</v>
      </c>
      <c r="G1219" s="1" t="s">
        <v>9131</v>
      </c>
    </row>
    <row r="1220" spans="1:7" x14ac:dyDescent="0.15">
      <c r="A1220" s="1">
        <v>1827</v>
      </c>
      <c r="B1220" s="1" t="s">
        <v>17303</v>
      </c>
      <c r="C1220" s="1" t="s">
        <v>9132</v>
      </c>
      <c r="D1220" s="1" t="s">
        <v>12625</v>
      </c>
      <c r="F1220" s="1" t="s">
        <v>9133</v>
      </c>
      <c r="G1220" s="1" t="s">
        <v>9134</v>
      </c>
    </row>
    <row r="1221" spans="1:7" x14ac:dyDescent="0.15">
      <c r="A1221" s="1">
        <v>1828</v>
      </c>
      <c r="B1221" s="1" t="s">
        <v>17303</v>
      </c>
      <c r="C1221" s="1" t="s">
        <v>9135</v>
      </c>
      <c r="D1221" s="1" t="s">
        <v>12625</v>
      </c>
      <c r="F1221" s="1" t="s">
        <v>9133</v>
      </c>
      <c r="G1221" s="1" t="s">
        <v>9136</v>
      </c>
    </row>
    <row r="1222" spans="1:7" x14ac:dyDescent="0.15">
      <c r="A1222" s="1">
        <v>1829</v>
      </c>
      <c r="B1222" s="1" t="s">
        <v>17303</v>
      </c>
      <c r="C1222" s="1" t="s">
        <v>9137</v>
      </c>
      <c r="F1222" s="1" t="s">
        <v>9138</v>
      </c>
      <c r="G1222" s="1" t="s">
        <v>9139</v>
      </c>
    </row>
    <row r="1223" spans="1:7" x14ac:dyDescent="0.15">
      <c r="A1223" s="1">
        <v>1830</v>
      </c>
      <c r="B1223" s="1" t="s">
        <v>17303</v>
      </c>
      <c r="C1223" s="1" t="s">
        <v>17371</v>
      </c>
      <c r="F1223" s="1" t="s">
        <v>9138</v>
      </c>
      <c r="G1223" s="1" t="s">
        <v>9140</v>
      </c>
    </row>
    <row r="1224" spans="1:7" x14ac:dyDescent="0.15">
      <c r="A1224" s="1">
        <v>1831</v>
      </c>
      <c r="B1224" s="1" t="s">
        <v>17374</v>
      </c>
      <c r="C1224" s="1" t="s">
        <v>10694</v>
      </c>
      <c r="F1224" s="1" t="s">
        <v>10695</v>
      </c>
      <c r="G1224" s="1" t="s">
        <v>8742</v>
      </c>
    </row>
    <row r="1225" spans="1:7" x14ac:dyDescent="0.15">
      <c r="A1225" s="1">
        <v>1832</v>
      </c>
      <c r="B1225" s="1" t="s">
        <v>17374</v>
      </c>
      <c r="C1225" s="1" t="s">
        <v>8743</v>
      </c>
      <c r="F1225" s="1" t="s">
        <v>8744</v>
      </c>
      <c r="G1225" s="1" t="s">
        <v>8745</v>
      </c>
    </row>
    <row r="1226" spans="1:7" x14ac:dyDescent="0.15">
      <c r="A1226" s="1">
        <v>1834</v>
      </c>
      <c r="B1226" s="1" t="s">
        <v>17374</v>
      </c>
      <c r="C1226" s="1" t="s">
        <v>16842</v>
      </c>
      <c r="F1226" s="1" t="s">
        <v>8748</v>
      </c>
      <c r="G1226" s="1" t="s">
        <v>8749</v>
      </c>
    </row>
    <row r="1227" spans="1:7" x14ac:dyDescent="0.15">
      <c r="A1227" s="1">
        <v>1835</v>
      </c>
      <c r="B1227" s="1" t="s">
        <v>17374</v>
      </c>
      <c r="C1227" s="1" t="s">
        <v>14590</v>
      </c>
      <c r="F1227" s="1" t="s">
        <v>8750</v>
      </c>
      <c r="G1227" s="1" t="s">
        <v>8751</v>
      </c>
    </row>
    <row r="1228" spans="1:7" x14ac:dyDescent="0.15">
      <c r="A1228" s="1">
        <v>1836</v>
      </c>
      <c r="B1228" s="1" t="s">
        <v>17374</v>
      </c>
      <c r="C1228" s="1" t="s">
        <v>14594</v>
      </c>
      <c r="F1228" s="1" t="s">
        <v>8752</v>
      </c>
      <c r="G1228" s="1" t="s">
        <v>8753</v>
      </c>
    </row>
    <row r="1229" spans="1:7" x14ac:dyDescent="0.15">
      <c r="A1229" s="1">
        <v>1837</v>
      </c>
      <c r="B1229" s="1" t="s">
        <v>17374</v>
      </c>
      <c r="C1229" s="1" t="s">
        <v>14598</v>
      </c>
      <c r="F1229" s="1" t="s">
        <v>8754</v>
      </c>
      <c r="G1229" s="1" t="s">
        <v>8755</v>
      </c>
    </row>
    <row r="1230" spans="1:7" x14ac:dyDescent="0.15">
      <c r="A1230" s="1">
        <v>1839</v>
      </c>
      <c r="B1230" s="1" t="s">
        <v>17374</v>
      </c>
      <c r="C1230" s="1" t="s">
        <v>14602</v>
      </c>
      <c r="F1230" s="1" t="s">
        <v>8756</v>
      </c>
      <c r="G1230" s="1" t="s">
        <v>8757</v>
      </c>
    </row>
    <row r="1231" spans="1:7" x14ac:dyDescent="0.15">
      <c r="A1231" s="1">
        <v>1840</v>
      </c>
      <c r="B1231" s="1" t="s">
        <v>17374</v>
      </c>
      <c r="C1231" s="1" t="s">
        <v>14606</v>
      </c>
      <c r="F1231" s="1" t="s">
        <v>8758</v>
      </c>
      <c r="G1231" s="1" t="s">
        <v>8759</v>
      </c>
    </row>
    <row r="1232" spans="1:7" x14ac:dyDescent="0.15">
      <c r="A1232" s="1">
        <v>1841</v>
      </c>
      <c r="B1232" s="1" t="s">
        <v>17374</v>
      </c>
      <c r="C1232" s="1" t="s">
        <v>8760</v>
      </c>
      <c r="D1232" s="1" t="s">
        <v>12625</v>
      </c>
      <c r="F1232" s="1" t="s">
        <v>8761</v>
      </c>
      <c r="G1232" s="1" t="s">
        <v>8762</v>
      </c>
    </row>
    <row r="1233" spans="1:7" x14ac:dyDescent="0.15">
      <c r="A1233" s="1">
        <v>1842</v>
      </c>
      <c r="B1233" s="1" t="s">
        <v>17374</v>
      </c>
      <c r="C1233" s="1" t="s">
        <v>8763</v>
      </c>
      <c r="D1233" s="1" t="s">
        <v>12625</v>
      </c>
      <c r="F1233" s="1" t="s">
        <v>8764</v>
      </c>
      <c r="G1233" s="1" t="s">
        <v>8765</v>
      </c>
    </row>
    <row r="1234" spans="1:7" x14ac:dyDescent="0.15">
      <c r="A1234" s="1">
        <v>1843</v>
      </c>
      <c r="B1234" s="1" t="s">
        <v>17374</v>
      </c>
      <c r="C1234" s="1" t="s">
        <v>8766</v>
      </c>
      <c r="D1234" s="1" t="s">
        <v>12625</v>
      </c>
      <c r="F1234" s="1" t="s">
        <v>8767</v>
      </c>
      <c r="G1234" s="1" t="s">
        <v>8768</v>
      </c>
    </row>
    <row r="1235" spans="1:7" x14ac:dyDescent="0.15">
      <c r="A1235" s="1">
        <v>1844</v>
      </c>
      <c r="B1235" s="1" t="s">
        <v>17374</v>
      </c>
      <c r="C1235" s="1" t="s">
        <v>8769</v>
      </c>
      <c r="D1235" s="1" t="s">
        <v>12625</v>
      </c>
      <c r="F1235" s="1" t="s">
        <v>8770</v>
      </c>
      <c r="G1235" s="1" t="s">
        <v>8771</v>
      </c>
    </row>
    <row r="1236" spans="1:7" x14ac:dyDescent="0.15">
      <c r="A1236" s="1">
        <v>1845</v>
      </c>
      <c r="B1236" s="1" t="s">
        <v>17374</v>
      </c>
      <c r="C1236" s="1" t="s">
        <v>14610</v>
      </c>
      <c r="F1236" s="1" t="s">
        <v>8772</v>
      </c>
      <c r="G1236" s="1" t="s">
        <v>8773</v>
      </c>
    </row>
    <row r="1237" spans="1:7" x14ac:dyDescent="0.15">
      <c r="A1237" s="1">
        <v>1846</v>
      </c>
      <c r="B1237" s="1" t="s">
        <v>17374</v>
      </c>
      <c r="C1237" s="1" t="s">
        <v>8774</v>
      </c>
      <c r="F1237" s="1" t="s">
        <v>8775</v>
      </c>
      <c r="G1237" s="1" t="s">
        <v>8776</v>
      </c>
    </row>
    <row r="1238" spans="1:7" x14ac:dyDescent="0.15">
      <c r="A1238" s="1">
        <v>1847</v>
      </c>
      <c r="B1238" s="1" t="s">
        <v>17374</v>
      </c>
      <c r="C1238" s="1" t="s">
        <v>14618</v>
      </c>
      <c r="F1238" s="1" t="s">
        <v>8777</v>
      </c>
      <c r="G1238" s="1" t="s">
        <v>8778</v>
      </c>
    </row>
    <row r="1239" spans="1:7" x14ac:dyDescent="0.15">
      <c r="A1239" s="1">
        <v>1848</v>
      </c>
      <c r="B1239" s="1" t="s">
        <v>17374</v>
      </c>
      <c r="C1239" s="1" t="s">
        <v>14622</v>
      </c>
      <c r="F1239" s="1" t="s">
        <v>8779</v>
      </c>
      <c r="G1239" s="1" t="s">
        <v>8780</v>
      </c>
    </row>
    <row r="1240" spans="1:7" x14ac:dyDescent="0.15">
      <c r="A1240" s="1">
        <v>1849</v>
      </c>
      <c r="B1240" s="1" t="s">
        <v>17374</v>
      </c>
      <c r="C1240" s="1" t="s">
        <v>14626</v>
      </c>
      <c r="F1240" s="1" t="s">
        <v>8781</v>
      </c>
      <c r="G1240" s="1" t="s">
        <v>8782</v>
      </c>
    </row>
    <row r="1241" spans="1:7" x14ac:dyDescent="0.15">
      <c r="A1241" s="1">
        <v>1851</v>
      </c>
      <c r="B1241" s="1" t="s">
        <v>17374</v>
      </c>
      <c r="C1241" s="1" t="s">
        <v>14630</v>
      </c>
      <c r="F1241" s="1" t="s">
        <v>8783</v>
      </c>
      <c r="G1241" s="1" t="s">
        <v>8784</v>
      </c>
    </row>
    <row r="1242" spans="1:7" x14ac:dyDescent="0.15">
      <c r="A1242" s="1">
        <v>1852</v>
      </c>
      <c r="B1242" s="1" t="s">
        <v>17374</v>
      </c>
      <c r="C1242" s="1" t="s">
        <v>8785</v>
      </c>
      <c r="F1242" s="1" t="s">
        <v>8786</v>
      </c>
      <c r="G1242" s="1" t="s">
        <v>8787</v>
      </c>
    </row>
    <row r="1243" spans="1:7" x14ac:dyDescent="0.15">
      <c r="A1243" s="1">
        <v>1854</v>
      </c>
      <c r="B1243" s="1" t="s">
        <v>17374</v>
      </c>
      <c r="C1243" s="1" t="s">
        <v>14638</v>
      </c>
      <c r="F1243" s="1" t="s">
        <v>8786</v>
      </c>
      <c r="G1243" s="1" t="s">
        <v>8788</v>
      </c>
    </row>
    <row r="1244" spans="1:7" x14ac:dyDescent="0.15">
      <c r="A1244" s="1">
        <v>1855</v>
      </c>
      <c r="B1244" s="1" t="s">
        <v>14641</v>
      </c>
      <c r="C1244" s="1" t="s">
        <v>8789</v>
      </c>
      <c r="F1244" s="1" t="s">
        <v>8790</v>
      </c>
      <c r="G1244" s="1" t="s">
        <v>8791</v>
      </c>
    </row>
    <row r="1245" spans="1:7" x14ac:dyDescent="0.15">
      <c r="A1245" s="1">
        <v>1856</v>
      </c>
      <c r="B1245" s="1" t="s">
        <v>14641</v>
      </c>
      <c r="C1245" s="1" t="s">
        <v>8792</v>
      </c>
      <c r="D1245" s="1" t="s">
        <v>12625</v>
      </c>
      <c r="F1245" s="1" t="s">
        <v>8793</v>
      </c>
      <c r="G1245" s="1" t="s">
        <v>8794</v>
      </c>
    </row>
    <row r="1246" spans="1:7" x14ac:dyDescent="0.15">
      <c r="A1246" s="1">
        <v>1857</v>
      </c>
      <c r="B1246" s="1" t="s">
        <v>14641</v>
      </c>
      <c r="C1246" s="1" t="s">
        <v>14642</v>
      </c>
      <c r="D1246" s="1" t="s">
        <v>12625</v>
      </c>
      <c r="F1246" s="1" t="s">
        <v>8793</v>
      </c>
      <c r="G1246" s="1" t="s">
        <v>8795</v>
      </c>
    </row>
    <row r="1247" spans="1:7" x14ac:dyDescent="0.15">
      <c r="A1247" s="1">
        <v>1858</v>
      </c>
      <c r="B1247" s="1" t="s">
        <v>14641</v>
      </c>
      <c r="C1247" s="1" t="s">
        <v>8796</v>
      </c>
      <c r="F1247" s="1" t="s">
        <v>10591</v>
      </c>
      <c r="G1247" s="1" t="s">
        <v>8797</v>
      </c>
    </row>
    <row r="1248" spans="1:7" x14ac:dyDescent="0.15">
      <c r="A1248" s="1">
        <v>1859</v>
      </c>
      <c r="B1248" s="1" t="s">
        <v>14641</v>
      </c>
      <c r="C1248" s="1" t="s">
        <v>14650</v>
      </c>
      <c r="F1248" s="1" t="s">
        <v>10591</v>
      </c>
      <c r="G1248" s="1" t="s">
        <v>8798</v>
      </c>
    </row>
    <row r="1249" spans="1:7" x14ac:dyDescent="0.15">
      <c r="A1249" s="1">
        <v>1862</v>
      </c>
      <c r="B1249" s="1" t="s">
        <v>14641</v>
      </c>
      <c r="C1249" s="1" t="s">
        <v>8800</v>
      </c>
      <c r="F1249" s="1" t="s">
        <v>8801</v>
      </c>
      <c r="G1249" s="1" t="s">
        <v>8802</v>
      </c>
    </row>
    <row r="1250" spans="1:7" x14ac:dyDescent="0.15">
      <c r="A1250" s="1">
        <v>1863</v>
      </c>
      <c r="B1250" s="1" t="s">
        <v>14641</v>
      </c>
      <c r="C1250" s="1" t="s">
        <v>14657</v>
      </c>
      <c r="F1250" s="1" t="s">
        <v>8801</v>
      </c>
      <c r="G1250" s="1" t="s">
        <v>8803</v>
      </c>
    </row>
    <row r="1251" spans="1:7" x14ac:dyDescent="0.15">
      <c r="A1251" s="1">
        <v>1864</v>
      </c>
      <c r="B1251" s="1" t="s">
        <v>14641</v>
      </c>
      <c r="C1251" s="1" t="s">
        <v>8804</v>
      </c>
      <c r="F1251" s="1" t="s">
        <v>11299</v>
      </c>
      <c r="G1251" s="1" t="s">
        <v>8805</v>
      </c>
    </row>
    <row r="1252" spans="1:7" x14ac:dyDescent="0.15">
      <c r="A1252" s="1">
        <v>1865</v>
      </c>
      <c r="B1252" s="1" t="s">
        <v>14641</v>
      </c>
      <c r="C1252" s="1" t="s">
        <v>14664</v>
      </c>
      <c r="F1252" s="1" t="s">
        <v>11299</v>
      </c>
      <c r="G1252" s="1" t="s">
        <v>8806</v>
      </c>
    </row>
    <row r="1253" spans="1:7" x14ac:dyDescent="0.15">
      <c r="A1253" s="1">
        <v>1868</v>
      </c>
      <c r="B1253" s="1" t="s">
        <v>14641</v>
      </c>
      <c r="C1253" s="1" t="s">
        <v>10070</v>
      </c>
      <c r="F1253" s="1" t="s">
        <v>10071</v>
      </c>
      <c r="G1253" s="1" t="s">
        <v>8807</v>
      </c>
    </row>
    <row r="1254" spans="1:7" x14ac:dyDescent="0.15">
      <c r="A1254" s="1">
        <v>1869</v>
      </c>
      <c r="B1254" s="1" t="s">
        <v>14641</v>
      </c>
      <c r="C1254" s="1" t="s">
        <v>14671</v>
      </c>
      <c r="F1254" s="1" t="s">
        <v>10071</v>
      </c>
      <c r="G1254" s="1" t="s">
        <v>8808</v>
      </c>
    </row>
    <row r="1255" spans="1:7" x14ac:dyDescent="0.15">
      <c r="A1255" s="1">
        <v>1871</v>
      </c>
      <c r="B1255" s="1" t="s">
        <v>14641</v>
      </c>
      <c r="C1255" s="1" t="s">
        <v>12515</v>
      </c>
      <c r="D1255" s="1" t="s">
        <v>12625</v>
      </c>
      <c r="F1255" s="1" t="s">
        <v>8809</v>
      </c>
      <c r="G1255" s="1" t="s">
        <v>8810</v>
      </c>
    </row>
    <row r="1256" spans="1:7" x14ac:dyDescent="0.15">
      <c r="A1256" s="1">
        <v>1872</v>
      </c>
      <c r="B1256" s="1" t="s">
        <v>14641</v>
      </c>
      <c r="C1256" s="1" t="s">
        <v>12518</v>
      </c>
      <c r="D1256" s="1" t="s">
        <v>12625</v>
      </c>
      <c r="F1256" s="1" t="s">
        <v>8811</v>
      </c>
      <c r="G1256" s="1" t="s">
        <v>8812</v>
      </c>
    </row>
    <row r="1257" spans="1:7" x14ac:dyDescent="0.15">
      <c r="A1257" s="1">
        <v>1873</v>
      </c>
      <c r="B1257" s="1" t="s">
        <v>14641</v>
      </c>
      <c r="C1257" s="1" t="s">
        <v>8813</v>
      </c>
      <c r="F1257" s="1" t="s">
        <v>8814</v>
      </c>
      <c r="G1257" s="1" t="s">
        <v>8815</v>
      </c>
    </row>
    <row r="1258" spans="1:7" x14ac:dyDescent="0.15">
      <c r="A1258" s="1">
        <v>1874</v>
      </c>
      <c r="B1258" s="1" t="s">
        <v>14641</v>
      </c>
      <c r="C1258" s="1" t="s">
        <v>14678</v>
      </c>
      <c r="F1258" s="1" t="s">
        <v>8814</v>
      </c>
      <c r="G1258" s="1" t="s">
        <v>8816</v>
      </c>
    </row>
    <row r="1259" spans="1:7" x14ac:dyDescent="0.15">
      <c r="A1259" s="1">
        <v>1875</v>
      </c>
      <c r="B1259" s="1" t="s">
        <v>14681</v>
      </c>
      <c r="C1259" s="1" t="s">
        <v>11561</v>
      </c>
      <c r="D1259" s="1" t="s">
        <v>11582</v>
      </c>
      <c r="F1259" s="1" t="s">
        <v>11562</v>
      </c>
      <c r="G1259" s="1" t="s">
        <v>8817</v>
      </c>
    </row>
    <row r="1260" spans="1:7" x14ac:dyDescent="0.15">
      <c r="A1260" s="1">
        <v>1876</v>
      </c>
      <c r="B1260" s="1" t="s">
        <v>14681</v>
      </c>
      <c r="C1260" s="1" t="s">
        <v>8818</v>
      </c>
      <c r="F1260" s="1" t="s">
        <v>10688</v>
      </c>
      <c r="G1260" s="1" t="s">
        <v>8819</v>
      </c>
    </row>
    <row r="1261" spans="1:7" x14ac:dyDescent="0.15">
      <c r="A1261" s="1">
        <v>1877</v>
      </c>
      <c r="B1261" s="1" t="s">
        <v>14681</v>
      </c>
      <c r="C1261" s="1" t="s">
        <v>14690</v>
      </c>
      <c r="F1261" s="1" t="s">
        <v>10688</v>
      </c>
      <c r="G1261" s="1" t="s">
        <v>8820</v>
      </c>
    </row>
    <row r="1262" spans="1:7" x14ac:dyDescent="0.15">
      <c r="A1262" s="1">
        <v>1881</v>
      </c>
      <c r="B1262" s="1" t="s">
        <v>14681</v>
      </c>
      <c r="C1262" s="1" t="s">
        <v>8821</v>
      </c>
      <c r="F1262" s="1" t="s">
        <v>10682</v>
      </c>
      <c r="G1262" s="1" t="s">
        <v>8822</v>
      </c>
    </row>
    <row r="1263" spans="1:7" x14ac:dyDescent="0.15">
      <c r="A1263" s="1">
        <v>1882</v>
      </c>
      <c r="B1263" s="1" t="s">
        <v>14681</v>
      </c>
      <c r="C1263" s="1" t="s">
        <v>14697</v>
      </c>
      <c r="F1263" s="1" t="s">
        <v>10682</v>
      </c>
      <c r="G1263" s="1" t="s">
        <v>8823</v>
      </c>
    </row>
    <row r="1264" spans="1:7" x14ac:dyDescent="0.15">
      <c r="A1264" s="1">
        <v>1886</v>
      </c>
      <c r="B1264" s="1" t="s">
        <v>14681</v>
      </c>
      <c r="C1264" s="1" t="s">
        <v>8824</v>
      </c>
      <c r="D1264" s="1" t="s">
        <v>12625</v>
      </c>
      <c r="F1264" s="1" t="s">
        <v>8825</v>
      </c>
      <c r="G1264" s="1" t="s">
        <v>8826</v>
      </c>
    </row>
    <row r="1265" spans="1:7" x14ac:dyDescent="0.15">
      <c r="A1265" s="1">
        <v>1887</v>
      </c>
      <c r="B1265" s="1" t="s">
        <v>14681</v>
      </c>
      <c r="C1265" s="1" t="s">
        <v>8827</v>
      </c>
      <c r="D1265" s="1" t="s">
        <v>12625</v>
      </c>
      <c r="F1265" s="1" t="s">
        <v>8828</v>
      </c>
      <c r="G1265" s="1" t="s">
        <v>8829</v>
      </c>
    </row>
    <row r="1266" spans="1:7" x14ac:dyDescent="0.15">
      <c r="A1266" s="1">
        <v>1888</v>
      </c>
      <c r="B1266" s="1" t="s">
        <v>14681</v>
      </c>
      <c r="C1266" s="1" t="s">
        <v>8830</v>
      </c>
      <c r="F1266" s="1" t="s">
        <v>8831</v>
      </c>
      <c r="G1266" s="1" t="s">
        <v>8832</v>
      </c>
    </row>
    <row r="1267" spans="1:7" x14ac:dyDescent="0.15">
      <c r="A1267" s="1">
        <v>1889</v>
      </c>
      <c r="B1267" s="1" t="s">
        <v>14681</v>
      </c>
      <c r="C1267" s="1" t="s">
        <v>14704</v>
      </c>
      <c r="F1267" s="1" t="s">
        <v>8831</v>
      </c>
      <c r="G1267" s="1" t="s">
        <v>8833</v>
      </c>
    </row>
    <row r="1268" spans="1:7" x14ac:dyDescent="0.15">
      <c r="A1268" s="1">
        <v>1896</v>
      </c>
      <c r="B1268" s="1" t="s">
        <v>14681</v>
      </c>
      <c r="C1268" s="1" t="s">
        <v>8746</v>
      </c>
      <c r="F1268" s="1" t="s">
        <v>8747</v>
      </c>
      <c r="G1268" s="1" t="s">
        <v>8834</v>
      </c>
    </row>
    <row r="1269" spans="1:7" x14ac:dyDescent="0.15">
      <c r="A1269" s="1">
        <v>1897</v>
      </c>
      <c r="B1269" s="1" t="s">
        <v>14681</v>
      </c>
      <c r="C1269" s="1" t="s">
        <v>14711</v>
      </c>
      <c r="F1269" s="1" t="s">
        <v>8747</v>
      </c>
      <c r="G1269" s="1" t="s">
        <v>8835</v>
      </c>
    </row>
    <row r="1270" spans="1:7" x14ac:dyDescent="0.15">
      <c r="A1270" s="1">
        <v>1900</v>
      </c>
      <c r="B1270" s="1" t="s">
        <v>14681</v>
      </c>
      <c r="C1270" s="1" t="s">
        <v>8836</v>
      </c>
      <c r="F1270" s="1" t="s">
        <v>8837</v>
      </c>
      <c r="G1270" s="1" t="s">
        <v>8838</v>
      </c>
    </row>
    <row r="1271" spans="1:7" x14ac:dyDescent="0.15">
      <c r="A1271" s="1">
        <v>1901</v>
      </c>
      <c r="B1271" s="1" t="s">
        <v>14681</v>
      </c>
      <c r="C1271" s="1" t="s">
        <v>14718</v>
      </c>
      <c r="F1271" s="1" t="s">
        <v>8837</v>
      </c>
      <c r="G1271" s="1" t="s">
        <v>8839</v>
      </c>
    </row>
    <row r="1272" spans="1:7" x14ac:dyDescent="0.15">
      <c r="A1272" s="1">
        <v>1904</v>
      </c>
      <c r="B1272" s="1" t="s">
        <v>14681</v>
      </c>
      <c r="C1272" s="1" t="s">
        <v>8840</v>
      </c>
      <c r="F1272" s="1" t="s">
        <v>10012</v>
      </c>
      <c r="G1272" s="1" t="s">
        <v>8841</v>
      </c>
    </row>
    <row r="1273" spans="1:7" x14ac:dyDescent="0.15">
      <c r="A1273" s="1">
        <v>1906</v>
      </c>
      <c r="B1273" s="1" t="s">
        <v>14681</v>
      </c>
      <c r="C1273" s="1" t="s">
        <v>14725</v>
      </c>
      <c r="F1273" s="1" t="s">
        <v>10683</v>
      </c>
      <c r="G1273" s="1" t="s">
        <v>8842</v>
      </c>
    </row>
    <row r="1274" spans="1:7" x14ac:dyDescent="0.15">
      <c r="A1274" s="1">
        <v>1910</v>
      </c>
      <c r="B1274" s="1" t="s">
        <v>14681</v>
      </c>
      <c r="C1274" s="1" t="s">
        <v>14729</v>
      </c>
      <c r="F1274" s="1" t="s">
        <v>11597</v>
      </c>
      <c r="G1274" s="1" t="s">
        <v>8844</v>
      </c>
    </row>
    <row r="1275" spans="1:7" x14ac:dyDescent="0.15">
      <c r="A1275" s="1">
        <v>1913</v>
      </c>
      <c r="B1275" s="1" t="s">
        <v>14681</v>
      </c>
      <c r="C1275" s="1" t="s">
        <v>14733</v>
      </c>
      <c r="F1275" s="1" t="s">
        <v>8845</v>
      </c>
      <c r="G1275" s="1" t="s">
        <v>8846</v>
      </c>
    </row>
    <row r="1276" spans="1:7" x14ac:dyDescent="0.15">
      <c r="A1276" s="1">
        <v>1917</v>
      </c>
      <c r="B1276" s="1" t="s">
        <v>14681</v>
      </c>
      <c r="C1276" s="1" t="s">
        <v>14737</v>
      </c>
      <c r="F1276" s="1" t="s">
        <v>8847</v>
      </c>
      <c r="G1276" s="1" t="s">
        <v>8848</v>
      </c>
    </row>
    <row r="1277" spans="1:7" x14ac:dyDescent="0.15">
      <c r="A1277" s="1">
        <v>1920</v>
      </c>
      <c r="B1277" s="1" t="s">
        <v>14681</v>
      </c>
      <c r="C1277" s="1" t="s">
        <v>14741</v>
      </c>
      <c r="F1277" s="1" t="s">
        <v>8849</v>
      </c>
      <c r="G1277" s="1" t="s">
        <v>8850</v>
      </c>
    </row>
    <row r="1278" spans="1:7" x14ac:dyDescent="0.15">
      <c r="A1278" s="1">
        <v>1924</v>
      </c>
      <c r="B1278" s="1" t="s">
        <v>14681</v>
      </c>
      <c r="C1278" s="1" t="s">
        <v>14745</v>
      </c>
      <c r="F1278" s="1" t="s">
        <v>8853</v>
      </c>
      <c r="G1278" s="1" t="s">
        <v>8854</v>
      </c>
    </row>
    <row r="1279" spans="1:7" x14ac:dyDescent="0.15">
      <c r="A1279" s="1">
        <v>1925</v>
      </c>
      <c r="B1279" s="1" t="s">
        <v>14681</v>
      </c>
      <c r="C1279" s="1" t="s">
        <v>8855</v>
      </c>
      <c r="F1279" s="1" t="s">
        <v>8856</v>
      </c>
      <c r="G1279" s="1" t="s">
        <v>8857</v>
      </c>
    </row>
    <row r="1280" spans="1:7" x14ac:dyDescent="0.15">
      <c r="A1280" s="1">
        <v>1926</v>
      </c>
      <c r="B1280" s="1" t="s">
        <v>14681</v>
      </c>
      <c r="C1280" s="1" t="s">
        <v>14753</v>
      </c>
      <c r="F1280" s="1" t="s">
        <v>10746</v>
      </c>
      <c r="G1280" s="1" t="s">
        <v>8858</v>
      </c>
    </row>
    <row r="1281" spans="1:7" x14ac:dyDescent="0.15">
      <c r="A1281" s="1">
        <v>1927</v>
      </c>
      <c r="B1281" s="1" t="s">
        <v>14681</v>
      </c>
      <c r="C1281" s="1" t="s">
        <v>14756</v>
      </c>
      <c r="F1281" s="1" t="s">
        <v>8859</v>
      </c>
      <c r="G1281" s="1" t="s">
        <v>8860</v>
      </c>
    </row>
    <row r="1282" spans="1:7" x14ac:dyDescent="0.15">
      <c r="A1282" s="1">
        <v>1928</v>
      </c>
      <c r="B1282" s="1" t="s">
        <v>14681</v>
      </c>
      <c r="C1282" s="1" t="s">
        <v>8861</v>
      </c>
      <c r="D1282" s="1" t="s">
        <v>12625</v>
      </c>
      <c r="F1282" s="1" t="s">
        <v>8862</v>
      </c>
      <c r="G1282" s="1" t="s">
        <v>8863</v>
      </c>
    </row>
    <row r="1283" spans="1:7" x14ac:dyDescent="0.15">
      <c r="A1283" s="1">
        <v>1929</v>
      </c>
      <c r="B1283" s="1" t="s">
        <v>14681</v>
      </c>
      <c r="C1283" s="1" t="s">
        <v>8864</v>
      </c>
      <c r="D1283" s="1" t="s">
        <v>12593</v>
      </c>
      <c r="F1283" s="1" t="s">
        <v>9898</v>
      </c>
      <c r="G1283" s="1" t="s">
        <v>8865</v>
      </c>
    </row>
    <row r="1284" spans="1:7" x14ac:dyDescent="0.15">
      <c r="A1284" s="1">
        <v>1930</v>
      </c>
      <c r="B1284" s="1" t="s">
        <v>14681</v>
      </c>
      <c r="C1284" s="1" t="s">
        <v>14764</v>
      </c>
      <c r="D1284" s="1" t="s">
        <v>11582</v>
      </c>
      <c r="F1284" s="1" t="s">
        <v>8866</v>
      </c>
      <c r="G1284" s="1" t="s">
        <v>8867</v>
      </c>
    </row>
    <row r="1285" spans="1:7" x14ac:dyDescent="0.15">
      <c r="A1285" s="1">
        <v>1931</v>
      </c>
      <c r="B1285" s="1" t="s">
        <v>14681</v>
      </c>
      <c r="C1285" s="1" t="s">
        <v>14768</v>
      </c>
      <c r="D1285" s="1" t="s">
        <v>11582</v>
      </c>
      <c r="F1285" s="1" t="s">
        <v>8868</v>
      </c>
      <c r="G1285" s="1" t="s">
        <v>8869</v>
      </c>
    </row>
    <row r="1286" spans="1:7" x14ac:dyDescent="0.15">
      <c r="A1286" s="1">
        <v>1932</v>
      </c>
      <c r="B1286" s="1" t="s">
        <v>14681</v>
      </c>
      <c r="C1286" s="1" t="s">
        <v>14772</v>
      </c>
      <c r="D1286" s="1" t="s">
        <v>11582</v>
      </c>
      <c r="F1286" s="1" t="s">
        <v>11353</v>
      </c>
      <c r="G1286" s="1" t="s">
        <v>8870</v>
      </c>
    </row>
    <row r="1287" spans="1:7" x14ac:dyDescent="0.15">
      <c r="A1287" s="1">
        <v>1933</v>
      </c>
      <c r="B1287" s="1" t="s">
        <v>14681</v>
      </c>
      <c r="C1287" s="1" t="s">
        <v>14776</v>
      </c>
      <c r="D1287" s="1" t="s">
        <v>11582</v>
      </c>
      <c r="F1287" s="1" t="s">
        <v>8871</v>
      </c>
      <c r="G1287" s="1" t="s">
        <v>8872</v>
      </c>
    </row>
    <row r="1288" spans="1:7" x14ac:dyDescent="0.15">
      <c r="A1288" s="1">
        <v>1934</v>
      </c>
      <c r="B1288" s="1" t="s">
        <v>14681</v>
      </c>
      <c r="C1288" s="1" t="s">
        <v>14780</v>
      </c>
      <c r="D1288" s="1" t="s">
        <v>11582</v>
      </c>
      <c r="F1288" s="1" t="s">
        <v>9741</v>
      </c>
      <c r="G1288" s="1" t="s">
        <v>8873</v>
      </c>
    </row>
    <row r="1289" spans="1:7" x14ac:dyDescent="0.15">
      <c r="A1289" s="1">
        <v>1935</v>
      </c>
      <c r="B1289" s="1" t="s">
        <v>14681</v>
      </c>
      <c r="C1289" s="1" t="s">
        <v>14784</v>
      </c>
      <c r="D1289" s="1" t="s">
        <v>11582</v>
      </c>
      <c r="F1289" s="1" t="s">
        <v>8874</v>
      </c>
      <c r="G1289" s="1" t="s">
        <v>8875</v>
      </c>
    </row>
    <row r="1290" spans="1:7" x14ac:dyDescent="0.15">
      <c r="A1290" s="1">
        <v>1936</v>
      </c>
      <c r="B1290" s="1" t="s">
        <v>14681</v>
      </c>
      <c r="C1290" s="1" t="s">
        <v>8876</v>
      </c>
      <c r="F1290" s="1" t="s">
        <v>9210</v>
      </c>
      <c r="G1290" s="1" t="s">
        <v>8877</v>
      </c>
    </row>
    <row r="1291" spans="1:7" x14ac:dyDescent="0.15">
      <c r="A1291" s="1">
        <v>1937</v>
      </c>
      <c r="B1291" s="1" t="s">
        <v>14681</v>
      </c>
      <c r="C1291" s="1" t="s">
        <v>14792</v>
      </c>
      <c r="F1291" s="1" t="s">
        <v>9210</v>
      </c>
      <c r="G1291" s="1" t="s">
        <v>8878</v>
      </c>
    </row>
    <row r="1292" spans="1:7" x14ac:dyDescent="0.15">
      <c r="A1292" s="1">
        <v>1942</v>
      </c>
      <c r="B1292" s="1" t="s">
        <v>14681</v>
      </c>
      <c r="C1292" s="1" t="s">
        <v>8879</v>
      </c>
      <c r="F1292" s="1" t="s">
        <v>8880</v>
      </c>
      <c r="G1292" s="1" t="s">
        <v>8881</v>
      </c>
    </row>
    <row r="1293" spans="1:7" x14ac:dyDescent="0.15">
      <c r="A1293" s="1">
        <v>1943</v>
      </c>
      <c r="B1293" s="1" t="s">
        <v>14681</v>
      </c>
      <c r="C1293" s="1" t="s">
        <v>14799</v>
      </c>
      <c r="F1293" s="1" t="s">
        <v>10684</v>
      </c>
      <c r="G1293" s="1" t="s">
        <v>8882</v>
      </c>
    </row>
    <row r="1294" spans="1:7" x14ac:dyDescent="0.15">
      <c r="A1294" s="1">
        <v>1945</v>
      </c>
      <c r="B1294" s="1" t="s">
        <v>14681</v>
      </c>
      <c r="C1294" s="1" t="s">
        <v>14803</v>
      </c>
      <c r="F1294" s="1" t="s">
        <v>11312</v>
      </c>
      <c r="G1294" s="1" t="s">
        <v>8883</v>
      </c>
    </row>
    <row r="1295" spans="1:7" x14ac:dyDescent="0.15">
      <c r="A1295" s="1">
        <v>1949</v>
      </c>
      <c r="B1295" s="1" t="s">
        <v>14681</v>
      </c>
      <c r="C1295" s="1" t="s">
        <v>14807</v>
      </c>
      <c r="D1295" s="1" t="s">
        <v>12625</v>
      </c>
      <c r="F1295" s="1" t="s">
        <v>11383</v>
      </c>
      <c r="G1295" s="1" t="s">
        <v>8884</v>
      </c>
    </row>
    <row r="1296" spans="1:7" x14ac:dyDescent="0.15">
      <c r="A1296" s="1">
        <v>1950</v>
      </c>
      <c r="B1296" s="1" t="s">
        <v>14681</v>
      </c>
      <c r="C1296" s="1" t="s">
        <v>8885</v>
      </c>
      <c r="F1296" s="1" t="s">
        <v>8886</v>
      </c>
      <c r="G1296" s="1" t="s">
        <v>8887</v>
      </c>
    </row>
    <row r="1297" spans="1:7" x14ac:dyDescent="0.15">
      <c r="A1297" s="1">
        <v>1951</v>
      </c>
      <c r="B1297" s="1" t="s">
        <v>14681</v>
      </c>
      <c r="C1297" s="1" t="s">
        <v>8888</v>
      </c>
      <c r="F1297" s="1" t="s">
        <v>10685</v>
      </c>
      <c r="G1297" s="1" t="s">
        <v>8889</v>
      </c>
    </row>
    <row r="1298" spans="1:7" x14ac:dyDescent="0.15">
      <c r="A1298" s="1">
        <v>1952</v>
      </c>
      <c r="B1298" s="1" t="s">
        <v>14681</v>
      </c>
      <c r="C1298" s="1" t="s">
        <v>14815</v>
      </c>
      <c r="F1298" s="1" t="s">
        <v>10685</v>
      </c>
      <c r="G1298" s="1" t="s">
        <v>8890</v>
      </c>
    </row>
    <row r="1299" spans="1:7" x14ac:dyDescent="0.15">
      <c r="A1299" s="1">
        <v>1958</v>
      </c>
      <c r="B1299" s="1" t="s">
        <v>14681</v>
      </c>
      <c r="C1299" s="1" t="s">
        <v>8891</v>
      </c>
      <c r="F1299" s="1" t="s">
        <v>12670</v>
      </c>
      <c r="G1299" s="1" t="s">
        <v>8892</v>
      </c>
    </row>
    <row r="1300" spans="1:7" x14ac:dyDescent="0.15">
      <c r="A1300" s="1">
        <v>1959</v>
      </c>
      <c r="B1300" s="1" t="s">
        <v>14681</v>
      </c>
      <c r="C1300" s="1" t="s">
        <v>14822</v>
      </c>
      <c r="F1300" s="1" t="s">
        <v>12670</v>
      </c>
      <c r="G1300" s="1" t="s">
        <v>8893</v>
      </c>
    </row>
    <row r="1301" spans="1:7" x14ac:dyDescent="0.15">
      <c r="A1301" s="1">
        <v>1961</v>
      </c>
      <c r="B1301" s="1" t="s">
        <v>14681</v>
      </c>
      <c r="C1301" s="1" t="s">
        <v>8894</v>
      </c>
      <c r="F1301" s="1" t="s">
        <v>8895</v>
      </c>
      <c r="G1301" s="1" t="s">
        <v>8896</v>
      </c>
    </row>
    <row r="1302" spans="1:7" x14ac:dyDescent="0.15">
      <c r="A1302" s="1">
        <v>1962</v>
      </c>
      <c r="B1302" s="1" t="s">
        <v>14681</v>
      </c>
      <c r="C1302" s="1" t="s">
        <v>14829</v>
      </c>
      <c r="F1302" s="1" t="s">
        <v>8895</v>
      </c>
      <c r="G1302" s="1" t="s">
        <v>8897</v>
      </c>
    </row>
    <row r="1303" spans="1:7" x14ac:dyDescent="0.15">
      <c r="A1303" s="1">
        <v>1963</v>
      </c>
      <c r="B1303" s="1" t="s">
        <v>14833</v>
      </c>
      <c r="C1303" s="1" t="s">
        <v>10696</v>
      </c>
      <c r="F1303" s="1" t="s">
        <v>10697</v>
      </c>
      <c r="G1303" s="1" t="s">
        <v>8898</v>
      </c>
    </row>
    <row r="1304" spans="1:7" x14ac:dyDescent="0.15">
      <c r="A1304" s="1">
        <v>1964</v>
      </c>
      <c r="B1304" s="1" t="s">
        <v>14833</v>
      </c>
      <c r="C1304" s="1" t="s">
        <v>8899</v>
      </c>
      <c r="D1304" s="1" t="s">
        <v>12625</v>
      </c>
      <c r="F1304" s="1" t="s">
        <v>8900</v>
      </c>
      <c r="G1304" s="1" t="s">
        <v>8901</v>
      </c>
    </row>
    <row r="1305" spans="1:7" x14ac:dyDescent="0.15">
      <c r="A1305" s="1">
        <v>1965</v>
      </c>
      <c r="B1305" s="1" t="s">
        <v>14833</v>
      </c>
      <c r="C1305" s="1" t="s">
        <v>14834</v>
      </c>
      <c r="D1305" s="1" t="s">
        <v>12625</v>
      </c>
      <c r="F1305" s="1" t="s">
        <v>8900</v>
      </c>
      <c r="G1305" s="1" t="s">
        <v>8902</v>
      </c>
    </row>
    <row r="1306" spans="1:7" x14ac:dyDescent="0.15">
      <c r="A1306" s="1">
        <v>1966</v>
      </c>
      <c r="B1306" s="1" t="s">
        <v>14833</v>
      </c>
      <c r="C1306" s="1" t="s">
        <v>8903</v>
      </c>
      <c r="F1306" s="1" t="s">
        <v>8904</v>
      </c>
      <c r="G1306" s="1" t="s">
        <v>8905</v>
      </c>
    </row>
    <row r="1307" spans="1:7" x14ac:dyDescent="0.15">
      <c r="A1307" s="1">
        <v>1967</v>
      </c>
      <c r="B1307" s="1" t="s">
        <v>14833</v>
      </c>
      <c r="C1307" s="1" t="s">
        <v>14842</v>
      </c>
      <c r="F1307" s="1" t="s">
        <v>8904</v>
      </c>
      <c r="G1307" s="1" t="s">
        <v>8906</v>
      </c>
    </row>
    <row r="1308" spans="1:7" x14ac:dyDescent="0.15">
      <c r="A1308" s="1">
        <v>1968</v>
      </c>
      <c r="B1308" s="1" t="s">
        <v>14833</v>
      </c>
      <c r="C1308" s="1" t="s">
        <v>8907</v>
      </c>
      <c r="F1308" s="1" t="s">
        <v>8908</v>
      </c>
      <c r="G1308" s="1" t="s">
        <v>8909</v>
      </c>
    </row>
    <row r="1309" spans="1:7" x14ac:dyDescent="0.15">
      <c r="A1309" s="1">
        <v>1969</v>
      </c>
      <c r="B1309" s="1" t="s">
        <v>14833</v>
      </c>
      <c r="C1309" s="1" t="s">
        <v>14217</v>
      </c>
      <c r="F1309" s="1" t="s">
        <v>8910</v>
      </c>
      <c r="G1309" s="1" t="s">
        <v>8911</v>
      </c>
    </row>
    <row r="1310" spans="1:7" x14ac:dyDescent="0.15">
      <c r="A1310" s="1">
        <v>1970</v>
      </c>
      <c r="B1310" s="1" t="s">
        <v>14833</v>
      </c>
      <c r="C1310" s="1" t="s">
        <v>8912</v>
      </c>
      <c r="F1310" s="1" t="s">
        <v>8913</v>
      </c>
      <c r="G1310" s="1" t="s">
        <v>8914</v>
      </c>
    </row>
    <row r="1311" spans="1:7" x14ac:dyDescent="0.15">
      <c r="A1311" s="1">
        <v>1971</v>
      </c>
      <c r="B1311" s="1" t="s">
        <v>14833</v>
      </c>
      <c r="C1311" s="1" t="s">
        <v>14225</v>
      </c>
      <c r="F1311" s="1" t="s">
        <v>8915</v>
      </c>
      <c r="G1311" s="1" t="s">
        <v>8916</v>
      </c>
    </row>
    <row r="1312" spans="1:7" x14ac:dyDescent="0.15">
      <c r="A1312" s="1">
        <v>1972</v>
      </c>
      <c r="B1312" s="1" t="s">
        <v>14833</v>
      </c>
      <c r="C1312" s="1" t="s">
        <v>14229</v>
      </c>
      <c r="F1312" s="1" t="s">
        <v>8917</v>
      </c>
      <c r="G1312" s="1" t="s">
        <v>8918</v>
      </c>
    </row>
    <row r="1313" spans="1:7" x14ac:dyDescent="0.15">
      <c r="A1313" s="1">
        <v>1973</v>
      </c>
      <c r="B1313" s="1" t="s">
        <v>14833</v>
      </c>
      <c r="C1313" s="1" t="s">
        <v>14233</v>
      </c>
      <c r="F1313" s="1" t="s">
        <v>8919</v>
      </c>
      <c r="G1313" s="1" t="s">
        <v>8920</v>
      </c>
    </row>
    <row r="1314" spans="1:7" x14ac:dyDescent="0.15">
      <c r="A1314" s="1">
        <v>1974</v>
      </c>
      <c r="B1314" s="1" t="s">
        <v>14833</v>
      </c>
      <c r="C1314" s="1" t="s">
        <v>14237</v>
      </c>
      <c r="F1314" s="1" t="s">
        <v>8921</v>
      </c>
      <c r="G1314" s="1" t="s">
        <v>8922</v>
      </c>
    </row>
    <row r="1315" spans="1:7" x14ac:dyDescent="0.15">
      <c r="A1315" s="1">
        <v>1975</v>
      </c>
      <c r="B1315" s="1" t="s">
        <v>14833</v>
      </c>
      <c r="C1315" s="1" t="s">
        <v>8923</v>
      </c>
      <c r="F1315" s="1" t="s">
        <v>8924</v>
      </c>
      <c r="G1315" s="1" t="s">
        <v>8925</v>
      </c>
    </row>
    <row r="1316" spans="1:7" x14ac:dyDescent="0.15">
      <c r="A1316" s="1">
        <v>1977</v>
      </c>
      <c r="B1316" s="1" t="s">
        <v>14833</v>
      </c>
      <c r="C1316" s="1" t="s">
        <v>14245</v>
      </c>
      <c r="F1316" s="1" t="s">
        <v>8928</v>
      </c>
      <c r="G1316" s="1" t="s">
        <v>8929</v>
      </c>
    </row>
    <row r="1317" spans="1:7" x14ac:dyDescent="0.15">
      <c r="A1317" s="1">
        <v>1978</v>
      </c>
      <c r="B1317" s="1" t="s">
        <v>14833</v>
      </c>
      <c r="C1317" s="1" t="s">
        <v>8930</v>
      </c>
      <c r="D1317" s="1" t="s">
        <v>12625</v>
      </c>
      <c r="F1317" s="1" t="s">
        <v>8931</v>
      </c>
      <c r="G1317" s="1" t="s">
        <v>8932</v>
      </c>
    </row>
    <row r="1318" spans="1:7" x14ac:dyDescent="0.15">
      <c r="A1318" s="1">
        <v>1979</v>
      </c>
      <c r="B1318" s="1" t="s">
        <v>14833</v>
      </c>
      <c r="C1318" s="1" t="s">
        <v>14249</v>
      </c>
      <c r="F1318" s="1" t="s">
        <v>8933</v>
      </c>
      <c r="G1318" s="1" t="s">
        <v>8934</v>
      </c>
    </row>
    <row r="1319" spans="1:7" x14ac:dyDescent="0.15">
      <c r="A1319" s="1">
        <v>1981</v>
      </c>
      <c r="B1319" s="1" t="s">
        <v>14833</v>
      </c>
      <c r="C1319" s="1" t="s">
        <v>8935</v>
      </c>
      <c r="D1319" s="1" t="s">
        <v>12625</v>
      </c>
      <c r="F1319" s="1" t="s">
        <v>8936</v>
      </c>
      <c r="G1319" s="1" t="s">
        <v>8937</v>
      </c>
    </row>
    <row r="1320" spans="1:7" x14ac:dyDescent="0.15">
      <c r="A1320" s="1">
        <v>1982</v>
      </c>
      <c r="B1320" s="1" t="s">
        <v>14833</v>
      </c>
      <c r="C1320" s="1" t="s">
        <v>8938</v>
      </c>
      <c r="D1320" s="1" t="s">
        <v>12625</v>
      </c>
      <c r="F1320" s="1" t="s">
        <v>8939</v>
      </c>
      <c r="G1320" s="1" t="s">
        <v>8940</v>
      </c>
    </row>
    <row r="1321" spans="1:7" x14ac:dyDescent="0.15">
      <c r="A1321" s="1">
        <v>1983</v>
      </c>
      <c r="B1321" s="1" t="s">
        <v>14833</v>
      </c>
      <c r="C1321" s="1" t="s">
        <v>14253</v>
      </c>
      <c r="F1321" s="1" t="s">
        <v>8941</v>
      </c>
      <c r="G1321" s="1" t="s">
        <v>8942</v>
      </c>
    </row>
    <row r="1322" spans="1:7" x14ac:dyDescent="0.15">
      <c r="A1322" s="1">
        <v>1984</v>
      </c>
      <c r="B1322" s="1" t="s">
        <v>14833</v>
      </c>
      <c r="C1322" s="1" t="s">
        <v>8943</v>
      </c>
      <c r="D1322" s="1" t="s">
        <v>12625</v>
      </c>
      <c r="F1322" s="1" t="s">
        <v>8944</v>
      </c>
      <c r="G1322" s="1" t="s">
        <v>8945</v>
      </c>
    </row>
    <row r="1323" spans="1:7" x14ac:dyDescent="0.15">
      <c r="A1323" s="1">
        <v>1985</v>
      </c>
      <c r="B1323" s="1" t="s">
        <v>14833</v>
      </c>
      <c r="C1323" s="1" t="s">
        <v>8946</v>
      </c>
      <c r="D1323" s="1" t="s">
        <v>12625</v>
      </c>
      <c r="F1323" s="1" t="s">
        <v>8947</v>
      </c>
      <c r="G1323" s="1" t="s">
        <v>8948</v>
      </c>
    </row>
    <row r="1324" spans="1:7" x14ac:dyDescent="0.15">
      <c r="A1324" s="1">
        <v>1986</v>
      </c>
      <c r="B1324" s="1" t="s">
        <v>14833</v>
      </c>
      <c r="C1324" s="1" t="s">
        <v>8949</v>
      </c>
      <c r="D1324" s="1" t="s">
        <v>12625</v>
      </c>
      <c r="F1324" s="1" t="s">
        <v>8950</v>
      </c>
      <c r="G1324" s="1" t="s">
        <v>8495</v>
      </c>
    </row>
    <row r="1325" spans="1:7" x14ac:dyDescent="0.15">
      <c r="A1325" s="1">
        <v>1988</v>
      </c>
      <c r="B1325" s="1" t="s">
        <v>14833</v>
      </c>
      <c r="C1325" s="1" t="s">
        <v>14257</v>
      </c>
      <c r="F1325" s="1" t="s">
        <v>8497</v>
      </c>
      <c r="G1325" s="1" t="s">
        <v>8498</v>
      </c>
    </row>
    <row r="1326" spans="1:7" x14ac:dyDescent="0.15">
      <c r="A1326" s="1">
        <v>1989</v>
      </c>
      <c r="B1326" s="1" t="s">
        <v>14833</v>
      </c>
      <c r="C1326" s="1" t="s">
        <v>8499</v>
      </c>
      <c r="F1326" s="1" t="s">
        <v>8500</v>
      </c>
      <c r="G1326" s="1" t="s">
        <v>8501</v>
      </c>
    </row>
    <row r="1327" spans="1:7" x14ac:dyDescent="0.15">
      <c r="A1327" s="1">
        <v>1990</v>
      </c>
      <c r="B1327" s="1" t="s">
        <v>14833</v>
      </c>
      <c r="C1327" s="1" t="s">
        <v>14265</v>
      </c>
      <c r="D1327" s="1" t="s">
        <v>12593</v>
      </c>
      <c r="F1327" s="1" t="s">
        <v>8502</v>
      </c>
      <c r="G1327" s="1" t="s">
        <v>8503</v>
      </c>
    </row>
    <row r="1328" spans="1:7" x14ac:dyDescent="0.15">
      <c r="A1328" s="1">
        <v>1991</v>
      </c>
      <c r="B1328" s="1" t="s">
        <v>14833</v>
      </c>
      <c r="C1328" s="1" t="s">
        <v>8504</v>
      </c>
      <c r="D1328" s="1" t="s">
        <v>12625</v>
      </c>
      <c r="F1328" s="1" t="s">
        <v>8505</v>
      </c>
      <c r="G1328" s="1" t="s">
        <v>8506</v>
      </c>
    </row>
    <row r="1329" spans="1:7" x14ac:dyDescent="0.15">
      <c r="A1329" s="1">
        <v>1992</v>
      </c>
      <c r="B1329" s="1" t="s">
        <v>14833</v>
      </c>
      <c r="C1329" s="1" t="s">
        <v>8507</v>
      </c>
      <c r="D1329" s="1" t="s">
        <v>12625</v>
      </c>
      <c r="F1329" s="1" t="s">
        <v>8508</v>
      </c>
      <c r="G1329" s="1" t="s">
        <v>8509</v>
      </c>
    </row>
    <row r="1330" spans="1:7" x14ac:dyDescent="0.15">
      <c r="A1330" s="1">
        <v>1993</v>
      </c>
      <c r="B1330" s="1" t="s">
        <v>14833</v>
      </c>
      <c r="C1330" s="1" t="s">
        <v>8510</v>
      </c>
      <c r="D1330" s="1" t="s">
        <v>12625</v>
      </c>
      <c r="F1330" s="1" t="s">
        <v>8511</v>
      </c>
      <c r="G1330" s="1" t="s">
        <v>8512</v>
      </c>
    </row>
    <row r="1331" spans="1:7" x14ac:dyDescent="0.15">
      <c r="A1331" s="1">
        <v>1994</v>
      </c>
      <c r="B1331" s="1" t="s">
        <v>14833</v>
      </c>
      <c r="C1331" s="1" t="s">
        <v>8513</v>
      </c>
      <c r="D1331" s="1" t="s">
        <v>12625</v>
      </c>
      <c r="F1331" s="1" t="s">
        <v>8514</v>
      </c>
      <c r="G1331" s="1" t="s">
        <v>8515</v>
      </c>
    </row>
    <row r="1332" spans="1:7" x14ac:dyDescent="0.15">
      <c r="A1332" s="1">
        <v>1995</v>
      </c>
      <c r="B1332" s="1" t="s">
        <v>14833</v>
      </c>
      <c r="C1332" s="1" t="s">
        <v>8516</v>
      </c>
      <c r="D1332" s="1" t="s">
        <v>12625</v>
      </c>
      <c r="F1332" s="1" t="s">
        <v>8517</v>
      </c>
      <c r="G1332" s="1" t="s">
        <v>8518</v>
      </c>
    </row>
    <row r="1333" spans="1:7" x14ac:dyDescent="0.15">
      <c r="A1333" s="1">
        <v>1996</v>
      </c>
      <c r="B1333" s="1" t="s">
        <v>14833</v>
      </c>
      <c r="C1333" s="1" t="s">
        <v>8519</v>
      </c>
      <c r="F1333" s="1" t="s">
        <v>8520</v>
      </c>
      <c r="G1333" s="1" t="s">
        <v>8521</v>
      </c>
    </row>
    <row r="1334" spans="1:7" x14ac:dyDescent="0.15">
      <c r="A1334" s="1">
        <v>1997</v>
      </c>
      <c r="B1334" s="1" t="s">
        <v>14833</v>
      </c>
      <c r="C1334" s="1" t="s">
        <v>14273</v>
      </c>
      <c r="F1334" s="1" t="s">
        <v>8520</v>
      </c>
      <c r="G1334" s="1" t="s">
        <v>8522</v>
      </c>
    </row>
    <row r="1335" spans="1:7" x14ac:dyDescent="0.15">
      <c r="A1335" s="1">
        <v>1998</v>
      </c>
      <c r="B1335" s="1" t="s">
        <v>14275</v>
      </c>
      <c r="C1335" s="1" t="s">
        <v>10698</v>
      </c>
      <c r="F1335" s="1" t="s">
        <v>8523</v>
      </c>
      <c r="G1335" s="1" t="s">
        <v>8524</v>
      </c>
    </row>
    <row r="1336" spans="1:7" x14ac:dyDescent="0.15">
      <c r="A1336" s="1">
        <v>1999</v>
      </c>
      <c r="B1336" s="1" t="s">
        <v>14275</v>
      </c>
      <c r="C1336" s="1" t="s">
        <v>8525</v>
      </c>
      <c r="D1336" s="1" t="s">
        <v>12625</v>
      </c>
      <c r="F1336" s="1" t="s">
        <v>8526</v>
      </c>
      <c r="G1336" s="1" t="s">
        <v>8527</v>
      </c>
    </row>
    <row r="1337" spans="1:7" x14ac:dyDescent="0.15">
      <c r="A1337" s="1">
        <v>2001</v>
      </c>
      <c r="B1337" s="1" t="s">
        <v>14275</v>
      </c>
      <c r="C1337" s="1" t="s">
        <v>14276</v>
      </c>
      <c r="D1337" s="1" t="s">
        <v>12625</v>
      </c>
      <c r="F1337" s="1" t="s">
        <v>8526</v>
      </c>
      <c r="G1337" s="1" t="s">
        <v>8528</v>
      </c>
    </row>
    <row r="1338" spans="1:7" x14ac:dyDescent="0.15">
      <c r="A1338" s="1">
        <v>2002</v>
      </c>
      <c r="B1338" s="1" t="s">
        <v>14275</v>
      </c>
      <c r="C1338" s="1" t="s">
        <v>8529</v>
      </c>
      <c r="F1338" s="1" t="s">
        <v>8530</v>
      </c>
      <c r="G1338" s="1" t="s">
        <v>8531</v>
      </c>
    </row>
    <row r="1339" spans="1:7" x14ac:dyDescent="0.15">
      <c r="A1339" s="1">
        <v>2003</v>
      </c>
      <c r="B1339" s="1" t="s">
        <v>14275</v>
      </c>
      <c r="C1339" s="1" t="s">
        <v>14284</v>
      </c>
      <c r="F1339" s="1" t="s">
        <v>8532</v>
      </c>
      <c r="G1339" s="1" t="s">
        <v>8533</v>
      </c>
    </row>
    <row r="1340" spans="1:7" x14ac:dyDescent="0.15">
      <c r="A1340" s="1">
        <v>2004</v>
      </c>
      <c r="B1340" s="1" t="s">
        <v>14275</v>
      </c>
      <c r="C1340" s="1" t="s">
        <v>14288</v>
      </c>
      <c r="F1340" s="1" t="s">
        <v>8534</v>
      </c>
      <c r="G1340" s="1" t="s">
        <v>8535</v>
      </c>
    </row>
    <row r="1341" spans="1:7" x14ac:dyDescent="0.15">
      <c r="A1341" s="1">
        <v>2005</v>
      </c>
      <c r="B1341" s="1" t="s">
        <v>14275</v>
      </c>
      <c r="C1341" s="1" t="s">
        <v>14292</v>
      </c>
      <c r="F1341" s="1" t="s">
        <v>8536</v>
      </c>
      <c r="G1341" s="1" t="s">
        <v>8537</v>
      </c>
    </row>
    <row r="1342" spans="1:7" x14ac:dyDescent="0.15">
      <c r="A1342" s="1">
        <v>2006</v>
      </c>
      <c r="B1342" s="1" t="s">
        <v>14275</v>
      </c>
      <c r="C1342" s="1" t="s">
        <v>14296</v>
      </c>
      <c r="F1342" s="1" t="s">
        <v>10141</v>
      </c>
      <c r="G1342" s="1" t="s">
        <v>8538</v>
      </c>
    </row>
    <row r="1343" spans="1:7" x14ac:dyDescent="0.15">
      <c r="A1343" s="1">
        <v>2008</v>
      </c>
      <c r="B1343" s="1" t="s">
        <v>14275</v>
      </c>
      <c r="C1343" s="1" t="s">
        <v>14300</v>
      </c>
      <c r="F1343" s="1" t="s">
        <v>8539</v>
      </c>
      <c r="G1343" s="1" t="s">
        <v>8540</v>
      </c>
    </row>
    <row r="1344" spans="1:7" x14ac:dyDescent="0.15">
      <c r="A1344" s="1">
        <v>2009</v>
      </c>
      <c r="B1344" s="1" t="s">
        <v>14275</v>
      </c>
      <c r="C1344" s="1" t="s">
        <v>14304</v>
      </c>
      <c r="F1344" s="1" t="s">
        <v>8541</v>
      </c>
      <c r="G1344" s="1" t="s">
        <v>8542</v>
      </c>
    </row>
    <row r="1345" spans="1:7" x14ac:dyDescent="0.15">
      <c r="A1345" s="1">
        <v>2010</v>
      </c>
      <c r="B1345" s="1" t="s">
        <v>14275</v>
      </c>
      <c r="C1345" s="1" t="s">
        <v>8543</v>
      </c>
      <c r="D1345" s="1" t="s">
        <v>12625</v>
      </c>
      <c r="F1345" s="1" t="s">
        <v>8544</v>
      </c>
      <c r="G1345" s="1" t="s">
        <v>8545</v>
      </c>
    </row>
    <row r="1346" spans="1:7" x14ac:dyDescent="0.15">
      <c r="A1346" s="1">
        <v>2011</v>
      </c>
      <c r="B1346" s="1" t="s">
        <v>14275</v>
      </c>
      <c r="C1346" s="1" t="s">
        <v>14308</v>
      </c>
      <c r="F1346" s="1" t="s">
        <v>8546</v>
      </c>
      <c r="G1346" s="1" t="s">
        <v>8547</v>
      </c>
    </row>
    <row r="1347" spans="1:7" x14ac:dyDescent="0.15">
      <c r="A1347" s="1">
        <v>2012</v>
      </c>
      <c r="B1347" s="1" t="s">
        <v>14275</v>
      </c>
      <c r="C1347" s="1" t="s">
        <v>8548</v>
      </c>
      <c r="F1347" s="1" t="s">
        <v>8549</v>
      </c>
      <c r="G1347" s="1" t="s">
        <v>8550</v>
      </c>
    </row>
    <row r="1348" spans="1:7" x14ac:dyDescent="0.15">
      <c r="A1348" s="1">
        <v>2013</v>
      </c>
      <c r="B1348" s="1" t="s">
        <v>14275</v>
      </c>
      <c r="C1348" s="1" t="s">
        <v>14316</v>
      </c>
      <c r="F1348" s="1" t="s">
        <v>8549</v>
      </c>
      <c r="G1348" s="1" t="s">
        <v>8551</v>
      </c>
    </row>
    <row r="1349" spans="1:7" x14ac:dyDescent="0.15">
      <c r="A1349" s="1">
        <v>2015</v>
      </c>
      <c r="B1349" s="1" t="s">
        <v>14275</v>
      </c>
      <c r="C1349" s="1" t="s">
        <v>8552</v>
      </c>
      <c r="F1349" s="1" t="s">
        <v>8553</v>
      </c>
      <c r="G1349" s="1" t="s">
        <v>8554</v>
      </c>
    </row>
    <row r="1350" spans="1:7" x14ac:dyDescent="0.15">
      <c r="A1350" s="1">
        <v>2016</v>
      </c>
      <c r="B1350" s="1" t="s">
        <v>14275</v>
      </c>
      <c r="C1350" s="1" t="s">
        <v>14324</v>
      </c>
      <c r="F1350" s="1" t="s">
        <v>8555</v>
      </c>
      <c r="G1350" s="1" t="s">
        <v>8556</v>
      </c>
    </row>
    <row r="1351" spans="1:7" x14ac:dyDescent="0.15">
      <c r="A1351" s="1">
        <v>2017</v>
      </c>
      <c r="B1351" s="1" t="s">
        <v>14275</v>
      </c>
      <c r="C1351" s="1" t="s">
        <v>14328</v>
      </c>
      <c r="F1351" s="1" t="s">
        <v>8557</v>
      </c>
      <c r="G1351" s="1" t="s">
        <v>8558</v>
      </c>
    </row>
    <row r="1352" spans="1:7" x14ac:dyDescent="0.15">
      <c r="A1352" s="1">
        <v>2018</v>
      </c>
      <c r="B1352" s="1" t="s">
        <v>14275</v>
      </c>
      <c r="C1352" s="1" t="s">
        <v>14332</v>
      </c>
      <c r="F1352" s="1" t="s">
        <v>8559</v>
      </c>
      <c r="G1352" s="1" t="s">
        <v>8560</v>
      </c>
    </row>
    <row r="1353" spans="1:7" x14ac:dyDescent="0.15">
      <c r="A1353" s="1">
        <v>2019</v>
      </c>
      <c r="B1353" s="1" t="s">
        <v>14275</v>
      </c>
      <c r="C1353" s="1" t="s">
        <v>8561</v>
      </c>
      <c r="F1353" s="1" t="s">
        <v>8562</v>
      </c>
      <c r="G1353" s="1" t="s">
        <v>8563</v>
      </c>
    </row>
    <row r="1354" spans="1:7" x14ac:dyDescent="0.15">
      <c r="A1354" s="1">
        <v>2020</v>
      </c>
      <c r="B1354" s="1" t="s">
        <v>14275</v>
      </c>
      <c r="C1354" s="1" t="s">
        <v>14340</v>
      </c>
      <c r="D1354" s="1" t="s">
        <v>12593</v>
      </c>
      <c r="F1354" s="1" t="s">
        <v>8564</v>
      </c>
      <c r="G1354" s="1" t="s">
        <v>8565</v>
      </c>
    </row>
    <row r="1355" spans="1:7" x14ac:dyDescent="0.15">
      <c r="A1355" s="1">
        <v>2021</v>
      </c>
      <c r="B1355" s="1" t="s">
        <v>14275</v>
      </c>
      <c r="C1355" s="1" t="s">
        <v>14344</v>
      </c>
      <c r="F1355" s="1" t="s">
        <v>8566</v>
      </c>
      <c r="G1355" s="1" t="s">
        <v>8567</v>
      </c>
    </row>
    <row r="1356" spans="1:7" x14ac:dyDescent="0.15">
      <c r="A1356" s="1">
        <v>2022</v>
      </c>
      <c r="B1356" s="1" t="s">
        <v>14275</v>
      </c>
      <c r="C1356" s="1" t="s">
        <v>14348</v>
      </c>
      <c r="F1356" s="1" t="s">
        <v>8568</v>
      </c>
      <c r="G1356" s="1" t="s">
        <v>8569</v>
      </c>
    </row>
    <row r="1357" spans="1:7" x14ac:dyDescent="0.15">
      <c r="A1357" s="1">
        <v>2023</v>
      </c>
      <c r="B1357" s="1" t="s">
        <v>14275</v>
      </c>
      <c r="C1357" s="1" t="s">
        <v>14352</v>
      </c>
      <c r="F1357" s="1" t="s">
        <v>8570</v>
      </c>
      <c r="G1357" s="1" t="s">
        <v>8571</v>
      </c>
    </row>
    <row r="1358" spans="1:7" x14ac:dyDescent="0.15">
      <c r="A1358" s="1">
        <v>2024</v>
      </c>
      <c r="B1358" s="1" t="s">
        <v>14275</v>
      </c>
      <c r="C1358" s="1" t="s">
        <v>14356</v>
      </c>
      <c r="F1358" s="1" t="s">
        <v>8572</v>
      </c>
      <c r="G1358" s="1" t="s">
        <v>8573</v>
      </c>
    </row>
    <row r="1359" spans="1:7" x14ac:dyDescent="0.15">
      <c r="A1359" s="1">
        <v>2025</v>
      </c>
      <c r="B1359" s="1" t="s">
        <v>14275</v>
      </c>
      <c r="C1359" s="1" t="s">
        <v>8574</v>
      </c>
      <c r="D1359" s="1" t="s">
        <v>12625</v>
      </c>
      <c r="F1359" s="1" t="s">
        <v>8575</v>
      </c>
      <c r="G1359" s="1" t="s">
        <v>8576</v>
      </c>
    </row>
    <row r="1360" spans="1:7" x14ac:dyDescent="0.15">
      <c r="A1360" s="1">
        <v>2026</v>
      </c>
      <c r="B1360" s="1" t="s">
        <v>14275</v>
      </c>
      <c r="C1360" s="1" t="s">
        <v>14360</v>
      </c>
      <c r="F1360" s="1" t="s">
        <v>8577</v>
      </c>
      <c r="G1360" s="1" t="s">
        <v>8578</v>
      </c>
    </row>
    <row r="1361" spans="1:7" x14ac:dyDescent="0.15">
      <c r="A1361" s="1">
        <v>2027</v>
      </c>
      <c r="B1361" s="1" t="s">
        <v>14275</v>
      </c>
      <c r="C1361" s="1" t="s">
        <v>8579</v>
      </c>
      <c r="D1361" s="1" t="s">
        <v>12593</v>
      </c>
      <c r="F1361" s="1" t="s">
        <v>8580</v>
      </c>
      <c r="G1361" s="1" t="s">
        <v>12595</v>
      </c>
    </row>
    <row r="1362" spans="1:7" x14ac:dyDescent="0.15">
      <c r="A1362" s="1">
        <v>2028</v>
      </c>
      <c r="B1362" s="1" t="s">
        <v>14275</v>
      </c>
      <c r="C1362" s="1" t="s">
        <v>14368</v>
      </c>
      <c r="D1362" s="1" t="s">
        <v>12593</v>
      </c>
      <c r="F1362" s="1" t="s">
        <v>8581</v>
      </c>
      <c r="G1362" s="1" t="s">
        <v>8582</v>
      </c>
    </row>
    <row r="1363" spans="1:7" x14ac:dyDescent="0.15">
      <c r="A1363" s="1">
        <v>2029</v>
      </c>
      <c r="B1363" s="1" t="s">
        <v>14275</v>
      </c>
      <c r="C1363" s="1" t="s">
        <v>11622</v>
      </c>
      <c r="F1363" s="1" t="s">
        <v>11623</v>
      </c>
      <c r="G1363" s="1" t="s">
        <v>8583</v>
      </c>
    </row>
    <row r="1364" spans="1:7" x14ac:dyDescent="0.15">
      <c r="A1364" s="1">
        <v>2030</v>
      </c>
      <c r="B1364" s="1" t="s">
        <v>14275</v>
      </c>
      <c r="C1364" s="1" t="s">
        <v>14376</v>
      </c>
      <c r="F1364" s="1" t="s">
        <v>8584</v>
      </c>
      <c r="G1364" s="1" t="s">
        <v>8585</v>
      </c>
    </row>
    <row r="1365" spans="1:7" x14ac:dyDescent="0.15">
      <c r="A1365" s="1">
        <v>2031</v>
      </c>
      <c r="B1365" s="1" t="s">
        <v>14275</v>
      </c>
      <c r="C1365" s="1" t="s">
        <v>14380</v>
      </c>
      <c r="F1365" s="1" t="s">
        <v>10108</v>
      </c>
      <c r="G1365" s="1" t="s">
        <v>8586</v>
      </c>
    </row>
    <row r="1366" spans="1:7" x14ac:dyDescent="0.15">
      <c r="A1366" s="1">
        <v>2033</v>
      </c>
      <c r="B1366" s="1" t="s">
        <v>14275</v>
      </c>
      <c r="C1366" s="1" t="s">
        <v>14384</v>
      </c>
      <c r="F1366" s="1" t="s">
        <v>8587</v>
      </c>
      <c r="G1366" s="1" t="s">
        <v>8588</v>
      </c>
    </row>
    <row r="1367" spans="1:7" x14ac:dyDescent="0.15">
      <c r="A1367" s="1">
        <v>2035</v>
      </c>
      <c r="B1367" s="1" t="s">
        <v>14275</v>
      </c>
      <c r="C1367" s="1" t="s">
        <v>14388</v>
      </c>
      <c r="F1367" s="1" t="s">
        <v>8589</v>
      </c>
      <c r="G1367" s="1" t="s">
        <v>8590</v>
      </c>
    </row>
    <row r="1368" spans="1:7" x14ac:dyDescent="0.15">
      <c r="A1368" s="1">
        <v>2036</v>
      </c>
      <c r="B1368" s="1" t="s">
        <v>14275</v>
      </c>
      <c r="C1368" s="1" t="s">
        <v>14392</v>
      </c>
      <c r="F1368" s="1" t="s">
        <v>8591</v>
      </c>
      <c r="G1368" s="1" t="s">
        <v>8592</v>
      </c>
    </row>
    <row r="1369" spans="1:7" x14ac:dyDescent="0.15">
      <c r="A1369" s="1">
        <v>2037</v>
      </c>
      <c r="B1369" s="1" t="s">
        <v>14275</v>
      </c>
      <c r="C1369" s="1" t="s">
        <v>14396</v>
      </c>
      <c r="F1369" s="1" t="s">
        <v>8593</v>
      </c>
      <c r="G1369" s="1" t="s">
        <v>8594</v>
      </c>
    </row>
    <row r="1370" spans="1:7" x14ac:dyDescent="0.15">
      <c r="A1370" s="1">
        <v>2038</v>
      </c>
      <c r="B1370" s="1" t="s">
        <v>14275</v>
      </c>
      <c r="C1370" s="1" t="s">
        <v>14400</v>
      </c>
      <c r="F1370" s="1" t="s">
        <v>10105</v>
      </c>
      <c r="G1370" s="1" t="s">
        <v>8595</v>
      </c>
    </row>
    <row r="1371" spans="1:7" x14ac:dyDescent="0.15">
      <c r="A1371" s="1">
        <v>2040</v>
      </c>
      <c r="B1371" s="1" t="s">
        <v>14275</v>
      </c>
      <c r="C1371" s="1" t="s">
        <v>14404</v>
      </c>
      <c r="F1371" s="1" t="s">
        <v>8596</v>
      </c>
      <c r="G1371" s="1" t="s">
        <v>8597</v>
      </c>
    </row>
    <row r="1372" spans="1:7" x14ac:dyDescent="0.15">
      <c r="A1372" s="1">
        <v>2041</v>
      </c>
      <c r="B1372" s="1" t="s">
        <v>14275</v>
      </c>
      <c r="C1372" s="1" t="s">
        <v>14408</v>
      </c>
      <c r="F1372" s="1" t="s">
        <v>8598</v>
      </c>
      <c r="G1372" s="1" t="s">
        <v>8599</v>
      </c>
    </row>
    <row r="1373" spans="1:7" x14ac:dyDescent="0.15">
      <c r="A1373" s="1">
        <v>2042</v>
      </c>
      <c r="B1373" s="1" t="s">
        <v>14275</v>
      </c>
      <c r="C1373" s="1" t="s">
        <v>8600</v>
      </c>
      <c r="D1373" s="1" t="s">
        <v>12625</v>
      </c>
      <c r="F1373" s="1" t="s">
        <v>8601</v>
      </c>
      <c r="G1373" s="1" t="s">
        <v>8602</v>
      </c>
    </row>
    <row r="1374" spans="1:7" x14ac:dyDescent="0.15">
      <c r="A1374" s="1">
        <v>2043</v>
      </c>
      <c r="B1374" s="1" t="s">
        <v>14275</v>
      </c>
      <c r="C1374" s="1" t="s">
        <v>8603</v>
      </c>
      <c r="D1374" s="1" t="s">
        <v>12625</v>
      </c>
      <c r="F1374" s="1" t="s">
        <v>8604</v>
      </c>
      <c r="G1374" s="1" t="s">
        <v>8605</v>
      </c>
    </row>
    <row r="1375" spans="1:7" x14ac:dyDescent="0.15">
      <c r="A1375" s="1">
        <v>2044</v>
      </c>
      <c r="B1375" s="1" t="s">
        <v>14275</v>
      </c>
      <c r="C1375" s="1" t="s">
        <v>8606</v>
      </c>
      <c r="D1375" s="1" t="s">
        <v>12625</v>
      </c>
      <c r="F1375" s="1" t="s">
        <v>8607</v>
      </c>
      <c r="G1375" s="1" t="s">
        <v>8608</v>
      </c>
    </row>
    <row r="1376" spans="1:7" x14ac:dyDescent="0.15">
      <c r="A1376" s="1">
        <v>2045</v>
      </c>
      <c r="B1376" s="1" t="s">
        <v>14275</v>
      </c>
      <c r="C1376" s="1" t="s">
        <v>8609</v>
      </c>
      <c r="D1376" s="1" t="s">
        <v>12625</v>
      </c>
      <c r="F1376" s="1" t="s">
        <v>8610</v>
      </c>
      <c r="G1376" s="1" t="s">
        <v>8611</v>
      </c>
    </row>
    <row r="1377" spans="1:7" x14ac:dyDescent="0.15">
      <c r="A1377" s="1">
        <v>2046</v>
      </c>
      <c r="B1377" s="1" t="s">
        <v>14275</v>
      </c>
      <c r="C1377" s="1" t="s">
        <v>8612</v>
      </c>
      <c r="D1377" s="1" t="s">
        <v>11582</v>
      </c>
      <c r="F1377" s="1" t="s">
        <v>8613</v>
      </c>
      <c r="G1377" s="1" t="s">
        <v>8614</v>
      </c>
    </row>
    <row r="1378" spans="1:7" x14ac:dyDescent="0.15">
      <c r="A1378" s="1">
        <v>2047</v>
      </c>
      <c r="B1378" s="1" t="s">
        <v>14275</v>
      </c>
      <c r="C1378" s="1" t="s">
        <v>14412</v>
      </c>
      <c r="F1378" s="1" t="s">
        <v>8615</v>
      </c>
      <c r="G1378" s="1" t="s">
        <v>8616</v>
      </c>
    </row>
    <row r="1379" spans="1:7" x14ac:dyDescent="0.15">
      <c r="A1379" s="1">
        <v>2048</v>
      </c>
      <c r="B1379" s="1" t="s">
        <v>14275</v>
      </c>
      <c r="C1379" s="1" t="s">
        <v>8617</v>
      </c>
      <c r="F1379" s="1" t="s">
        <v>8618</v>
      </c>
      <c r="G1379" s="1" t="s">
        <v>8619</v>
      </c>
    </row>
    <row r="1380" spans="1:7" x14ac:dyDescent="0.15">
      <c r="A1380" s="1">
        <v>2049</v>
      </c>
      <c r="B1380" s="1" t="s">
        <v>14275</v>
      </c>
      <c r="C1380" s="1" t="s">
        <v>14420</v>
      </c>
      <c r="F1380" s="1" t="s">
        <v>8618</v>
      </c>
      <c r="G1380" s="1" t="s">
        <v>8620</v>
      </c>
    </row>
    <row r="1381" spans="1:7" x14ac:dyDescent="0.15">
      <c r="A1381" s="1">
        <v>2050</v>
      </c>
      <c r="B1381" s="1" t="s">
        <v>14422</v>
      </c>
      <c r="C1381" s="1" t="s">
        <v>10699</v>
      </c>
      <c r="F1381" s="1" t="s">
        <v>10700</v>
      </c>
      <c r="G1381" s="1" t="s">
        <v>8621</v>
      </c>
    </row>
    <row r="1382" spans="1:7" x14ac:dyDescent="0.15">
      <c r="A1382" s="1">
        <v>2051</v>
      </c>
      <c r="B1382" s="1" t="s">
        <v>14422</v>
      </c>
      <c r="C1382" s="1" t="s">
        <v>8622</v>
      </c>
      <c r="D1382" s="1" t="s">
        <v>12625</v>
      </c>
      <c r="F1382" s="1" t="s">
        <v>8623</v>
      </c>
      <c r="G1382" s="1" t="s">
        <v>8624</v>
      </c>
    </row>
    <row r="1383" spans="1:7" x14ac:dyDescent="0.15">
      <c r="A1383" s="1">
        <v>2052</v>
      </c>
      <c r="B1383" s="1" t="s">
        <v>14422</v>
      </c>
      <c r="C1383" s="1" t="s">
        <v>14423</v>
      </c>
      <c r="D1383" s="1" t="s">
        <v>12625</v>
      </c>
      <c r="F1383" s="1" t="s">
        <v>8623</v>
      </c>
      <c r="G1383" s="1" t="s">
        <v>8625</v>
      </c>
    </row>
    <row r="1384" spans="1:7" x14ac:dyDescent="0.15">
      <c r="A1384" s="1">
        <v>2053</v>
      </c>
      <c r="B1384" s="1" t="s">
        <v>14422</v>
      </c>
      <c r="C1384" s="1" t="s">
        <v>8626</v>
      </c>
      <c r="D1384" s="1" t="s">
        <v>12593</v>
      </c>
      <c r="F1384" s="1" t="s">
        <v>8627</v>
      </c>
      <c r="G1384" s="1" t="s">
        <v>12595</v>
      </c>
    </row>
    <row r="1385" spans="1:7" x14ac:dyDescent="0.15">
      <c r="A1385" s="1">
        <v>2054</v>
      </c>
      <c r="B1385" s="1" t="s">
        <v>14422</v>
      </c>
      <c r="C1385" s="1" t="s">
        <v>14431</v>
      </c>
      <c r="D1385" s="1" t="s">
        <v>11582</v>
      </c>
      <c r="F1385" s="1" t="s">
        <v>8628</v>
      </c>
      <c r="G1385" s="1" t="s">
        <v>8629</v>
      </c>
    </row>
    <row r="1386" spans="1:7" x14ac:dyDescent="0.15">
      <c r="A1386" s="1">
        <v>2055</v>
      </c>
      <c r="B1386" s="1" t="s">
        <v>14422</v>
      </c>
      <c r="C1386" s="1" t="s">
        <v>14435</v>
      </c>
      <c r="D1386" s="1" t="s">
        <v>11582</v>
      </c>
      <c r="F1386" s="1" t="s">
        <v>12665</v>
      </c>
      <c r="G1386" s="1" t="s">
        <v>8630</v>
      </c>
    </row>
    <row r="1387" spans="1:7" x14ac:dyDescent="0.15">
      <c r="A1387" s="1">
        <v>2056</v>
      </c>
      <c r="B1387" s="1" t="s">
        <v>14422</v>
      </c>
      <c r="C1387" s="1" t="s">
        <v>14439</v>
      </c>
      <c r="D1387" s="1" t="s">
        <v>11582</v>
      </c>
      <c r="F1387" s="1" t="s">
        <v>8631</v>
      </c>
      <c r="G1387" s="1" t="s">
        <v>8632</v>
      </c>
    </row>
    <row r="1388" spans="1:7" x14ac:dyDescent="0.15">
      <c r="A1388" s="1">
        <v>2057</v>
      </c>
      <c r="B1388" s="1" t="s">
        <v>14422</v>
      </c>
      <c r="C1388" s="1" t="s">
        <v>14443</v>
      </c>
      <c r="D1388" s="1" t="s">
        <v>11582</v>
      </c>
      <c r="F1388" s="1" t="s">
        <v>8633</v>
      </c>
      <c r="G1388" s="1" t="s">
        <v>8634</v>
      </c>
    </row>
    <row r="1389" spans="1:7" x14ac:dyDescent="0.15">
      <c r="A1389" s="1">
        <v>2058</v>
      </c>
      <c r="B1389" s="1" t="s">
        <v>14422</v>
      </c>
      <c r="C1389" s="1" t="s">
        <v>14447</v>
      </c>
      <c r="D1389" s="1" t="s">
        <v>11582</v>
      </c>
      <c r="F1389" s="1" t="s">
        <v>8635</v>
      </c>
      <c r="G1389" s="1" t="s">
        <v>8636</v>
      </c>
    </row>
    <row r="1390" spans="1:7" x14ac:dyDescent="0.15">
      <c r="A1390" s="1">
        <v>2059</v>
      </c>
      <c r="B1390" s="1" t="s">
        <v>14422</v>
      </c>
      <c r="C1390" s="1" t="s">
        <v>14451</v>
      </c>
      <c r="D1390" s="1" t="s">
        <v>11582</v>
      </c>
      <c r="F1390" s="1" t="s">
        <v>8637</v>
      </c>
      <c r="G1390" s="1" t="s">
        <v>8638</v>
      </c>
    </row>
    <row r="1391" spans="1:7" x14ac:dyDescent="0.15">
      <c r="A1391" s="1">
        <v>2060</v>
      </c>
      <c r="B1391" s="1" t="s">
        <v>14422</v>
      </c>
      <c r="C1391" s="1" t="s">
        <v>8639</v>
      </c>
      <c r="D1391" s="1" t="s">
        <v>12593</v>
      </c>
      <c r="F1391" s="1" t="s">
        <v>8640</v>
      </c>
      <c r="G1391" s="1" t="s">
        <v>12595</v>
      </c>
    </row>
    <row r="1392" spans="1:7" x14ac:dyDescent="0.15">
      <c r="A1392" s="1">
        <v>2061</v>
      </c>
      <c r="B1392" s="1" t="s">
        <v>14422</v>
      </c>
      <c r="C1392" s="1" t="s">
        <v>14459</v>
      </c>
      <c r="D1392" s="1" t="s">
        <v>11582</v>
      </c>
      <c r="F1392" s="1" t="s">
        <v>8641</v>
      </c>
      <c r="G1392" s="1" t="s">
        <v>8642</v>
      </c>
    </row>
    <row r="1393" spans="1:7" x14ac:dyDescent="0.15">
      <c r="A1393" s="1">
        <v>2062</v>
      </c>
      <c r="B1393" s="1" t="s">
        <v>14422</v>
      </c>
      <c r="C1393" s="1" t="s">
        <v>14463</v>
      </c>
      <c r="D1393" s="1" t="s">
        <v>12593</v>
      </c>
      <c r="F1393" s="1" t="s">
        <v>8643</v>
      </c>
      <c r="G1393" s="1" t="s">
        <v>8644</v>
      </c>
    </row>
    <row r="1394" spans="1:7" x14ac:dyDescent="0.15">
      <c r="A1394" s="1">
        <v>2063</v>
      </c>
      <c r="B1394" s="1" t="s">
        <v>14422</v>
      </c>
      <c r="C1394" s="1" t="s">
        <v>14467</v>
      </c>
      <c r="D1394" s="1" t="s">
        <v>11582</v>
      </c>
      <c r="F1394" s="1" t="s">
        <v>8645</v>
      </c>
      <c r="G1394" s="1" t="s">
        <v>8646</v>
      </c>
    </row>
    <row r="1395" spans="1:7" x14ac:dyDescent="0.15">
      <c r="A1395" s="1">
        <v>2064</v>
      </c>
      <c r="B1395" s="1" t="s">
        <v>14422</v>
      </c>
      <c r="C1395" s="1" t="s">
        <v>14471</v>
      </c>
      <c r="D1395" s="1" t="s">
        <v>11582</v>
      </c>
      <c r="F1395" s="1" t="s">
        <v>11130</v>
      </c>
      <c r="G1395" s="1" t="s">
        <v>8647</v>
      </c>
    </row>
    <row r="1396" spans="1:7" x14ac:dyDescent="0.15">
      <c r="A1396" s="1">
        <v>2065</v>
      </c>
      <c r="B1396" s="1" t="s">
        <v>14422</v>
      </c>
      <c r="C1396" s="1" t="s">
        <v>14475</v>
      </c>
      <c r="D1396" s="1" t="s">
        <v>11582</v>
      </c>
      <c r="F1396" s="1" t="s">
        <v>11133</v>
      </c>
      <c r="G1396" s="1" t="s">
        <v>8648</v>
      </c>
    </row>
    <row r="1397" spans="1:7" x14ac:dyDescent="0.15">
      <c r="A1397" s="1">
        <v>2066</v>
      </c>
      <c r="B1397" s="1" t="s">
        <v>14422</v>
      </c>
      <c r="C1397" s="1" t="s">
        <v>14479</v>
      </c>
      <c r="D1397" s="1" t="s">
        <v>11582</v>
      </c>
      <c r="F1397" s="1" t="s">
        <v>8649</v>
      </c>
      <c r="G1397" s="1" t="s">
        <v>8650</v>
      </c>
    </row>
    <row r="1398" spans="1:7" x14ac:dyDescent="0.15">
      <c r="A1398" s="1">
        <v>2067</v>
      </c>
      <c r="B1398" s="1" t="s">
        <v>14422</v>
      </c>
      <c r="C1398" s="1" t="s">
        <v>14483</v>
      </c>
      <c r="D1398" s="1" t="s">
        <v>12593</v>
      </c>
      <c r="F1398" s="1" t="s">
        <v>8651</v>
      </c>
      <c r="G1398" s="1" t="s">
        <v>8652</v>
      </c>
    </row>
    <row r="1399" spans="1:7" x14ac:dyDescent="0.15">
      <c r="A1399" s="1">
        <v>2068</v>
      </c>
      <c r="B1399" s="1" t="s">
        <v>14422</v>
      </c>
      <c r="C1399" s="1" t="s">
        <v>8653</v>
      </c>
      <c r="F1399" s="1" t="s">
        <v>8654</v>
      </c>
      <c r="G1399" s="1" t="s">
        <v>8655</v>
      </c>
    </row>
    <row r="1400" spans="1:7" x14ac:dyDescent="0.15">
      <c r="A1400" s="1">
        <v>2069</v>
      </c>
      <c r="B1400" s="1" t="s">
        <v>14422</v>
      </c>
      <c r="C1400" s="1" t="s">
        <v>14491</v>
      </c>
      <c r="F1400" s="1" t="s">
        <v>8656</v>
      </c>
      <c r="G1400" s="1" t="s">
        <v>8657</v>
      </c>
    </row>
    <row r="1401" spans="1:7" x14ac:dyDescent="0.15">
      <c r="A1401" s="1">
        <v>2070</v>
      </c>
      <c r="B1401" s="1" t="s">
        <v>14422</v>
      </c>
      <c r="C1401" s="1" t="s">
        <v>14495</v>
      </c>
      <c r="F1401" s="1" t="s">
        <v>8658</v>
      </c>
      <c r="G1401" s="1" t="s">
        <v>8659</v>
      </c>
    </row>
    <row r="1402" spans="1:7" x14ac:dyDescent="0.15">
      <c r="A1402" s="1">
        <v>2071</v>
      </c>
      <c r="B1402" s="1" t="s">
        <v>14422</v>
      </c>
      <c r="C1402" s="1" t="s">
        <v>14499</v>
      </c>
      <c r="F1402" s="1" t="s">
        <v>8660</v>
      </c>
      <c r="G1402" s="1" t="s">
        <v>8661</v>
      </c>
    </row>
    <row r="1403" spans="1:7" x14ac:dyDescent="0.15">
      <c r="A1403" s="1">
        <v>2072</v>
      </c>
      <c r="B1403" s="1" t="s">
        <v>14422</v>
      </c>
      <c r="C1403" s="1" t="s">
        <v>8662</v>
      </c>
      <c r="F1403" s="1" t="s">
        <v>8663</v>
      </c>
      <c r="G1403" s="1" t="s">
        <v>8664</v>
      </c>
    </row>
    <row r="1404" spans="1:7" x14ac:dyDescent="0.15">
      <c r="A1404" s="1">
        <v>2073</v>
      </c>
      <c r="B1404" s="1" t="s">
        <v>14422</v>
      </c>
      <c r="C1404" s="1" t="s">
        <v>14507</v>
      </c>
      <c r="F1404" s="1" t="s">
        <v>8665</v>
      </c>
      <c r="G1404" s="1" t="s">
        <v>8666</v>
      </c>
    </row>
    <row r="1405" spans="1:7" x14ac:dyDescent="0.15">
      <c r="A1405" s="1">
        <v>2074</v>
      </c>
      <c r="B1405" s="1" t="s">
        <v>14422</v>
      </c>
      <c r="C1405" s="1" t="s">
        <v>14510</v>
      </c>
      <c r="F1405" s="1" t="s">
        <v>8667</v>
      </c>
      <c r="G1405" s="1" t="s">
        <v>8668</v>
      </c>
    </row>
    <row r="1406" spans="1:7" x14ac:dyDescent="0.15">
      <c r="A1406" s="1">
        <v>2075</v>
      </c>
      <c r="B1406" s="1" t="s">
        <v>14422</v>
      </c>
      <c r="C1406" s="1" t="s">
        <v>14514</v>
      </c>
      <c r="F1406" s="1" t="s">
        <v>8669</v>
      </c>
      <c r="G1406" s="1" t="s">
        <v>8670</v>
      </c>
    </row>
    <row r="1407" spans="1:7" x14ac:dyDescent="0.15">
      <c r="A1407" s="1">
        <v>2076</v>
      </c>
      <c r="B1407" s="1" t="s">
        <v>14422</v>
      </c>
      <c r="C1407" s="1" t="s">
        <v>14518</v>
      </c>
      <c r="F1407" s="1" t="s">
        <v>8671</v>
      </c>
      <c r="G1407" s="1" t="s">
        <v>8672</v>
      </c>
    </row>
    <row r="1408" spans="1:7" x14ac:dyDescent="0.15">
      <c r="A1408" s="1">
        <v>2077</v>
      </c>
      <c r="B1408" s="1" t="s">
        <v>14422</v>
      </c>
      <c r="C1408" s="1" t="s">
        <v>14522</v>
      </c>
      <c r="F1408" s="1" t="s">
        <v>8673</v>
      </c>
      <c r="G1408" s="1" t="s">
        <v>8674</v>
      </c>
    </row>
    <row r="1409" spans="1:7" x14ac:dyDescent="0.15">
      <c r="A1409" s="1">
        <v>2078</v>
      </c>
      <c r="B1409" s="1" t="s">
        <v>14422</v>
      </c>
      <c r="C1409" s="1" t="s">
        <v>8675</v>
      </c>
      <c r="D1409" s="1" t="s">
        <v>12625</v>
      </c>
      <c r="F1409" s="1" t="s">
        <v>8676</v>
      </c>
      <c r="G1409" s="1" t="s">
        <v>8677</v>
      </c>
    </row>
    <row r="1410" spans="1:7" x14ac:dyDescent="0.15">
      <c r="A1410" s="1">
        <v>2079</v>
      </c>
      <c r="B1410" s="1" t="s">
        <v>14422</v>
      </c>
      <c r="C1410" s="1" t="s">
        <v>14526</v>
      </c>
      <c r="F1410" s="1" t="s">
        <v>8678</v>
      </c>
      <c r="G1410" s="1" t="s">
        <v>8679</v>
      </c>
    </row>
    <row r="1411" spans="1:7" x14ac:dyDescent="0.15">
      <c r="A1411" s="1">
        <v>2080</v>
      </c>
      <c r="B1411" s="1" t="s">
        <v>14422</v>
      </c>
      <c r="C1411" s="1" t="s">
        <v>8680</v>
      </c>
      <c r="F1411" s="1" t="s">
        <v>8681</v>
      </c>
      <c r="G1411" s="1" t="s">
        <v>8682</v>
      </c>
    </row>
    <row r="1412" spans="1:7" x14ac:dyDescent="0.15">
      <c r="A1412" s="1">
        <v>2081</v>
      </c>
      <c r="B1412" s="1" t="s">
        <v>14422</v>
      </c>
      <c r="C1412" s="1" t="s">
        <v>14534</v>
      </c>
      <c r="F1412" s="1" t="s">
        <v>8683</v>
      </c>
      <c r="G1412" s="1" t="s">
        <v>8684</v>
      </c>
    </row>
    <row r="1413" spans="1:7" x14ac:dyDescent="0.15">
      <c r="A1413" s="1">
        <v>2082</v>
      </c>
      <c r="B1413" s="1" t="s">
        <v>14422</v>
      </c>
      <c r="C1413" s="1" t="s">
        <v>14538</v>
      </c>
      <c r="F1413" s="1" t="s">
        <v>8685</v>
      </c>
      <c r="G1413" s="1" t="s">
        <v>8686</v>
      </c>
    </row>
    <row r="1414" spans="1:7" x14ac:dyDescent="0.15">
      <c r="A1414" s="1">
        <v>2083</v>
      </c>
      <c r="B1414" s="1" t="s">
        <v>14422</v>
      </c>
      <c r="C1414" s="1" t="s">
        <v>14542</v>
      </c>
      <c r="F1414" s="1" t="s">
        <v>8687</v>
      </c>
      <c r="G1414" s="1" t="s">
        <v>8688</v>
      </c>
    </row>
    <row r="1415" spans="1:7" x14ac:dyDescent="0.15">
      <c r="A1415" s="1">
        <v>2084</v>
      </c>
      <c r="B1415" s="1" t="s">
        <v>14422</v>
      </c>
      <c r="C1415" s="1" t="s">
        <v>14546</v>
      </c>
      <c r="F1415" s="1" t="s">
        <v>8689</v>
      </c>
      <c r="G1415" s="1" t="s">
        <v>8690</v>
      </c>
    </row>
    <row r="1416" spans="1:7" x14ac:dyDescent="0.15">
      <c r="A1416" s="1">
        <v>2085</v>
      </c>
      <c r="B1416" s="1" t="s">
        <v>14422</v>
      </c>
      <c r="C1416" s="1" t="s">
        <v>8691</v>
      </c>
      <c r="D1416" s="1" t="s">
        <v>12625</v>
      </c>
      <c r="F1416" s="1" t="s">
        <v>8692</v>
      </c>
      <c r="G1416" s="1" t="s">
        <v>8693</v>
      </c>
    </row>
    <row r="1417" spans="1:7" x14ac:dyDescent="0.15">
      <c r="A1417" s="1">
        <v>2086</v>
      </c>
      <c r="B1417" s="1" t="s">
        <v>14422</v>
      </c>
      <c r="C1417" s="1" t="s">
        <v>8694</v>
      </c>
      <c r="D1417" s="1" t="s">
        <v>12625</v>
      </c>
      <c r="F1417" s="1" t="s">
        <v>8692</v>
      </c>
      <c r="G1417" s="1" t="s">
        <v>8695</v>
      </c>
    </row>
    <row r="1418" spans="1:7" x14ac:dyDescent="0.15">
      <c r="A1418" s="1">
        <v>2087</v>
      </c>
      <c r="B1418" s="1" t="s">
        <v>14422</v>
      </c>
      <c r="C1418" s="1" t="s">
        <v>8696</v>
      </c>
      <c r="F1418" s="1" t="s">
        <v>8697</v>
      </c>
      <c r="G1418" s="1" t="s">
        <v>8698</v>
      </c>
    </row>
    <row r="1419" spans="1:7" x14ac:dyDescent="0.15">
      <c r="A1419" s="1">
        <v>2088</v>
      </c>
      <c r="B1419" s="1" t="s">
        <v>14422</v>
      </c>
      <c r="C1419" s="1" t="s">
        <v>14554</v>
      </c>
      <c r="F1419" s="1" t="s">
        <v>8697</v>
      </c>
      <c r="G1419" s="1" t="s">
        <v>8699</v>
      </c>
    </row>
    <row r="1420" spans="1:7" x14ac:dyDescent="0.15">
      <c r="A1420" s="1">
        <v>2089</v>
      </c>
      <c r="B1420" s="1" t="s">
        <v>14556</v>
      </c>
      <c r="C1420" s="1" t="s">
        <v>11618</v>
      </c>
      <c r="F1420" s="1" t="s">
        <v>10701</v>
      </c>
      <c r="G1420" s="1" t="s">
        <v>8700</v>
      </c>
    </row>
    <row r="1421" spans="1:7" x14ac:dyDescent="0.15">
      <c r="A1421" s="1">
        <v>2090</v>
      </c>
      <c r="B1421" s="1" t="s">
        <v>14556</v>
      </c>
      <c r="C1421" s="1" t="s">
        <v>8701</v>
      </c>
      <c r="F1421" s="1" t="s">
        <v>8702</v>
      </c>
      <c r="G1421" s="1" t="s">
        <v>8703</v>
      </c>
    </row>
    <row r="1422" spans="1:7" x14ac:dyDescent="0.15">
      <c r="A1422" s="1">
        <v>2091</v>
      </c>
      <c r="B1422" s="1" t="s">
        <v>14556</v>
      </c>
      <c r="C1422" s="1" t="s">
        <v>14565</v>
      </c>
      <c r="F1422" s="1" t="s">
        <v>8704</v>
      </c>
      <c r="G1422" s="1" t="s">
        <v>8705</v>
      </c>
    </row>
    <row r="1423" spans="1:7" x14ac:dyDescent="0.15">
      <c r="A1423" s="1">
        <v>2092</v>
      </c>
      <c r="B1423" s="1" t="s">
        <v>14556</v>
      </c>
      <c r="C1423" s="1" t="s">
        <v>14569</v>
      </c>
      <c r="F1423" s="1" t="s">
        <v>8706</v>
      </c>
      <c r="G1423" s="1" t="s">
        <v>8707</v>
      </c>
    </row>
    <row r="1424" spans="1:7" x14ac:dyDescent="0.15">
      <c r="A1424" s="1">
        <v>2093</v>
      </c>
      <c r="B1424" s="1" t="s">
        <v>14556</v>
      </c>
      <c r="C1424" s="1" t="s">
        <v>14573</v>
      </c>
      <c r="F1424" s="1" t="s">
        <v>8708</v>
      </c>
      <c r="G1424" s="1" t="s">
        <v>8709</v>
      </c>
    </row>
    <row r="1425" spans="1:7" x14ac:dyDescent="0.15">
      <c r="A1425" s="1">
        <v>2094</v>
      </c>
      <c r="B1425" s="1" t="s">
        <v>14556</v>
      </c>
      <c r="C1425" s="1" t="s">
        <v>13917</v>
      </c>
      <c r="F1425" s="1" t="s">
        <v>8710</v>
      </c>
      <c r="G1425" s="1" t="s">
        <v>8711</v>
      </c>
    </row>
    <row r="1426" spans="1:7" x14ac:dyDescent="0.15">
      <c r="A1426" s="1">
        <v>2095</v>
      </c>
      <c r="B1426" s="1" t="s">
        <v>14556</v>
      </c>
      <c r="C1426" s="1" t="s">
        <v>13921</v>
      </c>
      <c r="F1426" s="1" t="s">
        <v>8712</v>
      </c>
      <c r="G1426" s="1" t="s">
        <v>8713</v>
      </c>
    </row>
    <row r="1427" spans="1:7" x14ac:dyDescent="0.15">
      <c r="A1427" s="1">
        <v>2096</v>
      </c>
      <c r="B1427" s="1" t="s">
        <v>14556</v>
      </c>
      <c r="C1427" s="1" t="s">
        <v>13925</v>
      </c>
      <c r="D1427" s="1" t="s">
        <v>11582</v>
      </c>
      <c r="F1427" s="1" t="s">
        <v>8714</v>
      </c>
      <c r="G1427" s="1" t="s">
        <v>8715</v>
      </c>
    </row>
    <row r="1428" spans="1:7" x14ac:dyDescent="0.15">
      <c r="A1428" s="1">
        <v>2097</v>
      </c>
      <c r="B1428" s="1" t="s">
        <v>14556</v>
      </c>
      <c r="C1428" s="1" t="s">
        <v>8716</v>
      </c>
      <c r="D1428" s="1" t="s">
        <v>12625</v>
      </c>
      <c r="F1428" s="1" t="s">
        <v>8717</v>
      </c>
      <c r="G1428" s="1" t="s">
        <v>8718</v>
      </c>
    </row>
    <row r="1429" spans="1:7" x14ac:dyDescent="0.15">
      <c r="A1429" s="1">
        <v>2098</v>
      </c>
      <c r="B1429" s="1" t="s">
        <v>14556</v>
      </c>
      <c r="C1429" s="1" t="s">
        <v>13929</v>
      </c>
      <c r="F1429" s="1" t="s">
        <v>8719</v>
      </c>
      <c r="G1429" s="1" t="s">
        <v>8720</v>
      </c>
    </row>
    <row r="1430" spans="1:7" x14ac:dyDescent="0.15">
      <c r="A1430" s="1">
        <v>2099</v>
      </c>
      <c r="B1430" s="1" t="s">
        <v>14556</v>
      </c>
      <c r="C1430" s="1" t="s">
        <v>8721</v>
      </c>
      <c r="F1430" s="1" t="s">
        <v>8722</v>
      </c>
      <c r="G1430" s="1" t="s">
        <v>8723</v>
      </c>
    </row>
    <row r="1431" spans="1:7" x14ac:dyDescent="0.15">
      <c r="A1431" s="1">
        <v>2100</v>
      </c>
      <c r="B1431" s="1" t="s">
        <v>14556</v>
      </c>
      <c r="C1431" s="1" t="s">
        <v>13937</v>
      </c>
      <c r="F1431" s="1" t="s">
        <v>8724</v>
      </c>
      <c r="G1431" s="1" t="s">
        <v>8725</v>
      </c>
    </row>
    <row r="1432" spans="1:7" x14ac:dyDescent="0.15">
      <c r="A1432" s="1">
        <v>2102</v>
      </c>
      <c r="B1432" s="1" t="s">
        <v>14556</v>
      </c>
      <c r="C1432" s="1" t="s">
        <v>13941</v>
      </c>
      <c r="F1432" s="1" t="s">
        <v>8726</v>
      </c>
      <c r="G1432" s="1" t="s">
        <v>8727</v>
      </c>
    </row>
    <row r="1433" spans="1:7" x14ac:dyDescent="0.15">
      <c r="A1433" s="1">
        <v>2103</v>
      </c>
      <c r="B1433" s="1" t="s">
        <v>14556</v>
      </c>
      <c r="C1433" s="1" t="s">
        <v>8728</v>
      </c>
      <c r="D1433" s="1" t="s">
        <v>12625</v>
      </c>
      <c r="F1433" s="1" t="s">
        <v>8729</v>
      </c>
      <c r="G1433" s="1" t="s">
        <v>8730</v>
      </c>
    </row>
    <row r="1434" spans="1:7" x14ac:dyDescent="0.15">
      <c r="A1434" s="1">
        <v>2104</v>
      </c>
      <c r="B1434" s="1" t="s">
        <v>14556</v>
      </c>
      <c r="C1434" s="1" t="s">
        <v>13945</v>
      </c>
      <c r="F1434" s="1" t="s">
        <v>8731</v>
      </c>
      <c r="G1434" s="1" t="s">
        <v>8732</v>
      </c>
    </row>
    <row r="1435" spans="1:7" x14ac:dyDescent="0.15">
      <c r="A1435" s="1">
        <v>2105</v>
      </c>
      <c r="B1435" s="1" t="s">
        <v>14556</v>
      </c>
      <c r="C1435" s="1" t="s">
        <v>8733</v>
      </c>
      <c r="F1435" s="1" t="s">
        <v>8734</v>
      </c>
      <c r="G1435" s="1" t="s">
        <v>8735</v>
      </c>
    </row>
    <row r="1436" spans="1:7" x14ac:dyDescent="0.15">
      <c r="A1436" s="1">
        <v>2106</v>
      </c>
      <c r="B1436" s="1" t="s">
        <v>14556</v>
      </c>
      <c r="C1436" s="1" t="s">
        <v>13953</v>
      </c>
      <c r="F1436" s="1" t="s">
        <v>12591</v>
      </c>
      <c r="G1436" s="1" t="s">
        <v>8736</v>
      </c>
    </row>
    <row r="1437" spans="1:7" x14ac:dyDescent="0.15">
      <c r="A1437" s="1">
        <v>2107</v>
      </c>
      <c r="B1437" s="1" t="s">
        <v>14556</v>
      </c>
      <c r="C1437" s="1" t="s">
        <v>13957</v>
      </c>
      <c r="F1437" s="1" t="s">
        <v>8737</v>
      </c>
      <c r="G1437" s="1" t="s">
        <v>8738</v>
      </c>
    </row>
    <row r="1438" spans="1:7" x14ac:dyDescent="0.15">
      <c r="A1438" s="1">
        <v>2108</v>
      </c>
      <c r="B1438" s="1" t="s">
        <v>14556</v>
      </c>
      <c r="C1438" s="1" t="s">
        <v>13961</v>
      </c>
      <c r="D1438" s="1" t="s">
        <v>11582</v>
      </c>
      <c r="F1438" s="1" t="s">
        <v>8739</v>
      </c>
      <c r="G1438" s="1" t="s">
        <v>8740</v>
      </c>
    </row>
    <row r="1439" spans="1:7" x14ac:dyDescent="0.15">
      <c r="A1439" s="1">
        <v>2109</v>
      </c>
      <c r="B1439" s="1" t="s">
        <v>14556</v>
      </c>
      <c r="C1439" s="1" t="s">
        <v>13965</v>
      </c>
      <c r="F1439" s="1" t="s">
        <v>8741</v>
      </c>
      <c r="G1439" s="1" t="s">
        <v>8317</v>
      </c>
    </row>
    <row r="1440" spans="1:7" x14ac:dyDescent="0.15">
      <c r="A1440" s="1">
        <v>2110</v>
      </c>
      <c r="B1440" s="1" t="s">
        <v>14556</v>
      </c>
      <c r="C1440" s="1" t="s">
        <v>13969</v>
      </c>
      <c r="F1440" s="1" t="s">
        <v>8318</v>
      </c>
      <c r="G1440" s="1" t="s">
        <v>8319</v>
      </c>
    </row>
    <row r="1441" spans="1:7" x14ac:dyDescent="0.15">
      <c r="A1441" s="1">
        <v>2111</v>
      </c>
      <c r="B1441" s="1" t="s">
        <v>14556</v>
      </c>
      <c r="C1441" s="1" t="s">
        <v>8320</v>
      </c>
      <c r="F1441" s="1" t="s">
        <v>8321</v>
      </c>
      <c r="G1441" s="1" t="s">
        <v>8322</v>
      </c>
    </row>
    <row r="1442" spans="1:7" x14ac:dyDescent="0.15">
      <c r="A1442" s="1">
        <v>2112</v>
      </c>
      <c r="B1442" s="1" t="s">
        <v>14556</v>
      </c>
      <c r="C1442" s="1" t="s">
        <v>13977</v>
      </c>
      <c r="F1442" s="1" t="s">
        <v>8321</v>
      </c>
      <c r="G1442" s="1" t="s">
        <v>8323</v>
      </c>
    </row>
    <row r="1443" spans="1:7" x14ac:dyDescent="0.15">
      <c r="A1443" s="1">
        <v>2113</v>
      </c>
      <c r="B1443" s="1" t="s">
        <v>13980</v>
      </c>
      <c r="C1443" s="1" t="s">
        <v>8324</v>
      </c>
      <c r="F1443" s="1" t="s">
        <v>10702</v>
      </c>
      <c r="G1443" s="1" t="s">
        <v>8325</v>
      </c>
    </row>
    <row r="1444" spans="1:7" x14ac:dyDescent="0.15">
      <c r="A1444" s="1">
        <v>2114</v>
      </c>
      <c r="B1444" s="1" t="s">
        <v>13980</v>
      </c>
      <c r="C1444" s="1" t="s">
        <v>8326</v>
      </c>
      <c r="F1444" s="1" t="s">
        <v>8327</v>
      </c>
      <c r="G1444" s="1" t="s">
        <v>8328</v>
      </c>
    </row>
    <row r="1445" spans="1:7" x14ac:dyDescent="0.15">
      <c r="A1445" s="1">
        <v>2115</v>
      </c>
      <c r="B1445" s="1" t="s">
        <v>13980</v>
      </c>
      <c r="C1445" s="1" t="s">
        <v>13989</v>
      </c>
      <c r="F1445" s="1" t="s">
        <v>8327</v>
      </c>
      <c r="G1445" s="1" t="s">
        <v>8329</v>
      </c>
    </row>
    <row r="1446" spans="1:7" x14ac:dyDescent="0.15">
      <c r="A1446" s="1">
        <v>2116</v>
      </c>
      <c r="B1446" s="1" t="s">
        <v>13980</v>
      </c>
      <c r="C1446" s="1" t="s">
        <v>8330</v>
      </c>
      <c r="F1446" s="1" t="s">
        <v>8331</v>
      </c>
      <c r="G1446" s="1" t="s">
        <v>8332</v>
      </c>
    </row>
    <row r="1447" spans="1:7" x14ac:dyDescent="0.15">
      <c r="A1447" s="1">
        <v>2118</v>
      </c>
      <c r="B1447" s="1" t="s">
        <v>13980</v>
      </c>
      <c r="C1447" s="1" t="s">
        <v>13996</v>
      </c>
      <c r="F1447" s="1" t="s">
        <v>8331</v>
      </c>
      <c r="G1447" s="1" t="s">
        <v>8334</v>
      </c>
    </row>
    <row r="1448" spans="1:7" x14ac:dyDescent="0.15">
      <c r="A1448" s="1">
        <v>2122</v>
      </c>
      <c r="B1448" s="1" t="s">
        <v>13980</v>
      </c>
      <c r="C1448" s="1" t="s">
        <v>8336</v>
      </c>
      <c r="F1448" s="1" t="s">
        <v>10713</v>
      </c>
      <c r="G1448" s="1" t="s">
        <v>8337</v>
      </c>
    </row>
    <row r="1449" spans="1:7" x14ac:dyDescent="0.15">
      <c r="A1449" s="1">
        <v>2123</v>
      </c>
      <c r="B1449" s="1" t="s">
        <v>13980</v>
      </c>
      <c r="C1449" s="1" t="s">
        <v>14003</v>
      </c>
      <c r="F1449" s="1" t="s">
        <v>8338</v>
      </c>
      <c r="G1449" s="1" t="s">
        <v>8339</v>
      </c>
    </row>
    <row r="1450" spans="1:7" x14ac:dyDescent="0.15">
      <c r="A1450" s="1">
        <v>2128</v>
      </c>
      <c r="B1450" s="1" t="s">
        <v>13980</v>
      </c>
      <c r="C1450" s="1" t="s">
        <v>8343</v>
      </c>
      <c r="D1450" s="1" t="s">
        <v>12625</v>
      </c>
      <c r="F1450" s="1" t="s">
        <v>8344</v>
      </c>
      <c r="G1450" s="1" t="s">
        <v>8345</v>
      </c>
    </row>
    <row r="1451" spans="1:7" x14ac:dyDescent="0.15">
      <c r="A1451" s="1">
        <v>2129</v>
      </c>
      <c r="B1451" s="1" t="s">
        <v>13980</v>
      </c>
      <c r="C1451" s="1" t="s">
        <v>8346</v>
      </c>
      <c r="D1451" s="1" t="s">
        <v>12625</v>
      </c>
      <c r="F1451" s="1" t="s">
        <v>8347</v>
      </c>
      <c r="G1451" s="1" t="s">
        <v>8348</v>
      </c>
    </row>
    <row r="1452" spans="1:7" x14ac:dyDescent="0.15">
      <c r="A1452" s="1">
        <v>2130</v>
      </c>
      <c r="B1452" s="1" t="s">
        <v>13980</v>
      </c>
      <c r="C1452" s="1" t="s">
        <v>11049</v>
      </c>
      <c r="F1452" s="1" t="s">
        <v>11050</v>
      </c>
      <c r="G1452" s="1" t="s">
        <v>8349</v>
      </c>
    </row>
    <row r="1453" spans="1:7" x14ac:dyDescent="0.15">
      <c r="A1453" s="1">
        <v>2132</v>
      </c>
      <c r="B1453" s="1" t="s">
        <v>13980</v>
      </c>
      <c r="C1453" s="1" t="s">
        <v>14010</v>
      </c>
      <c r="F1453" s="1" t="s">
        <v>8350</v>
      </c>
      <c r="G1453" s="1" t="s">
        <v>8351</v>
      </c>
    </row>
    <row r="1454" spans="1:7" x14ac:dyDescent="0.15">
      <c r="A1454" s="1">
        <v>2133</v>
      </c>
      <c r="B1454" s="1" t="s">
        <v>13980</v>
      </c>
      <c r="C1454" s="1" t="s">
        <v>14014</v>
      </c>
      <c r="F1454" s="1" t="s">
        <v>11056</v>
      </c>
      <c r="G1454" s="1" t="s">
        <v>8352</v>
      </c>
    </row>
    <row r="1455" spans="1:7" x14ac:dyDescent="0.15">
      <c r="A1455" s="1">
        <v>2134</v>
      </c>
      <c r="B1455" s="1" t="s">
        <v>13980</v>
      </c>
      <c r="C1455" s="1" t="s">
        <v>14018</v>
      </c>
      <c r="F1455" s="1" t="s">
        <v>8353</v>
      </c>
      <c r="G1455" s="1" t="s">
        <v>8354</v>
      </c>
    </row>
    <row r="1456" spans="1:7" x14ac:dyDescent="0.15">
      <c r="A1456" s="1">
        <v>2135</v>
      </c>
      <c r="B1456" s="1" t="s">
        <v>13980</v>
      </c>
      <c r="C1456" s="1" t="s">
        <v>14022</v>
      </c>
      <c r="F1456" s="1" t="s">
        <v>11037</v>
      </c>
      <c r="G1456" s="1" t="s">
        <v>8355</v>
      </c>
    </row>
    <row r="1457" spans="1:7" x14ac:dyDescent="0.15">
      <c r="A1457" s="1">
        <v>2137</v>
      </c>
      <c r="B1457" s="1" t="s">
        <v>13980</v>
      </c>
      <c r="C1457" s="1" t="s">
        <v>14026</v>
      </c>
      <c r="F1457" s="1" t="s">
        <v>9582</v>
      </c>
      <c r="G1457" s="1" t="s">
        <v>8356</v>
      </c>
    </row>
    <row r="1458" spans="1:7" x14ac:dyDescent="0.15">
      <c r="A1458" s="1">
        <v>2138</v>
      </c>
      <c r="B1458" s="1" t="s">
        <v>13980</v>
      </c>
      <c r="C1458" s="1" t="s">
        <v>14030</v>
      </c>
      <c r="F1458" s="1" t="s">
        <v>11520</v>
      </c>
      <c r="G1458" s="1" t="s">
        <v>8357</v>
      </c>
    </row>
    <row r="1459" spans="1:7" x14ac:dyDescent="0.15">
      <c r="A1459" s="1">
        <v>2141</v>
      </c>
      <c r="B1459" s="1" t="s">
        <v>13980</v>
      </c>
      <c r="C1459" s="1" t="s">
        <v>11054</v>
      </c>
      <c r="D1459" s="1" t="s">
        <v>12625</v>
      </c>
      <c r="F1459" s="1" t="s">
        <v>11055</v>
      </c>
      <c r="G1459" s="1" t="s">
        <v>8358</v>
      </c>
    </row>
    <row r="1460" spans="1:7" x14ac:dyDescent="0.15">
      <c r="A1460" s="1">
        <v>2142</v>
      </c>
      <c r="B1460" s="1" t="s">
        <v>13980</v>
      </c>
      <c r="C1460" s="1" t="s">
        <v>8359</v>
      </c>
      <c r="D1460" s="1" t="s">
        <v>12625</v>
      </c>
      <c r="F1460" s="1" t="s">
        <v>8360</v>
      </c>
      <c r="G1460" s="1" t="s">
        <v>8361</v>
      </c>
    </row>
    <row r="1461" spans="1:7" x14ac:dyDescent="0.15">
      <c r="A1461" s="1">
        <v>2144</v>
      </c>
      <c r="B1461" s="1" t="s">
        <v>13980</v>
      </c>
      <c r="C1461" s="1" t="s">
        <v>14034</v>
      </c>
      <c r="F1461" s="1" t="s">
        <v>8362</v>
      </c>
      <c r="G1461" s="1" t="s">
        <v>8363</v>
      </c>
    </row>
    <row r="1462" spans="1:7" x14ac:dyDescent="0.15">
      <c r="A1462" s="1">
        <v>2145</v>
      </c>
      <c r="B1462" s="1" t="s">
        <v>13980</v>
      </c>
      <c r="C1462" s="1" t="s">
        <v>8340</v>
      </c>
      <c r="F1462" s="1" t="s">
        <v>8341</v>
      </c>
      <c r="G1462" s="1" t="s">
        <v>8364</v>
      </c>
    </row>
    <row r="1463" spans="1:7" x14ac:dyDescent="0.15">
      <c r="A1463" s="1">
        <v>2148</v>
      </c>
      <c r="B1463" s="1" t="s">
        <v>13980</v>
      </c>
      <c r="C1463" s="1" t="s">
        <v>14042</v>
      </c>
      <c r="F1463" s="1" t="s">
        <v>8366</v>
      </c>
      <c r="G1463" s="1" t="s">
        <v>8367</v>
      </c>
    </row>
    <row r="1464" spans="1:7" x14ac:dyDescent="0.15">
      <c r="A1464" s="1">
        <v>2149</v>
      </c>
      <c r="B1464" s="1" t="s">
        <v>13980</v>
      </c>
      <c r="C1464" s="1" t="s">
        <v>14046</v>
      </c>
      <c r="F1464" s="1" t="s">
        <v>8368</v>
      </c>
      <c r="G1464" s="1" t="s">
        <v>8369</v>
      </c>
    </row>
    <row r="1465" spans="1:7" x14ac:dyDescent="0.15">
      <c r="A1465" s="1">
        <v>2151</v>
      </c>
      <c r="B1465" s="1" t="s">
        <v>13980</v>
      </c>
      <c r="C1465" s="1" t="s">
        <v>14050</v>
      </c>
      <c r="D1465" s="1" t="s">
        <v>12593</v>
      </c>
      <c r="F1465" s="1" t="s">
        <v>8370</v>
      </c>
      <c r="G1465" s="1" t="s">
        <v>8371</v>
      </c>
    </row>
    <row r="1466" spans="1:7" x14ac:dyDescent="0.15">
      <c r="A1466" s="1">
        <v>2152</v>
      </c>
      <c r="B1466" s="1" t="s">
        <v>13980</v>
      </c>
      <c r="C1466" s="1" t="s">
        <v>14054</v>
      </c>
      <c r="F1466" s="1" t="s">
        <v>8372</v>
      </c>
      <c r="G1466" s="1" t="s">
        <v>8373</v>
      </c>
    </row>
    <row r="1467" spans="1:7" x14ac:dyDescent="0.15">
      <c r="A1467" s="1">
        <v>2154</v>
      </c>
      <c r="B1467" s="1" t="s">
        <v>13980</v>
      </c>
      <c r="C1467" s="1" t="s">
        <v>14058</v>
      </c>
      <c r="F1467" s="1" t="s">
        <v>8374</v>
      </c>
      <c r="G1467" s="1" t="s">
        <v>8375</v>
      </c>
    </row>
    <row r="1468" spans="1:7" x14ac:dyDescent="0.15">
      <c r="A1468" s="1">
        <v>2155</v>
      </c>
      <c r="B1468" s="1" t="s">
        <v>13980</v>
      </c>
      <c r="C1468" s="1" t="s">
        <v>8376</v>
      </c>
      <c r="D1468" s="1" t="s">
        <v>12625</v>
      </c>
      <c r="F1468" s="1" t="s">
        <v>8377</v>
      </c>
      <c r="G1468" s="1" t="s">
        <v>8378</v>
      </c>
    </row>
    <row r="1469" spans="1:7" x14ac:dyDescent="0.15">
      <c r="A1469" s="1">
        <v>2157</v>
      </c>
      <c r="B1469" s="1" t="s">
        <v>13980</v>
      </c>
      <c r="C1469" s="1" t="s">
        <v>8379</v>
      </c>
      <c r="D1469" s="1" t="s">
        <v>12625</v>
      </c>
      <c r="F1469" s="1" t="s">
        <v>8380</v>
      </c>
      <c r="G1469" s="1" t="s">
        <v>8381</v>
      </c>
    </row>
    <row r="1470" spans="1:7" x14ac:dyDescent="0.15">
      <c r="A1470" s="1">
        <v>2158</v>
      </c>
      <c r="B1470" s="1" t="s">
        <v>13980</v>
      </c>
      <c r="C1470" s="1" t="s">
        <v>8382</v>
      </c>
      <c r="D1470" s="1" t="s">
        <v>12625</v>
      </c>
      <c r="F1470" s="1" t="s">
        <v>8383</v>
      </c>
      <c r="G1470" s="1" t="s">
        <v>8384</v>
      </c>
    </row>
    <row r="1471" spans="1:7" x14ac:dyDescent="0.15">
      <c r="A1471" s="1">
        <v>2159</v>
      </c>
      <c r="B1471" s="1" t="s">
        <v>13980</v>
      </c>
      <c r="C1471" s="1" t="s">
        <v>14062</v>
      </c>
      <c r="F1471" s="1" t="s">
        <v>8385</v>
      </c>
      <c r="G1471" s="1" t="s">
        <v>8386</v>
      </c>
    </row>
    <row r="1472" spans="1:7" x14ac:dyDescent="0.15">
      <c r="A1472" s="1">
        <v>2160</v>
      </c>
      <c r="B1472" s="1" t="s">
        <v>13980</v>
      </c>
      <c r="C1472" s="1" t="s">
        <v>10973</v>
      </c>
      <c r="F1472" s="1" t="s">
        <v>10974</v>
      </c>
      <c r="G1472" s="1" t="s">
        <v>8387</v>
      </c>
    </row>
    <row r="1473" spans="1:7" x14ac:dyDescent="0.15">
      <c r="A1473" s="1">
        <v>2161</v>
      </c>
      <c r="B1473" s="1" t="s">
        <v>13980</v>
      </c>
      <c r="C1473" s="1" t="s">
        <v>14070</v>
      </c>
      <c r="F1473" s="1" t="s">
        <v>8388</v>
      </c>
      <c r="G1473" s="1" t="s">
        <v>8389</v>
      </c>
    </row>
    <row r="1474" spans="1:7" x14ac:dyDescent="0.15">
      <c r="A1474" s="1">
        <v>2162</v>
      </c>
      <c r="B1474" s="1" t="s">
        <v>13980</v>
      </c>
      <c r="C1474" s="1" t="s">
        <v>14074</v>
      </c>
      <c r="F1474" s="1" t="s">
        <v>11038</v>
      </c>
      <c r="G1474" s="1" t="s">
        <v>8390</v>
      </c>
    </row>
    <row r="1475" spans="1:7" x14ac:dyDescent="0.15">
      <c r="A1475" s="1">
        <v>2163</v>
      </c>
      <c r="B1475" s="1" t="s">
        <v>13980</v>
      </c>
      <c r="C1475" s="1" t="s">
        <v>14078</v>
      </c>
      <c r="F1475" s="1" t="s">
        <v>11039</v>
      </c>
      <c r="G1475" s="1" t="s">
        <v>8391</v>
      </c>
    </row>
    <row r="1476" spans="1:7" x14ac:dyDescent="0.15">
      <c r="A1476" s="1">
        <v>2167</v>
      </c>
      <c r="B1476" s="1" t="s">
        <v>13980</v>
      </c>
      <c r="C1476" s="1" t="s">
        <v>14082</v>
      </c>
      <c r="F1476" s="1" t="s">
        <v>8392</v>
      </c>
      <c r="G1476" s="1" t="s">
        <v>8393</v>
      </c>
    </row>
    <row r="1477" spans="1:7" x14ac:dyDescent="0.15">
      <c r="A1477" s="1">
        <v>2168</v>
      </c>
      <c r="B1477" s="1" t="s">
        <v>13980</v>
      </c>
      <c r="C1477" s="1" t="s">
        <v>8333</v>
      </c>
      <c r="F1477" s="1" t="s">
        <v>8394</v>
      </c>
      <c r="G1477" s="1" t="s">
        <v>8395</v>
      </c>
    </row>
    <row r="1478" spans="1:7" x14ac:dyDescent="0.15">
      <c r="A1478" s="1">
        <v>2171</v>
      </c>
      <c r="B1478" s="1" t="s">
        <v>13980</v>
      </c>
      <c r="C1478" s="1" t="s">
        <v>14090</v>
      </c>
      <c r="F1478" s="1" t="s">
        <v>10643</v>
      </c>
      <c r="G1478" s="1" t="s">
        <v>8396</v>
      </c>
    </row>
    <row r="1479" spans="1:7" x14ac:dyDescent="0.15">
      <c r="A1479" s="1">
        <v>2174</v>
      </c>
      <c r="B1479" s="1" t="s">
        <v>13980</v>
      </c>
      <c r="C1479" s="1" t="s">
        <v>14094</v>
      </c>
      <c r="F1479" s="1" t="s">
        <v>8398</v>
      </c>
      <c r="G1479" s="1" t="s">
        <v>8399</v>
      </c>
    </row>
    <row r="1480" spans="1:7" x14ac:dyDescent="0.15">
      <c r="A1480" s="1">
        <v>2176</v>
      </c>
      <c r="B1480" s="1" t="s">
        <v>13980</v>
      </c>
      <c r="C1480" s="1" t="s">
        <v>14098</v>
      </c>
      <c r="F1480" s="1" t="s">
        <v>11544</v>
      </c>
      <c r="G1480" s="1" t="s">
        <v>8400</v>
      </c>
    </row>
    <row r="1481" spans="1:7" x14ac:dyDescent="0.15">
      <c r="A1481" s="1">
        <v>2179</v>
      </c>
      <c r="B1481" s="1" t="s">
        <v>13980</v>
      </c>
      <c r="C1481" s="1" t="s">
        <v>14102</v>
      </c>
      <c r="F1481" s="1" t="s">
        <v>8401</v>
      </c>
      <c r="G1481" s="1" t="s">
        <v>8402</v>
      </c>
    </row>
    <row r="1482" spans="1:7" x14ac:dyDescent="0.15">
      <c r="A1482" s="1">
        <v>2180</v>
      </c>
      <c r="B1482" s="1" t="s">
        <v>13980</v>
      </c>
      <c r="C1482" s="1" t="s">
        <v>14106</v>
      </c>
      <c r="F1482" s="1" t="s">
        <v>8403</v>
      </c>
      <c r="G1482" s="1" t="s">
        <v>8404</v>
      </c>
    </row>
    <row r="1483" spans="1:7" x14ac:dyDescent="0.15">
      <c r="A1483" s="1">
        <v>2181</v>
      </c>
      <c r="B1483" s="1" t="s">
        <v>13980</v>
      </c>
      <c r="C1483" s="1" t="s">
        <v>14110</v>
      </c>
      <c r="F1483" s="1" t="s">
        <v>8405</v>
      </c>
      <c r="G1483" s="1" t="s">
        <v>8406</v>
      </c>
    </row>
    <row r="1484" spans="1:7" x14ac:dyDescent="0.15">
      <c r="A1484" s="1">
        <v>2182</v>
      </c>
      <c r="B1484" s="1" t="s">
        <v>13980</v>
      </c>
      <c r="C1484" s="1" t="s">
        <v>14114</v>
      </c>
      <c r="F1484" s="1" t="s">
        <v>8407</v>
      </c>
      <c r="G1484" s="1" t="s">
        <v>8408</v>
      </c>
    </row>
    <row r="1485" spans="1:7" x14ac:dyDescent="0.15">
      <c r="A1485" s="1">
        <v>2183</v>
      </c>
      <c r="B1485" s="1" t="s">
        <v>13980</v>
      </c>
      <c r="C1485" s="1" t="s">
        <v>14118</v>
      </c>
      <c r="F1485" s="1" t="s">
        <v>8409</v>
      </c>
      <c r="G1485" s="1" t="s">
        <v>8410</v>
      </c>
    </row>
    <row r="1486" spans="1:7" x14ac:dyDescent="0.15">
      <c r="A1486" s="1">
        <v>2184</v>
      </c>
      <c r="B1486" s="1" t="s">
        <v>13980</v>
      </c>
      <c r="C1486" s="1" t="s">
        <v>14122</v>
      </c>
      <c r="F1486" s="1" t="s">
        <v>11128</v>
      </c>
      <c r="G1486" s="1" t="s">
        <v>8411</v>
      </c>
    </row>
    <row r="1487" spans="1:7" x14ac:dyDescent="0.15">
      <c r="A1487" s="1">
        <v>2185</v>
      </c>
      <c r="B1487" s="1" t="s">
        <v>13980</v>
      </c>
      <c r="C1487" s="1" t="s">
        <v>14126</v>
      </c>
      <c r="F1487" s="1" t="s">
        <v>8412</v>
      </c>
      <c r="G1487" s="1" t="s">
        <v>8413</v>
      </c>
    </row>
    <row r="1488" spans="1:7" x14ac:dyDescent="0.15">
      <c r="A1488" s="1">
        <v>2186</v>
      </c>
      <c r="B1488" s="1" t="s">
        <v>13980</v>
      </c>
      <c r="C1488" s="1" t="s">
        <v>14130</v>
      </c>
      <c r="F1488" s="1" t="s">
        <v>8414</v>
      </c>
      <c r="G1488" s="1" t="s">
        <v>8415</v>
      </c>
    </row>
    <row r="1489" spans="1:7" x14ac:dyDescent="0.15">
      <c r="A1489" s="1">
        <v>2187</v>
      </c>
      <c r="B1489" s="1" t="s">
        <v>13980</v>
      </c>
      <c r="C1489" s="1" t="s">
        <v>14134</v>
      </c>
      <c r="F1489" s="1" t="s">
        <v>8335</v>
      </c>
      <c r="G1489" s="1" t="s">
        <v>8416</v>
      </c>
    </row>
    <row r="1490" spans="1:7" x14ac:dyDescent="0.15">
      <c r="A1490" s="1">
        <v>2188</v>
      </c>
      <c r="B1490" s="1" t="s">
        <v>13980</v>
      </c>
      <c r="C1490" s="1" t="s">
        <v>14138</v>
      </c>
      <c r="F1490" s="1" t="s">
        <v>8417</v>
      </c>
      <c r="G1490" s="1" t="s">
        <v>8418</v>
      </c>
    </row>
    <row r="1491" spans="1:7" x14ac:dyDescent="0.15">
      <c r="A1491" s="1">
        <v>2189</v>
      </c>
      <c r="B1491" s="1" t="s">
        <v>13980</v>
      </c>
      <c r="C1491" s="1" t="s">
        <v>10670</v>
      </c>
      <c r="F1491" s="1" t="s">
        <v>10671</v>
      </c>
      <c r="G1491" s="1" t="s">
        <v>8419</v>
      </c>
    </row>
    <row r="1492" spans="1:7" x14ac:dyDescent="0.15">
      <c r="A1492" s="1">
        <v>2190</v>
      </c>
      <c r="B1492" s="1" t="s">
        <v>13980</v>
      </c>
      <c r="C1492" s="1" t="s">
        <v>14145</v>
      </c>
      <c r="F1492" s="1" t="s">
        <v>8420</v>
      </c>
      <c r="G1492" s="1" t="s">
        <v>8421</v>
      </c>
    </row>
    <row r="1493" spans="1:7" x14ac:dyDescent="0.15">
      <c r="A1493" s="1">
        <v>2195</v>
      </c>
      <c r="B1493" s="1" t="s">
        <v>13980</v>
      </c>
      <c r="C1493" s="1" t="s">
        <v>14149</v>
      </c>
      <c r="F1493" s="1" t="s">
        <v>8423</v>
      </c>
      <c r="G1493" s="1" t="s">
        <v>8424</v>
      </c>
    </row>
    <row r="1494" spans="1:7" x14ac:dyDescent="0.15">
      <c r="A1494" s="1">
        <v>2196</v>
      </c>
      <c r="B1494" s="1" t="s">
        <v>13980</v>
      </c>
      <c r="C1494" s="1" t="s">
        <v>14153</v>
      </c>
      <c r="F1494" s="1" t="s">
        <v>8425</v>
      </c>
      <c r="G1494" s="1" t="s">
        <v>8426</v>
      </c>
    </row>
    <row r="1495" spans="1:7" x14ac:dyDescent="0.15">
      <c r="A1495" s="1">
        <v>2197</v>
      </c>
      <c r="B1495" s="1" t="s">
        <v>13980</v>
      </c>
      <c r="C1495" s="1" t="s">
        <v>14157</v>
      </c>
      <c r="F1495" s="1" t="s">
        <v>8427</v>
      </c>
      <c r="G1495" s="1" t="s">
        <v>8428</v>
      </c>
    </row>
    <row r="1496" spans="1:7" x14ac:dyDescent="0.15">
      <c r="A1496" s="1">
        <v>2198</v>
      </c>
      <c r="B1496" s="1" t="s">
        <v>13980</v>
      </c>
      <c r="C1496" s="1" t="s">
        <v>14161</v>
      </c>
      <c r="F1496" s="1" t="s">
        <v>8429</v>
      </c>
      <c r="G1496" s="1" t="s">
        <v>8430</v>
      </c>
    </row>
    <row r="1497" spans="1:7" x14ac:dyDescent="0.15">
      <c r="A1497" s="1">
        <v>2199</v>
      </c>
      <c r="B1497" s="1" t="s">
        <v>13980</v>
      </c>
      <c r="C1497" s="1" t="s">
        <v>14165</v>
      </c>
      <c r="F1497" s="1" t="s">
        <v>8431</v>
      </c>
      <c r="G1497" s="1" t="s">
        <v>8432</v>
      </c>
    </row>
    <row r="1498" spans="1:7" x14ac:dyDescent="0.15">
      <c r="A1498" s="1">
        <v>2200</v>
      </c>
      <c r="B1498" s="1" t="s">
        <v>13980</v>
      </c>
      <c r="C1498" s="1" t="s">
        <v>14169</v>
      </c>
      <c r="F1498" s="1" t="s">
        <v>8433</v>
      </c>
      <c r="G1498" s="1" t="s">
        <v>8434</v>
      </c>
    </row>
    <row r="1499" spans="1:7" x14ac:dyDescent="0.15">
      <c r="A1499" s="1">
        <v>2201</v>
      </c>
      <c r="B1499" s="1" t="s">
        <v>13980</v>
      </c>
      <c r="C1499" s="1" t="s">
        <v>14173</v>
      </c>
      <c r="F1499" s="1" t="s">
        <v>8435</v>
      </c>
      <c r="G1499" s="1" t="s">
        <v>8436</v>
      </c>
    </row>
    <row r="1500" spans="1:7" x14ac:dyDescent="0.15">
      <c r="A1500" s="1">
        <v>2202</v>
      </c>
      <c r="B1500" s="1" t="s">
        <v>13980</v>
      </c>
      <c r="C1500" s="1" t="s">
        <v>14177</v>
      </c>
      <c r="F1500" s="1" t="s">
        <v>8437</v>
      </c>
      <c r="G1500" s="1" t="s">
        <v>8438</v>
      </c>
    </row>
    <row r="1501" spans="1:7" x14ac:dyDescent="0.15">
      <c r="A1501" s="1">
        <v>2203</v>
      </c>
      <c r="B1501" s="1" t="s">
        <v>13980</v>
      </c>
      <c r="C1501" s="1" t="s">
        <v>8439</v>
      </c>
      <c r="D1501" s="1" t="s">
        <v>12625</v>
      </c>
      <c r="F1501" s="1" t="s">
        <v>8440</v>
      </c>
      <c r="G1501" s="1" t="s">
        <v>8441</v>
      </c>
    </row>
    <row r="1502" spans="1:7" x14ac:dyDescent="0.15">
      <c r="A1502" s="1">
        <v>2204</v>
      </c>
      <c r="B1502" s="1" t="s">
        <v>13980</v>
      </c>
      <c r="C1502" s="1" t="s">
        <v>8442</v>
      </c>
      <c r="D1502" s="1" t="s">
        <v>12625</v>
      </c>
      <c r="F1502" s="1" t="s">
        <v>8443</v>
      </c>
      <c r="G1502" s="1" t="s">
        <v>8444</v>
      </c>
    </row>
    <row r="1503" spans="1:7" x14ac:dyDescent="0.15">
      <c r="A1503" s="1">
        <v>2205</v>
      </c>
      <c r="B1503" s="1" t="s">
        <v>13980</v>
      </c>
      <c r="C1503" s="1" t="s">
        <v>8445</v>
      </c>
      <c r="D1503" s="1" t="s">
        <v>12625</v>
      </c>
      <c r="F1503" s="1" t="s">
        <v>8446</v>
      </c>
      <c r="G1503" s="1" t="s">
        <v>8447</v>
      </c>
    </row>
    <row r="1504" spans="1:7" x14ac:dyDescent="0.15">
      <c r="A1504" s="1">
        <v>2206</v>
      </c>
      <c r="B1504" s="1" t="s">
        <v>13980</v>
      </c>
      <c r="C1504" s="1" t="s">
        <v>14181</v>
      </c>
      <c r="F1504" s="1" t="s">
        <v>8448</v>
      </c>
      <c r="G1504" s="1" t="s">
        <v>8449</v>
      </c>
    </row>
    <row r="1505" spans="1:7" x14ac:dyDescent="0.15">
      <c r="A1505" s="1">
        <v>2207</v>
      </c>
      <c r="B1505" s="1" t="s">
        <v>13980</v>
      </c>
      <c r="C1505" s="1" t="s">
        <v>8450</v>
      </c>
      <c r="F1505" s="1" t="s">
        <v>8451</v>
      </c>
      <c r="G1505" s="1" t="s">
        <v>8452</v>
      </c>
    </row>
    <row r="1506" spans="1:7" x14ac:dyDescent="0.15">
      <c r="A1506" s="1">
        <v>2208</v>
      </c>
      <c r="B1506" s="1" t="s">
        <v>13980</v>
      </c>
      <c r="C1506" s="1" t="s">
        <v>14189</v>
      </c>
      <c r="F1506" s="1" t="s">
        <v>8451</v>
      </c>
      <c r="G1506" s="1" t="s">
        <v>8453</v>
      </c>
    </row>
    <row r="1507" spans="1:7" x14ac:dyDescent="0.15">
      <c r="A1507" s="1">
        <v>2209</v>
      </c>
      <c r="B1507" s="1" t="s">
        <v>14191</v>
      </c>
      <c r="C1507" s="1" t="s">
        <v>9755</v>
      </c>
      <c r="F1507" s="1" t="s">
        <v>10309</v>
      </c>
      <c r="G1507" s="1" t="s">
        <v>8454</v>
      </c>
    </row>
    <row r="1508" spans="1:7" x14ac:dyDescent="0.15">
      <c r="A1508" s="1">
        <v>2213</v>
      </c>
      <c r="B1508" s="1" t="s">
        <v>14191</v>
      </c>
      <c r="C1508" s="1" t="s">
        <v>8455</v>
      </c>
      <c r="D1508" s="1" t="s">
        <v>12625</v>
      </c>
      <c r="F1508" s="1" t="s">
        <v>8456</v>
      </c>
      <c r="G1508" s="1" t="s">
        <v>8457</v>
      </c>
    </row>
    <row r="1509" spans="1:7" x14ac:dyDescent="0.15">
      <c r="A1509" s="1">
        <v>2214</v>
      </c>
      <c r="B1509" s="1" t="s">
        <v>14191</v>
      </c>
      <c r="C1509" s="1" t="s">
        <v>14192</v>
      </c>
      <c r="D1509" s="1" t="s">
        <v>12625</v>
      </c>
      <c r="F1509" s="1" t="s">
        <v>8456</v>
      </c>
      <c r="G1509" s="1" t="s">
        <v>8458</v>
      </c>
    </row>
    <row r="1510" spans="1:7" x14ac:dyDescent="0.15">
      <c r="A1510" s="1">
        <v>2215</v>
      </c>
      <c r="B1510" s="1" t="s">
        <v>14191</v>
      </c>
      <c r="C1510" s="1" t="s">
        <v>8459</v>
      </c>
      <c r="F1510" s="1" t="s">
        <v>8460</v>
      </c>
      <c r="G1510" s="1" t="s">
        <v>8461</v>
      </c>
    </row>
    <row r="1511" spans="1:7" x14ac:dyDescent="0.15">
      <c r="A1511" s="1">
        <v>2216</v>
      </c>
      <c r="B1511" s="1" t="s">
        <v>14191</v>
      </c>
      <c r="C1511" s="1" t="s">
        <v>14200</v>
      </c>
      <c r="F1511" s="1" t="s">
        <v>8460</v>
      </c>
      <c r="G1511" s="1" t="s">
        <v>8462</v>
      </c>
    </row>
    <row r="1512" spans="1:7" x14ac:dyDescent="0.15">
      <c r="A1512" s="1">
        <v>2217</v>
      </c>
      <c r="B1512" s="1" t="s">
        <v>14191</v>
      </c>
      <c r="C1512" s="1" t="s">
        <v>8463</v>
      </c>
      <c r="F1512" s="1" t="s">
        <v>8464</v>
      </c>
      <c r="G1512" s="1" t="s">
        <v>8465</v>
      </c>
    </row>
    <row r="1513" spans="1:7" x14ac:dyDescent="0.15">
      <c r="A1513" s="1">
        <v>2218</v>
      </c>
      <c r="B1513" s="1" t="s">
        <v>14191</v>
      </c>
      <c r="C1513" s="1" t="s">
        <v>14207</v>
      </c>
      <c r="F1513" s="1" t="s">
        <v>8466</v>
      </c>
      <c r="G1513" s="1" t="s">
        <v>8467</v>
      </c>
    </row>
    <row r="1514" spans="1:7" x14ac:dyDescent="0.15">
      <c r="A1514" s="1">
        <v>2222</v>
      </c>
      <c r="B1514" s="1" t="s">
        <v>14191</v>
      </c>
      <c r="C1514" s="1" t="s">
        <v>14211</v>
      </c>
      <c r="F1514" s="1" t="s">
        <v>8468</v>
      </c>
      <c r="G1514" s="1" t="s">
        <v>8469</v>
      </c>
    </row>
    <row r="1515" spans="1:7" x14ac:dyDescent="0.15">
      <c r="A1515" s="1">
        <v>2223</v>
      </c>
      <c r="B1515" s="1" t="s">
        <v>14191</v>
      </c>
      <c r="C1515" s="1" t="s">
        <v>13600</v>
      </c>
      <c r="F1515" s="1" t="s">
        <v>10521</v>
      </c>
      <c r="G1515" s="1" t="s">
        <v>8470</v>
      </c>
    </row>
    <row r="1516" spans="1:7" x14ac:dyDescent="0.15">
      <c r="A1516" s="1">
        <v>2224</v>
      </c>
      <c r="B1516" s="1" t="s">
        <v>14191</v>
      </c>
      <c r="C1516" s="1" t="s">
        <v>13604</v>
      </c>
      <c r="F1516" s="1" t="s">
        <v>8471</v>
      </c>
      <c r="G1516" s="1" t="s">
        <v>8472</v>
      </c>
    </row>
    <row r="1517" spans="1:7" x14ac:dyDescent="0.15">
      <c r="A1517" s="1">
        <v>2225</v>
      </c>
      <c r="B1517" s="1" t="s">
        <v>14191</v>
      </c>
      <c r="C1517" s="1" t="s">
        <v>13608</v>
      </c>
      <c r="D1517" s="1" t="s">
        <v>11582</v>
      </c>
      <c r="F1517" s="1" t="s">
        <v>10196</v>
      </c>
      <c r="G1517" s="1" t="s">
        <v>8473</v>
      </c>
    </row>
    <row r="1518" spans="1:7" x14ac:dyDescent="0.15">
      <c r="A1518" s="1">
        <v>2226</v>
      </c>
      <c r="B1518" s="1" t="s">
        <v>14191</v>
      </c>
      <c r="C1518" s="1" t="s">
        <v>13612</v>
      </c>
      <c r="F1518" s="1" t="s">
        <v>8474</v>
      </c>
      <c r="G1518" s="1" t="s">
        <v>8475</v>
      </c>
    </row>
    <row r="1519" spans="1:7" x14ac:dyDescent="0.15">
      <c r="A1519" s="1">
        <v>2227</v>
      </c>
      <c r="B1519" s="1" t="s">
        <v>14191</v>
      </c>
      <c r="C1519" s="1" t="s">
        <v>8476</v>
      </c>
      <c r="D1519" s="1" t="s">
        <v>12593</v>
      </c>
      <c r="F1519" s="1" t="s">
        <v>8477</v>
      </c>
      <c r="G1519" s="1" t="s">
        <v>8478</v>
      </c>
    </row>
    <row r="1520" spans="1:7" x14ac:dyDescent="0.15">
      <c r="A1520" s="1">
        <v>2228</v>
      </c>
      <c r="B1520" s="1" t="s">
        <v>14191</v>
      </c>
      <c r="C1520" s="1" t="s">
        <v>13620</v>
      </c>
      <c r="D1520" s="1" t="s">
        <v>11582</v>
      </c>
      <c r="F1520" s="1" t="s">
        <v>8479</v>
      </c>
      <c r="G1520" s="1" t="s">
        <v>8480</v>
      </c>
    </row>
    <row r="1521" spans="1:7" x14ac:dyDescent="0.15">
      <c r="A1521" s="1">
        <v>2229</v>
      </c>
      <c r="B1521" s="1" t="s">
        <v>14191</v>
      </c>
      <c r="C1521" s="1" t="s">
        <v>8481</v>
      </c>
      <c r="F1521" s="1" t="s">
        <v>8482</v>
      </c>
      <c r="G1521" s="1" t="s">
        <v>8483</v>
      </c>
    </row>
    <row r="1522" spans="1:7" x14ac:dyDescent="0.15">
      <c r="A1522" s="1">
        <v>2230</v>
      </c>
      <c r="B1522" s="1" t="s">
        <v>14191</v>
      </c>
      <c r="C1522" s="1" t="s">
        <v>13628</v>
      </c>
      <c r="F1522" s="1" t="s">
        <v>8482</v>
      </c>
      <c r="G1522" s="1" t="s">
        <v>8484</v>
      </c>
    </row>
    <row r="1523" spans="1:7" x14ac:dyDescent="0.15">
      <c r="A1523" s="1">
        <v>2231</v>
      </c>
      <c r="B1523" s="1" t="s">
        <v>14191</v>
      </c>
      <c r="C1523" s="1" t="s">
        <v>8485</v>
      </c>
      <c r="F1523" s="1" t="s">
        <v>8486</v>
      </c>
      <c r="G1523" s="1" t="s">
        <v>8487</v>
      </c>
    </row>
    <row r="1524" spans="1:7" x14ac:dyDescent="0.15">
      <c r="A1524" s="1">
        <v>2232</v>
      </c>
      <c r="B1524" s="1" t="s">
        <v>14191</v>
      </c>
      <c r="C1524" s="1" t="s">
        <v>13635</v>
      </c>
      <c r="F1524" s="1" t="s">
        <v>8488</v>
      </c>
      <c r="G1524" s="1" t="s">
        <v>8489</v>
      </c>
    </row>
    <row r="1525" spans="1:7" x14ac:dyDescent="0.15">
      <c r="A1525" s="1">
        <v>2233</v>
      </c>
      <c r="B1525" s="1" t="s">
        <v>14191</v>
      </c>
      <c r="C1525" s="1" t="s">
        <v>8490</v>
      </c>
      <c r="D1525" s="1" t="s">
        <v>12625</v>
      </c>
      <c r="F1525" s="1" t="s">
        <v>8491</v>
      </c>
      <c r="G1525" s="1" t="s">
        <v>8492</v>
      </c>
    </row>
    <row r="1526" spans="1:7" x14ac:dyDescent="0.15">
      <c r="A1526" s="1">
        <v>2234</v>
      </c>
      <c r="B1526" s="1" t="s">
        <v>14191</v>
      </c>
      <c r="C1526" s="1" t="s">
        <v>8493</v>
      </c>
      <c r="D1526" s="1" t="s">
        <v>12625</v>
      </c>
      <c r="F1526" s="1" t="s">
        <v>8494</v>
      </c>
      <c r="G1526" s="1" t="s">
        <v>8184</v>
      </c>
    </row>
    <row r="1527" spans="1:7" x14ac:dyDescent="0.15">
      <c r="A1527" s="1">
        <v>2235</v>
      </c>
      <c r="B1527" s="1" t="s">
        <v>14191</v>
      </c>
      <c r="C1527" s="1" t="s">
        <v>8185</v>
      </c>
      <c r="D1527" s="1" t="s">
        <v>12625</v>
      </c>
      <c r="F1527" s="1" t="s">
        <v>8186</v>
      </c>
      <c r="G1527" s="1" t="s">
        <v>8187</v>
      </c>
    </row>
    <row r="1528" spans="1:7" x14ac:dyDescent="0.15">
      <c r="A1528" s="1">
        <v>2236</v>
      </c>
      <c r="B1528" s="1" t="s">
        <v>14191</v>
      </c>
      <c r="C1528" s="1" t="s">
        <v>8188</v>
      </c>
      <c r="D1528" s="1" t="s">
        <v>12625</v>
      </c>
      <c r="F1528" s="1" t="s">
        <v>8189</v>
      </c>
      <c r="G1528" s="1" t="s">
        <v>8190</v>
      </c>
    </row>
    <row r="1529" spans="1:7" x14ac:dyDescent="0.15">
      <c r="A1529" s="1">
        <v>2237</v>
      </c>
      <c r="B1529" s="1" t="s">
        <v>14191</v>
      </c>
      <c r="C1529" s="1" t="s">
        <v>8191</v>
      </c>
      <c r="D1529" s="1" t="s">
        <v>12625</v>
      </c>
      <c r="F1529" s="1" t="s">
        <v>8192</v>
      </c>
      <c r="G1529" s="1" t="s">
        <v>8193</v>
      </c>
    </row>
    <row r="1530" spans="1:7" x14ac:dyDescent="0.15">
      <c r="A1530" s="1">
        <v>2238</v>
      </c>
      <c r="B1530" s="1" t="s">
        <v>14191</v>
      </c>
      <c r="C1530" s="1" t="s">
        <v>8194</v>
      </c>
      <c r="D1530" s="1" t="s">
        <v>12625</v>
      </c>
      <c r="F1530" s="1" t="s">
        <v>8195</v>
      </c>
      <c r="G1530" s="1" t="s">
        <v>8196</v>
      </c>
    </row>
    <row r="1531" spans="1:7" x14ac:dyDescent="0.15">
      <c r="A1531" s="1">
        <v>2239</v>
      </c>
      <c r="B1531" s="1" t="s">
        <v>14191</v>
      </c>
      <c r="C1531" s="1" t="s">
        <v>8197</v>
      </c>
      <c r="D1531" s="1" t="s">
        <v>12625</v>
      </c>
      <c r="F1531" s="1" t="s">
        <v>8198</v>
      </c>
      <c r="G1531" s="1" t="s">
        <v>8199</v>
      </c>
    </row>
    <row r="1532" spans="1:7" x14ac:dyDescent="0.15">
      <c r="A1532" s="1">
        <v>2240</v>
      </c>
      <c r="B1532" s="1" t="s">
        <v>14191</v>
      </c>
      <c r="C1532" s="1" t="s">
        <v>8200</v>
      </c>
      <c r="D1532" s="1" t="s">
        <v>12625</v>
      </c>
      <c r="F1532" s="1" t="s">
        <v>8201</v>
      </c>
      <c r="G1532" s="1" t="s">
        <v>8202</v>
      </c>
    </row>
    <row r="1533" spans="1:7" x14ac:dyDescent="0.15">
      <c r="A1533" s="1">
        <v>2241</v>
      </c>
      <c r="B1533" s="1" t="s">
        <v>14191</v>
      </c>
      <c r="C1533" s="1" t="s">
        <v>8203</v>
      </c>
      <c r="D1533" s="1" t="s">
        <v>12625</v>
      </c>
      <c r="F1533" s="1" t="s">
        <v>8204</v>
      </c>
      <c r="G1533" s="1" t="s">
        <v>8205</v>
      </c>
    </row>
    <row r="1534" spans="1:7" x14ac:dyDescent="0.15">
      <c r="A1534" s="1">
        <v>2242</v>
      </c>
      <c r="B1534" s="1" t="s">
        <v>14191</v>
      </c>
      <c r="C1534" s="1" t="s">
        <v>8206</v>
      </c>
      <c r="D1534" s="1" t="s">
        <v>12625</v>
      </c>
      <c r="F1534" s="1" t="s">
        <v>8207</v>
      </c>
      <c r="G1534" s="1" t="s">
        <v>8208</v>
      </c>
    </row>
    <row r="1535" spans="1:7" x14ac:dyDescent="0.15">
      <c r="A1535" s="1">
        <v>2243</v>
      </c>
      <c r="B1535" s="1" t="s">
        <v>14191</v>
      </c>
      <c r="C1535" s="1" t="s">
        <v>8209</v>
      </c>
      <c r="D1535" s="1" t="s">
        <v>12625</v>
      </c>
      <c r="F1535" s="1" t="s">
        <v>8210</v>
      </c>
      <c r="G1535" s="1" t="s">
        <v>8211</v>
      </c>
    </row>
    <row r="1536" spans="1:7" x14ac:dyDescent="0.15">
      <c r="A1536" s="1">
        <v>2244</v>
      </c>
      <c r="B1536" s="1" t="s">
        <v>14191</v>
      </c>
      <c r="C1536" s="1" t="s">
        <v>10721</v>
      </c>
      <c r="F1536" s="1" t="s">
        <v>8212</v>
      </c>
      <c r="G1536" s="1" t="s">
        <v>8213</v>
      </c>
    </row>
    <row r="1537" spans="1:7" x14ac:dyDescent="0.15">
      <c r="A1537" s="1">
        <v>2245</v>
      </c>
      <c r="B1537" s="1" t="s">
        <v>14191</v>
      </c>
      <c r="C1537" s="1" t="s">
        <v>13642</v>
      </c>
      <c r="F1537" s="1" t="s">
        <v>8214</v>
      </c>
      <c r="G1537" s="1" t="s">
        <v>8215</v>
      </c>
    </row>
    <row r="1538" spans="1:7" x14ac:dyDescent="0.15">
      <c r="A1538" s="1">
        <v>2246</v>
      </c>
      <c r="B1538" s="1" t="s">
        <v>14191</v>
      </c>
      <c r="C1538" s="1" t="s">
        <v>13646</v>
      </c>
      <c r="F1538" s="1" t="s">
        <v>8216</v>
      </c>
      <c r="G1538" s="1" t="s">
        <v>8217</v>
      </c>
    </row>
    <row r="1539" spans="1:7" x14ac:dyDescent="0.15">
      <c r="A1539" s="1">
        <v>2247</v>
      </c>
      <c r="B1539" s="1" t="s">
        <v>14191</v>
      </c>
      <c r="C1539" s="1" t="s">
        <v>13650</v>
      </c>
      <c r="F1539" s="1" t="s">
        <v>8218</v>
      </c>
      <c r="G1539" s="1" t="s">
        <v>8219</v>
      </c>
    </row>
    <row r="1540" spans="1:7" x14ac:dyDescent="0.15">
      <c r="A1540" s="1">
        <v>2248</v>
      </c>
      <c r="B1540" s="1" t="s">
        <v>14191</v>
      </c>
      <c r="C1540" s="1" t="s">
        <v>13654</v>
      </c>
      <c r="F1540" s="1" t="s">
        <v>8220</v>
      </c>
      <c r="G1540" s="1" t="s">
        <v>8221</v>
      </c>
    </row>
    <row r="1541" spans="1:7" x14ac:dyDescent="0.15">
      <c r="A1541" s="1">
        <v>2249</v>
      </c>
      <c r="B1541" s="1" t="s">
        <v>14191</v>
      </c>
      <c r="C1541" s="1" t="s">
        <v>10722</v>
      </c>
      <c r="F1541" s="1" t="s">
        <v>10723</v>
      </c>
      <c r="G1541" s="1" t="s">
        <v>8222</v>
      </c>
    </row>
    <row r="1542" spans="1:7" x14ac:dyDescent="0.15">
      <c r="A1542" s="1">
        <v>2250</v>
      </c>
      <c r="B1542" s="1" t="s">
        <v>14191</v>
      </c>
      <c r="C1542" s="1" t="s">
        <v>13662</v>
      </c>
      <c r="F1542" s="1" t="s">
        <v>8223</v>
      </c>
      <c r="G1542" s="1" t="s">
        <v>8224</v>
      </c>
    </row>
    <row r="1543" spans="1:7" x14ac:dyDescent="0.15">
      <c r="A1543" s="1">
        <v>2251</v>
      </c>
      <c r="B1543" s="1" t="s">
        <v>14191</v>
      </c>
      <c r="C1543" s="1" t="s">
        <v>13666</v>
      </c>
      <c r="F1543" s="1" t="s">
        <v>8225</v>
      </c>
      <c r="G1543" s="1" t="s">
        <v>8226</v>
      </c>
    </row>
    <row r="1544" spans="1:7" x14ac:dyDescent="0.15">
      <c r="A1544" s="1">
        <v>2252</v>
      </c>
      <c r="B1544" s="1" t="s">
        <v>14191</v>
      </c>
      <c r="C1544" s="1" t="s">
        <v>13670</v>
      </c>
      <c r="F1544" s="1" t="s">
        <v>8227</v>
      </c>
      <c r="G1544" s="1" t="s">
        <v>8228</v>
      </c>
    </row>
    <row r="1545" spans="1:7" x14ac:dyDescent="0.15">
      <c r="A1545" s="1">
        <v>2253</v>
      </c>
      <c r="B1545" s="1" t="s">
        <v>14191</v>
      </c>
      <c r="C1545" s="1" t="s">
        <v>13674</v>
      </c>
      <c r="F1545" s="1" t="s">
        <v>8229</v>
      </c>
      <c r="G1545" s="1" t="s">
        <v>8230</v>
      </c>
    </row>
    <row r="1546" spans="1:7" x14ac:dyDescent="0.15">
      <c r="A1546" s="1">
        <v>2254</v>
      </c>
      <c r="B1546" s="1" t="s">
        <v>14191</v>
      </c>
      <c r="C1546" s="1" t="s">
        <v>13678</v>
      </c>
      <c r="F1546" s="1" t="s">
        <v>8231</v>
      </c>
      <c r="G1546" s="1" t="s">
        <v>8232</v>
      </c>
    </row>
    <row r="1547" spans="1:7" x14ac:dyDescent="0.15">
      <c r="A1547" s="1">
        <v>2255</v>
      </c>
      <c r="B1547" s="1" t="s">
        <v>14191</v>
      </c>
      <c r="C1547" s="1" t="s">
        <v>13682</v>
      </c>
      <c r="F1547" s="1" t="s">
        <v>8233</v>
      </c>
      <c r="G1547" s="1" t="s">
        <v>8234</v>
      </c>
    </row>
    <row r="1548" spans="1:7" x14ac:dyDescent="0.15">
      <c r="A1548" s="1">
        <v>2256</v>
      </c>
      <c r="B1548" s="1" t="s">
        <v>14191</v>
      </c>
      <c r="C1548" s="1" t="s">
        <v>13686</v>
      </c>
      <c r="F1548" s="1" t="s">
        <v>8235</v>
      </c>
      <c r="G1548" s="1" t="s">
        <v>8236</v>
      </c>
    </row>
    <row r="1549" spans="1:7" x14ac:dyDescent="0.15">
      <c r="A1549" s="1">
        <v>2257</v>
      </c>
      <c r="B1549" s="1" t="s">
        <v>14191</v>
      </c>
      <c r="C1549" s="1" t="s">
        <v>13690</v>
      </c>
      <c r="F1549" s="1" t="s">
        <v>8237</v>
      </c>
      <c r="G1549" s="1" t="s">
        <v>8238</v>
      </c>
    </row>
    <row r="1550" spans="1:7" x14ac:dyDescent="0.15">
      <c r="A1550" s="1">
        <v>2258</v>
      </c>
      <c r="B1550" s="1" t="s">
        <v>14191</v>
      </c>
      <c r="C1550" s="1" t="s">
        <v>11174</v>
      </c>
      <c r="D1550" s="1" t="s">
        <v>12625</v>
      </c>
      <c r="F1550" s="1" t="s">
        <v>11175</v>
      </c>
      <c r="G1550" s="1" t="s">
        <v>8239</v>
      </c>
    </row>
    <row r="1551" spans="1:7" x14ac:dyDescent="0.15">
      <c r="A1551" s="1">
        <v>2259</v>
      </c>
      <c r="B1551" s="1" t="s">
        <v>14191</v>
      </c>
      <c r="C1551" s="1" t="s">
        <v>8240</v>
      </c>
      <c r="D1551" s="1" t="s">
        <v>12625</v>
      </c>
      <c r="F1551" s="1" t="s">
        <v>8241</v>
      </c>
      <c r="G1551" s="1" t="s">
        <v>8242</v>
      </c>
    </row>
    <row r="1552" spans="1:7" x14ac:dyDescent="0.15">
      <c r="A1552" s="1">
        <v>2260</v>
      </c>
      <c r="B1552" s="1" t="s">
        <v>14191</v>
      </c>
      <c r="C1552" s="1" t="s">
        <v>8243</v>
      </c>
      <c r="D1552" s="1" t="s">
        <v>12625</v>
      </c>
      <c r="F1552" s="1" t="s">
        <v>8244</v>
      </c>
      <c r="G1552" s="1" t="s">
        <v>8245</v>
      </c>
    </row>
    <row r="1553" spans="1:7" x14ac:dyDescent="0.15">
      <c r="A1553" s="1">
        <v>2261</v>
      </c>
      <c r="B1553" s="1" t="s">
        <v>14191</v>
      </c>
      <c r="C1553" s="1" t="s">
        <v>8246</v>
      </c>
      <c r="D1553" s="1" t="s">
        <v>12625</v>
      </c>
      <c r="F1553" s="1" t="s">
        <v>8247</v>
      </c>
      <c r="G1553" s="1" t="s">
        <v>8248</v>
      </c>
    </row>
    <row r="1554" spans="1:7" x14ac:dyDescent="0.15">
      <c r="A1554" s="1">
        <v>2262</v>
      </c>
      <c r="B1554" s="1" t="s">
        <v>14191</v>
      </c>
      <c r="C1554" s="1" t="s">
        <v>11207</v>
      </c>
      <c r="D1554" s="1" t="s">
        <v>12625</v>
      </c>
      <c r="F1554" s="1" t="s">
        <v>11208</v>
      </c>
      <c r="G1554" s="1" t="s">
        <v>8249</v>
      </c>
    </row>
    <row r="1555" spans="1:7" x14ac:dyDescent="0.15">
      <c r="A1555" s="1">
        <v>2263</v>
      </c>
      <c r="B1555" s="1" t="s">
        <v>14191</v>
      </c>
      <c r="C1555" s="1" t="s">
        <v>8250</v>
      </c>
      <c r="D1555" s="1" t="s">
        <v>12625</v>
      </c>
      <c r="F1555" s="1" t="s">
        <v>8251</v>
      </c>
      <c r="G1555" s="1" t="s">
        <v>8252</v>
      </c>
    </row>
    <row r="1556" spans="1:7" x14ac:dyDescent="0.15">
      <c r="A1556" s="1">
        <v>2264</v>
      </c>
      <c r="B1556" s="1" t="s">
        <v>14191</v>
      </c>
      <c r="C1556" s="1" t="s">
        <v>8253</v>
      </c>
      <c r="D1556" s="1" t="s">
        <v>12625</v>
      </c>
      <c r="F1556" s="1" t="s">
        <v>8254</v>
      </c>
      <c r="G1556" s="1" t="s">
        <v>8255</v>
      </c>
    </row>
    <row r="1557" spans="1:7" x14ac:dyDescent="0.15">
      <c r="A1557" s="1">
        <v>2265</v>
      </c>
      <c r="B1557" s="1" t="s">
        <v>14191</v>
      </c>
      <c r="C1557" s="1" t="s">
        <v>8256</v>
      </c>
      <c r="D1557" s="1" t="s">
        <v>11582</v>
      </c>
      <c r="F1557" s="1" t="s">
        <v>8257</v>
      </c>
      <c r="G1557" s="1" t="s">
        <v>8258</v>
      </c>
    </row>
    <row r="1558" spans="1:7" x14ac:dyDescent="0.15">
      <c r="A1558" s="1">
        <v>2266</v>
      </c>
      <c r="B1558" s="1" t="s">
        <v>14191</v>
      </c>
      <c r="C1558" s="1" t="s">
        <v>8259</v>
      </c>
      <c r="D1558" s="1" t="s">
        <v>12625</v>
      </c>
      <c r="F1558" s="1" t="s">
        <v>8260</v>
      </c>
      <c r="G1558" s="1" t="s">
        <v>8261</v>
      </c>
    </row>
    <row r="1559" spans="1:7" x14ac:dyDescent="0.15">
      <c r="A1559" s="1">
        <v>2267</v>
      </c>
      <c r="B1559" s="1" t="s">
        <v>14191</v>
      </c>
      <c r="C1559" s="1" t="s">
        <v>13694</v>
      </c>
      <c r="F1559" s="1" t="s">
        <v>8262</v>
      </c>
      <c r="G1559" s="1" t="s">
        <v>8263</v>
      </c>
    </row>
    <row r="1560" spans="1:7" x14ac:dyDescent="0.15">
      <c r="A1560" s="1">
        <v>2268</v>
      </c>
      <c r="B1560" s="1" t="s">
        <v>14191</v>
      </c>
      <c r="C1560" s="1" t="s">
        <v>10724</v>
      </c>
      <c r="F1560" s="1" t="s">
        <v>10725</v>
      </c>
      <c r="G1560" s="1" t="s">
        <v>8264</v>
      </c>
    </row>
    <row r="1561" spans="1:7" x14ac:dyDescent="0.15">
      <c r="A1561" s="1">
        <v>2269</v>
      </c>
      <c r="B1561" s="1" t="s">
        <v>14191</v>
      </c>
      <c r="C1561" s="1" t="s">
        <v>13702</v>
      </c>
      <c r="F1561" s="1" t="s">
        <v>8265</v>
      </c>
      <c r="G1561" s="1" t="s">
        <v>8266</v>
      </c>
    </row>
    <row r="1562" spans="1:7" x14ac:dyDescent="0.15">
      <c r="A1562" s="1">
        <v>2270</v>
      </c>
      <c r="B1562" s="1" t="s">
        <v>14191</v>
      </c>
      <c r="C1562" s="1" t="s">
        <v>13706</v>
      </c>
      <c r="F1562" s="1" t="s">
        <v>8267</v>
      </c>
      <c r="G1562" s="1" t="s">
        <v>8268</v>
      </c>
    </row>
    <row r="1563" spans="1:7" x14ac:dyDescent="0.15">
      <c r="A1563" s="1">
        <v>2271</v>
      </c>
      <c r="B1563" s="1" t="s">
        <v>14191</v>
      </c>
      <c r="C1563" s="1" t="s">
        <v>13710</v>
      </c>
      <c r="F1563" s="1" t="s">
        <v>8269</v>
      </c>
      <c r="G1563" s="1" t="s">
        <v>8270</v>
      </c>
    </row>
    <row r="1564" spans="1:7" x14ac:dyDescent="0.15">
      <c r="A1564" s="1">
        <v>2272</v>
      </c>
      <c r="B1564" s="1" t="s">
        <v>14191</v>
      </c>
      <c r="C1564" s="1" t="s">
        <v>13714</v>
      </c>
      <c r="D1564" s="1" t="s">
        <v>12593</v>
      </c>
      <c r="F1564" s="1" t="s">
        <v>8271</v>
      </c>
      <c r="G1564" s="1" t="s">
        <v>8272</v>
      </c>
    </row>
    <row r="1565" spans="1:7" x14ac:dyDescent="0.15">
      <c r="A1565" s="1">
        <v>2273</v>
      </c>
      <c r="B1565" s="1" t="s">
        <v>14191</v>
      </c>
      <c r="C1565" s="1" t="s">
        <v>13718</v>
      </c>
      <c r="F1565" s="1" t="s">
        <v>8273</v>
      </c>
      <c r="G1565" s="1" t="s">
        <v>8274</v>
      </c>
    </row>
    <row r="1566" spans="1:7" x14ac:dyDescent="0.15">
      <c r="A1566" s="1">
        <v>2274</v>
      </c>
      <c r="B1566" s="1" t="s">
        <v>14191</v>
      </c>
      <c r="C1566" s="1" t="s">
        <v>13722</v>
      </c>
      <c r="F1566" s="1" t="s">
        <v>8275</v>
      </c>
      <c r="G1566" s="1" t="s">
        <v>8276</v>
      </c>
    </row>
    <row r="1567" spans="1:7" x14ac:dyDescent="0.15">
      <c r="A1567" s="1">
        <v>2275</v>
      </c>
      <c r="B1567" s="1" t="s">
        <v>14191</v>
      </c>
      <c r="C1567" s="1" t="s">
        <v>13726</v>
      </c>
      <c r="D1567" s="1" t="s">
        <v>11582</v>
      </c>
      <c r="F1567" s="1" t="s">
        <v>8277</v>
      </c>
      <c r="G1567" s="1" t="s">
        <v>8278</v>
      </c>
    </row>
    <row r="1568" spans="1:7" x14ac:dyDescent="0.15">
      <c r="A1568" s="1">
        <v>2276</v>
      </c>
      <c r="B1568" s="1" t="s">
        <v>14191</v>
      </c>
      <c r="C1568" s="1" t="s">
        <v>13730</v>
      </c>
      <c r="F1568" s="1" t="s">
        <v>8279</v>
      </c>
      <c r="G1568" s="1" t="s">
        <v>8280</v>
      </c>
    </row>
    <row r="1569" spans="1:7" x14ac:dyDescent="0.15">
      <c r="A1569" s="1">
        <v>2277</v>
      </c>
      <c r="B1569" s="1" t="s">
        <v>14191</v>
      </c>
      <c r="C1569" s="1" t="s">
        <v>8281</v>
      </c>
      <c r="D1569" s="1" t="s">
        <v>12625</v>
      </c>
      <c r="F1569" s="1" t="s">
        <v>8282</v>
      </c>
      <c r="G1569" s="1" t="s">
        <v>8283</v>
      </c>
    </row>
    <row r="1570" spans="1:7" x14ac:dyDescent="0.15">
      <c r="A1570" s="1">
        <v>2278</v>
      </c>
      <c r="B1570" s="1" t="s">
        <v>14191</v>
      </c>
      <c r="C1570" s="1" t="s">
        <v>8284</v>
      </c>
      <c r="D1570" s="1" t="s">
        <v>12625</v>
      </c>
      <c r="F1570" s="1" t="s">
        <v>8285</v>
      </c>
      <c r="G1570" s="1" t="s">
        <v>8286</v>
      </c>
    </row>
    <row r="1571" spans="1:7" x14ac:dyDescent="0.15">
      <c r="A1571" s="1">
        <v>2279</v>
      </c>
      <c r="B1571" s="1" t="s">
        <v>14191</v>
      </c>
      <c r="C1571" s="1" t="s">
        <v>8287</v>
      </c>
      <c r="D1571" s="1" t="s">
        <v>12625</v>
      </c>
      <c r="F1571" s="1" t="s">
        <v>8288</v>
      </c>
      <c r="G1571" s="1" t="s">
        <v>8289</v>
      </c>
    </row>
    <row r="1572" spans="1:7" x14ac:dyDescent="0.15">
      <c r="A1572" s="1">
        <v>2280</v>
      </c>
      <c r="B1572" s="1" t="s">
        <v>14191</v>
      </c>
      <c r="C1572" s="1" t="s">
        <v>8290</v>
      </c>
      <c r="D1572" s="1" t="s">
        <v>12625</v>
      </c>
      <c r="F1572" s="1" t="s">
        <v>8291</v>
      </c>
      <c r="G1572" s="1" t="s">
        <v>8292</v>
      </c>
    </row>
    <row r="1573" spans="1:7" x14ac:dyDescent="0.15">
      <c r="A1573" s="1">
        <v>2281</v>
      </c>
      <c r="B1573" s="1" t="s">
        <v>14191</v>
      </c>
      <c r="C1573" s="1" t="s">
        <v>8293</v>
      </c>
      <c r="D1573" s="1" t="s">
        <v>12625</v>
      </c>
      <c r="F1573" s="1" t="s">
        <v>8294</v>
      </c>
      <c r="G1573" s="1" t="s">
        <v>8295</v>
      </c>
    </row>
    <row r="1574" spans="1:7" x14ac:dyDescent="0.15">
      <c r="A1574" s="1">
        <v>2282</v>
      </c>
      <c r="B1574" s="1" t="s">
        <v>14191</v>
      </c>
      <c r="C1574" s="1" t="s">
        <v>13734</v>
      </c>
      <c r="F1574" s="1" t="s">
        <v>8296</v>
      </c>
      <c r="G1574" s="1" t="s">
        <v>8297</v>
      </c>
    </row>
    <row r="1575" spans="1:7" x14ac:dyDescent="0.15">
      <c r="A1575" s="1">
        <v>2283</v>
      </c>
      <c r="B1575" s="1" t="s">
        <v>14191</v>
      </c>
      <c r="C1575" s="1" t="s">
        <v>10726</v>
      </c>
      <c r="F1575" s="1" t="s">
        <v>8298</v>
      </c>
      <c r="G1575" s="1" t="s">
        <v>8299</v>
      </c>
    </row>
    <row r="1576" spans="1:7" x14ac:dyDescent="0.15">
      <c r="A1576" s="1">
        <v>2284</v>
      </c>
      <c r="B1576" s="1" t="s">
        <v>14191</v>
      </c>
      <c r="C1576" s="1" t="s">
        <v>13742</v>
      </c>
      <c r="F1576" s="1" t="s">
        <v>8300</v>
      </c>
      <c r="G1576" s="1" t="s">
        <v>8301</v>
      </c>
    </row>
    <row r="1577" spans="1:7" x14ac:dyDescent="0.15">
      <c r="A1577" s="1">
        <v>2285</v>
      </c>
      <c r="B1577" s="1" t="s">
        <v>14191</v>
      </c>
      <c r="C1577" s="1" t="s">
        <v>13746</v>
      </c>
      <c r="F1577" s="1" t="s">
        <v>8302</v>
      </c>
      <c r="G1577" s="1" t="s">
        <v>8303</v>
      </c>
    </row>
    <row r="1578" spans="1:7" x14ac:dyDescent="0.15">
      <c r="A1578" s="1">
        <v>2286</v>
      </c>
      <c r="B1578" s="1" t="s">
        <v>14191</v>
      </c>
      <c r="C1578" s="1" t="s">
        <v>13750</v>
      </c>
      <c r="F1578" s="1" t="s">
        <v>8304</v>
      </c>
      <c r="G1578" s="1" t="s">
        <v>8305</v>
      </c>
    </row>
    <row r="1579" spans="1:7" x14ac:dyDescent="0.15">
      <c r="A1579" s="1">
        <v>2287</v>
      </c>
      <c r="B1579" s="1" t="s">
        <v>14191</v>
      </c>
      <c r="C1579" s="1" t="s">
        <v>13754</v>
      </c>
      <c r="F1579" s="1" t="s">
        <v>8306</v>
      </c>
      <c r="G1579" s="1" t="s">
        <v>8307</v>
      </c>
    </row>
    <row r="1580" spans="1:7" x14ac:dyDescent="0.15">
      <c r="A1580" s="1">
        <v>2289</v>
      </c>
      <c r="B1580" s="1" t="s">
        <v>14191</v>
      </c>
      <c r="C1580" s="1" t="s">
        <v>13758</v>
      </c>
      <c r="F1580" s="1" t="s">
        <v>8308</v>
      </c>
      <c r="G1580" s="1" t="s">
        <v>8309</v>
      </c>
    </row>
    <row r="1581" spans="1:7" x14ac:dyDescent="0.15">
      <c r="A1581" s="1">
        <v>2290</v>
      </c>
      <c r="B1581" s="1" t="s">
        <v>14191</v>
      </c>
      <c r="C1581" s="1" t="s">
        <v>13762</v>
      </c>
      <c r="F1581" s="1" t="s">
        <v>8310</v>
      </c>
      <c r="G1581" s="1" t="s">
        <v>8311</v>
      </c>
    </row>
    <row r="1582" spans="1:7" x14ac:dyDescent="0.15">
      <c r="A1582" s="1">
        <v>2291</v>
      </c>
      <c r="B1582" s="1" t="s">
        <v>14191</v>
      </c>
      <c r="C1582" s="1" t="s">
        <v>13766</v>
      </c>
      <c r="F1582" s="1" t="s">
        <v>8312</v>
      </c>
      <c r="G1582" s="1" t="s">
        <v>8313</v>
      </c>
    </row>
    <row r="1583" spans="1:7" x14ac:dyDescent="0.15">
      <c r="A1583" s="1">
        <v>2292</v>
      </c>
      <c r="B1583" s="1" t="s">
        <v>14191</v>
      </c>
      <c r="C1583" s="1" t="s">
        <v>13770</v>
      </c>
      <c r="F1583" s="1" t="s">
        <v>8314</v>
      </c>
      <c r="G1583" s="1" t="s">
        <v>8315</v>
      </c>
    </row>
    <row r="1584" spans="1:7" x14ac:dyDescent="0.15">
      <c r="A1584" s="1">
        <v>2294</v>
      </c>
      <c r="B1584" s="1" t="s">
        <v>14191</v>
      </c>
      <c r="C1584" s="1" t="s">
        <v>13774</v>
      </c>
      <c r="F1584" s="1" t="s">
        <v>8316</v>
      </c>
      <c r="G1584" s="1" t="s">
        <v>8009</v>
      </c>
    </row>
    <row r="1585" spans="1:7" x14ac:dyDescent="0.15">
      <c r="A1585" s="1">
        <v>2296</v>
      </c>
      <c r="B1585" s="1" t="s">
        <v>14191</v>
      </c>
      <c r="C1585" s="1" t="s">
        <v>13778</v>
      </c>
      <c r="F1585" s="1" t="s">
        <v>8010</v>
      </c>
      <c r="G1585" s="1" t="s">
        <v>8011</v>
      </c>
    </row>
    <row r="1586" spans="1:7" x14ac:dyDescent="0.15">
      <c r="A1586" s="1">
        <v>2297</v>
      </c>
      <c r="B1586" s="1" t="s">
        <v>14191</v>
      </c>
      <c r="C1586" s="1" t="s">
        <v>8012</v>
      </c>
      <c r="D1586" s="1" t="s">
        <v>12625</v>
      </c>
      <c r="F1586" s="1" t="s">
        <v>8013</v>
      </c>
      <c r="G1586" s="1" t="s">
        <v>8014</v>
      </c>
    </row>
    <row r="1587" spans="1:7" x14ac:dyDescent="0.15">
      <c r="A1587" s="1">
        <v>2298</v>
      </c>
      <c r="B1587" s="1" t="s">
        <v>14191</v>
      </c>
      <c r="C1587" s="1" t="s">
        <v>8015</v>
      </c>
      <c r="D1587" s="1" t="s">
        <v>11582</v>
      </c>
      <c r="F1587" s="1" t="s">
        <v>8277</v>
      </c>
      <c r="G1587" s="1" t="s">
        <v>8016</v>
      </c>
    </row>
    <row r="1588" spans="1:7" x14ac:dyDescent="0.15">
      <c r="A1588" s="1">
        <v>2300</v>
      </c>
      <c r="B1588" s="1" t="s">
        <v>14191</v>
      </c>
      <c r="C1588" s="1" t="s">
        <v>8017</v>
      </c>
      <c r="D1588" s="1" t="s">
        <v>11582</v>
      </c>
      <c r="F1588" s="1" t="s">
        <v>8018</v>
      </c>
      <c r="G1588" s="1" t="s">
        <v>8019</v>
      </c>
    </row>
    <row r="1589" spans="1:7" x14ac:dyDescent="0.15">
      <c r="A1589" s="1">
        <v>2301</v>
      </c>
      <c r="B1589" s="1" t="s">
        <v>14191</v>
      </c>
      <c r="C1589" s="1" t="s">
        <v>9483</v>
      </c>
      <c r="D1589" s="1" t="s">
        <v>12625</v>
      </c>
      <c r="F1589" s="1" t="s">
        <v>9484</v>
      </c>
      <c r="G1589" s="1" t="s">
        <v>8020</v>
      </c>
    </row>
    <row r="1590" spans="1:7" x14ac:dyDescent="0.15">
      <c r="A1590" s="1">
        <v>2303</v>
      </c>
      <c r="B1590" s="1" t="s">
        <v>14191</v>
      </c>
      <c r="C1590" s="1" t="s">
        <v>8021</v>
      </c>
      <c r="D1590" s="1" t="s">
        <v>12625</v>
      </c>
      <c r="F1590" s="1" t="s">
        <v>8022</v>
      </c>
      <c r="G1590" s="1" t="s">
        <v>8023</v>
      </c>
    </row>
    <row r="1591" spans="1:7" x14ac:dyDescent="0.15">
      <c r="A1591" s="1">
        <v>2304</v>
      </c>
      <c r="B1591" s="1" t="s">
        <v>14191</v>
      </c>
      <c r="C1591" s="1" t="s">
        <v>8024</v>
      </c>
      <c r="D1591" s="1" t="s">
        <v>12625</v>
      </c>
      <c r="F1591" s="1" t="s">
        <v>8025</v>
      </c>
      <c r="G1591" s="1" t="s">
        <v>8026</v>
      </c>
    </row>
    <row r="1592" spans="1:7" x14ac:dyDescent="0.15">
      <c r="A1592" s="1">
        <v>2305</v>
      </c>
      <c r="B1592" s="1" t="s">
        <v>14191</v>
      </c>
      <c r="C1592" s="1" t="s">
        <v>13782</v>
      </c>
      <c r="F1592" s="1" t="s">
        <v>8027</v>
      </c>
      <c r="G1592" s="1" t="s">
        <v>8028</v>
      </c>
    </row>
    <row r="1593" spans="1:7" x14ac:dyDescent="0.15">
      <c r="A1593" s="1">
        <v>2306</v>
      </c>
      <c r="B1593" s="1" t="s">
        <v>14191</v>
      </c>
      <c r="C1593" s="1" t="s">
        <v>10727</v>
      </c>
      <c r="F1593" s="1" t="s">
        <v>8029</v>
      </c>
      <c r="G1593" s="1" t="s">
        <v>8030</v>
      </c>
    </row>
    <row r="1594" spans="1:7" x14ac:dyDescent="0.15">
      <c r="A1594" s="1">
        <v>2307</v>
      </c>
      <c r="B1594" s="1" t="s">
        <v>14191</v>
      </c>
      <c r="C1594" s="1" t="s">
        <v>13790</v>
      </c>
      <c r="F1594" s="1" t="s">
        <v>8031</v>
      </c>
      <c r="G1594" s="1" t="s">
        <v>8032</v>
      </c>
    </row>
    <row r="1595" spans="1:7" x14ac:dyDescent="0.15">
      <c r="A1595" s="1">
        <v>2308</v>
      </c>
      <c r="B1595" s="1" t="s">
        <v>14191</v>
      </c>
      <c r="C1595" s="1" t="s">
        <v>13794</v>
      </c>
      <c r="F1595" s="1" t="s">
        <v>8033</v>
      </c>
      <c r="G1595" s="1" t="s">
        <v>8034</v>
      </c>
    </row>
    <row r="1596" spans="1:7" x14ac:dyDescent="0.15">
      <c r="A1596" s="1">
        <v>2309</v>
      </c>
      <c r="B1596" s="1" t="s">
        <v>14191</v>
      </c>
      <c r="C1596" s="1" t="s">
        <v>13798</v>
      </c>
      <c r="F1596" s="1" t="s">
        <v>8035</v>
      </c>
      <c r="G1596" s="1" t="s">
        <v>8036</v>
      </c>
    </row>
    <row r="1597" spans="1:7" x14ac:dyDescent="0.15">
      <c r="A1597" s="1">
        <v>2310</v>
      </c>
      <c r="B1597" s="1" t="s">
        <v>14191</v>
      </c>
      <c r="C1597" s="1" t="s">
        <v>13802</v>
      </c>
      <c r="F1597" s="1" t="s">
        <v>8037</v>
      </c>
      <c r="G1597" s="1" t="s">
        <v>8038</v>
      </c>
    </row>
    <row r="1598" spans="1:7" x14ac:dyDescent="0.15">
      <c r="A1598" s="1">
        <v>2312</v>
      </c>
      <c r="B1598" s="1" t="s">
        <v>14191</v>
      </c>
      <c r="C1598" s="1" t="s">
        <v>13806</v>
      </c>
      <c r="F1598" s="1" t="s">
        <v>8039</v>
      </c>
      <c r="G1598" s="1" t="s">
        <v>8040</v>
      </c>
    </row>
    <row r="1599" spans="1:7" x14ac:dyDescent="0.15">
      <c r="A1599" s="1">
        <v>2313</v>
      </c>
      <c r="B1599" s="1" t="s">
        <v>14191</v>
      </c>
      <c r="C1599" s="1" t="s">
        <v>13810</v>
      </c>
      <c r="F1599" s="1" t="s">
        <v>8041</v>
      </c>
      <c r="G1599" s="1" t="s">
        <v>8042</v>
      </c>
    </row>
    <row r="1600" spans="1:7" x14ac:dyDescent="0.15">
      <c r="A1600" s="1">
        <v>2314</v>
      </c>
      <c r="B1600" s="1" t="s">
        <v>14191</v>
      </c>
      <c r="C1600" s="1" t="s">
        <v>8043</v>
      </c>
      <c r="D1600" s="1" t="s">
        <v>12625</v>
      </c>
      <c r="F1600" s="1" t="s">
        <v>8044</v>
      </c>
      <c r="G1600" s="1" t="s">
        <v>8045</v>
      </c>
    </row>
    <row r="1601" spans="1:7" x14ac:dyDescent="0.15">
      <c r="A1601" s="1">
        <v>2316</v>
      </c>
      <c r="B1601" s="1" t="s">
        <v>14191</v>
      </c>
      <c r="C1601" s="1" t="s">
        <v>8046</v>
      </c>
      <c r="D1601" s="1" t="s">
        <v>12625</v>
      </c>
      <c r="F1601" s="1" t="s">
        <v>8047</v>
      </c>
      <c r="G1601" s="1" t="s">
        <v>8048</v>
      </c>
    </row>
    <row r="1602" spans="1:7" x14ac:dyDescent="0.15">
      <c r="A1602" s="1">
        <v>2317</v>
      </c>
      <c r="B1602" s="1" t="s">
        <v>14191</v>
      </c>
      <c r="C1602" s="1" t="s">
        <v>8049</v>
      </c>
      <c r="D1602" s="1" t="s">
        <v>12625</v>
      </c>
      <c r="F1602" s="1" t="s">
        <v>8050</v>
      </c>
      <c r="G1602" s="1" t="s">
        <v>8051</v>
      </c>
    </row>
    <row r="1603" spans="1:7" x14ac:dyDescent="0.15">
      <c r="A1603" s="1">
        <v>2319</v>
      </c>
      <c r="B1603" s="1" t="s">
        <v>14191</v>
      </c>
      <c r="C1603" s="1" t="s">
        <v>8052</v>
      </c>
      <c r="D1603" s="1" t="s">
        <v>12625</v>
      </c>
      <c r="F1603" s="1" t="s">
        <v>8053</v>
      </c>
      <c r="G1603" s="1" t="s">
        <v>8054</v>
      </c>
    </row>
    <row r="1604" spans="1:7" x14ac:dyDescent="0.15">
      <c r="A1604" s="1">
        <v>2320</v>
      </c>
      <c r="B1604" s="1" t="s">
        <v>14191</v>
      </c>
      <c r="C1604" s="1" t="s">
        <v>8055</v>
      </c>
      <c r="D1604" s="1" t="s">
        <v>12625</v>
      </c>
      <c r="F1604" s="1" t="s">
        <v>8056</v>
      </c>
      <c r="G1604" s="1" t="s">
        <v>8057</v>
      </c>
    </row>
    <row r="1605" spans="1:7" x14ac:dyDescent="0.15">
      <c r="A1605" s="1">
        <v>2321</v>
      </c>
      <c r="B1605" s="1" t="s">
        <v>14191</v>
      </c>
      <c r="C1605" s="1" t="s">
        <v>13814</v>
      </c>
      <c r="F1605" s="1" t="s">
        <v>8058</v>
      </c>
      <c r="G1605" s="1" t="s">
        <v>8059</v>
      </c>
    </row>
    <row r="1606" spans="1:7" x14ac:dyDescent="0.15">
      <c r="A1606" s="1">
        <v>2322</v>
      </c>
      <c r="B1606" s="1" t="s">
        <v>14191</v>
      </c>
      <c r="C1606" s="1" t="s">
        <v>8060</v>
      </c>
      <c r="F1606" s="1" t="s">
        <v>8061</v>
      </c>
      <c r="G1606" s="1" t="s">
        <v>8062</v>
      </c>
    </row>
    <row r="1607" spans="1:7" x14ac:dyDescent="0.15">
      <c r="A1607" s="1">
        <v>2323</v>
      </c>
      <c r="B1607" s="1" t="s">
        <v>14191</v>
      </c>
      <c r="C1607" s="1" t="s">
        <v>13822</v>
      </c>
      <c r="F1607" s="1" t="s">
        <v>8063</v>
      </c>
      <c r="G1607" s="1" t="s">
        <v>8064</v>
      </c>
    </row>
    <row r="1608" spans="1:7" x14ac:dyDescent="0.15">
      <c r="A1608" s="1">
        <v>2324</v>
      </c>
      <c r="B1608" s="1" t="s">
        <v>14191</v>
      </c>
      <c r="C1608" s="1" t="s">
        <v>13826</v>
      </c>
      <c r="F1608" s="1" t="s">
        <v>8065</v>
      </c>
      <c r="G1608" s="1" t="s">
        <v>8066</v>
      </c>
    </row>
    <row r="1609" spans="1:7" x14ac:dyDescent="0.15">
      <c r="A1609" s="1">
        <v>2325</v>
      </c>
      <c r="B1609" s="1" t="s">
        <v>14191</v>
      </c>
      <c r="C1609" s="1" t="s">
        <v>13830</v>
      </c>
      <c r="F1609" s="1" t="s">
        <v>8067</v>
      </c>
      <c r="G1609" s="1" t="s">
        <v>8068</v>
      </c>
    </row>
    <row r="1610" spans="1:7" x14ac:dyDescent="0.15">
      <c r="A1610" s="1">
        <v>2326</v>
      </c>
      <c r="B1610" s="1" t="s">
        <v>14191</v>
      </c>
      <c r="C1610" s="1" t="s">
        <v>13834</v>
      </c>
      <c r="F1610" s="1" t="s">
        <v>8069</v>
      </c>
      <c r="G1610" s="1" t="s">
        <v>8070</v>
      </c>
    </row>
    <row r="1611" spans="1:7" x14ac:dyDescent="0.15">
      <c r="A1611" s="1">
        <v>2327</v>
      </c>
      <c r="B1611" s="1" t="s">
        <v>14191</v>
      </c>
      <c r="C1611" s="1" t="s">
        <v>8071</v>
      </c>
      <c r="D1611" s="1" t="s">
        <v>12625</v>
      </c>
      <c r="F1611" s="1" t="s">
        <v>8072</v>
      </c>
      <c r="G1611" s="1" t="s">
        <v>8073</v>
      </c>
    </row>
    <row r="1612" spans="1:7" x14ac:dyDescent="0.15">
      <c r="A1612" s="1">
        <v>2328</v>
      </c>
      <c r="B1612" s="1" t="s">
        <v>14191</v>
      </c>
      <c r="C1612" s="1" t="s">
        <v>13838</v>
      </c>
      <c r="F1612" s="1" t="s">
        <v>8074</v>
      </c>
      <c r="G1612" s="1" t="s">
        <v>8075</v>
      </c>
    </row>
    <row r="1613" spans="1:7" x14ac:dyDescent="0.15">
      <c r="A1613" s="1">
        <v>2329</v>
      </c>
      <c r="B1613" s="1" t="s">
        <v>14191</v>
      </c>
      <c r="C1613" s="1" t="s">
        <v>8076</v>
      </c>
      <c r="F1613" s="1" t="s">
        <v>8077</v>
      </c>
      <c r="G1613" s="1" t="s">
        <v>8078</v>
      </c>
    </row>
    <row r="1614" spans="1:7" x14ac:dyDescent="0.15">
      <c r="A1614" s="1">
        <v>2330</v>
      </c>
      <c r="B1614" s="1" t="s">
        <v>14191</v>
      </c>
      <c r="C1614" s="1" t="s">
        <v>13846</v>
      </c>
      <c r="F1614" s="1" t="s">
        <v>8077</v>
      </c>
      <c r="G1614" s="1" t="s">
        <v>8079</v>
      </c>
    </row>
    <row r="1615" spans="1:7" x14ac:dyDescent="0.15">
      <c r="A1615" s="1">
        <v>2331</v>
      </c>
      <c r="B1615" s="1" t="s">
        <v>14191</v>
      </c>
      <c r="C1615" s="1" t="s">
        <v>8080</v>
      </c>
      <c r="D1615" s="1" t="s">
        <v>12593</v>
      </c>
      <c r="F1615" s="1" t="s">
        <v>8081</v>
      </c>
      <c r="G1615" s="1" t="s">
        <v>8082</v>
      </c>
    </row>
    <row r="1616" spans="1:7" x14ac:dyDescent="0.15">
      <c r="A1616" s="1">
        <v>2332</v>
      </c>
      <c r="B1616" s="1" t="s">
        <v>14191</v>
      </c>
      <c r="C1616" s="1" t="s">
        <v>13853</v>
      </c>
      <c r="E1616" s="1" t="s">
        <v>9809</v>
      </c>
      <c r="F1616" s="1" t="s">
        <v>8083</v>
      </c>
      <c r="G1616" s="1" t="s">
        <v>8084</v>
      </c>
    </row>
    <row r="1617" spans="1:7" x14ac:dyDescent="0.15">
      <c r="A1617" s="1">
        <v>2333</v>
      </c>
      <c r="B1617" s="1" t="s">
        <v>14191</v>
      </c>
      <c r="C1617" s="1" t="s">
        <v>13857</v>
      </c>
      <c r="E1617" s="1" t="s">
        <v>15819</v>
      </c>
      <c r="F1617" s="1" t="s">
        <v>8085</v>
      </c>
      <c r="G1617" s="1" t="s">
        <v>8086</v>
      </c>
    </row>
    <row r="1618" spans="1:7" x14ac:dyDescent="0.15">
      <c r="A1618" s="1">
        <v>2334</v>
      </c>
      <c r="B1618" s="1" t="s">
        <v>14191</v>
      </c>
      <c r="C1618" s="1" t="s">
        <v>13861</v>
      </c>
      <c r="E1618" s="1" t="s">
        <v>11717</v>
      </c>
      <c r="F1618" s="1" t="s">
        <v>8087</v>
      </c>
      <c r="G1618" s="1" t="s">
        <v>11719</v>
      </c>
    </row>
    <row r="1619" spans="1:7" x14ac:dyDescent="0.15">
      <c r="A1619" s="1">
        <v>2335</v>
      </c>
      <c r="B1619" s="1" t="s">
        <v>14191</v>
      </c>
      <c r="C1619" s="1" t="s">
        <v>13865</v>
      </c>
      <c r="E1619" s="1" t="s">
        <v>15823</v>
      </c>
      <c r="F1619" s="1" t="s">
        <v>8088</v>
      </c>
      <c r="G1619" s="1" t="s">
        <v>9027</v>
      </c>
    </row>
    <row r="1620" spans="1:7" x14ac:dyDescent="0.15">
      <c r="A1620" s="1">
        <v>2336</v>
      </c>
      <c r="B1620" s="1" t="s">
        <v>14191</v>
      </c>
      <c r="C1620" s="1" t="s">
        <v>13869</v>
      </c>
      <c r="E1620" s="1" t="s">
        <v>15851</v>
      </c>
      <c r="F1620" s="1" t="s">
        <v>8089</v>
      </c>
      <c r="G1620" s="1" t="s">
        <v>8090</v>
      </c>
    </row>
    <row r="1621" spans="1:7" x14ac:dyDescent="0.15">
      <c r="A1621" s="1">
        <v>2337</v>
      </c>
      <c r="B1621" s="1" t="s">
        <v>14191</v>
      </c>
      <c r="C1621" s="1" t="s">
        <v>13873</v>
      </c>
      <c r="E1621" s="1" t="s">
        <v>9476</v>
      </c>
      <c r="F1621" s="1" t="s">
        <v>8091</v>
      </c>
      <c r="G1621" s="1" t="s">
        <v>9477</v>
      </c>
    </row>
    <row r="1622" spans="1:7" x14ac:dyDescent="0.15">
      <c r="A1622" s="1">
        <v>2338</v>
      </c>
      <c r="B1622" s="1" t="s">
        <v>14191</v>
      </c>
      <c r="C1622" s="1" t="s">
        <v>13877</v>
      </c>
      <c r="E1622" s="1" t="s">
        <v>9415</v>
      </c>
      <c r="F1622" s="1" t="s">
        <v>8092</v>
      </c>
      <c r="G1622" s="1" t="s">
        <v>8093</v>
      </c>
    </row>
    <row r="1623" spans="1:7" x14ac:dyDescent="0.15">
      <c r="A1623" s="1">
        <v>2339</v>
      </c>
      <c r="B1623" s="1" t="s">
        <v>14191</v>
      </c>
      <c r="C1623" s="1" t="s">
        <v>13881</v>
      </c>
      <c r="E1623" s="1" t="s">
        <v>9832</v>
      </c>
      <c r="F1623" s="1" t="s">
        <v>8094</v>
      </c>
      <c r="G1623" s="1" t="s">
        <v>8095</v>
      </c>
    </row>
    <row r="1624" spans="1:7" x14ac:dyDescent="0.15">
      <c r="A1624" s="1">
        <v>2340</v>
      </c>
      <c r="B1624" s="1" t="s">
        <v>14191</v>
      </c>
      <c r="C1624" s="1" t="s">
        <v>13885</v>
      </c>
      <c r="E1624" s="1" t="s">
        <v>9769</v>
      </c>
      <c r="F1624" s="1" t="s">
        <v>8096</v>
      </c>
      <c r="G1624" s="1" t="s">
        <v>8097</v>
      </c>
    </row>
    <row r="1625" spans="1:7" x14ac:dyDescent="0.15">
      <c r="A1625" s="1">
        <v>2341</v>
      </c>
      <c r="B1625" s="1" t="s">
        <v>14191</v>
      </c>
      <c r="C1625" s="1" t="s">
        <v>13889</v>
      </c>
      <c r="E1625" s="1" t="s">
        <v>9499</v>
      </c>
      <c r="F1625" s="1" t="s">
        <v>8098</v>
      </c>
      <c r="G1625" s="1" t="s">
        <v>8099</v>
      </c>
    </row>
    <row r="1626" spans="1:7" x14ac:dyDescent="0.15">
      <c r="A1626" s="1">
        <v>2342</v>
      </c>
      <c r="B1626" s="1" t="s">
        <v>14191</v>
      </c>
      <c r="C1626" s="1" t="s">
        <v>13893</v>
      </c>
      <c r="E1626" s="1" t="s">
        <v>11743</v>
      </c>
      <c r="F1626" s="1" t="s">
        <v>8100</v>
      </c>
      <c r="G1626" s="1" t="s">
        <v>11745</v>
      </c>
    </row>
    <row r="1627" spans="1:7" x14ac:dyDescent="0.15">
      <c r="A1627" s="1">
        <v>2343</v>
      </c>
      <c r="B1627" s="1" t="s">
        <v>14191</v>
      </c>
      <c r="C1627" s="1" t="s">
        <v>13897</v>
      </c>
      <c r="E1627" s="1" t="s">
        <v>9514</v>
      </c>
      <c r="F1627" s="1" t="s">
        <v>8101</v>
      </c>
      <c r="G1627" s="1" t="s">
        <v>8102</v>
      </c>
    </row>
    <row r="1628" spans="1:7" x14ac:dyDescent="0.15">
      <c r="A1628" s="1">
        <v>2344</v>
      </c>
      <c r="B1628" s="1" t="s">
        <v>14191</v>
      </c>
      <c r="C1628" s="1" t="s">
        <v>13901</v>
      </c>
      <c r="E1628" s="1" t="s">
        <v>11734</v>
      </c>
      <c r="F1628" s="1" t="s">
        <v>8103</v>
      </c>
      <c r="G1628" s="1" t="s">
        <v>11735</v>
      </c>
    </row>
    <row r="1629" spans="1:7" x14ac:dyDescent="0.15">
      <c r="A1629" s="1">
        <v>2345</v>
      </c>
      <c r="B1629" s="1" t="s">
        <v>14191</v>
      </c>
      <c r="C1629" s="1" t="s">
        <v>13905</v>
      </c>
      <c r="E1629" s="1" t="s">
        <v>9532</v>
      </c>
      <c r="F1629" s="1" t="s">
        <v>8104</v>
      </c>
      <c r="G1629" s="1" t="s">
        <v>8105</v>
      </c>
    </row>
    <row r="1630" spans="1:7" x14ac:dyDescent="0.15">
      <c r="A1630" s="1">
        <v>2346</v>
      </c>
      <c r="B1630" s="1" t="s">
        <v>14191</v>
      </c>
      <c r="C1630" s="1" t="s">
        <v>13909</v>
      </c>
      <c r="E1630" s="1" t="s">
        <v>15197</v>
      </c>
      <c r="F1630" s="1" t="s">
        <v>8106</v>
      </c>
      <c r="G1630" s="1" t="s">
        <v>8107</v>
      </c>
    </row>
    <row r="1631" spans="1:7" x14ac:dyDescent="0.15">
      <c r="A1631" s="1">
        <v>2347</v>
      </c>
      <c r="B1631" s="1" t="s">
        <v>14191</v>
      </c>
      <c r="C1631" s="1" t="s">
        <v>8108</v>
      </c>
      <c r="F1631" s="1" t="s">
        <v>8109</v>
      </c>
      <c r="G1631" s="1" t="s">
        <v>8110</v>
      </c>
    </row>
    <row r="1632" spans="1:7" x14ac:dyDescent="0.15">
      <c r="A1632" s="1">
        <v>2348</v>
      </c>
      <c r="B1632" s="1" t="s">
        <v>14191</v>
      </c>
      <c r="C1632" s="1" t="s">
        <v>13293</v>
      </c>
      <c r="F1632" s="1" t="s">
        <v>8111</v>
      </c>
      <c r="G1632" s="1" t="s">
        <v>8112</v>
      </c>
    </row>
    <row r="1633" spans="1:7" x14ac:dyDescent="0.15">
      <c r="A1633" s="1">
        <v>2349</v>
      </c>
      <c r="B1633" s="1" t="s">
        <v>14191</v>
      </c>
      <c r="C1633" s="1" t="s">
        <v>10720</v>
      </c>
      <c r="F1633" s="1" t="s">
        <v>8113</v>
      </c>
      <c r="G1633" s="1" t="s">
        <v>8114</v>
      </c>
    </row>
    <row r="1634" spans="1:7" x14ac:dyDescent="0.15">
      <c r="A1634" s="1">
        <v>2350</v>
      </c>
      <c r="B1634" s="1" t="s">
        <v>14191</v>
      </c>
      <c r="C1634" s="1" t="s">
        <v>13300</v>
      </c>
      <c r="F1634" s="1" t="s">
        <v>8115</v>
      </c>
      <c r="G1634" s="1" t="s">
        <v>8116</v>
      </c>
    </row>
    <row r="1635" spans="1:7" x14ac:dyDescent="0.15">
      <c r="A1635" s="1">
        <v>2351</v>
      </c>
      <c r="B1635" s="1" t="s">
        <v>14191</v>
      </c>
      <c r="C1635" s="1" t="s">
        <v>13304</v>
      </c>
      <c r="F1635" s="1" t="s">
        <v>8117</v>
      </c>
      <c r="G1635" s="1" t="s">
        <v>8118</v>
      </c>
    </row>
    <row r="1636" spans="1:7" x14ac:dyDescent="0.15">
      <c r="A1636" s="1">
        <v>2352</v>
      </c>
      <c r="B1636" s="1" t="s">
        <v>14191</v>
      </c>
      <c r="C1636" s="1" t="s">
        <v>13308</v>
      </c>
      <c r="F1636" s="1" t="s">
        <v>10072</v>
      </c>
      <c r="G1636" s="1" t="s">
        <v>8119</v>
      </c>
    </row>
    <row r="1637" spans="1:7" x14ac:dyDescent="0.15">
      <c r="A1637" s="1">
        <v>2354</v>
      </c>
      <c r="B1637" s="1" t="s">
        <v>14191</v>
      </c>
      <c r="C1637" s="1" t="s">
        <v>10592</v>
      </c>
      <c r="D1637" s="1" t="s">
        <v>11582</v>
      </c>
      <c r="F1637" s="1" t="s">
        <v>10593</v>
      </c>
      <c r="G1637" s="1" t="s">
        <v>8120</v>
      </c>
    </row>
    <row r="1638" spans="1:7" x14ac:dyDescent="0.15">
      <c r="A1638" s="1">
        <v>2356</v>
      </c>
      <c r="B1638" s="1" t="s">
        <v>14191</v>
      </c>
      <c r="C1638" s="1" t="s">
        <v>11072</v>
      </c>
      <c r="D1638" s="1" t="s">
        <v>11582</v>
      </c>
      <c r="F1638" s="1" t="s">
        <v>11073</v>
      </c>
      <c r="G1638" s="1" t="s">
        <v>8121</v>
      </c>
    </row>
    <row r="1639" spans="1:7" x14ac:dyDescent="0.15">
      <c r="A1639" s="1">
        <v>2359</v>
      </c>
      <c r="B1639" s="1" t="s">
        <v>14191</v>
      </c>
      <c r="C1639" s="1" t="s">
        <v>9393</v>
      </c>
      <c r="D1639" s="1" t="s">
        <v>12625</v>
      </c>
      <c r="F1639" s="1" t="s">
        <v>9394</v>
      </c>
      <c r="G1639" s="1" t="s">
        <v>8122</v>
      </c>
    </row>
    <row r="1640" spans="1:7" x14ac:dyDescent="0.15">
      <c r="A1640" s="1">
        <v>2361</v>
      </c>
      <c r="B1640" s="1" t="s">
        <v>14191</v>
      </c>
      <c r="C1640" s="1" t="s">
        <v>8123</v>
      </c>
      <c r="D1640" s="1" t="s">
        <v>11582</v>
      </c>
      <c r="F1640" s="1" t="s">
        <v>8124</v>
      </c>
      <c r="G1640" s="1" t="s">
        <v>8125</v>
      </c>
    </row>
    <row r="1641" spans="1:7" x14ac:dyDescent="0.15">
      <c r="A1641" s="1">
        <v>2362</v>
      </c>
      <c r="B1641" s="1" t="s">
        <v>14191</v>
      </c>
      <c r="C1641" s="1" t="s">
        <v>8126</v>
      </c>
      <c r="D1641" s="1" t="s">
        <v>12625</v>
      </c>
      <c r="F1641" s="1" t="s">
        <v>8127</v>
      </c>
      <c r="G1641" s="1" t="s">
        <v>8128</v>
      </c>
    </row>
    <row r="1642" spans="1:7" x14ac:dyDescent="0.15">
      <c r="A1642" s="1">
        <v>2363</v>
      </c>
      <c r="B1642" s="1" t="s">
        <v>14191</v>
      </c>
      <c r="C1642" s="1" t="s">
        <v>9481</v>
      </c>
      <c r="D1642" s="1" t="s">
        <v>12625</v>
      </c>
      <c r="F1642" s="1" t="s">
        <v>9482</v>
      </c>
      <c r="G1642" s="1" t="s">
        <v>8129</v>
      </c>
    </row>
    <row r="1643" spans="1:7" x14ac:dyDescent="0.15">
      <c r="A1643" s="1">
        <v>2364</v>
      </c>
      <c r="B1643" s="1" t="s">
        <v>14191</v>
      </c>
      <c r="C1643" s="1" t="s">
        <v>13312</v>
      </c>
      <c r="F1643" s="1" t="s">
        <v>8130</v>
      </c>
      <c r="G1643" s="1" t="s">
        <v>8131</v>
      </c>
    </row>
    <row r="1644" spans="1:7" x14ac:dyDescent="0.15">
      <c r="A1644" s="1">
        <v>2365</v>
      </c>
      <c r="B1644" s="1" t="s">
        <v>14191</v>
      </c>
      <c r="C1644" s="1" t="s">
        <v>10728</v>
      </c>
      <c r="F1644" s="1" t="s">
        <v>10729</v>
      </c>
      <c r="G1644" s="1" t="s">
        <v>8132</v>
      </c>
    </row>
    <row r="1645" spans="1:7" x14ac:dyDescent="0.15">
      <c r="A1645" s="1">
        <v>2366</v>
      </c>
      <c r="B1645" s="1" t="s">
        <v>14191</v>
      </c>
      <c r="C1645" s="1" t="s">
        <v>13320</v>
      </c>
      <c r="F1645" s="1" t="s">
        <v>8133</v>
      </c>
      <c r="G1645" s="1" t="s">
        <v>8134</v>
      </c>
    </row>
    <row r="1646" spans="1:7" x14ac:dyDescent="0.15">
      <c r="A1646" s="1">
        <v>2367</v>
      </c>
      <c r="B1646" s="1" t="s">
        <v>14191</v>
      </c>
      <c r="C1646" s="1" t="s">
        <v>13324</v>
      </c>
      <c r="F1646" s="1" t="s">
        <v>8135</v>
      </c>
      <c r="G1646" s="1" t="s">
        <v>8136</v>
      </c>
    </row>
    <row r="1647" spans="1:7" x14ac:dyDescent="0.15">
      <c r="A1647" s="1">
        <v>2368</v>
      </c>
      <c r="B1647" s="1" t="s">
        <v>14191</v>
      </c>
      <c r="C1647" s="1" t="s">
        <v>13328</v>
      </c>
      <c r="F1647" s="1" t="s">
        <v>8137</v>
      </c>
      <c r="G1647" s="1" t="s">
        <v>8138</v>
      </c>
    </row>
    <row r="1648" spans="1:7" x14ac:dyDescent="0.15">
      <c r="A1648" s="1">
        <v>2369</v>
      </c>
      <c r="B1648" s="1" t="s">
        <v>14191</v>
      </c>
      <c r="C1648" s="1" t="s">
        <v>13332</v>
      </c>
      <c r="F1648" s="1" t="s">
        <v>8139</v>
      </c>
      <c r="G1648" s="1" t="s">
        <v>8140</v>
      </c>
    </row>
    <row r="1649" spans="1:7" x14ac:dyDescent="0.15">
      <c r="A1649" s="1">
        <v>2371</v>
      </c>
      <c r="B1649" s="1" t="s">
        <v>14191</v>
      </c>
      <c r="C1649" s="1" t="s">
        <v>13336</v>
      </c>
      <c r="F1649" s="1" t="s">
        <v>8141</v>
      </c>
      <c r="G1649" s="1" t="s">
        <v>8142</v>
      </c>
    </row>
    <row r="1650" spans="1:7" x14ac:dyDescent="0.15">
      <c r="A1650" s="1">
        <v>2372</v>
      </c>
      <c r="B1650" s="1" t="s">
        <v>14191</v>
      </c>
      <c r="C1650" s="1" t="s">
        <v>13340</v>
      </c>
      <c r="F1650" s="1" t="s">
        <v>8143</v>
      </c>
      <c r="G1650" s="1" t="s">
        <v>8144</v>
      </c>
    </row>
    <row r="1651" spans="1:7" x14ac:dyDescent="0.15">
      <c r="A1651" s="1">
        <v>2373</v>
      </c>
      <c r="B1651" s="1" t="s">
        <v>14191</v>
      </c>
      <c r="C1651" s="1" t="s">
        <v>13344</v>
      </c>
      <c r="F1651" s="1" t="s">
        <v>8145</v>
      </c>
      <c r="G1651" s="1" t="s">
        <v>8146</v>
      </c>
    </row>
    <row r="1652" spans="1:7" x14ac:dyDescent="0.15">
      <c r="A1652" s="1">
        <v>2374</v>
      </c>
      <c r="B1652" s="1" t="s">
        <v>14191</v>
      </c>
      <c r="C1652" s="1" t="s">
        <v>13348</v>
      </c>
      <c r="F1652" s="1" t="s">
        <v>8147</v>
      </c>
      <c r="G1652" s="1" t="s">
        <v>8148</v>
      </c>
    </row>
    <row r="1653" spans="1:7" x14ac:dyDescent="0.15">
      <c r="A1653" s="1">
        <v>2375</v>
      </c>
      <c r="B1653" s="1" t="s">
        <v>14191</v>
      </c>
      <c r="C1653" s="1" t="s">
        <v>13352</v>
      </c>
      <c r="F1653" s="1" t="s">
        <v>8149</v>
      </c>
      <c r="G1653" s="1" t="s">
        <v>8150</v>
      </c>
    </row>
    <row r="1654" spans="1:7" x14ac:dyDescent="0.15">
      <c r="A1654" s="1">
        <v>2376</v>
      </c>
      <c r="B1654" s="1" t="s">
        <v>14191</v>
      </c>
      <c r="C1654" s="1" t="s">
        <v>13356</v>
      </c>
      <c r="F1654" s="1" t="s">
        <v>8151</v>
      </c>
      <c r="G1654" s="1" t="s">
        <v>8152</v>
      </c>
    </row>
    <row r="1655" spans="1:7" x14ac:dyDescent="0.15">
      <c r="A1655" s="1">
        <v>2377</v>
      </c>
      <c r="B1655" s="1" t="s">
        <v>14191</v>
      </c>
      <c r="C1655" s="1" t="s">
        <v>13360</v>
      </c>
      <c r="F1655" s="1" t="s">
        <v>8153</v>
      </c>
      <c r="G1655" s="1" t="s">
        <v>8154</v>
      </c>
    </row>
    <row r="1656" spans="1:7" x14ac:dyDescent="0.15">
      <c r="A1656" s="1">
        <v>2378</v>
      </c>
      <c r="B1656" s="1" t="s">
        <v>14191</v>
      </c>
      <c r="C1656" s="1" t="s">
        <v>13364</v>
      </c>
      <c r="F1656" s="1" t="s">
        <v>8155</v>
      </c>
      <c r="G1656" s="1" t="s">
        <v>8156</v>
      </c>
    </row>
    <row r="1657" spans="1:7" x14ac:dyDescent="0.15">
      <c r="A1657" s="1">
        <v>2379</v>
      </c>
      <c r="B1657" s="1" t="s">
        <v>14191</v>
      </c>
      <c r="C1657" s="1" t="s">
        <v>13368</v>
      </c>
      <c r="F1657" s="1" t="s">
        <v>8157</v>
      </c>
      <c r="G1657" s="1" t="s">
        <v>8158</v>
      </c>
    </row>
    <row r="1658" spans="1:7" x14ac:dyDescent="0.15">
      <c r="A1658" s="1">
        <v>2380</v>
      </c>
      <c r="B1658" s="1" t="s">
        <v>14191</v>
      </c>
      <c r="C1658" s="1" t="s">
        <v>13372</v>
      </c>
      <c r="F1658" s="1" t="s">
        <v>8159</v>
      </c>
      <c r="G1658" s="1" t="s">
        <v>8160</v>
      </c>
    </row>
    <row r="1659" spans="1:7" x14ac:dyDescent="0.15">
      <c r="A1659" s="1">
        <v>2381</v>
      </c>
      <c r="B1659" s="1" t="s">
        <v>14191</v>
      </c>
      <c r="C1659" s="1" t="s">
        <v>13376</v>
      </c>
      <c r="D1659" s="1" t="s">
        <v>11582</v>
      </c>
      <c r="F1659" s="1" t="s">
        <v>8161</v>
      </c>
      <c r="G1659" s="1" t="s">
        <v>8162</v>
      </c>
    </row>
    <row r="1660" spans="1:7" x14ac:dyDescent="0.15">
      <c r="A1660" s="1">
        <v>2382</v>
      </c>
      <c r="B1660" s="1" t="s">
        <v>14191</v>
      </c>
      <c r="C1660" s="1" t="s">
        <v>8163</v>
      </c>
      <c r="D1660" s="1" t="s">
        <v>12625</v>
      </c>
      <c r="F1660" s="1" t="s">
        <v>8164</v>
      </c>
      <c r="G1660" s="1" t="s">
        <v>8165</v>
      </c>
    </row>
    <row r="1661" spans="1:7" x14ac:dyDescent="0.15">
      <c r="A1661" s="1">
        <v>2383</v>
      </c>
      <c r="B1661" s="1" t="s">
        <v>14191</v>
      </c>
      <c r="C1661" s="1" t="s">
        <v>8166</v>
      </c>
      <c r="D1661" s="1" t="s">
        <v>12625</v>
      </c>
      <c r="F1661" s="1" t="s">
        <v>8167</v>
      </c>
      <c r="G1661" s="1" t="s">
        <v>8168</v>
      </c>
    </row>
    <row r="1662" spans="1:7" x14ac:dyDescent="0.15">
      <c r="A1662" s="1">
        <v>2384</v>
      </c>
      <c r="B1662" s="1" t="s">
        <v>14191</v>
      </c>
      <c r="C1662" s="1" t="s">
        <v>8169</v>
      </c>
      <c r="D1662" s="1" t="s">
        <v>12625</v>
      </c>
      <c r="F1662" s="1" t="s">
        <v>8170</v>
      </c>
      <c r="G1662" s="1" t="s">
        <v>8171</v>
      </c>
    </row>
    <row r="1663" spans="1:7" x14ac:dyDescent="0.15">
      <c r="A1663" s="1">
        <v>2385</v>
      </c>
      <c r="B1663" s="1" t="s">
        <v>14191</v>
      </c>
      <c r="C1663" s="1" t="s">
        <v>13380</v>
      </c>
      <c r="F1663" s="1" t="s">
        <v>8172</v>
      </c>
      <c r="G1663" s="1" t="s">
        <v>8173</v>
      </c>
    </row>
    <row r="1664" spans="1:7" x14ac:dyDescent="0.15">
      <c r="A1664" s="1">
        <v>2386</v>
      </c>
      <c r="B1664" s="1" t="s">
        <v>14191</v>
      </c>
      <c r="C1664" s="1" t="s">
        <v>8174</v>
      </c>
      <c r="F1664" s="1" t="s">
        <v>8175</v>
      </c>
      <c r="G1664" s="1" t="s">
        <v>8176</v>
      </c>
    </row>
    <row r="1665" spans="1:7" x14ac:dyDescent="0.15">
      <c r="A1665" s="1">
        <v>2387</v>
      </c>
      <c r="B1665" s="1" t="s">
        <v>14191</v>
      </c>
      <c r="C1665" s="1" t="s">
        <v>13388</v>
      </c>
      <c r="F1665" s="1" t="s">
        <v>8175</v>
      </c>
      <c r="G1665" s="1" t="s">
        <v>8177</v>
      </c>
    </row>
    <row r="1666" spans="1:7" x14ac:dyDescent="0.15">
      <c r="A1666" s="1">
        <v>2388</v>
      </c>
      <c r="B1666" s="1" t="s">
        <v>14191</v>
      </c>
      <c r="C1666" s="1" t="s">
        <v>8178</v>
      </c>
      <c r="F1666" s="1" t="s">
        <v>8179</v>
      </c>
      <c r="G1666" s="1" t="s">
        <v>8180</v>
      </c>
    </row>
    <row r="1667" spans="1:7" x14ac:dyDescent="0.15">
      <c r="A1667" s="1">
        <v>2389</v>
      </c>
      <c r="B1667" s="1" t="s">
        <v>14191</v>
      </c>
      <c r="C1667" s="1" t="s">
        <v>13396</v>
      </c>
      <c r="F1667" s="1" t="s">
        <v>8181</v>
      </c>
      <c r="G1667" s="1" t="s">
        <v>8182</v>
      </c>
    </row>
    <row r="1668" spans="1:7" x14ac:dyDescent="0.15">
      <c r="A1668" s="1">
        <v>2390</v>
      </c>
      <c r="B1668" s="1" t="s">
        <v>14191</v>
      </c>
      <c r="C1668" s="1" t="s">
        <v>13400</v>
      </c>
      <c r="F1668" s="1" t="s">
        <v>8183</v>
      </c>
      <c r="G1668" s="1" t="s">
        <v>7871</v>
      </c>
    </row>
    <row r="1669" spans="1:7" x14ac:dyDescent="0.15">
      <c r="A1669" s="1">
        <v>2391</v>
      </c>
      <c r="B1669" s="1" t="s">
        <v>14191</v>
      </c>
      <c r="C1669" s="1" t="s">
        <v>13404</v>
      </c>
      <c r="F1669" s="1" t="s">
        <v>7872</v>
      </c>
      <c r="G1669" s="1" t="s">
        <v>7873</v>
      </c>
    </row>
    <row r="1670" spans="1:7" x14ac:dyDescent="0.15">
      <c r="A1670" s="1">
        <v>2392</v>
      </c>
      <c r="B1670" s="1" t="s">
        <v>14191</v>
      </c>
      <c r="C1670" s="1" t="s">
        <v>13408</v>
      </c>
      <c r="F1670" s="1" t="s">
        <v>7874</v>
      </c>
      <c r="G1670" s="1" t="s">
        <v>7875</v>
      </c>
    </row>
    <row r="1671" spans="1:7" x14ac:dyDescent="0.15">
      <c r="A1671" s="1">
        <v>2393</v>
      </c>
      <c r="B1671" s="1" t="s">
        <v>14191</v>
      </c>
      <c r="C1671" s="1" t="s">
        <v>13412</v>
      </c>
      <c r="F1671" s="1" t="s">
        <v>7876</v>
      </c>
      <c r="G1671" s="1" t="s">
        <v>7877</v>
      </c>
    </row>
    <row r="1672" spans="1:7" x14ac:dyDescent="0.15">
      <c r="A1672" s="1">
        <v>2394</v>
      </c>
      <c r="B1672" s="1" t="s">
        <v>14191</v>
      </c>
      <c r="C1672" s="1" t="s">
        <v>7878</v>
      </c>
      <c r="F1672" s="1" t="s">
        <v>7879</v>
      </c>
      <c r="G1672" s="1" t="s">
        <v>7880</v>
      </c>
    </row>
    <row r="1673" spans="1:7" x14ac:dyDescent="0.15">
      <c r="A1673" s="1">
        <v>2395</v>
      </c>
      <c r="B1673" s="1" t="s">
        <v>14191</v>
      </c>
      <c r="C1673" s="1" t="s">
        <v>13420</v>
      </c>
      <c r="F1673" s="1" t="s">
        <v>7879</v>
      </c>
      <c r="G1673" s="1" t="s">
        <v>7881</v>
      </c>
    </row>
    <row r="1674" spans="1:7" x14ac:dyDescent="0.15">
      <c r="A1674" s="1">
        <v>2396</v>
      </c>
      <c r="B1674" s="1" t="s">
        <v>14191</v>
      </c>
      <c r="C1674" s="1" t="s">
        <v>7882</v>
      </c>
      <c r="F1674" s="1" t="s">
        <v>7883</v>
      </c>
      <c r="G1674" s="1" t="s">
        <v>7884</v>
      </c>
    </row>
    <row r="1675" spans="1:7" x14ac:dyDescent="0.15">
      <c r="A1675" s="1">
        <v>2397</v>
      </c>
      <c r="B1675" s="1" t="s">
        <v>14191</v>
      </c>
      <c r="C1675" s="1" t="s">
        <v>13427</v>
      </c>
      <c r="F1675" s="1" t="s">
        <v>7885</v>
      </c>
      <c r="G1675" s="1" t="s">
        <v>7886</v>
      </c>
    </row>
    <row r="1676" spans="1:7" x14ac:dyDescent="0.15">
      <c r="A1676" s="1">
        <v>2399</v>
      </c>
      <c r="B1676" s="1" t="s">
        <v>14191</v>
      </c>
      <c r="C1676" s="1" t="s">
        <v>13431</v>
      </c>
      <c r="F1676" s="1" t="s">
        <v>7887</v>
      </c>
      <c r="G1676" s="1" t="s">
        <v>7888</v>
      </c>
    </row>
    <row r="1677" spans="1:7" x14ac:dyDescent="0.15">
      <c r="A1677" s="1">
        <v>2400</v>
      </c>
      <c r="B1677" s="1" t="s">
        <v>14191</v>
      </c>
      <c r="C1677" s="1" t="s">
        <v>13435</v>
      </c>
      <c r="F1677" s="1" t="s">
        <v>7889</v>
      </c>
      <c r="G1677" s="1" t="s">
        <v>7890</v>
      </c>
    </row>
    <row r="1678" spans="1:7" x14ac:dyDescent="0.15">
      <c r="A1678" s="1">
        <v>2401</v>
      </c>
      <c r="B1678" s="1" t="s">
        <v>14191</v>
      </c>
      <c r="C1678" s="1" t="s">
        <v>7891</v>
      </c>
      <c r="D1678" s="1" t="s">
        <v>11582</v>
      </c>
      <c r="F1678" s="1" t="s">
        <v>7892</v>
      </c>
      <c r="G1678" s="1" t="s">
        <v>7893</v>
      </c>
    </row>
    <row r="1679" spans="1:7" x14ac:dyDescent="0.15">
      <c r="A1679" s="1">
        <v>2402</v>
      </c>
      <c r="B1679" s="1" t="s">
        <v>14191</v>
      </c>
      <c r="C1679" s="1" t="s">
        <v>7894</v>
      </c>
      <c r="D1679" s="1" t="s">
        <v>12625</v>
      </c>
      <c r="F1679" s="1" t="s">
        <v>7895</v>
      </c>
      <c r="G1679" s="1" t="s">
        <v>7896</v>
      </c>
    </row>
    <row r="1680" spans="1:7" x14ac:dyDescent="0.15">
      <c r="A1680" s="1">
        <v>2403</v>
      </c>
      <c r="B1680" s="1" t="s">
        <v>14191</v>
      </c>
      <c r="C1680" s="1" t="s">
        <v>7897</v>
      </c>
      <c r="D1680" s="1" t="s">
        <v>12625</v>
      </c>
      <c r="F1680" s="1" t="s">
        <v>7898</v>
      </c>
      <c r="G1680" s="1" t="s">
        <v>7899</v>
      </c>
    </row>
    <row r="1681" spans="1:7" x14ac:dyDescent="0.15">
      <c r="A1681" s="1">
        <v>2404</v>
      </c>
      <c r="B1681" s="1" t="s">
        <v>14191</v>
      </c>
      <c r="C1681" s="1" t="s">
        <v>7900</v>
      </c>
      <c r="D1681" s="1" t="s">
        <v>12625</v>
      </c>
      <c r="F1681" s="1" t="s">
        <v>7901</v>
      </c>
      <c r="G1681" s="1" t="s">
        <v>7902</v>
      </c>
    </row>
    <row r="1682" spans="1:7" x14ac:dyDescent="0.15">
      <c r="A1682" s="1">
        <v>2405</v>
      </c>
      <c r="B1682" s="1" t="s">
        <v>14191</v>
      </c>
      <c r="C1682" s="1" t="s">
        <v>7903</v>
      </c>
      <c r="D1682" s="1" t="s">
        <v>12625</v>
      </c>
      <c r="F1682" s="1" t="s">
        <v>7904</v>
      </c>
      <c r="G1682" s="1" t="s">
        <v>7905</v>
      </c>
    </row>
    <row r="1683" spans="1:7" x14ac:dyDescent="0.15">
      <c r="A1683" s="1">
        <v>2406</v>
      </c>
      <c r="B1683" s="1" t="s">
        <v>14191</v>
      </c>
      <c r="C1683" s="1" t="s">
        <v>7906</v>
      </c>
      <c r="D1683" s="1" t="s">
        <v>12625</v>
      </c>
      <c r="F1683" s="1" t="s">
        <v>7907</v>
      </c>
      <c r="G1683" s="1" t="s">
        <v>7908</v>
      </c>
    </row>
    <row r="1684" spans="1:7" x14ac:dyDescent="0.15">
      <c r="A1684" s="1">
        <v>2407</v>
      </c>
      <c r="B1684" s="1" t="s">
        <v>14191</v>
      </c>
      <c r="C1684" s="1" t="s">
        <v>13439</v>
      </c>
      <c r="F1684" s="1" t="s">
        <v>7909</v>
      </c>
      <c r="G1684" s="1" t="s">
        <v>7910</v>
      </c>
    </row>
    <row r="1685" spans="1:7" x14ac:dyDescent="0.15">
      <c r="A1685" s="1">
        <v>2408</v>
      </c>
      <c r="B1685" s="1" t="s">
        <v>14191</v>
      </c>
      <c r="C1685" s="1" t="s">
        <v>7911</v>
      </c>
      <c r="F1685" s="1" t="s">
        <v>7912</v>
      </c>
      <c r="G1685" s="1" t="s">
        <v>7913</v>
      </c>
    </row>
    <row r="1686" spans="1:7" x14ac:dyDescent="0.15">
      <c r="A1686" s="1">
        <v>2409</v>
      </c>
      <c r="B1686" s="1" t="s">
        <v>14191</v>
      </c>
      <c r="C1686" s="1" t="s">
        <v>13447</v>
      </c>
      <c r="F1686" s="1" t="s">
        <v>7912</v>
      </c>
      <c r="G1686" s="1" t="s">
        <v>7914</v>
      </c>
    </row>
    <row r="1687" spans="1:7" x14ac:dyDescent="0.15">
      <c r="A1687" s="1">
        <v>2410</v>
      </c>
      <c r="B1687" s="1" t="s">
        <v>14191</v>
      </c>
      <c r="C1687" s="1" t="s">
        <v>7915</v>
      </c>
      <c r="F1687" s="1" t="s">
        <v>7916</v>
      </c>
      <c r="G1687" s="1" t="s">
        <v>7917</v>
      </c>
    </row>
    <row r="1688" spans="1:7" x14ac:dyDescent="0.15">
      <c r="A1688" s="1">
        <v>2411</v>
      </c>
      <c r="B1688" s="1" t="s">
        <v>14191</v>
      </c>
      <c r="C1688" s="1" t="s">
        <v>13454</v>
      </c>
      <c r="F1688" s="1" t="s">
        <v>7918</v>
      </c>
      <c r="G1688" s="1" t="s">
        <v>7919</v>
      </c>
    </row>
    <row r="1689" spans="1:7" x14ac:dyDescent="0.15">
      <c r="A1689" s="1">
        <v>2413</v>
      </c>
      <c r="B1689" s="1" t="s">
        <v>14191</v>
      </c>
      <c r="C1689" s="1" t="s">
        <v>13458</v>
      </c>
      <c r="F1689" s="1" t="s">
        <v>11300</v>
      </c>
      <c r="G1689" s="1" t="s">
        <v>7920</v>
      </c>
    </row>
    <row r="1690" spans="1:7" x14ac:dyDescent="0.15">
      <c r="A1690" s="1">
        <v>2414</v>
      </c>
      <c r="B1690" s="1" t="s">
        <v>14191</v>
      </c>
      <c r="C1690" s="1" t="s">
        <v>13462</v>
      </c>
      <c r="D1690" s="1" t="s">
        <v>11582</v>
      </c>
      <c r="F1690" s="1" t="s">
        <v>9574</v>
      </c>
      <c r="G1690" s="1" t="s">
        <v>7921</v>
      </c>
    </row>
    <row r="1691" spans="1:7" x14ac:dyDescent="0.15">
      <c r="A1691" s="1">
        <v>2415</v>
      </c>
      <c r="B1691" s="1" t="s">
        <v>14191</v>
      </c>
      <c r="C1691" s="1" t="s">
        <v>13466</v>
      </c>
      <c r="D1691" s="1" t="s">
        <v>12593</v>
      </c>
      <c r="F1691" s="1" t="s">
        <v>7922</v>
      </c>
      <c r="G1691" s="1" t="s">
        <v>7923</v>
      </c>
    </row>
    <row r="1692" spans="1:7" x14ac:dyDescent="0.15">
      <c r="A1692" s="1">
        <v>2416</v>
      </c>
      <c r="B1692" s="1" t="s">
        <v>14191</v>
      </c>
      <c r="C1692" s="1" t="s">
        <v>13470</v>
      </c>
      <c r="F1692" s="1" t="s">
        <v>7924</v>
      </c>
      <c r="G1692" s="1" t="s">
        <v>7925</v>
      </c>
    </row>
    <row r="1693" spans="1:7" x14ac:dyDescent="0.15">
      <c r="A1693" s="1">
        <v>2417</v>
      </c>
      <c r="B1693" s="1" t="s">
        <v>14191</v>
      </c>
      <c r="C1693" s="1" t="s">
        <v>13474</v>
      </c>
      <c r="F1693" s="1" t="s">
        <v>7926</v>
      </c>
      <c r="G1693" s="1" t="s">
        <v>7927</v>
      </c>
    </row>
    <row r="1694" spans="1:7" x14ac:dyDescent="0.15">
      <c r="A1694" s="1">
        <v>2418</v>
      </c>
      <c r="B1694" s="1" t="s">
        <v>14191</v>
      </c>
      <c r="C1694" s="1" t="s">
        <v>13478</v>
      </c>
      <c r="F1694" s="1" t="s">
        <v>7928</v>
      </c>
      <c r="G1694" s="1" t="s">
        <v>7929</v>
      </c>
    </row>
    <row r="1695" spans="1:7" x14ac:dyDescent="0.15">
      <c r="A1695" s="1">
        <v>2419</v>
      </c>
      <c r="B1695" s="1" t="s">
        <v>14191</v>
      </c>
      <c r="C1695" s="1" t="s">
        <v>7930</v>
      </c>
      <c r="D1695" s="1" t="s">
        <v>12625</v>
      </c>
      <c r="F1695" s="1" t="s">
        <v>7931</v>
      </c>
      <c r="G1695" s="1" t="s">
        <v>7932</v>
      </c>
    </row>
    <row r="1696" spans="1:7" x14ac:dyDescent="0.15">
      <c r="A1696" s="1">
        <v>2421</v>
      </c>
      <c r="B1696" s="1" t="s">
        <v>14191</v>
      </c>
      <c r="C1696" s="1" t="s">
        <v>7933</v>
      </c>
      <c r="D1696" s="1" t="s">
        <v>12625</v>
      </c>
      <c r="F1696" s="1" t="s">
        <v>7934</v>
      </c>
      <c r="G1696" s="1" t="s">
        <v>7935</v>
      </c>
    </row>
    <row r="1697" spans="1:7" x14ac:dyDescent="0.15">
      <c r="A1697" s="1">
        <v>2422</v>
      </c>
      <c r="B1697" s="1" t="s">
        <v>14191</v>
      </c>
      <c r="C1697" s="1" t="s">
        <v>7936</v>
      </c>
      <c r="D1697" s="1" t="s">
        <v>12625</v>
      </c>
      <c r="F1697" s="1" t="s">
        <v>7937</v>
      </c>
      <c r="G1697" s="1" t="s">
        <v>7938</v>
      </c>
    </row>
    <row r="1698" spans="1:7" x14ac:dyDescent="0.15">
      <c r="A1698" s="1">
        <v>2423</v>
      </c>
      <c r="B1698" s="1" t="s">
        <v>14191</v>
      </c>
      <c r="C1698" s="1" t="s">
        <v>7939</v>
      </c>
      <c r="D1698" s="1" t="s">
        <v>12625</v>
      </c>
      <c r="F1698" s="1" t="s">
        <v>7940</v>
      </c>
      <c r="G1698" s="1" t="s">
        <v>7941</v>
      </c>
    </row>
    <row r="1699" spans="1:7" x14ac:dyDescent="0.15">
      <c r="A1699" s="1">
        <v>2424</v>
      </c>
      <c r="B1699" s="1" t="s">
        <v>14191</v>
      </c>
      <c r="C1699" s="1" t="s">
        <v>13482</v>
      </c>
      <c r="F1699" s="1" t="s">
        <v>7942</v>
      </c>
      <c r="G1699" s="1" t="s">
        <v>7943</v>
      </c>
    </row>
    <row r="1700" spans="1:7" x14ac:dyDescent="0.15">
      <c r="A1700" s="1">
        <v>2425</v>
      </c>
      <c r="B1700" s="1" t="s">
        <v>14191</v>
      </c>
      <c r="C1700" s="1" t="s">
        <v>7944</v>
      </c>
      <c r="F1700" s="1" t="s">
        <v>7945</v>
      </c>
      <c r="G1700" s="1" t="s">
        <v>7946</v>
      </c>
    </row>
    <row r="1701" spans="1:7" x14ac:dyDescent="0.15">
      <c r="A1701" s="1">
        <v>2429</v>
      </c>
      <c r="B1701" s="1" t="s">
        <v>14191</v>
      </c>
      <c r="C1701" s="1" t="s">
        <v>13490</v>
      </c>
      <c r="F1701" s="1" t="s">
        <v>8397</v>
      </c>
      <c r="G1701" s="1" t="s">
        <v>7953</v>
      </c>
    </row>
    <row r="1702" spans="1:7" x14ac:dyDescent="0.15">
      <c r="A1702" s="1">
        <v>2430</v>
      </c>
      <c r="B1702" s="1" t="s">
        <v>14191</v>
      </c>
      <c r="C1702" s="1" t="s">
        <v>13494</v>
      </c>
      <c r="F1702" s="1" t="s">
        <v>8342</v>
      </c>
      <c r="G1702" s="1" t="s">
        <v>7954</v>
      </c>
    </row>
    <row r="1703" spans="1:7" x14ac:dyDescent="0.15">
      <c r="A1703" s="1">
        <v>2431</v>
      </c>
      <c r="B1703" s="1" t="s">
        <v>14191</v>
      </c>
      <c r="C1703" s="1" t="s">
        <v>13498</v>
      </c>
      <c r="D1703" s="1" t="s">
        <v>11582</v>
      </c>
      <c r="F1703" s="1" t="s">
        <v>7955</v>
      </c>
      <c r="G1703" s="1" t="s">
        <v>7956</v>
      </c>
    </row>
    <row r="1704" spans="1:7" x14ac:dyDescent="0.15">
      <c r="A1704" s="1">
        <v>2432</v>
      </c>
      <c r="B1704" s="1" t="s">
        <v>14191</v>
      </c>
      <c r="C1704" s="1" t="s">
        <v>13502</v>
      </c>
      <c r="D1704" s="1" t="s">
        <v>11582</v>
      </c>
      <c r="F1704" s="1" t="s">
        <v>7957</v>
      </c>
      <c r="G1704" s="1" t="s">
        <v>7958</v>
      </c>
    </row>
    <row r="1705" spans="1:7" x14ac:dyDescent="0.15">
      <c r="A1705" s="1">
        <v>2433</v>
      </c>
      <c r="B1705" s="1" t="s">
        <v>14191</v>
      </c>
      <c r="C1705" s="1" t="s">
        <v>13506</v>
      </c>
      <c r="F1705" s="1" t="s">
        <v>8422</v>
      </c>
      <c r="G1705" s="1" t="s">
        <v>7959</v>
      </c>
    </row>
    <row r="1706" spans="1:7" x14ac:dyDescent="0.15">
      <c r="A1706" s="1">
        <v>2434</v>
      </c>
      <c r="B1706" s="1" t="s">
        <v>14191</v>
      </c>
      <c r="C1706" s="1" t="s">
        <v>13510</v>
      </c>
      <c r="F1706" s="1" t="s">
        <v>7960</v>
      </c>
      <c r="G1706" s="1" t="s">
        <v>7961</v>
      </c>
    </row>
    <row r="1707" spans="1:7" x14ac:dyDescent="0.15">
      <c r="A1707" s="1">
        <v>2436</v>
      </c>
      <c r="B1707" s="1" t="s">
        <v>14191</v>
      </c>
      <c r="C1707" s="1" t="s">
        <v>13514</v>
      </c>
      <c r="F1707" s="1" t="s">
        <v>7962</v>
      </c>
      <c r="G1707" s="1" t="s">
        <v>7963</v>
      </c>
    </row>
    <row r="1708" spans="1:7" x14ac:dyDescent="0.15">
      <c r="A1708" s="1">
        <v>2437</v>
      </c>
      <c r="B1708" s="1" t="s">
        <v>14191</v>
      </c>
      <c r="C1708" s="1" t="s">
        <v>13518</v>
      </c>
      <c r="F1708" s="1" t="s">
        <v>7964</v>
      </c>
      <c r="G1708" s="1" t="s">
        <v>7965</v>
      </c>
    </row>
    <row r="1709" spans="1:7" x14ac:dyDescent="0.15">
      <c r="A1709" s="1">
        <v>2439</v>
      </c>
      <c r="B1709" s="1" t="s">
        <v>14191</v>
      </c>
      <c r="C1709" s="1" t="s">
        <v>13522</v>
      </c>
      <c r="F1709" s="1" t="s">
        <v>7966</v>
      </c>
      <c r="G1709" s="1" t="s">
        <v>7967</v>
      </c>
    </row>
    <row r="1710" spans="1:7" x14ac:dyDescent="0.15">
      <c r="A1710" s="1">
        <v>2440</v>
      </c>
      <c r="B1710" s="1" t="s">
        <v>14191</v>
      </c>
      <c r="C1710" s="1" t="s">
        <v>13526</v>
      </c>
      <c r="F1710" s="1" t="s">
        <v>7968</v>
      </c>
      <c r="G1710" s="1" t="s">
        <v>7969</v>
      </c>
    </row>
    <row r="1711" spans="1:7" x14ac:dyDescent="0.15">
      <c r="A1711" s="1">
        <v>2441</v>
      </c>
      <c r="B1711" s="1" t="s">
        <v>14191</v>
      </c>
      <c r="C1711" s="1" t="s">
        <v>7970</v>
      </c>
      <c r="D1711" s="1" t="s">
        <v>12625</v>
      </c>
      <c r="F1711" s="1" t="s">
        <v>7971</v>
      </c>
      <c r="G1711" s="1" t="s">
        <v>7972</v>
      </c>
    </row>
    <row r="1712" spans="1:7" x14ac:dyDescent="0.15">
      <c r="A1712" s="1">
        <v>2442</v>
      </c>
      <c r="B1712" s="1" t="s">
        <v>14191</v>
      </c>
      <c r="C1712" s="1" t="s">
        <v>7973</v>
      </c>
      <c r="D1712" s="1" t="s">
        <v>12625</v>
      </c>
      <c r="F1712" s="1" t="s">
        <v>7974</v>
      </c>
      <c r="G1712" s="1" t="s">
        <v>7975</v>
      </c>
    </row>
    <row r="1713" spans="1:7" x14ac:dyDescent="0.15">
      <c r="A1713" s="1">
        <v>2443</v>
      </c>
      <c r="B1713" s="1" t="s">
        <v>14191</v>
      </c>
      <c r="C1713" s="1" t="s">
        <v>13530</v>
      </c>
      <c r="F1713" s="1" t="s">
        <v>7976</v>
      </c>
      <c r="G1713" s="1" t="s">
        <v>7977</v>
      </c>
    </row>
    <row r="1714" spans="1:7" x14ac:dyDescent="0.15">
      <c r="A1714" s="1">
        <v>2444</v>
      </c>
      <c r="B1714" s="1" t="s">
        <v>14191</v>
      </c>
      <c r="C1714" s="1" t="s">
        <v>11651</v>
      </c>
      <c r="F1714" s="1" t="s">
        <v>11652</v>
      </c>
      <c r="G1714" s="1" t="s">
        <v>7978</v>
      </c>
    </row>
    <row r="1715" spans="1:7" x14ac:dyDescent="0.15">
      <c r="A1715" s="1">
        <v>2445</v>
      </c>
      <c r="B1715" s="1" t="s">
        <v>14191</v>
      </c>
      <c r="C1715" s="1" t="s">
        <v>13538</v>
      </c>
      <c r="F1715" s="1" t="s">
        <v>11652</v>
      </c>
      <c r="G1715" s="1" t="s">
        <v>7979</v>
      </c>
    </row>
    <row r="1716" spans="1:7" x14ac:dyDescent="0.15">
      <c r="A1716" s="1">
        <v>2447</v>
      </c>
      <c r="B1716" s="1" t="s">
        <v>14191</v>
      </c>
      <c r="C1716" s="1" t="s">
        <v>11738</v>
      </c>
      <c r="F1716" s="1" t="s">
        <v>7980</v>
      </c>
      <c r="G1716" s="1" t="s">
        <v>7981</v>
      </c>
    </row>
    <row r="1717" spans="1:7" x14ac:dyDescent="0.15">
      <c r="A1717" s="1">
        <v>2448</v>
      </c>
      <c r="B1717" s="1" t="s">
        <v>14191</v>
      </c>
      <c r="C1717" s="1" t="s">
        <v>13545</v>
      </c>
      <c r="F1717" s="1" t="s">
        <v>7982</v>
      </c>
      <c r="G1717" s="1" t="s">
        <v>7983</v>
      </c>
    </row>
    <row r="1718" spans="1:7" x14ac:dyDescent="0.15">
      <c r="A1718" s="1">
        <v>2449</v>
      </c>
      <c r="B1718" s="1" t="s">
        <v>14191</v>
      </c>
      <c r="C1718" s="1" t="s">
        <v>7984</v>
      </c>
      <c r="D1718" s="1" t="s">
        <v>12625</v>
      </c>
      <c r="F1718" s="1" t="s">
        <v>7985</v>
      </c>
      <c r="G1718" s="1" t="s">
        <v>7986</v>
      </c>
    </row>
    <row r="1719" spans="1:7" x14ac:dyDescent="0.15">
      <c r="A1719" s="1">
        <v>2450</v>
      </c>
      <c r="B1719" s="1" t="s">
        <v>14191</v>
      </c>
      <c r="C1719" s="1" t="s">
        <v>7987</v>
      </c>
      <c r="D1719" s="1" t="s">
        <v>12625</v>
      </c>
      <c r="F1719" s="1" t="s">
        <v>7988</v>
      </c>
      <c r="G1719" s="1" t="s">
        <v>7989</v>
      </c>
    </row>
    <row r="1720" spans="1:7" x14ac:dyDescent="0.15">
      <c r="A1720" s="1">
        <v>2451</v>
      </c>
      <c r="B1720" s="1" t="s">
        <v>14191</v>
      </c>
      <c r="C1720" s="1" t="s">
        <v>7990</v>
      </c>
      <c r="D1720" s="1" t="s">
        <v>12625</v>
      </c>
      <c r="F1720" s="1" t="s">
        <v>7991</v>
      </c>
      <c r="G1720" s="1" t="s">
        <v>7992</v>
      </c>
    </row>
    <row r="1721" spans="1:7" x14ac:dyDescent="0.15">
      <c r="A1721" s="1">
        <v>2452</v>
      </c>
      <c r="B1721" s="1" t="s">
        <v>14191</v>
      </c>
      <c r="C1721" s="1" t="s">
        <v>7993</v>
      </c>
      <c r="D1721" s="1" t="s">
        <v>12625</v>
      </c>
      <c r="F1721" s="1" t="s">
        <v>7994</v>
      </c>
      <c r="G1721" s="1" t="s">
        <v>7995</v>
      </c>
    </row>
    <row r="1722" spans="1:7" x14ac:dyDescent="0.15">
      <c r="A1722" s="1">
        <v>2453</v>
      </c>
      <c r="B1722" s="1" t="s">
        <v>14191</v>
      </c>
      <c r="C1722" s="1" t="s">
        <v>9525</v>
      </c>
      <c r="D1722" s="1" t="s">
        <v>12625</v>
      </c>
      <c r="F1722" s="1" t="s">
        <v>7996</v>
      </c>
      <c r="G1722" s="1" t="s">
        <v>7997</v>
      </c>
    </row>
    <row r="1723" spans="1:7" x14ac:dyDescent="0.15">
      <c r="A1723" s="1">
        <v>2454</v>
      </c>
      <c r="B1723" s="1" t="s">
        <v>14191</v>
      </c>
      <c r="C1723" s="1" t="s">
        <v>7998</v>
      </c>
      <c r="D1723" s="1" t="s">
        <v>12625</v>
      </c>
      <c r="F1723" s="1" t="s">
        <v>7999</v>
      </c>
      <c r="G1723" s="1" t="s">
        <v>8000</v>
      </c>
    </row>
    <row r="1724" spans="1:7" x14ac:dyDescent="0.15">
      <c r="A1724" s="1">
        <v>2455</v>
      </c>
      <c r="B1724" s="1" t="s">
        <v>14191</v>
      </c>
      <c r="C1724" s="1" t="s">
        <v>8001</v>
      </c>
      <c r="D1724" s="1" t="s">
        <v>12625</v>
      </c>
      <c r="F1724" s="1" t="s">
        <v>8002</v>
      </c>
      <c r="G1724" s="1" t="s">
        <v>8003</v>
      </c>
    </row>
    <row r="1725" spans="1:7" x14ac:dyDescent="0.15">
      <c r="A1725" s="1">
        <v>2456</v>
      </c>
      <c r="B1725" s="1" t="s">
        <v>14191</v>
      </c>
      <c r="C1725" s="1" t="s">
        <v>8004</v>
      </c>
      <c r="D1725" s="1" t="s">
        <v>12625</v>
      </c>
      <c r="F1725" s="1" t="s">
        <v>8005</v>
      </c>
      <c r="G1725" s="1" t="s">
        <v>8006</v>
      </c>
    </row>
    <row r="1726" spans="1:7" x14ac:dyDescent="0.15">
      <c r="A1726" s="1">
        <v>2457</v>
      </c>
      <c r="B1726" s="1" t="s">
        <v>14191</v>
      </c>
      <c r="C1726" s="1" t="s">
        <v>8007</v>
      </c>
      <c r="D1726" s="1" t="s">
        <v>12625</v>
      </c>
      <c r="F1726" s="1" t="s">
        <v>8008</v>
      </c>
      <c r="G1726" s="1" t="s">
        <v>7700</v>
      </c>
    </row>
    <row r="1727" spans="1:7" x14ac:dyDescent="0.15">
      <c r="A1727" s="1">
        <v>2458</v>
      </c>
      <c r="B1727" s="1" t="s">
        <v>14191</v>
      </c>
      <c r="C1727" s="1" t="s">
        <v>7701</v>
      </c>
      <c r="D1727" s="1" t="s">
        <v>12625</v>
      </c>
      <c r="F1727" s="1" t="s">
        <v>7702</v>
      </c>
      <c r="G1727" s="1" t="s">
        <v>7703</v>
      </c>
    </row>
    <row r="1728" spans="1:7" x14ac:dyDescent="0.15">
      <c r="A1728" s="1">
        <v>2459</v>
      </c>
      <c r="B1728" s="1" t="s">
        <v>14191</v>
      </c>
      <c r="C1728" s="1" t="s">
        <v>7704</v>
      </c>
      <c r="D1728" s="1" t="s">
        <v>12625</v>
      </c>
      <c r="F1728" s="1" t="s">
        <v>7705</v>
      </c>
      <c r="G1728" s="1" t="s">
        <v>7706</v>
      </c>
    </row>
    <row r="1729" spans="1:7" x14ac:dyDescent="0.15">
      <c r="A1729" s="1">
        <v>2460</v>
      </c>
      <c r="B1729" s="1" t="s">
        <v>14191</v>
      </c>
      <c r="C1729" s="1" t="s">
        <v>7707</v>
      </c>
      <c r="F1729" s="1" t="s">
        <v>10730</v>
      </c>
      <c r="G1729" s="1" t="s">
        <v>7708</v>
      </c>
    </row>
    <row r="1730" spans="1:7" x14ac:dyDescent="0.15">
      <c r="A1730" s="1">
        <v>2461</v>
      </c>
      <c r="B1730" s="1" t="s">
        <v>14191</v>
      </c>
      <c r="C1730" s="1" t="s">
        <v>13552</v>
      </c>
      <c r="F1730" s="1" t="s">
        <v>7709</v>
      </c>
      <c r="G1730" s="1" t="s">
        <v>7710</v>
      </c>
    </row>
    <row r="1731" spans="1:7" x14ac:dyDescent="0.15">
      <c r="A1731" s="1">
        <v>2463</v>
      </c>
      <c r="B1731" s="1" t="s">
        <v>14191</v>
      </c>
      <c r="C1731" s="1" t="s">
        <v>7711</v>
      </c>
      <c r="D1731" s="1" t="s">
        <v>11582</v>
      </c>
      <c r="F1731" s="1" t="s">
        <v>7712</v>
      </c>
      <c r="G1731" s="1" t="s">
        <v>7713</v>
      </c>
    </row>
    <row r="1732" spans="1:7" x14ac:dyDescent="0.15">
      <c r="A1732" s="1">
        <v>2464</v>
      </c>
      <c r="B1732" s="1" t="s">
        <v>14191</v>
      </c>
      <c r="C1732" s="1" t="s">
        <v>7714</v>
      </c>
      <c r="D1732" s="1" t="s">
        <v>12625</v>
      </c>
      <c r="F1732" s="1" t="s">
        <v>7715</v>
      </c>
      <c r="G1732" s="1" t="s">
        <v>7716</v>
      </c>
    </row>
    <row r="1733" spans="1:7" x14ac:dyDescent="0.15">
      <c r="A1733" s="1">
        <v>2465</v>
      </c>
      <c r="B1733" s="1" t="s">
        <v>14191</v>
      </c>
      <c r="C1733" s="1" t="s">
        <v>7717</v>
      </c>
      <c r="D1733" s="1" t="s">
        <v>12625</v>
      </c>
      <c r="F1733" s="1" t="s">
        <v>7718</v>
      </c>
      <c r="G1733" s="1" t="s">
        <v>7719</v>
      </c>
    </row>
    <row r="1734" spans="1:7" x14ac:dyDescent="0.15">
      <c r="A1734" s="1">
        <v>2466</v>
      </c>
      <c r="B1734" s="1" t="s">
        <v>14191</v>
      </c>
      <c r="C1734" s="1" t="s">
        <v>7720</v>
      </c>
      <c r="F1734" s="1" t="s">
        <v>7721</v>
      </c>
      <c r="G1734" s="1" t="s">
        <v>7722</v>
      </c>
    </row>
    <row r="1735" spans="1:7" x14ac:dyDescent="0.15">
      <c r="A1735" s="1">
        <v>2467</v>
      </c>
      <c r="B1735" s="1" t="s">
        <v>14191</v>
      </c>
      <c r="C1735" s="1" t="s">
        <v>13560</v>
      </c>
      <c r="D1735" s="1" t="s">
        <v>12593</v>
      </c>
      <c r="F1735" s="1" t="s">
        <v>7723</v>
      </c>
      <c r="G1735" s="1" t="s">
        <v>7724</v>
      </c>
    </row>
    <row r="1736" spans="1:7" x14ac:dyDescent="0.15">
      <c r="A1736" s="1">
        <v>2468</v>
      </c>
      <c r="B1736" s="1" t="s">
        <v>14191</v>
      </c>
      <c r="C1736" s="1" t="s">
        <v>13564</v>
      </c>
      <c r="D1736" s="1" t="s">
        <v>11582</v>
      </c>
      <c r="F1736" s="1" t="s">
        <v>7725</v>
      </c>
      <c r="G1736" s="1" t="s">
        <v>7726</v>
      </c>
    </row>
    <row r="1737" spans="1:7" x14ac:dyDescent="0.15">
      <c r="A1737" s="1">
        <v>2469</v>
      </c>
      <c r="B1737" s="1" t="s">
        <v>14191</v>
      </c>
      <c r="C1737" s="1" t="s">
        <v>13568</v>
      </c>
      <c r="F1737" s="1" t="s">
        <v>7727</v>
      </c>
      <c r="G1737" s="1" t="s">
        <v>7728</v>
      </c>
    </row>
    <row r="1738" spans="1:7" x14ac:dyDescent="0.15">
      <c r="A1738" s="1">
        <v>2470</v>
      </c>
      <c r="B1738" s="1" t="s">
        <v>14191</v>
      </c>
      <c r="C1738" s="1" t="s">
        <v>13572</v>
      </c>
      <c r="D1738" s="1" t="s">
        <v>11582</v>
      </c>
      <c r="F1738" s="1" t="s">
        <v>7729</v>
      </c>
      <c r="G1738" s="1" t="s">
        <v>7730</v>
      </c>
    </row>
    <row r="1739" spans="1:7" x14ac:dyDescent="0.15">
      <c r="A1739" s="1">
        <v>2471</v>
      </c>
      <c r="B1739" s="1" t="s">
        <v>14191</v>
      </c>
      <c r="C1739" s="1" t="s">
        <v>13576</v>
      </c>
      <c r="D1739" s="1" t="s">
        <v>11582</v>
      </c>
      <c r="F1739" s="1" t="s">
        <v>7731</v>
      </c>
      <c r="G1739" s="1" t="s">
        <v>7732</v>
      </c>
    </row>
    <row r="1740" spans="1:7" x14ac:dyDescent="0.15">
      <c r="A1740" s="1">
        <v>2472</v>
      </c>
      <c r="B1740" s="1" t="s">
        <v>14191</v>
      </c>
      <c r="C1740" s="1" t="s">
        <v>11160</v>
      </c>
      <c r="D1740" s="1" t="s">
        <v>12625</v>
      </c>
      <c r="F1740" s="1" t="s">
        <v>11161</v>
      </c>
      <c r="G1740" s="1" t="s">
        <v>7733</v>
      </c>
    </row>
    <row r="1741" spans="1:7" x14ac:dyDescent="0.15">
      <c r="A1741" s="1">
        <v>2473</v>
      </c>
      <c r="B1741" s="1" t="s">
        <v>14191</v>
      </c>
      <c r="C1741" s="1" t="s">
        <v>7734</v>
      </c>
      <c r="D1741" s="1" t="s">
        <v>12625</v>
      </c>
      <c r="F1741" s="1" t="s">
        <v>7735</v>
      </c>
      <c r="G1741" s="1" t="s">
        <v>7736</v>
      </c>
    </row>
    <row r="1742" spans="1:7" x14ac:dyDescent="0.15">
      <c r="A1742" s="1">
        <v>2474</v>
      </c>
      <c r="B1742" s="1" t="s">
        <v>14191</v>
      </c>
      <c r="C1742" s="1" t="s">
        <v>10028</v>
      </c>
      <c r="D1742" s="1" t="s">
        <v>12625</v>
      </c>
      <c r="F1742" s="1" t="s">
        <v>7737</v>
      </c>
      <c r="G1742" s="1" t="s">
        <v>7738</v>
      </c>
    </row>
    <row r="1743" spans="1:7" x14ac:dyDescent="0.15">
      <c r="A1743" s="1">
        <v>2476</v>
      </c>
      <c r="B1743" s="1" t="s">
        <v>14191</v>
      </c>
      <c r="C1743" s="1" t="s">
        <v>7739</v>
      </c>
      <c r="D1743" s="1" t="s">
        <v>11582</v>
      </c>
      <c r="F1743" s="1" t="s">
        <v>7740</v>
      </c>
      <c r="G1743" s="1" t="s">
        <v>7741</v>
      </c>
    </row>
    <row r="1744" spans="1:7" x14ac:dyDescent="0.15">
      <c r="A1744" s="1">
        <v>2477</v>
      </c>
      <c r="B1744" s="1" t="s">
        <v>14191</v>
      </c>
      <c r="C1744" s="1" t="s">
        <v>7742</v>
      </c>
      <c r="D1744" s="1" t="s">
        <v>12625</v>
      </c>
      <c r="F1744" s="1" t="s">
        <v>7743</v>
      </c>
      <c r="G1744" s="1" t="s">
        <v>7744</v>
      </c>
    </row>
    <row r="1745" spans="1:7" x14ac:dyDescent="0.15">
      <c r="A1745" s="1">
        <v>2478</v>
      </c>
      <c r="B1745" s="1" t="s">
        <v>14191</v>
      </c>
      <c r="C1745" s="1" t="s">
        <v>7745</v>
      </c>
      <c r="D1745" s="1" t="s">
        <v>12625</v>
      </c>
      <c r="F1745" s="1" t="s">
        <v>7746</v>
      </c>
      <c r="G1745" s="1" t="s">
        <v>7747</v>
      </c>
    </row>
    <row r="1746" spans="1:7" x14ac:dyDescent="0.15">
      <c r="A1746" s="1">
        <v>2479</v>
      </c>
      <c r="B1746" s="1" t="s">
        <v>14191</v>
      </c>
      <c r="C1746" s="1" t="s">
        <v>7748</v>
      </c>
      <c r="D1746" s="1" t="s">
        <v>11582</v>
      </c>
      <c r="F1746" s="1" t="s">
        <v>7749</v>
      </c>
      <c r="G1746" s="1" t="s">
        <v>7750</v>
      </c>
    </row>
    <row r="1747" spans="1:7" x14ac:dyDescent="0.15">
      <c r="A1747" s="1">
        <v>2480</v>
      </c>
      <c r="B1747" s="1" t="s">
        <v>14191</v>
      </c>
      <c r="C1747" s="1" t="s">
        <v>7751</v>
      </c>
      <c r="D1747" s="1" t="s">
        <v>12625</v>
      </c>
      <c r="F1747" s="1" t="s">
        <v>7752</v>
      </c>
      <c r="G1747" s="1" t="s">
        <v>7753</v>
      </c>
    </row>
    <row r="1748" spans="1:7" x14ac:dyDescent="0.15">
      <c r="A1748" s="1">
        <v>2481</v>
      </c>
      <c r="B1748" s="1" t="s">
        <v>14191</v>
      </c>
      <c r="C1748" s="1" t="s">
        <v>7754</v>
      </c>
      <c r="D1748" s="1" t="s">
        <v>12625</v>
      </c>
      <c r="F1748" s="1" t="s">
        <v>7755</v>
      </c>
      <c r="G1748" s="1" t="s">
        <v>7756</v>
      </c>
    </row>
    <row r="1749" spans="1:7" x14ac:dyDescent="0.15">
      <c r="A1749" s="1">
        <v>2485</v>
      </c>
      <c r="B1749" s="1" t="s">
        <v>14191</v>
      </c>
      <c r="C1749" s="1" t="s">
        <v>7760</v>
      </c>
      <c r="D1749" s="1" t="s">
        <v>12625</v>
      </c>
      <c r="F1749" s="1" t="s">
        <v>7755</v>
      </c>
      <c r="G1749" s="1" t="s">
        <v>7761</v>
      </c>
    </row>
    <row r="1750" spans="1:7" x14ac:dyDescent="0.15">
      <c r="A1750" s="1">
        <v>2486</v>
      </c>
      <c r="B1750" s="1" t="s">
        <v>14191</v>
      </c>
      <c r="C1750" s="1" t="s">
        <v>7762</v>
      </c>
      <c r="D1750" s="1" t="s">
        <v>12625</v>
      </c>
      <c r="F1750" s="1" t="s">
        <v>7763</v>
      </c>
      <c r="G1750" s="1" t="s">
        <v>7764</v>
      </c>
    </row>
    <row r="1751" spans="1:7" x14ac:dyDescent="0.15">
      <c r="A1751" s="1">
        <v>2487</v>
      </c>
      <c r="B1751" s="1" t="s">
        <v>14191</v>
      </c>
      <c r="C1751" s="1" t="s">
        <v>7765</v>
      </c>
      <c r="D1751" s="1" t="s">
        <v>12625</v>
      </c>
      <c r="F1751" s="1" t="s">
        <v>7766</v>
      </c>
      <c r="G1751" s="1" t="s">
        <v>7767</v>
      </c>
    </row>
    <row r="1752" spans="1:7" x14ac:dyDescent="0.15">
      <c r="A1752" s="1">
        <v>2488</v>
      </c>
      <c r="B1752" s="1" t="s">
        <v>14191</v>
      </c>
      <c r="C1752" s="1" t="s">
        <v>7768</v>
      </c>
      <c r="D1752" s="1" t="s">
        <v>12625</v>
      </c>
      <c r="F1752" s="1" t="s">
        <v>7769</v>
      </c>
      <c r="G1752" s="1" t="s">
        <v>7770</v>
      </c>
    </row>
    <row r="1753" spans="1:7" x14ac:dyDescent="0.15">
      <c r="A1753" s="1">
        <v>2489</v>
      </c>
      <c r="B1753" s="1" t="s">
        <v>14191</v>
      </c>
      <c r="C1753" s="1" t="s">
        <v>7771</v>
      </c>
      <c r="D1753" s="1" t="s">
        <v>11582</v>
      </c>
      <c r="F1753" s="1" t="s">
        <v>7772</v>
      </c>
      <c r="G1753" s="1" t="s">
        <v>7773</v>
      </c>
    </row>
    <row r="1754" spans="1:7" x14ac:dyDescent="0.15">
      <c r="A1754" s="1">
        <v>2490</v>
      </c>
      <c r="B1754" s="1" t="s">
        <v>14191</v>
      </c>
      <c r="C1754" s="1" t="s">
        <v>7774</v>
      </c>
      <c r="D1754" s="1" t="s">
        <v>12625</v>
      </c>
      <c r="F1754" s="1" t="s">
        <v>7775</v>
      </c>
      <c r="G1754" s="1" t="s">
        <v>7776</v>
      </c>
    </row>
    <row r="1755" spans="1:7" x14ac:dyDescent="0.15">
      <c r="A1755" s="1">
        <v>2491</v>
      </c>
      <c r="B1755" s="1" t="s">
        <v>14191</v>
      </c>
      <c r="C1755" s="1" t="s">
        <v>7777</v>
      </c>
      <c r="D1755" s="1" t="s">
        <v>12625</v>
      </c>
      <c r="F1755" s="1" t="s">
        <v>7778</v>
      </c>
      <c r="G1755" s="1" t="s">
        <v>7779</v>
      </c>
    </row>
    <row r="1756" spans="1:7" x14ac:dyDescent="0.15">
      <c r="A1756" s="1">
        <v>2492</v>
      </c>
      <c r="B1756" s="1" t="s">
        <v>14191</v>
      </c>
      <c r="C1756" s="1" t="s">
        <v>7780</v>
      </c>
      <c r="D1756" s="1" t="s">
        <v>12625</v>
      </c>
      <c r="F1756" s="1" t="s">
        <v>7781</v>
      </c>
      <c r="G1756" s="1" t="s">
        <v>7782</v>
      </c>
    </row>
    <row r="1757" spans="1:7" x14ac:dyDescent="0.15">
      <c r="A1757" s="1">
        <v>2493</v>
      </c>
      <c r="B1757" s="1" t="s">
        <v>14191</v>
      </c>
      <c r="C1757" s="1" t="s">
        <v>7783</v>
      </c>
      <c r="D1757" s="1" t="s">
        <v>12625</v>
      </c>
      <c r="F1757" s="1" t="s">
        <v>7784</v>
      </c>
      <c r="G1757" s="1" t="s">
        <v>7785</v>
      </c>
    </row>
    <row r="1758" spans="1:7" x14ac:dyDescent="0.15">
      <c r="A1758" s="1">
        <v>2494</v>
      </c>
      <c r="B1758" s="1" t="s">
        <v>14191</v>
      </c>
      <c r="C1758" s="1" t="s">
        <v>7786</v>
      </c>
      <c r="D1758" s="1" t="s">
        <v>12625</v>
      </c>
      <c r="F1758" s="1" t="s">
        <v>7787</v>
      </c>
      <c r="G1758" s="1" t="s">
        <v>7788</v>
      </c>
    </row>
    <row r="1759" spans="1:7" x14ac:dyDescent="0.15">
      <c r="A1759" s="1">
        <v>2495</v>
      </c>
      <c r="B1759" s="1" t="s">
        <v>14191</v>
      </c>
      <c r="C1759" s="1" t="s">
        <v>7789</v>
      </c>
      <c r="D1759" s="1" t="s">
        <v>12625</v>
      </c>
      <c r="F1759" s="1" t="s">
        <v>7790</v>
      </c>
      <c r="G1759" s="1" t="s">
        <v>7791</v>
      </c>
    </row>
    <row r="1760" spans="1:7" x14ac:dyDescent="0.15">
      <c r="A1760" s="1">
        <v>2496</v>
      </c>
      <c r="B1760" s="1" t="s">
        <v>14191</v>
      </c>
      <c r="C1760" s="1" t="s">
        <v>7947</v>
      </c>
      <c r="D1760" s="1" t="s">
        <v>12625</v>
      </c>
      <c r="F1760" s="1" t="s">
        <v>7948</v>
      </c>
      <c r="G1760" s="1" t="s">
        <v>7792</v>
      </c>
    </row>
    <row r="1761" spans="1:7" x14ac:dyDescent="0.15">
      <c r="A1761" s="1">
        <v>2497</v>
      </c>
      <c r="B1761" s="1" t="s">
        <v>14191</v>
      </c>
      <c r="C1761" s="1" t="s">
        <v>7793</v>
      </c>
      <c r="D1761" s="1" t="s">
        <v>11582</v>
      </c>
      <c r="F1761" s="1" t="s">
        <v>7794</v>
      </c>
      <c r="G1761" s="1" t="s">
        <v>7795</v>
      </c>
    </row>
    <row r="1762" spans="1:7" x14ac:dyDescent="0.15">
      <c r="A1762" s="1">
        <v>2498</v>
      </c>
      <c r="B1762" s="1" t="s">
        <v>14191</v>
      </c>
      <c r="C1762" s="1" t="s">
        <v>7796</v>
      </c>
      <c r="D1762" s="1" t="s">
        <v>12625</v>
      </c>
      <c r="F1762" s="1" t="s">
        <v>7797</v>
      </c>
      <c r="G1762" s="1" t="s">
        <v>7798</v>
      </c>
    </row>
    <row r="1763" spans="1:7" x14ac:dyDescent="0.15">
      <c r="A1763" s="1">
        <v>2499</v>
      </c>
      <c r="B1763" s="1" t="s">
        <v>14191</v>
      </c>
      <c r="C1763" s="1" t="s">
        <v>7799</v>
      </c>
      <c r="D1763" s="1" t="s">
        <v>12625</v>
      </c>
      <c r="F1763" s="1" t="s">
        <v>7800</v>
      </c>
      <c r="G1763" s="1" t="s">
        <v>7801</v>
      </c>
    </row>
    <row r="1764" spans="1:7" x14ac:dyDescent="0.15">
      <c r="A1764" s="1">
        <v>2500</v>
      </c>
      <c r="B1764" s="1" t="s">
        <v>14191</v>
      </c>
      <c r="C1764" s="1" t="s">
        <v>7802</v>
      </c>
      <c r="D1764" s="1" t="s">
        <v>12625</v>
      </c>
      <c r="F1764" s="1" t="s">
        <v>7803</v>
      </c>
      <c r="G1764" s="1" t="s">
        <v>7804</v>
      </c>
    </row>
    <row r="1765" spans="1:7" x14ac:dyDescent="0.15">
      <c r="A1765" s="1">
        <v>2501</v>
      </c>
      <c r="B1765" s="1" t="s">
        <v>14191</v>
      </c>
      <c r="C1765" s="1" t="s">
        <v>7949</v>
      </c>
      <c r="D1765" s="1" t="s">
        <v>12625</v>
      </c>
      <c r="F1765" s="1" t="s">
        <v>7950</v>
      </c>
      <c r="G1765" s="1" t="s">
        <v>7805</v>
      </c>
    </row>
    <row r="1766" spans="1:7" x14ac:dyDescent="0.15">
      <c r="A1766" s="1">
        <v>2502</v>
      </c>
      <c r="B1766" s="1" t="s">
        <v>14191</v>
      </c>
      <c r="C1766" s="1" t="s">
        <v>7806</v>
      </c>
      <c r="D1766" s="1" t="s">
        <v>11582</v>
      </c>
      <c r="F1766" s="1" t="s">
        <v>7807</v>
      </c>
      <c r="G1766" s="1" t="s">
        <v>7808</v>
      </c>
    </row>
    <row r="1767" spans="1:7" x14ac:dyDescent="0.15">
      <c r="A1767" s="1">
        <v>2504</v>
      </c>
      <c r="B1767" s="1" t="s">
        <v>14191</v>
      </c>
      <c r="C1767" s="1" t="s">
        <v>7809</v>
      </c>
      <c r="D1767" s="1" t="s">
        <v>12625</v>
      </c>
      <c r="F1767" s="1" t="s">
        <v>7810</v>
      </c>
      <c r="G1767" s="1" t="s">
        <v>7811</v>
      </c>
    </row>
    <row r="1768" spans="1:7" x14ac:dyDescent="0.15">
      <c r="A1768" s="1">
        <v>2505</v>
      </c>
      <c r="B1768" s="1" t="s">
        <v>14191</v>
      </c>
      <c r="C1768" s="1" t="s">
        <v>7812</v>
      </c>
      <c r="D1768" s="1" t="s">
        <v>11582</v>
      </c>
      <c r="F1768" s="1" t="s">
        <v>7813</v>
      </c>
      <c r="G1768" s="1" t="s">
        <v>7814</v>
      </c>
    </row>
    <row r="1769" spans="1:7" x14ac:dyDescent="0.15">
      <c r="A1769" s="1">
        <v>2506</v>
      </c>
      <c r="B1769" s="1" t="s">
        <v>14191</v>
      </c>
      <c r="C1769" s="1" t="s">
        <v>7815</v>
      </c>
      <c r="D1769" s="1" t="s">
        <v>12625</v>
      </c>
      <c r="F1769" s="1" t="s">
        <v>7816</v>
      </c>
      <c r="G1769" s="1" t="s">
        <v>7817</v>
      </c>
    </row>
    <row r="1770" spans="1:7" x14ac:dyDescent="0.15">
      <c r="A1770" s="1">
        <v>2507</v>
      </c>
      <c r="B1770" s="1" t="s">
        <v>14191</v>
      </c>
      <c r="C1770" s="1" t="s">
        <v>7951</v>
      </c>
      <c r="D1770" s="1" t="s">
        <v>12625</v>
      </c>
      <c r="F1770" s="1" t="s">
        <v>7952</v>
      </c>
      <c r="G1770" s="1" t="s">
        <v>7818</v>
      </c>
    </row>
    <row r="1771" spans="1:7" x14ac:dyDescent="0.15">
      <c r="A1771" s="1">
        <v>2508</v>
      </c>
      <c r="B1771" s="1" t="s">
        <v>14191</v>
      </c>
      <c r="C1771" s="1" t="s">
        <v>7819</v>
      </c>
      <c r="D1771" s="1" t="s">
        <v>12625</v>
      </c>
      <c r="F1771" s="1" t="s">
        <v>7820</v>
      </c>
      <c r="G1771" s="1" t="s">
        <v>7821</v>
      </c>
    </row>
    <row r="1772" spans="1:7" x14ac:dyDescent="0.15">
      <c r="A1772" s="1">
        <v>2509</v>
      </c>
      <c r="B1772" s="1" t="s">
        <v>14191</v>
      </c>
      <c r="C1772" s="1" t="s">
        <v>7822</v>
      </c>
      <c r="D1772" s="1" t="s">
        <v>12625</v>
      </c>
      <c r="F1772" s="1" t="s">
        <v>7823</v>
      </c>
      <c r="G1772" s="1" t="s">
        <v>7824</v>
      </c>
    </row>
    <row r="1773" spans="1:7" x14ac:dyDescent="0.15">
      <c r="A1773" s="1">
        <v>2510</v>
      </c>
      <c r="B1773" s="1" t="s">
        <v>14191</v>
      </c>
      <c r="C1773" s="1" t="s">
        <v>7825</v>
      </c>
      <c r="D1773" s="1" t="s">
        <v>12625</v>
      </c>
      <c r="F1773" s="1" t="s">
        <v>7826</v>
      </c>
      <c r="G1773" s="1" t="s">
        <v>7827</v>
      </c>
    </row>
    <row r="1774" spans="1:7" x14ac:dyDescent="0.15">
      <c r="A1774" s="1">
        <v>2511</v>
      </c>
      <c r="B1774" s="1" t="s">
        <v>14191</v>
      </c>
      <c r="C1774" s="1" t="s">
        <v>7828</v>
      </c>
      <c r="D1774" s="1" t="s">
        <v>12625</v>
      </c>
      <c r="F1774" s="1" t="s">
        <v>7829</v>
      </c>
      <c r="G1774" s="1" t="s">
        <v>7830</v>
      </c>
    </row>
    <row r="1775" spans="1:7" x14ac:dyDescent="0.15">
      <c r="A1775" s="1">
        <v>2512</v>
      </c>
      <c r="B1775" s="1" t="s">
        <v>14191</v>
      </c>
      <c r="C1775" s="1" t="s">
        <v>7831</v>
      </c>
      <c r="D1775" s="1" t="s">
        <v>12625</v>
      </c>
      <c r="F1775" s="1" t="s">
        <v>7832</v>
      </c>
      <c r="G1775" s="1" t="s">
        <v>7833</v>
      </c>
    </row>
    <row r="1776" spans="1:7" x14ac:dyDescent="0.15">
      <c r="A1776" s="1">
        <v>2513</v>
      </c>
      <c r="B1776" s="1" t="s">
        <v>14191</v>
      </c>
      <c r="C1776" s="1" t="s">
        <v>7834</v>
      </c>
      <c r="F1776" s="1" t="s">
        <v>7835</v>
      </c>
      <c r="G1776" s="1" t="s">
        <v>7836</v>
      </c>
    </row>
    <row r="1777" spans="1:7" x14ac:dyDescent="0.15">
      <c r="A1777" s="1">
        <v>2514</v>
      </c>
      <c r="B1777" s="1" t="s">
        <v>14191</v>
      </c>
      <c r="C1777" s="1" t="s">
        <v>12709</v>
      </c>
      <c r="F1777" s="1" t="s">
        <v>7835</v>
      </c>
      <c r="G1777" s="1" t="s">
        <v>7837</v>
      </c>
    </row>
    <row r="1778" spans="1:7" x14ac:dyDescent="0.15">
      <c r="A1778" s="1">
        <v>2515</v>
      </c>
      <c r="B1778" s="1" t="s">
        <v>12713</v>
      </c>
      <c r="C1778" s="1" t="s">
        <v>10646</v>
      </c>
      <c r="F1778" s="1" t="s">
        <v>7838</v>
      </c>
      <c r="G1778" s="1" t="s">
        <v>7839</v>
      </c>
    </row>
    <row r="1779" spans="1:7" x14ac:dyDescent="0.15">
      <c r="A1779" s="1">
        <v>2516</v>
      </c>
      <c r="B1779" s="1" t="s">
        <v>12713</v>
      </c>
      <c r="C1779" s="1" t="s">
        <v>7840</v>
      </c>
      <c r="F1779" s="1" t="s">
        <v>7841</v>
      </c>
      <c r="G1779" s="1" t="s">
        <v>7842</v>
      </c>
    </row>
    <row r="1780" spans="1:7" x14ac:dyDescent="0.15">
      <c r="A1780" s="1">
        <v>2517</v>
      </c>
      <c r="B1780" s="1" t="s">
        <v>12713</v>
      </c>
      <c r="C1780" s="1" t="s">
        <v>12722</v>
      </c>
      <c r="F1780" s="1" t="s">
        <v>7841</v>
      </c>
      <c r="G1780" s="1" t="s">
        <v>7843</v>
      </c>
    </row>
    <row r="1781" spans="1:7" x14ac:dyDescent="0.15">
      <c r="A1781" s="1">
        <v>2518</v>
      </c>
      <c r="B1781" s="1" t="s">
        <v>12713</v>
      </c>
      <c r="C1781" s="1" t="s">
        <v>7844</v>
      </c>
      <c r="F1781" s="1" t="s">
        <v>7845</v>
      </c>
      <c r="G1781" s="1" t="s">
        <v>7846</v>
      </c>
    </row>
    <row r="1782" spans="1:7" x14ac:dyDescent="0.15">
      <c r="A1782" s="1">
        <v>2519</v>
      </c>
      <c r="B1782" s="1" t="s">
        <v>12713</v>
      </c>
      <c r="C1782" s="1" t="s">
        <v>12730</v>
      </c>
      <c r="F1782" s="1" t="s">
        <v>11589</v>
      </c>
      <c r="G1782" s="1" t="s">
        <v>7847</v>
      </c>
    </row>
    <row r="1783" spans="1:7" x14ac:dyDescent="0.15">
      <c r="A1783" s="1">
        <v>2520</v>
      </c>
      <c r="B1783" s="1" t="s">
        <v>12713</v>
      </c>
      <c r="C1783" s="1" t="s">
        <v>12734</v>
      </c>
      <c r="F1783" s="1" t="s">
        <v>7848</v>
      </c>
      <c r="G1783" s="1" t="s">
        <v>7849</v>
      </c>
    </row>
    <row r="1784" spans="1:7" x14ac:dyDescent="0.15">
      <c r="A1784" s="1">
        <v>2521</v>
      </c>
      <c r="B1784" s="1" t="s">
        <v>12713</v>
      </c>
      <c r="C1784" s="1" t="s">
        <v>12738</v>
      </c>
      <c r="F1784" s="1" t="s">
        <v>7850</v>
      </c>
      <c r="G1784" s="1" t="s">
        <v>7851</v>
      </c>
    </row>
    <row r="1785" spans="1:7" x14ac:dyDescent="0.15">
      <c r="A1785" s="1">
        <v>2522</v>
      </c>
      <c r="B1785" s="1" t="s">
        <v>12713</v>
      </c>
      <c r="C1785" s="1" t="s">
        <v>12742</v>
      </c>
      <c r="F1785" s="1" t="s">
        <v>7852</v>
      </c>
      <c r="G1785" s="1" t="s">
        <v>7853</v>
      </c>
    </row>
    <row r="1786" spans="1:7" x14ac:dyDescent="0.15">
      <c r="A1786" s="1">
        <v>2523</v>
      </c>
      <c r="B1786" s="1" t="s">
        <v>12713</v>
      </c>
      <c r="C1786" s="1" t="s">
        <v>12746</v>
      </c>
      <c r="F1786" s="1" t="s">
        <v>11592</v>
      </c>
      <c r="G1786" s="1" t="s">
        <v>7854</v>
      </c>
    </row>
    <row r="1787" spans="1:7" x14ac:dyDescent="0.15">
      <c r="A1787" s="1">
        <v>2524</v>
      </c>
      <c r="B1787" s="1" t="s">
        <v>12713</v>
      </c>
      <c r="C1787" s="1" t="s">
        <v>12750</v>
      </c>
      <c r="F1787" s="1" t="s">
        <v>7855</v>
      </c>
      <c r="G1787" s="1" t="s">
        <v>7856</v>
      </c>
    </row>
    <row r="1788" spans="1:7" x14ac:dyDescent="0.15">
      <c r="A1788" s="1">
        <v>2525</v>
      </c>
      <c r="B1788" s="1" t="s">
        <v>12713</v>
      </c>
      <c r="C1788" s="1" t="s">
        <v>10806</v>
      </c>
      <c r="D1788" s="1" t="s">
        <v>12625</v>
      </c>
      <c r="F1788" s="1" t="s">
        <v>10807</v>
      </c>
      <c r="G1788" s="1" t="s">
        <v>7857</v>
      </c>
    </row>
    <row r="1789" spans="1:7" x14ac:dyDescent="0.15">
      <c r="A1789" s="1">
        <v>2526</v>
      </c>
      <c r="B1789" s="1" t="s">
        <v>12713</v>
      </c>
      <c r="C1789" s="1" t="s">
        <v>7858</v>
      </c>
      <c r="D1789" s="1" t="s">
        <v>12625</v>
      </c>
      <c r="F1789" s="1" t="s">
        <v>7859</v>
      </c>
      <c r="G1789" s="1" t="s">
        <v>7860</v>
      </c>
    </row>
    <row r="1790" spans="1:7" x14ac:dyDescent="0.15">
      <c r="A1790" s="1">
        <v>2527</v>
      </c>
      <c r="B1790" s="1" t="s">
        <v>12713</v>
      </c>
      <c r="C1790" s="1" t="s">
        <v>7861</v>
      </c>
      <c r="D1790" s="1" t="s">
        <v>12625</v>
      </c>
      <c r="F1790" s="1" t="s">
        <v>7862</v>
      </c>
      <c r="G1790" s="1" t="s">
        <v>7863</v>
      </c>
    </row>
    <row r="1791" spans="1:7" x14ac:dyDescent="0.15">
      <c r="A1791" s="1">
        <v>2528</v>
      </c>
      <c r="B1791" s="1" t="s">
        <v>12713</v>
      </c>
      <c r="C1791" s="1" t="s">
        <v>12754</v>
      </c>
      <c r="F1791" s="1" t="s">
        <v>7864</v>
      </c>
      <c r="G1791" s="1" t="s">
        <v>7865</v>
      </c>
    </row>
    <row r="1792" spans="1:7" x14ac:dyDescent="0.15">
      <c r="A1792" s="1">
        <v>2529</v>
      </c>
      <c r="B1792" s="1" t="s">
        <v>12713</v>
      </c>
      <c r="C1792" s="1" t="s">
        <v>7866</v>
      </c>
      <c r="F1792" s="1" t="s">
        <v>7867</v>
      </c>
      <c r="G1792" s="1" t="s">
        <v>7868</v>
      </c>
    </row>
    <row r="1793" spans="1:7" x14ac:dyDescent="0.15">
      <c r="A1793" s="1">
        <v>2530</v>
      </c>
      <c r="B1793" s="1" t="s">
        <v>12713</v>
      </c>
      <c r="C1793" s="1" t="s">
        <v>12762</v>
      </c>
      <c r="F1793" s="1" t="s">
        <v>7869</v>
      </c>
      <c r="G1793" s="1" t="s">
        <v>7870</v>
      </c>
    </row>
    <row r="1794" spans="1:7" x14ac:dyDescent="0.15">
      <c r="A1794" s="1">
        <v>2531</v>
      </c>
      <c r="B1794" s="1" t="s">
        <v>12713</v>
      </c>
      <c r="C1794" s="1" t="s">
        <v>12765</v>
      </c>
      <c r="F1794" s="1" t="s">
        <v>7505</v>
      </c>
      <c r="G1794" s="1" t="s">
        <v>7506</v>
      </c>
    </row>
    <row r="1795" spans="1:7" x14ac:dyDescent="0.15">
      <c r="A1795" s="1">
        <v>2532</v>
      </c>
      <c r="B1795" s="1" t="s">
        <v>12713</v>
      </c>
      <c r="C1795" s="1" t="s">
        <v>7507</v>
      </c>
      <c r="D1795" s="1" t="s">
        <v>12625</v>
      </c>
      <c r="F1795" s="1" t="s">
        <v>7508</v>
      </c>
      <c r="G1795" s="1" t="s">
        <v>7509</v>
      </c>
    </row>
    <row r="1796" spans="1:7" x14ac:dyDescent="0.15">
      <c r="A1796" s="1">
        <v>2534</v>
      </c>
      <c r="B1796" s="1" t="s">
        <v>12713</v>
      </c>
      <c r="C1796" s="1" t="s">
        <v>7510</v>
      </c>
      <c r="D1796" s="1" t="s">
        <v>12625</v>
      </c>
      <c r="F1796" s="1" t="s">
        <v>7511</v>
      </c>
      <c r="G1796" s="1" t="s">
        <v>7512</v>
      </c>
    </row>
    <row r="1797" spans="1:7" x14ac:dyDescent="0.15">
      <c r="A1797" s="1">
        <v>2535</v>
      </c>
      <c r="B1797" s="1" t="s">
        <v>12713</v>
      </c>
      <c r="C1797" s="1" t="s">
        <v>7513</v>
      </c>
      <c r="D1797" s="1" t="s">
        <v>12625</v>
      </c>
      <c r="F1797" s="1" t="s">
        <v>7514</v>
      </c>
      <c r="G1797" s="1" t="s">
        <v>7515</v>
      </c>
    </row>
    <row r="1798" spans="1:7" x14ac:dyDescent="0.15">
      <c r="A1798" s="1">
        <v>2536</v>
      </c>
      <c r="B1798" s="1" t="s">
        <v>12713</v>
      </c>
      <c r="C1798" s="1" t="s">
        <v>12769</v>
      </c>
      <c r="F1798" s="1" t="s">
        <v>7516</v>
      </c>
      <c r="G1798" s="1" t="s">
        <v>7517</v>
      </c>
    </row>
    <row r="1799" spans="1:7" x14ac:dyDescent="0.15">
      <c r="A1799" s="1">
        <v>2537</v>
      </c>
      <c r="B1799" s="1" t="s">
        <v>12713</v>
      </c>
      <c r="C1799" s="1" t="s">
        <v>7518</v>
      </c>
      <c r="F1799" s="1" t="s">
        <v>7519</v>
      </c>
      <c r="G1799" s="1" t="s">
        <v>7520</v>
      </c>
    </row>
    <row r="1800" spans="1:7" x14ac:dyDescent="0.15">
      <c r="A1800" s="1">
        <v>2538</v>
      </c>
      <c r="B1800" s="1" t="s">
        <v>12713</v>
      </c>
      <c r="C1800" s="1" t="s">
        <v>12777</v>
      </c>
      <c r="F1800" s="1" t="s">
        <v>7521</v>
      </c>
      <c r="G1800" s="1" t="s">
        <v>7522</v>
      </c>
    </row>
    <row r="1801" spans="1:7" x14ac:dyDescent="0.15">
      <c r="A1801" s="1">
        <v>2539</v>
      </c>
      <c r="B1801" s="1" t="s">
        <v>12713</v>
      </c>
      <c r="C1801" s="1" t="s">
        <v>12781</v>
      </c>
      <c r="F1801" s="1" t="s">
        <v>7523</v>
      </c>
      <c r="G1801" s="1" t="s">
        <v>7524</v>
      </c>
    </row>
    <row r="1802" spans="1:7" x14ac:dyDescent="0.15">
      <c r="A1802" s="1">
        <v>2540</v>
      </c>
      <c r="B1802" s="1" t="s">
        <v>12713</v>
      </c>
      <c r="C1802" s="1" t="s">
        <v>12785</v>
      </c>
      <c r="D1802" s="1" t="s">
        <v>11582</v>
      </c>
      <c r="F1802" s="1" t="s">
        <v>9671</v>
      </c>
      <c r="G1802" s="1" t="s">
        <v>7525</v>
      </c>
    </row>
    <row r="1803" spans="1:7" x14ac:dyDescent="0.15">
      <c r="A1803" s="1">
        <v>2541</v>
      </c>
      <c r="B1803" s="1" t="s">
        <v>12713</v>
      </c>
      <c r="C1803" s="1" t="s">
        <v>12789</v>
      </c>
      <c r="D1803" s="1" t="s">
        <v>11582</v>
      </c>
      <c r="F1803" s="1" t="s">
        <v>7526</v>
      </c>
      <c r="G1803" s="1" t="s">
        <v>7527</v>
      </c>
    </row>
    <row r="1804" spans="1:7" x14ac:dyDescent="0.15">
      <c r="A1804" s="1">
        <v>2542</v>
      </c>
      <c r="B1804" s="1" t="s">
        <v>12713</v>
      </c>
      <c r="C1804" s="1" t="s">
        <v>12793</v>
      </c>
      <c r="D1804" s="1" t="s">
        <v>11582</v>
      </c>
      <c r="F1804" s="1" t="s">
        <v>9677</v>
      </c>
      <c r="G1804" s="1" t="s">
        <v>7528</v>
      </c>
    </row>
    <row r="1805" spans="1:7" x14ac:dyDescent="0.15">
      <c r="A1805" s="1">
        <v>2543</v>
      </c>
      <c r="B1805" s="1" t="s">
        <v>12713</v>
      </c>
      <c r="C1805" s="1" t="s">
        <v>12797</v>
      </c>
      <c r="F1805" s="1" t="s">
        <v>7529</v>
      </c>
      <c r="G1805" s="1" t="s">
        <v>7530</v>
      </c>
    </row>
    <row r="1806" spans="1:7" x14ac:dyDescent="0.15">
      <c r="A1806" s="1">
        <v>2544</v>
      </c>
      <c r="B1806" s="1" t="s">
        <v>12713</v>
      </c>
      <c r="C1806" s="1" t="s">
        <v>12801</v>
      </c>
      <c r="F1806" s="1" t="s">
        <v>7531</v>
      </c>
      <c r="G1806" s="1" t="s">
        <v>7532</v>
      </c>
    </row>
    <row r="1807" spans="1:7" x14ac:dyDescent="0.15">
      <c r="A1807" s="1">
        <v>2545</v>
      </c>
      <c r="B1807" s="1" t="s">
        <v>12713</v>
      </c>
      <c r="C1807" s="1" t="s">
        <v>12805</v>
      </c>
      <c r="F1807" s="1" t="s">
        <v>7533</v>
      </c>
      <c r="G1807" s="1" t="s">
        <v>7534</v>
      </c>
    </row>
    <row r="1808" spans="1:7" x14ac:dyDescent="0.15">
      <c r="A1808" s="1">
        <v>2546</v>
      </c>
      <c r="B1808" s="1" t="s">
        <v>12713</v>
      </c>
      <c r="C1808" s="1" t="s">
        <v>7535</v>
      </c>
      <c r="D1808" s="1" t="s">
        <v>12625</v>
      </c>
      <c r="F1808" s="1" t="s">
        <v>7536</v>
      </c>
      <c r="G1808" s="1" t="s">
        <v>7537</v>
      </c>
    </row>
    <row r="1809" spans="1:7" x14ac:dyDescent="0.15">
      <c r="A1809" s="1">
        <v>2547</v>
      </c>
      <c r="B1809" s="1" t="s">
        <v>12713</v>
      </c>
      <c r="C1809" s="1" t="s">
        <v>7538</v>
      </c>
      <c r="D1809" s="1" t="s">
        <v>12625</v>
      </c>
      <c r="F1809" s="1" t="s">
        <v>7539</v>
      </c>
      <c r="G1809" s="1" t="s">
        <v>7540</v>
      </c>
    </row>
    <row r="1810" spans="1:7" x14ac:dyDescent="0.15">
      <c r="A1810" s="1">
        <v>2548</v>
      </c>
      <c r="B1810" s="1" t="s">
        <v>12713</v>
      </c>
      <c r="C1810" s="1" t="s">
        <v>7541</v>
      </c>
      <c r="D1810" s="1" t="s">
        <v>12625</v>
      </c>
      <c r="F1810" s="1" t="s">
        <v>7542</v>
      </c>
      <c r="G1810" s="1" t="s">
        <v>7543</v>
      </c>
    </row>
    <row r="1811" spans="1:7" x14ac:dyDescent="0.15">
      <c r="A1811" s="1">
        <v>2549</v>
      </c>
      <c r="B1811" s="1" t="s">
        <v>12713</v>
      </c>
      <c r="C1811" s="1" t="s">
        <v>12809</v>
      </c>
      <c r="F1811" s="1" t="s">
        <v>7544</v>
      </c>
      <c r="G1811" s="1" t="s">
        <v>7545</v>
      </c>
    </row>
    <row r="1812" spans="1:7" x14ac:dyDescent="0.15">
      <c r="A1812" s="1">
        <v>2550</v>
      </c>
      <c r="B1812" s="1" t="s">
        <v>12713</v>
      </c>
      <c r="C1812" s="1" t="s">
        <v>7546</v>
      </c>
      <c r="F1812" s="1" t="s">
        <v>7547</v>
      </c>
      <c r="G1812" s="1" t="s">
        <v>7548</v>
      </c>
    </row>
    <row r="1813" spans="1:7" x14ac:dyDescent="0.15">
      <c r="A1813" s="1">
        <v>2551</v>
      </c>
      <c r="B1813" s="1" t="s">
        <v>12713</v>
      </c>
      <c r="C1813" s="1" t="s">
        <v>12817</v>
      </c>
      <c r="F1813" s="1" t="s">
        <v>7547</v>
      </c>
      <c r="G1813" s="1" t="s">
        <v>7549</v>
      </c>
    </row>
    <row r="1814" spans="1:7" x14ac:dyDescent="0.15">
      <c r="A1814" s="1">
        <v>2552</v>
      </c>
      <c r="B1814" s="1" t="s">
        <v>12713</v>
      </c>
      <c r="C1814" s="1" t="s">
        <v>7550</v>
      </c>
      <c r="F1814" s="1" t="s">
        <v>8843</v>
      </c>
      <c r="G1814" s="1" t="s">
        <v>7551</v>
      </c>
    </row>
    <row r="1815" spans="1:7" x14ac:dyDescent="0.15">
      <c r="A1815" s="1">
        <v>2553</v>
      </c>
      <c r="B1815" s="1" t="s">
        <v>12713</v>
      </c>
      <c r="C1815" s="1" t="s">
        <v>12824</v>
      </c>
      <c r="F1815" s="1" t="s">
        <v>8843</v>
      </c>
      <c r="G1815" s="1" t="s">
        <v>7552</v>
      </c>
    </row>
    <row r="1816" spans="1:7" x14ac:dyDescent="0.15">
      <c r="A1816" s="1">
        <v>2554</v>
      </c>
      <c r="B1816" s="1" t="s">
        <v>12713</v>
      </c>
      <c r="C1816" s="1" t="s">
        <v>7553</v>
      </c>
      <c r="F1816" s="1" t="s">
        <v>7554</v>
      </c>
      <c r="G1816" s="1" t="s">
        <v>7555</v>
      </c>
    </row>
    <row r="1817" spans="1:7" x14ac:dyDescent="0.15">
      <c r="A1817" s="1">
        <v>2555</v>
      </c>
      <c r="B1817" s="1" t="s">
        <v>12713</v>
      </c>
      <c r="C1817" s="1" t="s">
        <v>12831</v>
      </c>
      <c r="F1817" s="1" t="s">
        <v>11600</v>
      </c>
      <c r="G1817" s="1" t="s">
        <v>7556</v>
      </c>
    </row>
    <row r="1818" spans="1:7" x14ac:dyDescent="0.15">
      <c r="A1818" s="1">
        <v>2556</v>
      </c>
      <c r="B1818" s="1" t="s">
        <v>12713</v>
      </c>
      <c r="C1818" s="1" t="s">
        <v>12835</v>
      </c>
      <c r="F1818" s="1" t="s">
        <v>7557</v>
      </c>
      <c r="G1818" s="1" t="s">
        <v>7558</v>
      </c>
    </row>
    <row r="1819" spans="1:7" x14ac:dyDescent="0.15">
      <c r="A1819" s="1">
        <v>2557</v>
      </c>
      <c r="B1819" s="1" t="s">
        <v>12713</v>
      </c>
      <c r="C1819" s="1" t="s">
        <v>11601</v>
      </c>
      <c r="D1819" s="1" t="s">
        <v>12625</v>
      </c>
      <c r="F1819" s="1" t="s">
        <v>7559</v>
      </c>
      <c r="G1819" s="1" t="s">
        <v>7560</v>
      </c>
    </row>
    <row r="1820" spans="1:7" x14ac:dyDescent="0.15">
      <c r="A1820" s="1">
        <v>2558</v>
      </c>
      <c r="B1820" s="1" t="s">
        <v>12713</v>
      </c>
      <c r="C1820" s="1" t="s">
        <v>12839</v>
      </c>
      <c r="F1820" s="1" t="s">
        <v>7561</v>
      </c>
      <c r="G1820" s="1" t="s">
        <v>7562</v>
      </c>
    </row>
    <row r="1821" spans="1:7" x14ac:dyDescent="0.15">
      <c r="A1821" s="1">
        <v>2559</v>
      </c>
      <c r="B1821" s="1" t="s">
        <v>12713</v>
      </c>
      <c r="C1821" s="1" t="s">
        <v>7563</v>
      </c>
      <c r="F1821" s="1" t="s">
        <v>7564</v>
      </c>
      <c r="G1821" s="1" t="s">
        <v>7565</v>
      </c>
    </row>
    <row r="1822" spans="1:7" x14ac:dyDescent="0.15">
      <c r="A1822" s="1">
        <v>2560</v>
      </c>
      <c r="B1822" s="1" t="s">
        <v>12713</v>
      </c>
      <c r="C1822" s="1" t="s">
        <v>12847</v>
      </c>
      <c r="F1822" s="1" t="s">
        <v>7566</v>
      </c>
      <c r="G1822" s="1" t="s">
        <v>7567</v>
      </c>
    </row>
    <row r="1823" spans="1:7" x14ac:dyDescent="0.15">
      <c r="A1823" s="1">
        <v>2561</v>
      </c>
      <c r="B1823" s="1" t="s">
        <v>12713</v>
      </c>
      <c r="C1823" s="1" t="s">
        <v>12851</v>
      </c>
      <c r="D1823" s="1" t="s">
        <v>11582</v>
      </c>
      <c r="F1823" s="1" t="s">
        <v>9181</v>
      </c>
      <c r="G1823" s="1" t="s">
        <v>7568</v>
      </c>
    </row>
    <row r="1824" spans="1:7" x14ac:dyDescent="0.15">
      <c r="A1824" s="1">
        <v>2562</v>
      </c>
      <c r="B1824" s="1" t="s">
        <v>12713</v>
      </c>
      <c r="C1824" s="1" t="s">
        <v>12855</v>
      </c>
      <c r="F1824" s="1" t="s">
        <v>7569</v>
      </c>
      <c r="G1824" s="1" t="s">
        <v>7570</v>
      </c>
    </row>
    <row r="1825" spans="1:7" x14ac:dyDescent="0.15">
      <c r="A1825" s="1">
        <v>2563</v>
      </c>
      <c r="B1825" s="1" t="s">
        <v>12713</v>
      </c>
      <c r="C1825" s="1" t="s">
        <v>12859</v>
      </c>
      <c r="F1825" s="1" t="s">
        <v>10009</v>
      </c>
      <c r="G1825" s="1" t="s">
        <v>7571</v>
      </c>
    </row>
    <row r="1826" spans="1:7" x14ac:dyDescent="0.15">
      <c r="A1826" s="1">
        <v>2564</v>
      </c>
      <c r="B1826" s="1" t="s">
        <v>12713</v>
      </c>
      <c r="C1826" s="1" t="s">
        <v>12863</v>
      </c>
      <c r="D1826" s="1" t="s">
        <v>11582</v>
      </c>
      <c r="F1826" s="1" t="s">
        <v>7572</v>
      </c>
      <c r="G1826" s="1" t="s">
        <v>7573</v>
      </c>
    </row>
    <row r="1827" spans="1:7" x14ac:dyDescent="0.15">
      <c r="A1827" s="1">
        <v>2565</v>
      </c>
      <c r="B1827" s="1" t="s">
        <v>12713</v>
      </c>
      <c r="C1827" s="1" t="s">
        <v>12867</v>
      </c>
      <c r="F1827" s="1" t="s">
        <v>8851</v>
      </c>
      <c r="G1827" s="1" t="s">
        <v>7574</v>
      </c>
    </row>
    <row r="1828" spans="1:7" x14ac:dyDescent="0.15">
      <c r="A1828" s="1">
        <v>2566</v>
      </c>
      <c r="B1828" s="1" t="s">
        <v>12713</v>
      </c>
      <c r="C1828" s="1" t="s">
        <v>12871</v>
      </c>
      <c r="F1828" s="1" t="s">
        <v>7575</v>
      </c>
      <c r="G1828" s="1" t="s">
        <v>7576</v>
      </c>
    </row>
    <row r="1829" spans="1:7" x14ac:dyDescent="0.15">
      <c r="A1829" s="1">
        <v>2567</v>
      </c>
      <c r="B1829" s="1" t="s">
        <v>12713</v>
      </c>
      <c r="C1829" s="1" t="s">
        <v>12875</v>
      </c>
      <c r="F1829" s="1" t="s">
        <v>7577</v>
      </c>
      <c r="G1829" s="1" t="s">
        <v>7578</v>
      </c>
    </row>
    <row r="1830" spans="1:7" x14ac:dyDescent="0.15">
      <c r="A1830" s="1">
        <v>2568</v>
      </c>
      <c r="B1830" s="1" t="s">
        <v>12713</v>
      </c>
      <c r="C1830" s="1" t="s">
        <v>7579</v>
      </c>
      <c r="D1830" s="1" t="s">
        <v>12625</v>
      </c>
      <c r="F1830" s="1" t="s">
        <v>7580</v>
      </c>
      <c r="G1830" s="1" t="s">
        <v>7581</v>
      </c>
    </row>
    <row r="1831" spans="1:7" x14ac:dyDescent="0.15">
      <c r="A1831" s="1">
        <v>2569</v>
      </c>
      <c r="B1831" s="1" t="s">
        <v>12713</v>
      </c>
      <c r="C1831" s="1" t="s">
        <v>12879</v>
      </c>
      <c r="F1831" s="1" t="s">
        <v>7582</v>
      </c>
      <c r="G1831" s="1" t="s">
        <v>7583</v>
      </c>
    </row>
    <row r="1832" spans="1:7" x14ac:dyDescent="0.15">
      <c r="A1832" s="1">
        <v>2570</v>
      </c>
      <c r="B1832" s="1" t="s">
        <v>12713</v>
      </c>
      <c r="C1832" s="1" t="s">
        <v>7584</v>
      </c>
      <c r="F1832" s="1" t="s">
        <v>10891</v>
      </c>
      <c r="G1832" s="1" t="s">
        <v>7585</v>
      </c>
    </row>
    <row r="1833" spans="1:7" x14ac:dyDescent="0.15">
      <c r="A1833" s="1">
        <v>2571</v>
      </c>
      <c r="B1833" s="1" t="s">
        <v>12713</v>
      </c>
      <c r="C1833" s="1" t="s">
        <v>12887</v>
      </c>
      <c r="F1833" s="1" t="s">
        <v>7586</v>
      </c>
      <c r="G1833" s="1" t="s">
        <v>7587</v>
      </c>
    </row>
    <row r="1834" spans="1:7" x14ac:dyDescent="0.15">
      <c r="A1834" s="1">
        <v>2572</v>
      </c>
      <c r="B1834" s="1" t="s">
        <v>12713</v>
      </c>
      <c r="C1834" s="1" t="s">
        <v>12891</v>
      </c>
      <c r="D1834" s="1" t="s">
        <v>12593</v>
      </c>
      <c r="F1834" s="1" t="s">
        <v>7588</v>
      </c>
      <c r="G1834" s="1" t="s">
        <v>7589</v>
      </c>
    </row>
    <row r="1835" spans="1:7" x14ac:dyDescent="0.15">
      <c r="A1835" s="1">
        <v>2573</v>
      </c>
      <c r="B1835" s="1" t="s">
        <v>12713</v>
      </c>
      <c r="C1835" s="1" t="s">
        <v>12895</v>
      </c>
      <c r="F1835" s="1" t="s">
        <v>7590</v>
      </c>
      <c r="G1835" s="1" t="s">
        <v>7591</v>
      </c>
    </row>
    <row r="1836" spans="1:7" x14ac:dyDescent="0.15">
      <c r="A1836" s="1">
        <v>2574</v>
      </c>
      <c r="B1836" s="1" t="s">
        <v>12713</v>
      </c>
      <c r="C1836" s="1" t="s">
        <v>7592</v>
      </c>
      <c r="D1836" s="1" t="s">
        <v>12625</v>
      </c>
      <c r="F1836" s="1" t="s">
        <v>7593</v>
      </c>
      <c r="G1836" s="1" t="s">
        <v>7594</v>
      </c>
    </row>
    <row r="1837" spans="1:7" x14ac:dyDescent="0.15">
      <c r="A1837" s="1">
        <v>2575</v>
      </c>
      <c r="B1837" s="1" t="s">
        <v>12713</v>
      </c>
      <c r="C1837" s="1" t="s">
        <v>7595</v>
      </c>
      <c r="D1837" s="1" t="s">
        <v>12625</v>
      </c>
      <c r="F1837" s="1" t="s">
        <v>10031</v>
      </c>
      <c r="G1837" s="1" t="s">
        <v>7596</v>
      </c>
    </row>
    <row r="1838" spans="1:7" x14ac:dyDescent="0.15">
      <c r="A1838" s="1">
        <v>2576</v>
      </c>
      <c r="B1838" s="1" t="s">
        <v>12713</v>
      </c>
      <c r="C1838" s="1" t="s">
        <v>7597</v>
      </c>
      <c r="D1838" s="1" t="s">
        <v>12625</v>
      </c>
      <c r="F1838" s="1" t="s">
        <v>7598</v>
      </c>
      <c r="G1838" s="1" t="s">
        <v>7599</v>
      </c>
    </row>
    <row r="1839" spans="1:7" x14ac:dyDescent="0.15">
      <c r="A1839" s="1">
        <v>2577</v>
      </c>
      <c r="B1839" s="1" t="s">
        <v>12713</v>
      </c>
      <c r="C1839" s="1" t="s">
        <v>12899</v>
      </c>
      <c r="F1839" s="1" t="s">
        <v>7600</v>
      </c>
      <c r="G1839" s="1" t="s">
        <v>7601</v>
      </c>
    </row>
    <row r="1840" spans="1:7" x14ac:dyDescent="0.15">
      <c r="A1840" s="1">
        <v>2578</v>
      </c>
      <c r="B1840" s="1" t="s">
        <v>12713</v>
      </c>
      <c r="C1840" s="1" t="s">
        <v>7602</v>
      </c>
      <c r="F1840" s="1" t="s">
        <v>7603</v>
      </c>
      <c r="G1840" s="1" t="s">
        <v>7604</v>
      </c>
    </row>
    <row r="1841" spans="1:7" x14ac:dyDescent="0.15">
      <c r="A1841" s="1">
        <v>2579</v>
      </c>
      <c r="B1841" s="1" t="s">
        <v>12713</v>
      </c>
      <c r="C1841" s="1" t="s">
        <v>12907</v>
      </c>
      <c r="F1841" s="1" t="s">
        <v>7605</v>
      </c>
      <c r="G1841" s="1" t="s">
        <v>7606</v>
      </c>
    </row>
    <row r="1842" spans="1:7" x14ac:dyDescent="0.15">
      <c r="A1842" s="1">
        <v>2580</v>
      </c>
      <c r="B1842" s="1" t="s">
        <v>12713</v>
      </c>
      <c r="C1842" s="1" t="s">
        <v>12910</v>
      </c>
      <c r="F1842" s="1" t="s">
        <v>7607</v>
      </c>
      <c r="G1842" s="1" t="s">
        <v>7608</v>
      </c>
    </row>
    <row r="1843" spans="1:7" x14ac:dyDescent="0.15">
      <c r="A1843" s="1">
        <v>2581</v>
      </c>
      <c r="B1843" s="1" t="s">
        <v>12713</v>
      </c>
      <c r="C1843" s="1" t="s">
        <v>12914</v>
      </c>
      <c r="F1843" s="1" t="s">
        <v>9083</v>
      </c>
      <c r="G1843" s="1" t="s">
        <v>7609</v>
      </c>
    </row>
    <row r="1844" spans="1:7" x14ac:dyDescent="0.15">
      <c r="A1844" s="1">
        <v>2582</v>
      </c>
      <c r="B1844" s="1" t="s">
        <v>12713</v>
      </c>
      <c r="C1844" s="1" t="s">
        <v>7610</v>
      </c>
      <c r="D1844" s="1" t="s">
        <v>12625</v>
      </c>
      <c r="F1844" s="1" t="s">
        <v>7611</v>
      </c>
      <c r="G1844" s="1" t="s">
        <v>7612</v>
      </c>
    </row>
    <row r="1845" spans="1:7" x14ac:dyDescent="0.15">
      <c r="A1845" s="1">
        <v>2583</v>
      </c>
      <c r="B1845" s="1" t="s">
        <v>12713</v>
      </c>
      <c r="C1845" s="1" t="s">
        <v>7613</v>
      </c>
      <c r="D1845" s="1" t="s">
        <v>12625</v>
      </c>
      <c r="F1845" s="1" t="s">
        <v>7614</v>
      </c>
      <c r="G1845" s="1" t="s">
        <v>7615</v>
      </c>
    </row>
    <row r="1846" spans="1:7" x14ac:dyDescent="0.15">
      <c r="A1846" s="1">
        <v>2584</v>
      </c>
      <c r="B1846" s="1" t="s">
        <v>12713</v>
      </c>
      <c r="C1846" s="1" t="s">
        <v>12918</v>
      </c>
      <c r="F1846" s="1" t="s">
        <v>7616</v>
      </c>
      <c r="G1846" s="1" t="s">
        <v>7617</v>
      </c>
    </row>
    <row r="1847" spans="1:7" x14ac:dyDescent="0.15">
      <c r="A1847" s="1">
        <v>2585</v>
      </c>
      <c r="B1847" s="1" t="s">
        <v>12713</v>
      </c>
      <c r="C1847" s="1" t="s">
        <v>7618</v>
      </c>
      <c r="F1847" s="1" t="s">
        <v>7619</v>
      </c>
      <c r="G1847" s="1" t="s">
        <v>7620</v>
      </c>
    </row>
    <row r="1848" spans="1:7" x14ac:dyDescent="0.15">
      <c r="A1848" s="1">
        <v>2586</v>
      </c>
      <c r="B1848" s="1" t="s">
        <v>12713</v>
      </c>
      <c r="C1848" s="1" t="s">
        <v>12926</v>
      </c>
      <c r="F1848" s="1" t="s">
        <v>8852</v>
      </c>
      <c r="G1848" s="1" t="s">
        <v>7621</v>
      </c>
    </row>
    <row r="1849" spans="1:7" x14ac:dyDescent="0.15">
      <c r="A1849" s="1">
        <v>2587</v>
      </c>
      <c r="B1849" s="1" t="s">
        <v>12713</v>
      </c>
      <c r="C1849" s="1" t="s">
        <v>10984</v>
      </c>
      <c r="F1849" s="1" t="s">
        <v>7622</v>
      </c>
      <c r="G1849" s="1" t="s">
        <v>7623</v>
      </c>
    </row>
    <row r="1850" spans="1:7" x14ac:dyDescent="0.15">
      <c r="A1850" s="1">
        <v>2589</v>
      </c>
      <c r="B1850" s="1" t="s">
        <v>12713</v>
      </c>
      <c r="C1850" s="1" t="s">
        <v>12933</v>
      </c>
      <c r="F1850" s="1" t="s">
        <v>7625</v>
      </c>
      <c r="G1850" s="1" t="s">
        <v>7626</v>
      </c>
    </row>
    <row r="1851" spans="1:7" x14ac:dyDescent="0.15">
      <c r="A1851" s="1">
        <v>2590</v>
      </c>
      <c r="B1851" s="1" t="s">
        <v>12713</v>
      </c>
      <c r="C1851" s="1" t="s">
        <v>12937</v>
      </c>
      <c r="D1851" s="1" t="s">
        <v>12593</v>
      </c>
      <c r="F1851" s="1" t="s">
        <v>7627</v>
      </c>
      <c r="G1851" s="1" t="s">
        <v>7628</v>
      </c>
    </row>
    <row r="1852" spans="1:7" x14ac:dyDescent="0.15">
      <c r="A1852" s="1">
        <v>2591</v>
      </c>
      <c r="B1852" s="1" t="s">
        <v>12713</v>
      </c>
      <c r="C1852" s="1" t="s">
        <v>12941</v>
      </c>
      <c r="D1852" s="1" t="s">
        <v>12593</v>
      </c>
      <c r="F1852" s="1" t="s">
        <v>7629</v>
      </c>
      <c r="G1852" s="1" t="s">
        <v>7630</v>
      </c>
    </row>
    <row r="1853" spans="1:7" x14ac:dyDescent="0.15">
      <c r="A1853" s="1">
        <v>2592</v>
      </c>
      <c r="B1853" s="1" t="s">
        <v>12713</v>
      </c>
      <c r="C1853" s="1" t="s">
        <v>12945</v>
      </c>
      <c r="D1853" s="1" t="s">
        <v>11582</v>
      </c>
      <c r="F1853" s="1" t="s">
        <v>7631</v>
      </c>
      <c r="G1853" s="1" t="s">
        <v>7632</v>
      </c>
    </row>
    <row r="1854" spans="1:7" x14ac:dyDescent="0.15">
      <c r="A1854" s="1">
        <v>2593</v>
      </c>
      <c r="B1854" s="1" t="s">
        <v>12713</v>
      </c>
      <c r="C1854" s="1" t="s">
        <v>12949</v>
      </c>
      <c r="D1854" s="1" t="s">
        <v>11582</v>
      </c>
      <c r="F1854" s="1" t="s">
        <v>7633</v>
      </c>
      <c r="G1854" s="1" t="s">
        <v>7634</v>
      </c>
    </row>
    <row r="1855" spans="1:7" x14ac:dyDescent="0.15">
      <c r="A1855" s="1">
        <v>2594</v>
      </c>
      <c r="B1855" s="1" t="s">
        <v>12713</v>
      </c>
      <c r="C1855" s="1" t="s">
        <v>10808</v>
      </c>
      <c r="D1855" s="1" t="s">
        <v>12625</v>
      </c>
      <c r="F1855" s="1" t="s">
        <v>10809</v>
      </c>
      <c r="G1855" s="1" t="s">
        <v>7635</v>
      </c>
    </row>
    <row r="1856" spans="1:7" x14ac:dyDescent="0.15">
      <c r="A1856" s="1">
        <v>2595</v>
      </c>
      <c r="B1856" s="1" t="s">
        <v>12713</v>
      </c>
      <c r="C1856" s="1" t="s">
        <v>7636</v>
      </c>
      <c r="D1856" s="1" t="s">
        <v>12625</v>
      </c>
      <c r="F1856" s="1" t="s">
        <v>7637</v>
      </c>
      <c r="G1856" s="1" t="s">
        <v>7638</v>
      </c>
    </row>
    <row r="1857" spans="1:7" x14ac:dyDescent="0.15">
      <c r="A1857" s="1">
        <v>2596</v>
      </c>
      <c r="B1857" s="1" t="s">
        <v>12713</v>
      </c>
      <c r="C1857" s="1" t="s">
        <v>12953</v>
      </c>
      <c r="F1857" s="1" t="s">
        <v>7639</v>
      </c>
      <c r="G1857" s="1" t="s">
        <v>7640</v>
      </c>
    </row>
    <row r="1858" spans="1:7" x14ac:dyDescent="0.15">
      <c r="A1858" s="1">
        <v>2597</v>
      </c>
      <c r="B1858" s="1" t="s">
        <v>12713</v>
      </c>
      <c r="C1858" s="1" t="s">
        <v>7641</v>
      </c>
      <c r="F1858" s="1" t="s">
        <v>7642</v>
      </c>
      <c r="G1858" s="1" t="s">
        <v>7643</v>
      </c>
    </row>
    <row r="1859" spans="1:7" x14ac:dyDescent="0.15">
      <c r="A1859" s="1">
        <v>2598</v>
      </c>
      <c r="B1859" s="1" t="s">
        <v>12713</v>
      </c>
      <c r="C1859" s="1" t="s">
        <v>11777</v>
      </c>
      <c r="F1859" s="1" t="s">
        <v>7644</v>
      </c>
      <c r="G1859" s="1" t="s">
        <v>7645</v>
      </c>
    </row>
    <row r="1860" spans="1:7" x14ac:dyDescent="0.15">
      <c r="A1860" s="1">
        <v>2600</v>
      </c>
      <c r="B1860" s="1" t="s">
        <v>12713</v>
      </c>
      <c r="C1860" s="1" t="s">
        <v>11781</v>
      </c>
      <c r="F1860" s="1" t="s">
        <v>7646</v>
      </c>
      <c r="G1860" s="1" t="s">
        <v>7647</v>
      </c>
    </row>
    <row r="1861" spans="1:7" x14ac:dyDescent="0.15">
      <c r="A1861" s="1">
        <v>2601</v>
      </c>
      <c r="B1861" s="1" t="s">
        <v>12713</v>
      </c>
      <c r="C1861" s="1" t="s">
        <v>9180</v>
      </c>
      <c r="D1861" s="1" t="s">
        <v>11582</v>
      </c>
      <c r="F1861" s="1" t="s">
        <v>9181</v>
      </c>
      <c r="G1861" s="1" t="s">
        <v>7648</v>
      </c>
    </row>
    <row r="1862" spans="1:7" x14ac:dyDescent="0.15">
      <c r="A1862" s="1">
        <v>2602</v>
      </c>
      <c r="B1862" s="1" t="s">
        <v>12713</v>
      </c>
      <c r="C1862" s="1" t="s">
        <v>11785</v>
      </c>
      <c r="F1862" s="1" t="s">
        <v>7649</v>
      </c>
      <c r="G1862" s="1" t="s">
        <v>7650</v>
      </c>
    </row>
    <row r="1863" spans="1:7" x14ac:dyDescent="0.15">
      <c r="A1863" s="1">
        <v>2603</v>
      </c>
      <c r="B1863" s="1" t="s">
        <v>12713</v>
      </c>
      <c r="C1863" s="1" t="s">
        <v>7651</v>
      </c>
      <c r="F1863" s="1" t="s">
        <v>7652</v>
      </c>
      <c r="G1863" s="1" t="s">
        <v>7653</v>
      </c>
    </row>
    <row r="1864" spans="1:7" x14ac:dyDescent="0.15">
      <c r="A1864" s="1">
        <v>2604</v>
      </c>
      <c r="B1864" s="1" t="s">
        <v>12713</v>
      </c>
      <c r="C1864" s="1" t="s">
        <v>11793</v>
      </c>
      <c r="F1864" s="1" t="s">
        <v>9997</v>
      </c>
      <c r="G1864" s="1" t="s">
        <v>7654</v>
      </c>
    </row>
    <row r="1865" spans="1:7" x14ac:dyDescent="0.15">
      <c r="A1865" s="1">
        <v>2605</v>
      </c>
      <c r="B1865" s="1" t="s">
        <v>12713</v>
      </c>
      <c r="C1865" s="1" t="s">
        <v>11797</v>
      </c>
      <c r="F1865" s="1" t="s">
        <v>10998</v>
      </c>
      <c r="G1865" s="1" t="s">
        <v>7655</v>
      </c>
    </row>
    <row r="1866" spans="1:7" x14ac:dyDescent="0.15">
      <c r="A1866" s="1">
        <v>2606</v>
      </c>
      <c r="B1866" s="1" t="s">
        <v>12713</v>
      </c>
      <c r="C1866" s="1" t="s">
        <v>11801</v>
      </c>
      <c r="F1866" s="1" t="s">
        <v>10999</v>
      </c>
      <c r="G1866" s="1" t="s">
        <v>7656</v>
      </c>
    </row>
    <row r="1867" spans="1:7" x14ac:dyDescent="0.15">
      <c r="A1867" s="1">
        <v>2607</v>
      </c>
      <c r="B1867" s="1" t="s">
        <v>12713</v>
      </c>
      <c r="C1867" s="1" t="s">
        <v>11805</v>
      </c>
      <c r="F1867" s="1" t="s">
        <v>7657</v>
      </c>
      <c r="G1867" s="1" t="s">
        <v>7658</v>
      </c>
    </row>
    <row r="1868" spans="1:7" x14ac:dyDescent="0.15">
      <c r="A1868" s="1">
        <v>2608</v>
      </c>
      <c r="B1868" s="1" t="s">
        <v>12713</v>
      </c>
      <c r="C1868" s="1" t="s">
        <v>8799</v>
      </c>
      <c r="F1868" s="1" t="s">
        <v>7659</v>
      </c>
      <c r="G1868" s="1" t="s">
        <v>7660</v>
      </c>
    </row>
    <row r="1869" spans="1:7" x14ac:dyDescent="0.15">
      <c r="A1869" s="1">
        <v>2609</v>
      </c>
      <c r="B1869" s="1" t="s">
        <v>12713</v>
      </c>
      <c r="C1869" s="1" t="s">
        <v>11813</v>
      </c>
      <c r="F1869" s="1" t="s">
        <v>7659</v>
      </c>
      <c r="G1869" s="1" t="s">
        <v>7661</v>
      </c>
    </row>
    <row r="1870" spans="1:7" x14ac:dyDescent="0.15">
      <c r="A1870" s="1">
        <v>2610</v>
      </c>
      <c r="B1870" s="1" t="s">
        <v>12713</v>
      </c>
      <c r="C1870" s="1" t="s">
        <v>7662</v>
      </c>
      <c r="F1870" s="1" t="s">
        <v>7663</v>
      </c>
      <c r="G1870" s="1" t="s">
        <v>7664</v>
      </c>
    </row>
    <row r="1871" spans="1:7" x14ac:dyDescent="0.15">
      <c r="A1871" s="1">
        <v>2611</v>
      </c>
      <c r="B1871" s="1" t="s">
        <v>12713</v>
      </c>
      <c r="C1871" s="1" t="s">
        <v>11820</v>
      </c>
      <c r="F1871" s="1" t="s">
        <v>7663</v>
      </c>
      <c r="G1871" s="1" t="s">
        <v>7665</v>
      </c>
    </row>
    <row r="1872" spans="1:7" x14ac:dyDescent="0.15">
      <c r="A1872" s="1">
        <v>2612</v>
      </c>
      <c r="B1872" s="1" t="s">
        <v>12713</v>
      </c>
      <c r="C1872" s="1" t="s">
        <v>7666</v>
      </c>
      <c r="D1872" s="1" t="s">
        <v>12625</v>
      </c>
      <c r="F1872" s="1" t="s">
        <v>7667</v>
      </c>
      <c r="G1872" s="1" t="s">
        <v>7668</v>
      </c>
    </row>
    <row r="1873" spans="1:7" x14ac:dyDescent="0.15">
      <c r="A1873" s="1">
        <v>2613</v>
      </c>
      <c r="B1873" s="1" t="s">
        <v>12713</v>
      </c>
      <c r="C1873" s="1" t="s">
        <v>7669</v>
      </c>
      <c r="D1873" s="1" t="s">
        <v>11582</v>
      </c>
      <c r="F1873" s="1" t="s">
        <v>7667</v>
      </c>
      <c r="G1873" s="1" t="s">
        <v>7670</v>
      </c>
    </row>
    <row r="1874" spans="1:7" x14ac:dyDescent="0.15">
      <c r="A1874" s="1">
        <v>2614</v>
      </c>
      <c r="B1874" s="1" t="s">
        <v>12713</v>
      </c>
      <c r="C1874" s="1" t="s">
        <v>7671</v>
      </c>
      <c r="D1874" s="1" t="s">
        <v>12625</v>
      </c>
      <c r="F1874" s="1" t="s">
        <v>7672</v>
      </c>
      <c r="G1874" s="1" t="s">
        <v>7673</v>
      </c>
    </row>
    <row r="1875" spans="1:7" x14ac:dyDescent="0.15">
      <c r="A1875" s="1">
        <v>2616</v>
      </c>
      <c r="B1875" s="1" t="s">
        <v>12713</v>
      </c>
      <c r="C1875" s="1" t="s">
        <v>9994</v>
      </c>
      <c r="D1875" s="1" t="s">
        <v>11582</v>
      </c>
      <c r="F1875" s="1" t="s">
        <v>7674</v>
      </c>
      <c r="G1875" s="1" t="s">
        <v>7675</v>
      </c>
    </row>
    <row r="1876" spans="1:7" x14ac:dyDescent="0.15">
      <c r="A1876" s="1">
        <v>2617</v>
      </c>
      <c r="B1876" s="1" t="s">
        <v>12713</v>
      </c>
      <c r="C1876" s="1" t="s">
        <v>7676</v>
      </c>
      <c r="D1876" s="1" t="s">
        <v>11582</v>
      </c>
      <c r="F1876" s="1" t="s">
        <v>7677</v>
      </c>
      <c r="G1876" s="1" t="s">
        <v>7678</v>
      </c>
    </row>
    <row r="1877" spans="1:7" x14ac:dyDescent="0.15">
      <c r="A1877" s="1">
        <v>2618</v>
      </c>
      <c r="B1877" s="1" t="s">
        <v>12713</v>
      </c>
      <c r="C1877" s="1" t="s">
        <v>9995</v>
      </c>
      <c r="D1877" s="1" t="s">
        <v>11582</v>
      </c>
      <c r="F1877" s="1" t="s">
        <v>9996</v>
      </c>
      <c r="G1877" s="1" t="s">
        <v>7679</v>
      </c>
    </row>
    <row r="1878" spans="1:7" x14ac:dyDescent="0.15">
      <c r="A1878" s="1">
        <v>2620</v>
      </c>
      <c r="B1878" s="1" t="s">
        <v>12713</v>
      </c>
      <c r="C1878" s="1" t="s">
        <v>7680</v>
      </c>
      <c r="D1878" s="1" t="s">
        <v>11582</v>
      </c>
      <c r="F1878" s="1" t="s">
        <v>7681</v>
      </c>
      <c r="G1878" s="1" t="s">
        <v>7682</v>
      </c>
    </row>
    <row r="1879" spans="1:7" x14ac:dyDescent="0.15">
      <c r="A1879" s="1">
        <v>2621</v>
      </c>
      <c r="B1879" s="1" t="s">
        <v>12713</v>
      </c>
      <c r="C1879" s="1" t="s">
        <v>7683</v>
      </c>
      <c r="F1879" s="1" t="s">
        <v>7684</v>
      </c>
      <c r="G1879" s="1" t="s">
        <v>7685</v>
      </c>
    </row>
    <row r="1880" spans="1:7" x14ac:dyDescent="0.15">
      <c r="A1880" s="1">
        <v>2622</v>
      </c>
      <c r="B1880" s="1" t="s">
        <v>12713</v>
      </c>
      <c r="C1880" s="1" t="s">
        <v>7686</v>
      </c>
      <c r="D1880" s="1" t="s">
        <v>12625</v>
      </c>
      <c r="F1880" s="1" t="s">
        <v>7687</v>
      </c>
      <c r="G1880" s="1" t="s">
        <v>7688</v>
      </c>
    </row>
    <row r="1881" spans="1:7" x14ac:dyDescent="0.15">
      <c r="A1881" s="1">
        <v>2623</v>
      </c>
      <c r="B1881" s="1" t="s">
        <v>12713</v>
      </c>
      <c r="C1881" s="1" t="s">
        <v>7689</v>
      </c>
      <c r="D1881" s="1" t="s">
        <v>11582</v>
      </c>
      <c r="F1881" s="1" t="s">
        <v>7690</v>
      </c>
      <c r="G1881" s="1" t="s">
        <v>7691</v>
      </c>
    </row>
    <row r="1882" spans="1:7" x14ac:dyDescent="0.15">
      <c r="A1882" s="1">
        <v>2624</v>
      </c>
      <c r="B1882" s="1" t="s">
        <v>12713</v>
      </c>
      <c r="C1882" s="1" t="s">
        <v>9589</v>
      </c>
      <c r="D1882" s="1" t="s">
        <v>11582</v>
      </c>
      <c r="F1882" s="1" t="s">
        <v>9590</v>
      </c>
      <c r="G1882" s="1" t="s">
        <v>7692</v>
      </c>
    </row>
    <row r="1883" spans="1:7" x14ac:dyDescent="0.15">
      <c r="A1883" s="1">
        <v>2625</v>
      </c>
      <c r="B1883" s="1" t="s">
        <v>12713</v>
      </c>
      <c r="C1883" s="1" t="s">
        <v>7693</v>
      </c>
      <c r="D1883" s="1" t="s">
        <v>11582</v>
      </c>
      <c r="F1883" s="1" t="s">
        <v>7694</v>
      </c>
      <c r="G1883" s="1" t="s">
        <v>7695</v>
      </c>
    </row>
    <row r="1884" spans="1:7" x14ac:dyDescent="0.15">
      <c r="A1884" s="1">
        <v>2626</v>
      </c>
      <c r="B1884" s="1" t="s">
        <v>12713</v>
      </c>
      <c r="C1884" s="1" t="s">
        <v>7696</v>
      </c>
      <c r="D1884" s="1" t="s">
        <v>11582</v>
      </c>
      <c r="F1884" s="1" t="s">
        <v>10084</v>
      </c>
      <c r="G1884" s="1" t="s">
        <v>7697</v>
      </c>
    </row>
    <row r="1885" spans="1:7" x14ac:dyDescent="0.15">
      <c r="A1885" s="1">
        <v>2627</v>
      </c>
      <c r="B1885" s="1" t="s">
        <v>12713</v>
      </c>
      <c r="C1885" s="1" t="s">
        <v>7698</v>
      </c>
      <c r="D1885" s="1" t="s">
        <v>12625</v>
      </c>
      <c r="F1885" s="1" t="s">
        <v>7699</v>
      </c>
      <c r="G1885" s="1" t="s">
        <v>7283</v>
      </c>
    </row>
    <row r="1886" spans="1:7" x14ac:dyDescent="0.15">
      <c r="A1886" s="1">
        <v>2628</v>
      </c>
      <c r="B1886" s="1" t="s">
        <v>12713</v>
      </c>
      <c r="C1886" s="1" t="s">
        <v>7284</v>
      </c>
      <c r="D1886" s="1" t="s">
        <v>11582</v>
      </c>
      <c r="F1886" s="1" t="s">
        <v>7285</v>
      </c>
      <c r="G1886" s="1" t="s">
        <v>7286</v>
      </c>
    </row>
    <row r="1887" spans="1:7" x14ac:dyDescent="0.15">
      <c r="A1887" s="1">
        <v>2629</v>
      </c>
      <c r="B1887" s="1" t="s">
        <v>12713</v>
      </c>
      <c r="C1887" s="1" t="s">
        <v>7287</v>
      </c>
      <c r="D1887" s="1" t="s">
        <v>12625</v>
      </c>
      <c r="F1887" s="1" t="s">
        <v>7288</v>
      </c>
      <c r="G1887" s="1" t="s">
        <v>7289</v>
      </c>
    </row>
    <row r="1888" spans="1:7" x14ac:dyDescent="0.15">
      <c r="A1888" s="1">
        <v>2630</v>
      </c>
      <c r="B1888" s="1" t="s">
        <v>12713</v>
      </c>
      <c r="C1888" s="1" t="s">
        <v>7290</v>
      </c>
      <c r="D1888" s="1" t="s">
        <v>12625</v>
      </c>
      <c r="F1888" s="1" t="s">
        <v>7291</v>
      </c>
      <c r="G1888" s="1" t="s">
        <v>7292</v>
      </c>
    </row>
    <row r="1889" spans="1:7" x14ac:dyDescent="0.15">
      <c r="A1889" s="1">
        <v>2631</v>
      </c>
      <c r="B1889" s="1" t="s">
        <v>12713</v>
      </c>
      <c r="C1889" s="1" t="s">
        <v>7293</v>
      </c>
      <c r="D1889" s="1" t="s">
        <v>12625</v>
      </c>
      <c r="F1889" s="1" t="s">
        <v>7294</v>
      </c>
      <c r="G1889" s="1" t="s">
        <v>7295</v>
      </c>
    </row>
    <row r="1890" spans="1:7" x14ac:dyDescent="0.15">
      <c r="A1890" s="1">
        <v>2632</v>
      </c>
      <c r="B1890" s="1" t="s">
        <v>12713</v>
      </c>
      <c r="C1890" s="1" t="s">
        <v>7296</v>
      </c>
      <c r="D1890" s="1" t="s">
        <v>12625</v>
      </c>
      <c r="F1890" s="1" t="s">
        <v>7297</v>
      </c>
      <c r="G1890" s="1" t="s">
        <v>7298</v>
      </c>
    </row>
    <row r="1891" spans="1:7" x14ac:dyDescent="0.15">
      <c r="A1891" s="1">
        <v>2633</v>
      </c>
      <c r="B1891" s="1" t="s">
        <v>12713</v>
      </c>
      <c r="C1891" s="1" t="s">
        <v>7299</v>
      </c>
      <c r="D1891" s="1" t="s">
        <v>12625</v>
      </c>
      <c r="F1891" s="1" t="s">
        <v>7300</v>
      </c>
      <c r="G1891" s="1" t="s">
        <v>7301</v>
      </c>
    </row>
    <row r="1892" spans="1:7" x14ac:dyDescent="0.15">
      <c r="A1892" s="1">
        <v>2634</v>
      </c>
      <c r="B1892" s="1" t="s">
        <v>12713</v>
      </c>
      <c r="C1892" s="1" t="s">
        <v>8926</v>
      </c>
      <c r="D1892" s="1" t="s">
        <v>12625</v>
      </c>
      <c r="F1892" s="1" t="s">
        <v>8927</v>
      </c>
      <c r="G1892" s="1" t="s">
        <v>7302</v>
      </c>
    </row>
    <row r="1893" spans="1:7" x14ac:dyDescent="0.15">
      <c r="A1893" s="1">
        <v>2635</v>
      </c>
      <c r="B1893" s="1" t="s">
        <v>12713</v>
      </c>
      <c r="C1893" s="1" t="s">
        <v>8496</v>
      </c>
      <c r="D1893" s="1" t="s">
        <v>12625</v>
      </c>
      <c r="F1893" s="1" t="s">
        <v>8927</v>
      </c>
      <c r="G1893" s="1" t="s">
        <v>7303</v>
      </c>
    </row>
    <row r="1894" spans="1:7" x14ac:dyDescent="0.15">
      <c r="A1894" s="1">
        <v>2636</v>
      </c>
      <c r="B1894" s="1" t="s">
        <v>12713</v>
      </c>
      <c r="C1894" s="1" t="s">
        <v>7304</v>
      </c>
      <c r="F1894" s="1" t="s">
        <v>7305</v>
      </c>
      <c r="G1894" s="1" t="s">
        <v>7306</v>
      </c>
    </row>
    <row r="1895" spans="1:7" x14ac:dyDescent="0.15">
      <c r="A1895" s="1">
        <v>2637</v>
      </c>
      <c r="B1895" s="1" t="s">
        <v>12713</v>
      </c>
      <c r="C1895" s="1" t="s">
        <v>11827</v>
      </c>
      <c r="F1895" s="1" t="s">
        <v>7305</v>
      </c>
      <c r="G1895" s="1" t="s">
        <v>7307</v>
      </c>
    </row>
    <row r="1896" spans="1:7" x14ac:dyDescent="0.15">
      <c r="A1896" s="1">
        <v>2843</v>
      </c>
      <c r="B1896" s="1" t="s">
        <v>11830</v>
      </c>
      <c r="C1896" s="1" t="s">
        <v>7308</v>
      </c>
      <c r="F1896" s="1" t="s">
        <v>6446</v>
      </c>
      <c r="G1896" s="1" t="s">
        <v>6447</v>
      </c>
    </row>
    <row r="1897" spans="1:7" x14ac:dyDescent="0.15">
      <c r="A1897" s="1">
        <v>2844</v>
      </c>
      <c r="B1897" s="1" t="s">
        <v>11830</v>
      </c>
      <c r="C1897" s="1" t="s">
        <v>6448</v>
      </c>
      <c r="F1897" s="1" t="s">
        <v>6449</v>
      </c>
      <c r="G1897" s="1" t="s">
        <v>6450</v>
      </c>
    </row>
    <row r="1898" spans="1:7" x14ac:dyDescent="0.15">
      <c r="A1898" s="1">
        <v>2845</v>
      </c>
      <c r="B1898" s="1" t="s">
        <v>11830</v>
      </c>
      <c r="C1898" s="1" t="s">
        <v>11839</v>
      </c>
      <c r="F1898" s="1" t="s">
        <v>6451</v>
      </c>
      <c r="G1898" s="1" t="s">
        <v>6452</v>
      </c>
    </row>
    <row r="1899" spans="1:7" x14ac:dyDescent="0.15">
      <c r="A1899" s="1">
        <v>2846</v>
      </c>
      <c r="B1899" s="1" t="s">
        <v>11830</v>
      </c>
      <c r="C1899" s="1" t="s">
        <v>11843</v>
      </c>
      <c r="F1899" s="1" t="s">
        <v>6453</v>
      </c>
      <c r="G1899" s="1" t="s">
        <v>6454</v>
      </c>
    </row>
    <row r="1900" spans="1:7" x14ac:dyDescent="0.15">
      <c r="A1900" s="1">
        <v>2847</v>
      </c>
      <c r="B1900" s="1" t="s">
        <v>11830</v>
      </c>
      <c r="C1900" s="1" t="s">
        <v>11847</v>
      </c>
      <c r="F1900" s="1" t="s">
        <v>6455</v>
      </c>
      <c r="G1900" s="1" t="s">
        <v>6456</v>
      </c>
    </row>
    <row r="1901" spans="1:7" x14ac:dyDescent="0.15">
      <c r="A1901" s="1">
        <v>2848</v>
      </c>
      <c r="B1901" s="1" t="s">
        <v>11830</v>
      </c>
      <c r="C1901" s="1" t="s">
        <v>11851</v>
      </c>
      <c r="F1901" s="1" t="s">
        <v>6457</v>
      </c>
      <c r="G1901" s="1" t="s">
        <v>6458</v>
      </c>
    </row>
    <row r="1902" spans="1:7" x14ac:dyDescent="0.15">
      <c r="A1902" s="1">
        <v>2849</v>
      </c>
      <c r="B1902" s="1" t="s">
        <v>11830</v>
      </c>
      <c r="C1902" s="1" t="s">
        <v>6459</v>
      </c>
      <c r="D1902" s="1" t="s">
        <v>12625</v>
      </c>
      <c r="F1902" s="1" t="s">
        <v>6460</v>
      </c>
      <c r="G1902" s="1" t="s">
        <v>6461</v>
      </c>
    </row>
    <row r="1903" spans="1:7" x14ac:dyDescent="0.15">
      <c r="A1903" s="1">
        <v>2850</v>
      </c>
      <c r="B1903" s="1" t="s">
        <v>11830</v>
      </c>
      <c r="C1903" s="1" t="s">
        <v>11855</v>
      </c>
      <c r="F1903" s="1" t="s">
        <v>6462</v>
      </c>
      <c r="G1903" s="1" t="s">
        <v>6463</v>
      </c>
    </row>
    <row r="1904" spans="1:7" x14ac:dyDescent="0.15">
      <c r="A1904" s="1">
        <v>2851</v>
      </c>
      <c r="B1904" s="1" t="s">
        <v>11830</v>
      </c>
      <c r="C1904" s="1" t="s">
        <v>6464</v>
      </c>
      <c r="F1904" s="1" t="s">
        <v>6465</v>
      </c>
      <c r="G1904" s="1" t="s">
        <v>6466</v>
      </c>
    </row>
    <row r="1905" spans="1:7" x14ac:dyDescent="0.15">
      <c r="A1905" s="1">
        <v>2852</v>
      </c>
      <c r="B1905" s="1" t="s">
        <v>11830</v>
      </c>
      <c r="C1905" s="1" t="s">
        <v>11863</v>
      </c>
      <c r="F1905" s="1" t="s">
        <v>6467</v>
      </c>
      <c r="G1905" s="1" t="s">
        <v>6468</v>
      </c>
    </row>
    <row r="1906" spans="1:7" x14ac:dyDescent="0.15">
      <c r="A1906" s="1">
        <v>2853</v>
      </c>
      <c r="B1906" s="1" t="s">
        <v>11830</v>
      </c>
      <c r="C1906" s="1" t="s">
        <v>11867</v>
      </c>
      <c r="F1906" s="1" t="s">
        <v>6469</v>
      </c>
      <c r="G1906" s="1" t="s">
        <v>6470</v>
      </c>
    </row>
    <row r="1907" spans="1:7" x14ac:dyDescent="0.15">
      <c r="A1907" s="1">
        <v>2854</v>
      </c>
      <c r="B1907" s="1" t="s">
        <v>11830</v>
      </c>
      <c r="C1907" s="1" t="s">
        <v>11871</v>
      </c>
      <c r="F1907" s="1" t="s">
        <v>6471</v>
      </c>
      <c r="G1907" s="1" t="s">
        <v>6472</v>
      </c>
    </row>
    <row r="1908" spans="1:7" x14ac:dyDescent="0.15">
      <c r="A1908" s="1">
        <v>2855</v>
      </c>
      <c r="B1908" s="1" t="s">
        <v>11830</v>
      </c>
      <c r="C1908" s="1" t="s">
        <v>11875</v>
      </c>
      <c r="F1908" s="1" t="s">
        <v>6473</v>
      </c>
      <c r="G1908" s="1" t="s">
        <v>6474</v>
      </c>
    </row>
    <row r="1909" spans="1:7" x14ac:dyDescent="0.15">
      <c r="A1909" s="1">
        <v>2639</v>
      </c>
      <c r="B1909" s="1" t="s">
        <v>7310</v>
      </c>
      <c r="C1909" s="1" t="s">
        <v>11563</v>
      </c>
      <c r="D1909" s="1" t="s">
        <v>12625</v>
      </c>
      <c r="F1909" s="1" t="s">
        <v>7311</v>
      </c>
    </row>
    <row r="1910" spans="1:7" x14ac:dyDescent="0.15">
      <c r="A1910" s="1">
        <v>2640</v>
      </c>
      <c r="B1910" s="1" t="s">
        <v>7310</v>
      </c>
      <c r="C1910" s="1" t="s">
        <v>7312</v>
      </c>
      <c r="D1910" s="1" t="s">
        <v>11582</v>
      </c>
      <c r="F1910" s="1" t="s">
        <v>9898</v>
      </c>
      <c r="G1910" s="1" t="s">
        <v>7313</v>
      </c>
    </row>
    <row r="1911" spans="1:7" x14ac:dyDescent="0.15">
      <c r="A1911" s="1">
        <v>2641</v>
      </c>
      <c r="B1911" s="1" t="s">
        <v>7310</v>
      </c>
      <c r="C1911" s="1" t="s">
        <v>7314</v>
      </c>
      <c r="D1911" s="1" t="s">
        <v>11582</v>
      </c>
      <c r="F1911" s="1" t="s">
        <v>8866</v>
      </c>
      <c r="G1911" s="1" t="s">
        <v>7315</v>
      </c>
    </row>
    <row r="1912" spans="1:7" x14ac:dyDescent="0.15">
      <c r="A1912" s="1">
        <v>2648</v>
      </c>
      <c r="B1912" s="1" t="s">
        <v>7310</v>
      </c>
      <c r="C1912" s="1" t="s">
        <v>11571</v>
      </c>
      <c r="D1912" s="1" t="s">
        <v>11582</v>
      </c>
      <c r="F1912" s="1" t="s">
        <v>7316</v>
      </c>
      <c r="G1912" s="1" t="s">
        <v>7317</v>
      </c>
    </row>
    <row r="1913" spans="1:7" x14ac:dyDescent="0.15">
      <c r="A1913" s="1">
        <v>2650</v>
      </c>
      <c r="B1913" s="1" t="s">
        <v>7310</v>
      </c>
      <c r="C1913" s="1" t="s">
        <v>11352</v>
      </c>
      <c r="D1913" s="1" t="s">
        <v>11582</v>
      </c>
      <c r="F1913" s="1" t="s">
        <v>11353</v>
      </c>
      <c r="G1913" s="1" t="s">
        <v>7318</v>
      </c>
    </row>
    <row r="1914" spans="1:7" x14ac:dyDescent="0.15">
      <c r="A1914" s="1">
        <v>2652</v>
      </c>
      <c r="B1914" s="1" t="s">
        <v>7310</v>
      </c>
      <c r="C1914" s="1" t="s">
        <v>11543</v>
      </c>
      <c r="D1914" s="1" t="s">
        <v>11582</v>
      </c>
      <c r="F1914" s="1" t="s">
        <v>8871</v>
      </c>
      <c r="G1914" s="1" t="s">
        <v>7319</v>
      </c>
    </row>
    <row r="1915" spans="1:7" x14ac:dyDescent="0.15">
      <c r="A1915" s="1">
        <v>2654</v>
      </c>
      <c r="B1915" s="1" t="s">
        <v>7310</v>
      </c>
      <c r="C1915" s="1" t="s">
        <v>9740</v>
      </c>
      <c r="D1915" s="1" t="s">
        <v>11582</v>
      </c>
      <c r="F1915" s="1" t="s">
        <v>9741</v>
      </c>
      <c r="G1915" s="1" t="s">
        <v>7320</v>
      </c>
    </row>
    <row r="1916" spans="1:7" x14ac:dyDescent="0.15">
      <c r="A1916" s="1">
        <v>2655</v>
      </c>
      <c r="B1916" s="1" t="s">
        <v>7310</v>
      </c>
      <c r="C1916" s="1" t="s">
        <v>11328</v>
      </c>
      <c r="D1916" s="1" t="s">
        <v>12625</v>
      </c>
      <c r="F1916" s="1" t="s">
        <v>11329</v>
      </c>
      <c r="G1916" s="1" t="s">
        <v>7321</v>
      </c>
    </row>
    <row r="1917" spans="1:7" x14ac:dyDescent="0.15">
      <c r="A1917" s="1">
        <v>2658</v>
      </c>
      <c r="B1917" s="1" t="s">
        <v>7310</v>
      </c>
      <c r="C1917" s="1" t="s">
        <v>11381</v>
      </c>
      <c r="D1917" s="1" t="s">
        <v>12625</v>
      </c>
      <c r="F1917" s="1" t="s">
        <v>11382</v>
      </c>
      <c r="G1917" s="1" t="s">
        <v>7322</v>
      </c>
    </row>
    <row r="1918" spans="1:7" x14ac:dyDescent="0.15">
      <c r="A1918" s="1">
        <v>2662</v>
      </c>
      <c r="B1918" s="1" t="s">
        <v>7310</v>
      </c>
      <c r="C1918" s="1" t="s">
        <v>7323</v>
      </c>
      <c r="D1918" s="1" t="s">
        <v>11582</v>
      </c>
      <c r="F1918" s="1" t="s">
        <v>8874</v>
      </c>
      <c r="G1918" s="1" t="s">
        <v>7324</v>
      </c>
    </row>
    <row r="1919" spans="1:7" x14ac:dyDescent="0.15">
      <c r="A1919" s="1">
        <v>2663</v>
      </c>
      <c r="B1919" s="1" t="s">
        <v>7325</v>
      </c>
      <c r="C1919" s="1" t="s">
        <v>7326</v>
      </c>
      <c r="F1919" s="1" t="s">
        <v>7327</v>
      </c>
    </row>
    <row r="1920" spans="1:7" x14ac:dyDescent="0.15">
      <c r="A1920" s="1">
        <v>2665</v>
      </c>
      <c r="B1920" s="1" t="s">
        <v>7331</v>
      </c>
      <c r="C1920" s="1" t="s">
        <v>7332</v>
      </c>
      <c r="D1920" s="1" t="s">
        <v>11582</v>
      </c>
      <c r="F1920" s="1" t="s">
        <v>7333</v>
      </c>
      <c r="G1920" s="1" t="s">
        <v>7334</v>
      </c>
    </row>
    <row r="1921" spans="1:7" x14ac:dyDescent="0.15">
      <c r="A1921" s="1">
        <v>2666</v>
      </c>
      <c r="B1921" s="1" t="s">
        <v>7331</v>
      </c>
      <c r="C1921" s="1" t="s">
        <v>7335</v>
      </c>
      <c r="D1921" s="1" t="s">
        <v>11582</v>
      </c>
      <c r="F1921" s="1" t="s">
        <v>7336</v>
      </c>
      <c r="G1921" s="1" t="s">
        <v>7337</v>
      </c>
    </row>
    <row r="1922" spans="1:7" x14ac:dyDescent="0.15">
      <c r="A1922" s="1">
        <v>2669</v>
      </c>
      <c r="B1922" s="1" t="s">
        <v>7331</v>
      </c>
      <c r="C1922" s="1" t="s">
        <v>7338</v>
      </c>
      <c r="D1922" s="1" t="s">
        <v>11582</v>
      </c>
      <c r="F1922" s="1" t="s">
        <v>7339</v>
      </c>
      <c r="G1922" s="1" t="s">
        <v>7340</v>
      </c>
    </row>
    <row r="1923" spans="1:7" x14ac:dyDescent="0.15">
      <c r="A1923" s="1">
        <v>2670</v>
      </c>
      <c r="B1923" s="1" t="s">
        <v>7331</v>
      </c>
      <c r="C1923" s="1" t="s">
        <v>7341</v>
      </c>
      <c r="D1923" s="1" t="s">
        <v>11582</v>
      </c>
      <c r="F1923" s="1" t="s">
        <v>7342</v>
      </c>
      <c r="G1923" s="1" t="s">
        <v>7343</v>
      </c>
    </row>
    <row r="1924" spans="1:7" x14ac:dyDescent="0.15">
      <c r="A1924" s="1">
        <v>2671</v>
      </c>
      <c r="B1924" s="1" t="s">
        <v>7331</v>
      </c>
      <c r="C1924" s="1" t="s">
        <v>7344</v>
      </c>
      <c r="D1924" s="1" t="s">
        <v>11582</v>
      </c>
      <c r="F1924" s="1" t="s">
        <v>7345</v>
      </c>
      <c r="G1924" s="1" t="s">
        <v>7346</v>
      </c>
    </row>
    <row r="1925" spans="1:7" x14ac:dyDescent="0.15">
      <c r="A1925" s="1">
        <v>2672</v>
      </c>
      <c r="B1925" s="1" t="s">
        <v>7331</v>
      </c>
      <c r="C1925" s="1" t="s">
        <v>7347</v>
      </c>
      <c r="D1925" s="1" t="s">
        <v>11582</v>
      </c>
      <c r="F1925" s="1" t="s">
        <v>7348</v>
      </c>
      <c r="G1925" s="1" t="s">
        <v>7349</v>
      </c>
    </row>
    <row r="1926" spans="1:7" x14ac:dyDescent="0.15">
      <c r="A1926" s="1">
        <v>2673</v>
      </c>
      <c r="B1926" s="1" t="s">
        <v>7331</v>
      </c>
      <c r="C1926" s="1" t="s">
        <v>7350</v>
      </c>
      <c r="D1926" s="1" t="s">
        <v>11582</v>
      </c>
      <c r="F1926" s="1" t="s">
        <v>7351</v>
      </c>
      <c r="G1926" s="1" t="s">
        <v>7352</v>
      </c>
    </row>
    <row r="1927" spans="1:7" x14ac:dyDescent="0.15">
      <c r="A1927" s="1">
        <v>2674</v>
      </c>
      <c r="B1927" s="1" t="s">
        <v>7331</v>
      </c>
      <c r="C1927" s="1" t="s">
        <v>7353</v>
      </c>
      <c r="D1927" s="1" t="s">
        <v>11582</v>
      </c>
      <c r="F1927" s="1" t="s">
        <v>7354</v>
      </c>
      <c r="G1927" s="1" t="s">
        <v>7355</v>
      </c>
    </row>
    <row r="1928" spans="1:7" x14ac:dyDescent="0.15">
      <c r="A1928" s="1">
        <v>2675</v>
      </c>
      <c r="B1928" s="1" t="s">
        <v>7331</v>
      </c>
      <c r="C1928" s="1" t="s">
        <v>7356</v>
      </c>
      <c r="D1928" s="1" t="s">
        <v>11582</v>
      </c>
      <c r="F1928" s="1" t="s">
        <v>7357</v>
      </c>
      <c r="G1928" s="1" t="s">
        <v>7358</v>
      </c>
    </row>
    <row r="1929" spans="1:7" x14ac:dyDescent="0.15">
      <c r="A1929" s="1">
        <v>2676</v>
      </c>
      <c r="B1929" s="1" t="s">
        <v>7331</v>
      </c>
      <c r="C1929" s="1" t="s">
        <v>7359</v>
      </c>
      <c r="D1929" s="1" t="s">
        <v>11582</v>
      </c>
      <c r="F1929" s="1" t="s">
        <v>7360</v>
      </c>
      <c r="G1929" s="1" t="s">
        <v>7361</v>
      </c>
    </row>
    <row r="1930" spans="1:7" x14ac:dyDescent="0.15">
      <c r="A1930" s="1">
        <v>2677</v>
      </c>
      <c r="B1930" s="1" t="s">
        <v>7331</v>
      </c>
      <c r="C1930" s="1" t="s">
        <v>7362</v>
      </c>
      <c r="D1930" s="1" t="s">
        <v>11582</v>
      </c>
      <c r="F1930" s="1" t="s">
        <v>7363</v>
      </c>
      <c r="G1930" s="1" t="s">
        <v>7364</v>
      </c>
    </row>
    <row r="1931" spans="1:7" x14ac:dyDescent="0.15">
      <c r="A1931" s="1">
        <v>2678</v>
      </c>
      <c r="B1931" s="1" t="s">
        <v>7331</v>
      </c>
      <c r="C1931" s="1" t="s">
        <v>7365</v>
      </c>
      <c r="D1931" s="1" t="s">
        <v>11582</v>
      </c>
      <c r="F1931" s="1" t="s">
        <v>7366</v>
      </c>
      <c r="G1931" s="1" t="s">
        <v>7367</v>
      </c>
    </row>
    <row r="1932" spans="1:7" x14ac:dyDescent="0.15">
      <c r="A1932" s="1">
        <v>2683</v>
      </c>
      <c r="B1932" s="1" t="s">
        <v>7331</v>
      </c>
      <c r="C1932" s="1" t="s">
        <v>7368</v>
      </c>
      <c r="D1932" s="1" t="s">
        <v>11582</v>
      </c>
      <c r="F1932" s="1" t="s">
        <v>7369</v>
      </c>
      <c r="G1932" s="1" t="s">
        <v>7370</v>
      </c>
    </row>
    <row r="1933" spans="1:7" x14ac:dyDescent="0.15">
      <c r="A1933" s="1">
        <v>2684</v>
      </c>
      <c r="B1933" s="1" t="s">
        <v>7331</v>
      </c>
      <c r="C1933" s="1" t="s">
        <v>7371</v>
      </c>
      <c r="D1933" s="1" t="s">
        <v>11582</v>
      </c>
      <c r="F1933" s="1" t="s">
        <v>7372</v>
      </c>
      <c r="G1933" s="1" t="s">
        <v>7373</v>
      </c>
    </row>
    <row r="1934" spans="1:7" x14ac:dyDescent="0.15">
      <c r="A1934" s="1">
        <v>2685</v>
      </c>
      <c r="B1934" s="1" t="s">
        <v>7331</v>
      </c>
      <c r="C1934" s="1" t="s">
        <v>7374</v>
      </c>
      <c r="D1934" s="1" t="s">
        <v>11582</v>
      </c>
      <c r="F1934" s="1" t="s">
        <v>7375</v>
      </c>
      <c r="G1934" s="1" t="s">
        <v>7376</v>
      </c>
    </row>
    <row r="1935" spans="1:7" x14ac:dyDescent="0.15">
      <c r="A1935" s="1">
        <v>2686</v>
      </c>
      <c r="B1935" s="1" t="s">
        <v>7331</v>
      </c>
      <c r="C1935" s="1" t="s">
        <v>7377</v>
      </c>
      <c r="D1935" s="1" t="s">
        <v>11582</v>
      </c>
      <c r="F1935" s="1" t="s">
        <v>7378</v>
      </c>
      <c r="G1935" s="1" t="s">
        <v>7379</v>
      </c>
    </row>
    <row r="1936" spans="1:7" x14ac:dyDescent="0.15">
      <c r="A1936" s="1">
        <v>2687</v>
      </c>
      <c r="B1936" s="1" t="s">
        <v>7331</v>
      </c>
      <c r="C1936" s="1" t="s">
        <v>7380</v>
      </c>
      <c r="D1936" s="1" t="s">
        <v>11582</v>
      </c>
      <c r="F1936" s="1" t="s">
        <v>7381</v>
      </c>
      <c r="G1936" s="1" t="s">
        <v>7382</v>
      </c>
    </row>
    <row r="1937" spans="1:7" x14ac:dyDescent="0.15">
      <c r="A1937" s="1">
        <v>2688</v>
      </c>
      <c r="B1937" s="1" t="s">
        <v>7331</v>
      </c>
      <c r="C1937" s="1" t="s">
        <v>7383</v>
      </c>
      <c r="D1937" s="1" t="s">
        <v>11582</v>
      </c>
      <c r="F1937" s="1" t="s">
        <v>7384</v>
      </c>
      <c r="G1937" s="1" t="s">
        <v>7385</v>
      </c>
    </row>
    <row r="1938" spans="1:7" x14ac:dyDescent="0.15">
      <c r="A1938" s="1">
        <v>2689</v>
      </c>
      <c r="B1938" s="1" t="s">
        <v>7331</v>
      </c>
      <c r="C1938" s="1" t="s">
        <v>7386</v>
      </c>
      <c r="D1938" s="1" t="s">
        <v>11582</v>
      </c>
      <c r="F1938" s="1" t="s">
        <v>7387</v>
      </c>
      <c r="G1938" s="1" t="s">
        <v>7388</v>
      </c>
    </row>
    <row r="1939" spans="1:7" x14ac:dyDescent="0.15">
      <c r="A1939" s="1">
        <v>2690</v>
      </c>
      <c r="B1939" s="1" t="s">
        <v>7331</v>
      </c>
      <c r="C1939" s="1" t="s">
        <v>7389</v>
      </c>
      <c r="D1939" s="1" t="s">
        <v>11582</v>
      </c>
      <c r="F1939" s="1" t="s">
        <v>7390</v>
      </c>
      <c r="G1939" s="1" t="s">
        <v>7391</v>
      </c>
    </row>
    <row r="1940" spans="1:7" x14ac:dyDescent="0.15">
      <c r="A1940" s="1">
        <v>2691</v>
      </c>
      <c r="B1940" s="1" t="s">
        <v>7331</v>
      </c>
      <c r="C1940" s="1" t="s">
        <v>7392</v>
      </c>
      <c r="D1940" s="1" t="s">
        <v>11582</v>
      </c>
      <c r="F1940" s="1" t="s">
        <v>7393</v>
      </c>
      <c r="G1940" s="1" t="s">
        <v>7394</v>
      </c>
    </row>
    <row r="1941" spans="1:7" x14ac:dyDescent="0.15">
      <c r="A1941" s="1">
        <v>2692</v>
      </c>
      <c r="B1941" s="1" t="s">
        <v>7331</v>
      </c>
      <c r="C1941" s="1" t="s">
        <v>7395</v>
      </c>
      <c r="D1941" s="1" t="s">
        <v>11582</v>
      </c>
      <c r="F1941" s="1" t="s">
        <v>7396</v>
      </c>
      <c r="G1941" s="1" t="s">
        <v>7397</v>
      </c>
    </row>
    <row r="1942" spans="1:7" x14ac:dyDescent="0.15">
      <c r="A1942" s="1">
        <v>2693</v>
      </c>
      <c r="B1942" s="1" t="s">
        <v>7331</v>
      </c>
      <c r="C1942" s="1" t="s">
        <v>7398</v>
      </c>
      <c r="D1942" s="1" t="s">
        <v>11582</v>
      </c>
      <c r="F1942" s="1" t="s">
        <v>7399</v>
      </c>
      <c r="G1942" s="1" t="s">
        <v>7400</v>
      </c>
    </row>
    <row r="1943" spans="1:7" x14ac:dyDescent="0.15">
      <c r="A1943" s="1">
        <v>2694</v>
      </c>
      <c r="B1943" s="1" t="s">
        <v>7331</v>
      </c>
      <c r="C1943" s="1" t="s">
        <v>7401</v>
      </c>
      <c r="D1943" s="1" t="s">
        <v>11582</v>
      </c>
      <c r="F1943" s="1" t="s">
        <v>7402</v>
      </c>
      <c r="G1943" s="1" t="s">
        <v>7403</v>
      </c>
    </row>
    <row r="1944" spans="1:7" x14ac:dyDescent="0.15">
      <c r="A1944" s="1">
        <v>2695</v>
      </c>
      <c r="B1944" s="1" t="s">
        <v>7331</v>
      </c>
      <c r="C1944" s="1" t="s">
        <v>7404</v>
      </c>
      <c r="D1944" s="1" t="s">
        <v>11582</v>
      </c>
      <c r="F1944" s="1" t="s">
        <v>7405</v>
      </c>
      <c r="G1944" s="1" t="s">
        <v>7406</v>
      </c>
    </row>
    <row r="1945" spans="1:7" x14ac:dyDescent="0.15">
      <c r="A1945" s="1">
        <v>2696</v>
      </c>
      <c r="B1945" s="1" t="s">
        <v>7331</v>
      </c>
      <c r="C1945" s="1" t="s">
        <v>7407</v>
      </c>
      <c r="D1945" s="1" t="s">
        <v>11582</v>
      </c>
      <c r="F1945" s="1" t="s">
        <v>7408</v>
      </c>
      <c r="G1945" s="1" t="s">
        <v>7409</v>
      </c>
    </row>
    <row r="1946" spans="1:7" x14ac:dyDescent="0.15">
      <c r="A1946" s="1">
        <v>2697</v>
      </c>
      <c r="B1946" s="1" t="s">
        <v>7331</v>
      </c>
      <c r="C1946" s="1" t="s">
        <v>7410</v>
      </c>
      <c r="D1946" s="1" t="s">
        <v>11582</v>
      </c>
      <c r="F1946" s="1" t="s">
        <v>7411</v>
      </c>
      <c r="G1946" s="1" t="s">
        <v>7412</v>
      </c>
    </row>
    <row r="1947" spans="1:7" x14ac:dyDescent="0.15">
      <c r="A1947" s="1">
        <v>2698</v>
      </c>
      <c r="B1947" s="1" t="s">
        <v>7331</v>
      </c>
      <c r="C1947" s="1" t="s">
        <v>7413</v>
      </c>
      <c r="D1947" s="1" t="s">
        <v>11582</v>
      </c>
      <c r="F1947" s="1" t="s">
        <v>7414</v>
      </c>
      <c r="G1947" s="1" t="s">
        <v>7415</v>
      </c>
    </row>
    <row r="1948" spans="1:7" x14ac:dyDescent="0.15">
      <c r="A1948" s="1">
        <v>2699</v>
      </c>
      <c r="B1948" s="1" t="s">
        <v>7331</v>
      </c>
      <c r="C1948" s="1" t="s">
        <v>7416</v>
      </c>
      <c r="D1948" s="1" t="s">
        <v>11582</v>
      </c>
      <c r="F1948" s="1" t="s">
        <v>7417</v>
      </c>
      <c r="G1948" s="1" t="s">
        <v>7418</v>
      </c>
    </row>
    <row r="1949" spans="1:7" x14ac:dyDescent="0.15">
      <c r="A1949" s="1">
        <v>2700</v>
      </c>
      <c r="B1949" s="1" t="s">
        <v>7331</v>
      </c>
      <c r="C1949" s="1" t="s">
        <v>7419</v>
      </c>
      <c r="D1949" s="1" t="s">
        <v>11582</v>
      </c>
      <c r="F1949" s="1" t="s">
        <v>7420</v>
      </c>
      <c r="G1949" s="1" t="s">
        <v>7421</v>
      </c>
    </row>
    <row r="1950" spans="1:7" x14ac:dyDescent="0.15">
      <c r="A1950" s="1">
        <v>2701</v>
      </c>
      <c r="B1950" s="1" t="s">
        <v>7331</v>
      </c>
      <c r="C1950" s="1" t="s">
        <v>7422</v>
      </c>
      <c r="D1950" s="1" t="s">
        <v>11582</v>
      </c>
      <c r="F1950" s="1" t="s">
        <v>7423</v>
      </c>
      <c r="G1950" s="1" t="s">
        <v>7424</v>
      </c>
    </row>
    <row r="1951" spans="1:7" x14ac:dyDescent="0.15">
      <c r="A1951" s="1">
        <v>2702</v>
      </c>
      <c r="B1951" s="1" t="s">
        <v>7331</v>
      </c>
      <c r="C1951" s="1" t="s">
        <v>7425</v>
      </c>
      <c r="D1951" s="1" t="s">
        <v>11582</v>
      </c>
      <c r="F1951" s="1" t="s">
        <v>7426</v>
      </c>
      <c r="G1951" s="1" t="s">
        <v>7427</v>
      </c>
    </row>
    <row r="1952" spans="1:7" x14ac:dyDescent="0.15">
      <c r="A1952" s="1">
        <v>2703</v>
      </c>
      <c r="B1952" s="1" t="s">
        <v>7331</v>
      </c>
      <c r="C1952" s="1" t="s">
        <v>7428</v>
      </c>
      <c r="D1952" s="1" t="s">
        <v>11582</v>
      </c>
      <c r="F1952" s="1" t="s">
        <v>7429</v>
      </c>
      <c r="G1952" s="1" t="s">
        <v>7430</v>
      </c>
    </row>
    <row r="1953" spans="1:7" x14ac:dyDescent="0.15">
      <c r="A1953" s="1">
        <v>2704</v>
      </c>
      <c r="B1953" s="1" t="s">
        <v>7331</v>
      </c>
      <c r="C1953" s="1" t="s">
        <v>7431</v>
      </c>
      <c r="D1953" s="1" t="s">
        <v>11582</v>
      </c>
      <c r="F1953" s="1" t="s">
        <v>7432</v>
      </c>
      <c r="G1953" s="1" t="s">
        <v>7433</v>
      </c>
    </row>
    <row r="1954" spans="1:7" x14ac:dyDescent="0.15">
      <c r="A1954" s="1">
        <v>2705</v>
      </c>
      <c r="B1954" s="1" t="s">
        <v>7331</v>
      </c>
      <c r="C1954" s="1" t="s">
        <v>7434</v>
      </c>
      <c r="D1954" s="1" t="s">
        <v>11582</v>
      </c>
      <c r="F1954" s="1" t="s">
        <v>7435</v>
      </c>
      <c r="G1954" s="1" t="s">
        <v>7436</v>
      </c>
    </row>
    <row r="1955" spans="1:7" x14ac:dyDescent="0.15">
      <c r="A1955" s="1">
        <v>2706</v>
      </c>
      <c r="B1955" s="1" t="s">
        <v>7331</v>
      </c>
      <c r="C1955" s="1" t="s">
        <v>7437</v>
      </c>
      <c r="D1955" s="1" t="s">
        <v>11582</v>
      </c>
      <c r="F1955" s="1" t="s">
        <v>7438</v>
      </c>
      <c r="G1955" s="1" t="s">
        <v>7439</v>
      </c>
    </row>
    <row r="1956" spans="1:7" x14ac:dyDescent="0.15">
      <c r="A1956" s="1">
        <v>2707</v>
      </c>
      <c r="B1956" s="1" t="s">
        <v>7331</v>
      </c>
      <c r="C1956" s="1" t="s">
        <v>7440</v>
      </c>
      <c r="D1956" s="1" t="s">
        <v>11582</v>
      </c>
      <c r="F1956" s="1" t="s">
        <v>7441</v>
      </c>
      <c r="G1956" s="1" t="s">
        <v>7442</v>
      </c>
    </row>
    <row r="1957" spans="1:7" x14ac:dyDescent="0.15">
      <c r="A1957" s="1">
        <v>2708</v>
      </c>
      <c r="B1957" s="1" t="s">
        <v>7331</v>
      </c>
      <c r="C1957" s="1" t="s">
        <v>7443</v>
      </c>
      <c r="D1957" s="1" t="s">
        <v>11582</v>
      </c>
      <c r="F1957" s="1" t="s">
        <v>7444</v>
      </c>
      <c r="G1957" s="1" t="s">
        <v>7445</v>
      </c>
    </row>
    <row r="1958" spans="1:7" x14ac:dyDescent="0.15">
      <c r="A1958" s="1">
        <v>2709</v>
      </c>
      <c r="B1958" s="1" t="s">
        <v>7331</v>
      </c>
      <c r="C1958" s="1" t="s">
        <v>7446</v>
      </c>
      <c r="D1958" s="1" t="s">
        <v>11582</v>
      </c>
      <c r="F1958" s="1" t="s">
        <v>7447</v>
      </c>
      <c r="G1958" s="1" t="s">
        <v>7448</v>
      </c>
    </row>
    <row r="1959" spans="1:7" x14ac:dyDescent="0.15">
      <c r="A1959" s="1">
        <v>2710</v>
      </c>
      <c r="B1959" s="1" t="s">
        <v>7331</v>
      </c>
      <c r="C1959" s="1" t="s">
        <v>7449</v>
      </c>
      <c r="D1959" s="1" t="s">
        <v>11582</v>
      </c>
      <c r="F1959" s="1" t="s">
        <v>7450</v>
      </c>
      <c r="G1959" s="1" t="s">
        <v>7451</v>
      </c>
    </row>
    <row r="1960" spans="1:7" x14ac:dyDescent="0.15">
      <c r="A1960" s="1">
        <v>2711</v>
      </c>
      <c r="B1960" s="1" t="s">
        <v>7331</v>
      </c>
      <c r="C1960" s="1" t="s">
        <v>7452</v>
      </c>
      <c r="D1960" s="1" t="s">
        <v>11582</v>
      </c>
      <c r="F1960" s="1" t="s">
        <v>7453</v>
      </c>
      <c r="G1960" s="1" t="s">
        <v>7454</v>
      </c>
    </row>
    <row r="1961" spans="1:7" x14ac:dyDescent="0.15">
      <c r="A1961" s="1">
        <v>2712</v>
      </c>
      <c r="B1961" s="1" t="s">
        <v>7331</v>
      </c>
      <c r="C1961" s="1" t="s">
        <v>7455</v>
      </c>
      <c r="D1961" s="1" t="s">
        <v>11582</v>
      </c>
      <c r="F1961" s="1" t="s">
        <v>7456</v>
      </c>
      <c r="G1961" s="1" t="s">
        <v>7457</v>
      </c>
    </row>
    <row r="1962" spans="1:7" x14ac:dyDescent="0.15">
      <c r="A1962" s="1">
        <v>2713</v>
      </c>
      <c r="B1962" s="1" t="s">
        <v>7331</v>
      </c>
      <c r="C1962" s="1" t="s">
        <v>7458</v>
      </c>
      <c r="D1962" s="1" t="s">
        <v>11582</v>
      </c>
      <c r="F1962" s="1" t="s">
        <v>7459</v>
      </c>
      <c r="G1962" s="1" t="s">
        <v>7460</v>
      </c>
    </row>
    <row r="1963" spans="1:7" x14ac:dyDescent="0.15">
      <c r="A1963" s="1">
        <v>2714</v>
      </c>
      <c r="B1963" s="1" t="s">
        <v>7331</v>
      </c>
      <c r="C1963" s="1" t="s">
        <v>7461</v>
      </c>
      <c r="D1963" s="1" t="s">
        <v>11582</v>
      </c>
      <c r="F1963" s="1" t="s">
        <v>7462</v>
      </c>
      <c r="G1963" s="1" t="s">
        <v>7463</v>
      </c>
    </row>
    <row r="1964" spans="1:7" x14ac:dyDescent="0.15">
      <c r="A1964" s="1">
        <v>2715</v>
      </c>
      <c r="B1964" s="1" t="s">
        <v>7331</v>
      </c>
      <c r="C1964" s="1" t="s">
        <v>7464</v>
      </c>
      <c r="D1964" s="1" t="s">
        <v>11582</v>
      </c>
      <c r="F1964" s="1" t="s">
        <v>7465</v>
      </c>
      <c r="G1964" s="1" t="s">
        <v>7466</v>
      </c>
    </row>
    <row r="1965" spans="1:7" x14ac:dyDescent="0.15">
      <c r="A1965" s="1">
        <v>2716</v>
      </c>
      <c r="B1965" s="1" t="s">
        <v>7331</v>
      </c>
      <c r="C1965" s="1" t="s">
        <v>7467</v>
      </c>
      <c r="D1965" s="1" t="s">
        <v>11582</v>
      </c>
      <c r="F1965" s="1" t="s">
        <v>7468</v>
      </c>
      <c r="G1965" s="1" t="s">
        <v>7469</v>
      </c>
    </row>
    <row r="1966" spans="1:7" x14ac:dyDescent="0.15">
      <c r="A1966" s="1">
        <v>2717</v>
      </c>
      <c r="B1966" s="1" t="s">
        <v>7331</v>
      </c>
      <c r="C1966" s="1" t="s">
        <v>7470</v>
      </c>
      <c r="D1966" s="1" t="s">
        <v>11582</v>
      </c>
      <c r="F1966" s="1" t="s">
        <v>7471</v>
      </c>
      <c r="G1966" s="1" t="s">
        <v>7472</v>
      </c>
    </row>
    <row r="1967" spans="1:7" x14ac:dyDescent="0.15">
      <c r="A1967" s="1">
        <v>2718</v>
      </c>
      <c r="B1967" s="1" t="s">
        <v>7331</v>
      </c>
      <c r="C1967" s="1" t="s">
        <v>7473</v>
      </c>
      <c r="D1967" s="1" t="s">
        <v>11582</v>
      </c>
      <c r="F1967" s="1" t="s">
        <v>7474</v>
      </c>
      <c r="G1967" s="1" t="s">
        <v>7475</v>
      </c>
    </row>
    <row r="1968" spans="1:7" x14ac:dyDescent="0.15">
      <c r="A1968" s="1">
        <v>2719</v>
      </c>
      <c r="B1968" s="1" t="s">
        <v>7331</v>
      </c>
      <c r="C1968" s="1" t="s">
        <v>7476</v>
      </c>
      <c r="D1968" s="1" t="s">
        <v>11582</v>
      </c>
      <c r="F1968" s="1" t="s">
        <v>7477</v>
      </c>
      <c r="G1968" s="1" t="s">
        <v>7478</v>
      </c>
    </row>
    <row r="1969" spans="1:7" x14ac:dyDescent="0.15">
      <c r="A1969" s="1">
        <v>2720</v>
      </c>
      <c r="B1969" s="1" t="s">
        <v>7331</v>
      </c>
      <c r="C1969" s="1" t="s">
        <v>7479</v>
      </c>
      <c r="D1969" s="1" t="s">
        <v>11582</v>
      </c>
      <c r="F1969" s="1" t="s">
        <v>7480</v>
      </c>
      <c r="G1969" s="1" t="s">
        <v>7481</v>
      </c>
    </row>
    <row r="1970" spans="1:7" x14ac:dyDescent="0.15">
      <c r="A1970" s="1">
        <v>2721</v>
      </c>
      <c r="B1970" s="1" t="s">
        <v>7331</v>
      </c>
      <c r="C1970" s="1" t="s">
        <v>7482</v>
      </c>
      <c r="D1970" s="1" t="s">
        <v>11582</v>
      </c>
      <c r="F1970" s="1" t="s">
        <v>7483</v>
      </c>
      <c r="G1970" s="1" t="s">
        <v>7484</v>
      </c>
    </row>
    <row r="1971" spans="1:7" x14ac:dyDescent="0.15">
      <c r="A1971" s="1">
        <v>2722</v>
      </c>
      <c r="B1971" s="1" t="s">
        <v>7331</v>
      </c>
      <c r="C1971" s="1" t="s">
        <v>7485</v>
      </c>
      <c r="D1971" s="1" t="s">
        <v>11582</v>
      </c>
      <c r="F1971" s="1" t="s">
        <v>7486</v>
      </c>
      <c r="G1971" s="1" t="s">
        <v>7487</v>
      </c>
    </row>
    <row r="1972" spans="1:7" x14ac:dyDescent="0.15">
      <c r="A1972" s="1">
        <v>2723</v>
      </c>
      <c r="B1972" s="1" t="s">
        <v>7331</v>
      </c>
      <c r="C1972" s="1" t="s">
        <v>7488</v>
      </c>
      <c r="D1972" s="1" t="s">
        <v>11582</v>
      </c>
      <c r="F1972" s="1" t="s">
        <v>7489</v>
      </c>
      <c r="G1972" s="1" t="s">
        <v>7490</v>
      </c>
    </row>
    <row r="1973" spans="1:7" x14ac:dyDescent="0.15">
      <c r="A1973" s="1">
        <v>2724</v>
      </c>
      <c r="B1973" s="1" t="s">
        <v>7331</v>
      </c>
      <c r="C1973" s="1" t="s">
        <v>7491</v>
      </c>
      <c r="D1973" s="1" t="s">
        <v>11582</v>
      </c>
      <c r="F1973" s="1" t="s">
        <v>7492</v>
      </c>
      <c r="G1973" s="1" t="s">
        <v>7493</v>
      </c>
    </row>
    <row r="1974" spans="1:7" x14ac:dyDescent="0.15">
      <c r="A1974" s="1">
        <v>2725</v>
      </c>
      <c r="B1974" s="1" t="s">
        <v>7331</v>
      </c>
      <c r="C1974" s="1" t="s">
        <v>7494</v>
      </c>
      <c r="D1974" s="1" t="s">
        <v>11582</v>
      </c>
      <c r="F1974" s="1" t="s">
        <v>7495</v>
      </c>
      <c r="G1974" s="1" t="s">
        <v>7496</v>
      </c>
    </row>
    <row r="1975" spans="1:7" x14ac:dyDescent="0.15">
      <c r="A1975" s="1">
        <v>2726</v>
      </c>
      <c r="B1975" s="1" t="s">
        <v>7331</v>
      </c>
      <c r="C1975" s="1" t="s">
        <v>7497</v>
      </c>
      <c r="D1975" s="1" t="s">
        <v>11582</v>
      </c>
      <c r="F1975" s="1" t="s">
        <v>7498</v>
      </c>
      <c r="G1975" s="1" t="s">
        <v>7499</v>
      </c>
    </row>
    <row r="1976" spans="1:7" x14ac:dyDescent="0.15">
      <c r="A1976" s="1">
        <v>2727</v>
      </c>
      <c r="B1976" s="1" t="s">
        <v>7331</v>
      </c>
      <c r="C1976" s="1" t="s">
        <v>7500</v>
      </c>
      <c r="D1976" s="1" t="s">
        <v>11582</v>
      </c>
      <c r="F1976" s="1" t="s">
        <v>7501</v>
      </c>
      <c r="G1976" s="1" t="s">
        <v>7502</v>
      </c>
    </row>
    <row r="1977" spans="1:7" x14ac:dyDescent="0.15">
      <c r="A1977" s="1">
        <v>2728</v>
      </c>
      <c r="B1977" s="1" t="s">
        <v>7331</v>
      </c>
      <c r="C1977" s="1" t="s">
        <v>7503</v>
      </c>
      <c r="D1977" s="1" t="s">
        <v>11582</v>
      </c>
      <c r="F1977" s="1" t="s">
        <v>7504</v>
      </c>
      <c r="G1977" s="1" t="s">
        <v>7020</v>
      </c>
    </row>
    <row r="1978" spans="1:7" x14ac:dyDescent="0.15">
      <c r="A1978" s="1">
        <v>2729</v>
      </c>
      <c r="B1978" s="1" t="s">
        <v>7331</v>
      </c>
      <c r="C1978" s="1" t="s">
        <v>7021</v>
      </c>
      <c r="D1978" s="1" t="s">
        <v>11582</v>
      </c>
      <c r="F1978" s="1" t="s">
        <v>7022</v>
      </c>
      <c r="G1978" s="1" t="s">
        <v>7023</v>
      </c>
    </row>
    <row r="1979" spans="1:7" x14ac:dyDescent="0.15">
      <c r="A1979" s="1">
        <v>2730</v>
      </c>
      <c r="B1979" s="1" t="s">
        <v>7331</v>
      </c>
      <c r="C1979" s="1" t="s">
        <v>7024</v>
      </c>
      <c r="D1979" s="1" t="s">
        <v>11582</v>
      </c>
      <c r="F1979" s="1" t="s">
        <v>7025</v>
      </c>
      <c r="G1979" s="1" t="s">
        <v>7026</v>
      </c>
    </row>
    <row r="1980" spans="1:7" x14ac:dyDescent="0.15">
      <c r="A1980" s="1">
        <v>2731</v>
      </c>
      <c r="B1980" s="1" t="s">
        <v>7331</v>
      </c>
      <c r="C1980" s="1" t="s">
        <v>7027</v>
      </c>
      <c r="D1980" s="1" t="s">
        <v>11582</v>
      </c>
      <c r="F1980" s="1" t="s">
        <v>7028</v>
      </c>
      <c r="G1980" s="1" t="s">
        <v>7029</v>
      </c>
    </row>
    <row r="1981" spans="1:7" x14ac:dyDescent="0.15">
      <c r="A1981" s="1">
        <v>2732</v>
      </c>
      <c r="B1981" s="1" t="s">
        <v>7331</v>
      </c>
      <c r="C1981" s="1" t="s">
        <v>7030</v>
      </c>
      <c r="D1981" s="1" t="s">
        <v>11582</v>
      </c>
      <c r="F1981" s="1" t="s">
        <v>7031</v>
      </c>
      <c r="G1981" s="1" t="s">
        <v>7032</v>
      </c>
    </row>
    <row r="1982" spans="1:7" x14ac:dyDescent="0.15">
      <c r="A1982" s="1">
        <v>2733</v>
      </c>
      <c r="B1982" s="1" t="s">
        <v>7331</v>
      </c>
      <c r="C1982" s="1" t="s">
        <v>7033</v>
      </c>
      <c r="D1982" s="1" t="s">
        <v>11582</v>
      </c>
      <c r="F1982" s="1" t="s">
        <v>7034</v>
      </c>
      <c r="G1982" s="1" t="s">
        <v>7035</v>
      </c>
    </row>
    <row r="1983" spans="1:7" x14ac:dyDescent="0.15">
      <c r="A1983" s="1">
        <v>2734</v>
      </c>
      <c r="B1983" s="1" t="s">
        <v>7331</v>
      </c>
      <c r="C1983" s="1" t="s">
        <v>7036</v>
      </c>
      <c r="D1983" s="1" t="s">
        <v>11582</v>
      </c>
      <c r="F1983" s="1" t="s">
        <v>7037</v>
      </c>
      <c r="G1983" s="1" t="s">
        <v>7038</v>
      </c>
    </row>
    <row r="1984" spans="1:7" x14ac:dyDescent="0.15">
      <c r="A1984" s="1">
        <v>2735</v>
      </c>
      <c r="B1984" s="1" t="s">
        <v>7331</v>
      </c>
      <c r="C1984" s="1" t="s">
        <v>7039</v>
      </c>
      <c r="D1984" s="1" t="s">
        <v>11582</v>
      </c>
      <c r="F1984" s="1" t="s">
        <v>7040</v>
      </c>
      <c r="G1984" s="1" t="s">
        <v>7041</v>
      </c>
    </row>
    <row r="1985" spans="1:7" x14ac:dyDescent="0.15">
      <c r="A1985" s="1">
        <v>2736</v>
      </c>
      <c r="B1985" s="1" t="s">
        <v>7331</v>
      </c>
      <c r="C1985" s="1" t="s">
        <v>7042</v>
      </c>
      <c r="D1985" s="1" t="s">
        <v>11582</v>
      </c>
      <c r="F1985" s="1" t="s">
        <v>7043</v>
      </c>
      <c r="G1985" s="1" t="s">
        <v>7044</v>
      </c>
    </row>
    <row r="1986" spans="1:7" x14ac:dyDescent="0.15">
      <c r="A1986" s="1">
        <v>2737</v>
      </c>
      <c r="B1986" s="1" t="s">
        <v>7331</v>
      </c>
      <c r="C1986" s="1" t="s">
        <v>7045</v>
      </c>
      <c r="D1986" s="1" t="s">
        <v>11582</v>
      </c>
      <c r="F1986" s="1" t="s">
        <v>7046</v>
      </c>
      <c r="G1986" s="1" t="s">
        <v>7047</v>
      </c>
    </row>
    <row r="1987" spans="1:7" x14ac:dyDescent="0.15">
      <c r="A1987" s="1">
        <v>2738</v>
      </c>
      <c r="B1987" s="1" t="s">
        <v>7331</v>
      </c>
      <c r="C1987" s="1" t="s">
        <v>7048</v>
      </c>
      <c r="D1987" s="1" t="s">
        <v>11582</v>
      </c>
      <c r="F1987" s="1" t="s">
        <v>7049</v>
      </c>
      <c r="G1987" s="1" t="s">
        <v>7050</v>
      </c>
    </row>
    <row r="1988" spans="1:7" x14ac:dyDescent="0.15">
      <c r="A1988" s="1">
        <v>2739</v>
      </c>
      <c r="B1988" s="1" t="s">
        <v>7331</v>
      </c>
      <c r="C1988" s="1" t="s">
        <v>7051</v>
      </c>
      <c r="D1988" s="1" t="s">
        <v>11582</v>
      </c>
      <c r="F1988" s="1" t="s">
        <v>7052</v>
      </c>
      <c r="G1988" s="1" t="s">
        <v>7053</v>
      </c>
    </row>
    <row r="1989" spans="1:7" x14ac:dyDescent="0.15">
      <c r="A1989" s="1">
        <v>2740</v>
      </c>
      <c r="B1989" s="1" t="s">
        <v>7331</v>
      </c>
      <c r="C1989" s="1" t="s">
        <v>7054</v>
      </c>
      <c r="D1989" s="1" t="s">
        <v>11582</v>
      </c>
      <c r="F1989" s="1" t="s">
        <v>7055</v>
      </c>
      <c r="G1989" s="1" t="s">
        <v>7056</v>
      </c>
    </row>
    <row r="1990" spans="1:7" x14ac:dyDescent="0.15">
      <c r="A1990" s="1">
        <v>2741</v>
      </c>
      <c r="B1990" s="1" t="s">
        <v>7331</v>
      </c>
      <c r="C1990" s="1" t="s">
        <v>7057</v>
      </c>
      <c r="D1990" s="1" t="s">
        <v>11582</v>
      </c>
      <c r="F1990" s="1" t="s">
        <v>7058</v>
      </c>
      <c r="G1990" s="1" t="s">
        <v>7059</v>
      </c>
    </row>
    <row r="1991" spans="1:7" x14ac:dyDescent="0.15">
      <c r="A1991" s="1">
        <v>2742</v>
      </c>
      <c r="B1991" s="1" t="s">
        <v>7331</v>
      </c>
      <c r="C1991" s="1" t="s">
        <v>7060</v>
      </c>
      <c r="D1991" s="1" t="s">
        <v>11582</v>
      </c>
      <c r="F1991" s="1" t="s">
        <v>7061</v>
      </c>
      <c r="G1991" s="1" t="s">
        <v>7062</v>
      </c>
    </row>
    <row r="1992" spans="1:7" x14ac:dyDescent="0.15">
      <c r="A1992" s="1">
        <v>2743</v>
      </c>
      <c r="B1992" s="1" t="s">
        <v>7331</v>
      </c>
      <c r="C1992" s="1" t="s">
        <v>7063</v>
      </c>
      <c r="D1992" s="1" t="s">
        <v>11582</v>
      </c>
      <c r="F1992" s="1" t="s">
        <v>7064</v>
      </c>
      <c r="G1992" s="1" t="s">
        <v>7065</v>
      </c>
    </row>
    <row r="1993" spans="1:7" x14ac:dyDescent="0.15">
      <c r="A1993" s="1">
        <v>2744</v>
      </c>
      <c r="B1993" s="1" t="s">
        <v>7331</v>
      </c>
      <c r="C1993" s="1" t="s">
        <v>7066</v>
      </c>
      <c r="D1993" s="1" t="s">
        <v>11582</v>
      </c>
      <c r="F1993" s="1" t="s">
        <v>7067</v>
      </c>
      <c r="G1993" s="1" t="s">
        <v>7068</v>
      </c>
    </row>
    <row r="1994" spans="1:7" x14ac:dyDescent="0.15">
      <c r="A1994" s="1">
        <v>2745</v>
      </c>
      <c r="B1994" s="1" t="s">
        <v>7331</v>
      </c>
      <c r="C1994" s="1" t="s">
        <v>7069</v>
      </c>
      <c r="D1994" s="1" t="s">
        <v>11582</v>
      </c>
      <c r="F1994" s="1" t="s">
        <v>7070</v>
      </c>
      <c r="G1994" s="1" t="s">
        <v>7071</v>
      </c>
    </row>
    <row r="1995" spans="1:7" x14ac:dyDescent="0.15">
      <c r="A1995" s="1">
        <v>2746</v>
      </c>
      <c r="B1995" s="1" t="s">
        <v>7331</v>
      </c>
      <c r="C1995" s="1" t="s">
        <v>7072</v>
      </c>
      <c r="D1995" s="1" t="s">
        <v>11582</v>
      </c>
      <c r="F1995" s="1" t="s">
        <v>7073</v>
      </c>
      <c r="G1995" s="1" t="s">
        <v>7074</v>
      </c>
    </row>
    <row r="1996" spans="1:7" x14ac:dyDescent="0.15">
      <c r="A1996" s="1">
        <v>2747</v>
      </c>
      <c r="B1996" s="1" t="s">
        <v>7331</v>
      </c>
      <c r="C1996" s="1" t="s">
        <v>7075</v>
      </c>
      <c r="D1996" s="1" t="s">
        <v>12625</v>
      </c>
      <c r="F1996" s="1" t="s">
        <v>7076</v>
      </c>
      <c r="G1996" s="1" t="s">
        <v>7077</v>
      </c>
    </row>
    <row r="1997" spans="1:7" x14ac:dyDescent="0.15">
      <c r="A1997" s="1">
        <v>2748</v>
      </c>
      <c r="B1997" s="1" t="s">
        <v>7331</v>
      </c>
      <c r="C1997" s="1" t="s">
        <v>7078</v>
      </c>
      <c r="D1997" s="1" t="s">
        <v>12625</v>
      </c>
      <c r="F1997" s="1" t="s">
        <v>7079</v>
      </c>
      <c r="G1997" s="1" t="s">
        <v>7080</v>
      </c>
    </row>
    <row r="1998" spans="1:7" x14ac:dyDescent="0.15">
      <c r="A1998" s="1">
        <v>2749</v>
      </c>
      <c r="B1998" s="1" t="s">
        <v>7331</v>
      </c>
      <c r="C1998" s="1" t="s">
        <v>7081</v>
      </c>
      <c r="D1998" s="1" t="s">
        <v>12625</v>
      </c>
      <c r="F1998" s="1" t="s">
        <v>7082</v>
      </c>
      <c r="G1998" s="1" t="s">
        <v>7083</v>
      </c>
    </row>
    <row r="1999" spans="1:7" x14ac:dyDescent="0.15">
      <c r="A1999" s="1">
        <v>2750</v>
      </c>
      <c r="B1999" s="1" t="s">
        <v>7331</v>
      </c>
      <c r="C1999" s="1" t="s">
        <v>7084</v>
      </c>
      <c r="D1999" s="1" t="s">
        <v>12625</v>
      </c>
      <c r="F1999" s="1" t="s">
        <v>7085</v>
      </c>
      <c r="G1999" s="1" t="s">
        <v>7086</v>
      </c>
    </row>
    <row r="2000" spans="1:7" x14ac:dyDescent="0.15">
      <c r="A2000" s="1">
        <v>2751</v>
      </c>
      <c r="B2000" s="1" t="s">
        <v>7331</v>
      </c>
      <c r="C2000" s="1" t="s">
        <v>7087</v>
      </c>
      <c r="D2000" s="1" t="s">
        <v>12625</v>
      </c>
      <c r="F2000" s="1" t="s">
        <v>7088</v>
      </c>
      <c r="G2000" s="1" t="s">
        <v>7089</v>
      </c>
    </row>
    <row r="2001" spans="1:7" x14ac:dyDescent="0.15">
      <c r="A2001" s="1">
        <v>2752</v>
      </c>
      <c r="B2001" s="1" t="s">
        <v>7331</v>
      </c>
      <c r="C2001" s="1" t="s">
        <v>7090</v>
      </c>
      <c r="D2001" s="1" t="s">
        <v>12625</v>
      </c>
      <c r="F2001" s="1" t="s">
        <v>7091</v>
      </c>
      <c r="G2001" s="1" t="s">
        <v>7092</v>
      </c>
    </row>
    <row r="2002" spans="1:7" x14ac:dyDescent="0.15">
      <c r="A2002" s="1">
        <v>2753</v>
      </c>
      <c r="B2002" s="1" t="s">
        <v>7331</v>
      </c>
      <c r="C2002" s="1" t="s">
        <v>7093</v>
      </c>
      <c r="D2002" s="1" t="s">
        <v>12625</v>
      </c>
      <c r="F2002" s="1" t="s">
        <v>7094</v>
      </c>
      <c r="G2002" s="1" t="s">
        <v>7095</v>
      </c>
    </row>
    <row r="2003" spans="1:7" x14ac:dyDescent="0.15">
      <c r="A2003" s="1">
        <v>2754</v>
      </c>
      <c r="B2003" s="1" t="s">
        <v>7331</v>
      </c>
      <c r="C2003" s="1" t="s">
        <v>7096</v>
      </c>
      <c r="D2003" s="1" t="s">
        <v>11582</v>
      </c>
      <c r="F2003" s="1" t="s">
        <v>7097</v>
      </c>
      <c r="G2003" s="1" t="s">
        <v>7098</v>
      </c>
    </row>
    <row r="2004" spans="1:7" x14ac:dyDescent="0.15">
      <c r="A2004" s="1">
        <v>2755</v>
      </c>
      <c r="B2004" s="1" t="s">
        <v>7331</v>
      </c>
      <c r="C2004" s="1" t="s">
        <v>7099</v>
      </c>
      <c r="D2004" s="1" t="s">
        <v>11582</v>
      </c>
      <c r="F2004" s="1" t="s">
        <v>7100</v>
      </c>
      <c r="G2004" s="1" t="s">
        <v>7101</v>
      </c>
    </row>
    <row r="2005" spans="1:7" x14ac:dyDescent="0.15">
      <c r="A2005" s="1">
        <v>2757</v>
      </c>
      <c r="B2005" s="1" t="s">
        <v>7331</v>
      </c>
      <c r="C2005" s="1" t="s">
        <v>7102</v>
      </c>
      <c r="D2005" s="1" t="s">
        <v>11582</v>
      </c>
      <c r="F2005" s="1" t="s">
        <v>7103</v>
      </c>
      <c r="G2005" s="1" t="s">
        <v>7104</v>
      </c>
    </row>
    <row r="2006" spans="1:7" x14ac:dyDescent="0.15">
      <c r="A2006" s="1">
        <v>2758</v>
      </c>
      <c r="B2006" s="1" t="s">
        <v>7331</v>
      </c>
      <c r="C2006" s="1" t="s">
        <v>7105</v>
      </c>
      <c r="D2006" s="1" t="s">
        <v>11582</v>
      </c>
      <c r="F2006" s="1" t="s">
        <v>7106</v>
      </c>
      <c r="G2006" s="1" t="s">
        <v>7107</v>
      </c>
    </row>
    <row r="2007" spans="1:7" x14ac:dyDescent="0.15">
      <c r="A2007" s="1">
        <v>2759</v>
      </c>
      <c r="B2007" s="1" t="s">
        <v>7331</v>
      </c>
      <c r="C2007" s="1" t="s">
        <v>7108</v>
      </c>
      <c r="D2007" s="1" t="s">
        <v>11582</v>
      </c>
      <c r="F2007" s="1" t="s">
        <v>7109</v>
      </c>
      <c r="G2007" s="1" t="s">
        <v>7110</v>
      </c>
    </row>
    <row r="2008" spans="1:7" x14ac:dyDescent="0.15">
      <c r="A2008" s="1">
        <v>2760</v>
      </c>
      <c r="B2008" s="1" t="s">
        <v>7331</v>
      </c>
      <c r="C2008" s="1" t="s">
        <v>7111</v>
      </c>
      <c r="D2008" s="1" t="s">
        <v>11582</v>
      </c>
      <c r="F2008" s="1" t="s">
        <v>7112</v>
      </c>
      <c r="G2008" s="1" t="s">
        <v>7113</v>
      </c>
    </row>
    <row r="2009" spans="1:7" x14ac:dyDescent="0.15">
      <c r="A2009" s="1">
        <v>2761</v>
      </c>
      <c r="B2009" s="1" t="s">
        <v>7331</v>
      </c>
      <c r="C2009" s="1" t="s">
        <v>7114</v>
      </c>
      <c r="D2009" s="1" t="s">
        <v>11582</v>
      </c>
      <c r="F2009" s="1" t="s">
        <v>7115</v>
      </c>
      <c r="G2009" s="1" t="s">
        <v>7116</v>
      </c>
    </row>
    <row r="2010" spans="1:7" x14ac:dyDescent="0.15">
      <c r="A2010" s="1">
        <v>2762</v>
      </c>
      <c r="B2010" s="1" t="s">
        <v>7331</v>
      </c>
      <c r="C2010" s="1" t="s">
        <v>7117</v>
      </c>
      <c r="D2010" s="1" t="s">
        <v>11582</v>
      </c>
      <c r="F2010" s="1" t="s">
        <v>7118</v>
      </c>
      <c r="G2010" s="1" t="s">
        <v>7119</v>
      </c>
    </row>
    <row r="2011" spans="1:7" x14ac:dyDescent="0.15">
      <c r="A2011" s="1">
        <v>2763</v>
      </c>
      <c r="B2011" s="1" t="s">
        <v>7331</v>
      </c>
      <c r="C2011" s="1" t="s">
        <v>7120</v>
      </c>
      <c r="D2011" s="1" t="s">
        <v>11582</v>
      </c>
      <c r="F2011" s="1" t="s">
        <v>7121</v>
      </c>
      <c r="G2011" s="1" t="s">
        <v>7122</v>
      </c>
    </row>
    <row r="2012" spans="1:7" x14ac:dyDescent="0.15">
      <c r="A2012" s="1">
        <v>2764</v>
      </c>
      <c r="B2012" s="1" t="s">
        <v>7331</v>
      </c>
      <c r="C2012" s="1" t="s">
        <v>7123</v>
      </c>
      <c r="D2012" s="1" t="s">
        <v>11582</v>
      </c>
      <c r="F2012" s="1" t="s">
        <v>7124</v>
      </c>
      <c r="G2012" s="1" t="s">
        <v>7125</v>
      </c>
    </row>
    <row r="2013" spans="1:7" x14ac:dyDescent="0.15">
      <c r="A2013" s="1">
        <v>2765</v>
      </c>
      <c r="B2013" s="1" t="s">
        <v>7331</v>
      </c>
      <c r="C2013" s="1" t="s">
        <v>7126</v>
      </c>
      <c r="D2013" s="1" t="s">
        <v>11582</v>
      </c>
      <c r="F2013" s="1" t="s">
        <v>7127</v>
      </c>
      <c r="G2013" s="1" t="s">
        <v>7128</v>
      </c>
    </row>
    <row r="2014" spans="1:7" x14ac:dyDescent="0.15">
      <c r="A2014" s="1">
        <v>2766</v>
      </c>
      <c r="B2014" s="1" t="s">
        <v>7331</v>
      </c>
      <c r="C2014" s="1" t="s">
        <v>7129</v>
      </c>
      <c r="D2014" s="1" t="s">
        <v>11582</v>
      </c>
      <c r="F2014" s="1" t="s">
        <v>7130</v>
      </c>
      <c r="G2014" s="1" t="s">
        <v>7131</v>
      </c>
    </row>
    <row r="2015" spans="1:7" x14ac:dyDescent="0.15">
      <c r="A2015" s="1">
        <v>2767</v>
      </c>
      <c r="B2015" s="1" t="s">
        <v>7331</v>
      </c>
      <c r="C2015" s="1" t="s">
        <v>7132</v>
      </c>
      <c r="D2015" s="1" t="s">
        <v>11582</v>
      </c>
      <c r="F2015" s="1" t="s">
        <v>7133</v>
      </c>
      <c r="G2015" s="1" t="s">
        <v>7134</v>
      </c>
    </row>
    <row r="2016" spans="1:7" x14ac:dyDescent="0.15">
      <c r="A2016" s="1">
        <v>2768</v>
      </c>
      <c r="B2016" s="1" t="s">
        <v>7331</v>
      </c>
      <c r="C2016" s="1" t="s">
        <v>7135</v>
      </c>
      <c r="D2016" s="1" t="s">
        <v>11582</v>
      </c>
      <c r="F2016" s="1" t="s">
        <v>7136</v>
      </c>
      <c r="G2016" s="1" t="s">
        <v>7137</v>
      </c>
    </row>
    <row r="2017" spans="1:7" x14ac:dyDescent="0.15">
      <c r="A2017" s="1">
        <v>2769</v>
      </c>
      <c r="B2017" s="1" t="s">
        <v>7331</v>
      </c>
      <c r="C2017" s="1" t="s">
        <v>7138</v>
      </c>
      <c r="D2017" s="1" t="s">
        <v>11582</v>
      </c>
      <c r="F2017" s="1" t="s">
        <v>7139</v>
      </c>
      <c r="G2017" s="1" t="s">
        <v>7140</v>
      </c>
    </row>
    <row r="2018" spans="1:7" x14ac:dyDescent="0.15">
      <c r="A2018" s="1">
        <v>2770</v>
      </c>
      <c r="B2018" s="1" t="s">
        <v>7331</v>
      </c>
      <c r="C2018" s="1" t="s">
        <v>7141</v>
      </c>
      <c r="D2018" s="1" t="s">
        <v>11582</v>
      </c>
      <c r="F2018" s="1" t="s">
        <v>7142</v>
      </c>
      <c r="G2018" s="1" t="s">
        <v>7143</v>
      </c>
    </row>
    <row r="2019" spans="1:7" x14ac:dyDescent="0.15">
      <c r="A2019" s="1">
        <v>2771</v>
      </c>
      <c r="B2019" s="1" t="s">
        <v>7331</v>
      </c>
      <c r="C2019" s="1" t="s">
        <v>7144</v>
      </c>
      <c r="D2019" s="1" t="s">
        <v>11582</v>
      </c>
      <c r="F2019" s="1" t="s">
        <v>7145</v>
      </c>
      <c r="G2019" s="1" t="s">
        <v>7146</v>
      </c>
    </row>
    <row r="2020" spans="1:7" x14ac:dyDescent="0.15">
      <c r="A2020" s="1">
        <v>2772</v>
      </c>
      <c r="B2020" s="1" t="s">
        <v>7331</v>
      </c>
      <c r="C2020" s="1" t="s">
        <v>7147</v>
      </c>
      <c r="D2020" s="1" t="s">
        <v>11582</v>
      </c>
      <c r="F2020" s="1" t="s">
        <v>7148</v>
      </c>
      <c r="G2020" s="1" t="s">
        <v>7149</v>
      </c>
    </row>
    <row r="2021" spans="1:7" x14ac:dyDescent="0.15">
      <c r="A2021" s="1">
        <v>2773</v>
      </c>
      <c r="B2021" s="1" t="s">
        <v>7331</v>
      </c>
      <c r="C2021" s="1" t="s">
        <v>7150</v>
      </c>
      <c r="D2021" s="1" t="s">
        <v>11582</v>
      </c>
      <c r="F2021" s="1" t="s">
        <v>7151</v>
      </c>
      <c r="G2021" s="1" t="s">
        <v>7152</v>
      </c>
    </row>
    <row r="2022" spans="1:7" x14ac:dyDescent="0.15">
      <c r="A2022" s="1">
        <v>2774</v>
      </c>
      <c r="B2022" s="1" t="s">
        <v>7331</v>
      </c>
      <c r="C2022" s="1" t="s">
        <v>7153</v>
      </c>
      <c r="D2022" s="1" t="s">
        <v>11582</v>
      </c>
      <c r="F2022" s="1" t="s">
        <v>7154</v>
      </c>
      <c r="G2022" s="1" t="s">
        <v>7155</v>
      </c>
    </row>
    <row r="2023" spans="1:7" x14ac:dyDescent="0.15">
      <c r="A2023" s="1">
        <v>2775</v>
      </c>
      <c r="B2023" s="1" t="s">
        <v>16912</v>
      </c>
      <c r="C2023" s="1" t="s">
        <v>21051</v>
      </c>
      <c r="D2023" s="1"/>
      <c r="F2023" s="1" t="s">
        <v>21052</v>
      </c>
      <c r="G2023" s="1"/>
    </row>
    <row r="2024" spans="1:7" x14ac:dyDescent="0.15">
      <c r="A2024" s="5">
        <v>2776</v>
      </c>
      <c r="B2024" s="1" t="s">
        <v>16338</v>
      </c>
      <c r="C2024" s="1" t="s">
        <v>21053</v>
      </c>
      <c r="D2024" s="1"/>
      <c r="F2024" s="1" t="s">
        <v>16440</v>
      </c>
      <c r="G2024" s="1"/>
    </row>
    <row r="2025" spans="1:7" x14ac:dyDescent="0.15">
      <c r="A2025" s="5">
        <v>2777</v>
      </c>
      <c r="B2025" s="1" t="s">
        <v>15803</v>
      </c>
      <c r="C2025" s="1" t="s">
        <v>21054</v>
      </c>
      <c r="D2025" s="1"/>
      <c r="F2025" s="1" t="s">
        <v>6052</v>
      </c>
      <c r="G2025" s="1"/>
    </row>
    <row r="2026" spans="1:7" x14ac:dyDescent="0.15">
      <c r="A2026" s="5">
        <v>2778</v>
      </c>
      <c r="B2026" s="1" t="s">
        <v>14191</v>
      </c>
      <c r="C2026" s="1" t="s">
        <v>21055</v>
      </c>
      <c r="D2026" s="1"/>
      <c r="F2026" s="1" t="s">
        <v>17189</v>
      </c>
      <c r="G2026" s="1"/>
    </row>
    <row r="2027" spans="1:7" ht="16" x14ac:dyDescent="0.2">
      <c r="A2027" s="5">
        <v>2779</v>
      </c>
      <c r="B2027" s="9" t="s">
        <v>18102</v>
      </c>
      <c r="C2027" s="9" t="s">
        <v>21076</v>
      </c>
      <c r="F2027" s="6" t="s">
        <v>18116</v>
      </c>
      <c r="G2027" s="5"/>
    </row>
    <row r="2028" spans="1:7" ht="16" x14ac:dyDescent="0.2">
      <c r="A2028" s="5">
        <v>2780</v>
      </c>
      <c r="B2028" s="9" t="s">
        <v>17100</v>
      </c>
      <c r="C2028" s="9" t="s">
        <v>21156</v>
      </c>
      <c r="F2028" s="6" t="s">
        <v>5958</v>
      </c>
      <c r="G2028" s="5"/>
    </row>
    <row r="2029" spans="1:7" ht="16" x14ac:dyDescent="0.2">
      <c r="A2029" s="5">
        <v>2781</v>
      </c>
      <c r="B2029" s="9" t="s">
        <v>16912</v>
      </c>
      <c r="C2029" s="9" t="s">
        <v>21164</v>
      </c>
      <c r="F2029" s="6" t="s">
        <v>6883</v>
      </c>
      <c r="G2029" s="5"/>
    </row>
    <row r="2030" spans="1:7" ht="16" x14ac:dyDescent="0.2">
      <c r="A2030" s="5">
        <v>2782</v>
      </c>
      <c r="B2030" s="9" t="s">
        <v>16672</v>
      </c>
      <c r="C2030" s="9" t="s">
        <v>21192</v>
      </c>
      <c r="F2030" s="6" t="s">
        <v>16811</v>
      </c>
      <c r="G2030" s="5"/>
    </row>
    <row r="2031" spans="1:7" ht="16" x14ac:dyDescent="0.2">
      <c r="A2031" s="5">
        <v>2783</v>
      </c>
      <c r="B2031" s="9" t="s">
        <v>15803</v>
      </c>
      <c r="C2031" s="9" t="s">
        <v>21299</v>
      </c>
      <c r="F2031" s="6" t="s">
        <v>6041</v>
      </c>
      <c r="G2031" s="5"/>
    </row>
    <row r="2032" spans="1:7" ht="16" x14ac:dyDescent="0.2">
      <c r="A2032" s="5">
        <v>2784</v>
      </c>
      <c r="B2032" s="9" t="s">
        <v>15803</v>
      </c>
      <c r="C2032" s="9" t="s">
        <v>21309</v>
      </c>
      <c r="F2032" s="6" t="s">
        <v>13902</v>
      </c>
      <c r="G2032" s="5"/>
    </row>
    <row r="2033" spans="1:7" ht="16" x14ac:dyDescent="0.2">
      <c r="A2033" s="5">
        <v>2785</v>
      </c>
      <c r="B2033" s="9" t="s">
        <v>14833</v>
      </c>
      <c r="C2033" s="9" t="s">
        <v>21391</v>
      </c>
      <c r="F2033" s="6" t="s">
        <v>6323</v>
      </c>
      <c r="G2033" s="5"/>
    </row>
    <row r="2034" spans="1:7" ht="16" x14ac:dyDescent="0.2">
      <c r="A2034" s="5">
        <v>2786</v>
      </c>
      <c r="B2034" s="9" t="s">
        <v>13980</v>
      </c>
      <c r="C2034" s="9" t="s">
        <v>21413</v>
      </c>
      <c r="F2034" s="6" t="s">
        <v>4937</v>
      </c>
      <c r="G2034" s="5"/>
    </row>
    <row r="2035" spans="1:7" ht="16" x14ac:dyDescent="0.2">
      <c r="A2035" s="5">
        <v>2787</v>
      </c>
      <c r="B2035" s="9" t="s">
        <v>14191</v>
      </c>
      <c r="C2035" s="9" t="s">
        <v>21499</v>
      </c>
      <c r="F2035" s="6" t="s">
        <v>5186</v>
      </c>
      <c r="G2035" s="5"/>
    </row>
    <row r="2036" spans="1:7" ht="16" x14ac:dyDescent="0.2">
      <c r="A2036" s="5">
        <v>2788</v>
      </c>
      <c r="B2036" s="9" t="s">
        <v>12713</v>
      </c>
      <c r="C2036" s="9" t="s">
        <v>21524</v>
      </c>
      <c r="F2036" s="6" t="s">
        <v>5285</v>
      </c>
      <c r="G2036" s="5"/>
    </row>
    <row r="2037" spans="1:7" ht="16" x14ac:dyDescent="0.2">
      <c r="A2037" s="5">
        <v>2789</v>
      </c>
      <c r="B2037" s="9" t="s">
        <v>21044</v>
      </c>
      <c r="C2037" s="9" t="s">
        <v>21044</v>
      </c>
      <c r="F2037" s="9" t="s">
        <v>21540</v>
      </c>
      <c r="G2037" s="5"/>
    </row>
    <row r="2038" spans="1:7" ht="16" x14ac:dyDescent="0.2">
      <c r="A2038" s="5">
        <v>2790</v>
      </c>
      <c r="B2038" s="9" t="s">
        <v>21044</v>
      </c>
      <c r="C2038" s="9" t="s">
        <v>21541</v>
      </c>
      <c r="F2038" s="9" t="s">
        <v>21540</v>
      </c>
      <c r="G2038" s="5"/>
    </row>
    <row r="2039" spans="1:7" ht="16" x14ac:dyDescent="0.2">
      <c r="A2039" s="5">
        <v>2791</v>
      </c>
      <c r="B2039" s="9" t="s">
        <v>21044</v>
      </c>
      <c r="C2039" s="9" t="s">
        <v>21045</v>
      </c>
      <c r="F2039" s="9" t="s">
        <v>21540</v>
      </c>
      <c r="G2039" s="5"/>
    </row>
  </sheetData>
  <phoneticPr fontId="0" type="noConversion"/>
  <pageMargins left="0.75" right="0.75" top="1" bottom="1" header="0.5" footer="0.5"/>
  <headerFooter alignWithMargins="0">
    <oddHeader>&amp;A</oddHeader>
    <oddFooter>Page &amp;P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E297-93FC-1642-801C-E5F62BD6B38C}">
  <dimension ref="A1:D1562"/>
  <sheetViews>
    <sheetView topLeftCell="A1548" workbookViewId="0">
      <selection activeCell="A1559" sqref="A1559:C1561"/>
    </sheetView>
  </sheetViews>
  <sheetFormatPr baseColWidth="10" defaultRowHeight="16" x14ac:dyDescent="0.2"/>
  <cols>
    <col min="1" max="1" width="11.6640625" style="7" customWidth="1"/>
    <col min="2" max="2" width="10.83203125" style="7"/>
    <col min="3" max="3" width="57.33203125" style="7" customWidth="1"/>
    <col min="4" max="16384" width="10.83203125" style="7"/>
  </cols>
  <sheetData>
    <row r="1" spans="1:4" x14ac:dyDescent="0.2">
      <c r="A1" s="4" t="s">
        <v>18231</v>
      </c>
      <c r="B1" s="4" t="s">
        <v>12579</v>
      </c>
      <c r="C1" s="4" t="s">
        <v>18234</v>
      </c>
      <c r="D1" s="8" t="s">
        <v>21543</v>
      </c>
    </row>
    <row r="2" spans="1:4" x14ac:dyDescent="0.2">
      <c r="A2" s="7" t="s">
        <v>17847</v>
      </c>
      <c r="B2" s="6" t="s">
        <v>17847</v>
      </c>
      <c r="C2" s="6" t="s">
        <v>21056</v>
      </c>
      <c r="D2" s="7" t="e">
        <f>VLOOKUP(B2,Table1[[CIPCode]:[CIPTITLE]],4,FALSE)</f>
        <v>#N/A</v>
      </c>
    </row>
    <row r="3" spans="1:4" x14ac:dyDescent="0.2">
      <c r="A3" s="7" t="s">
        <v>17847</v>
      </c>
      <c r="B3" s="6" t="s">
        <v>11579</v>
      </c>
      <c r="C3" s="6" t="s">
        <v>6588</v>
      </c>
      <c r="D3" s="7" t="str">
        <f>VLOOKUP(B3,Table1[[CIPCode]:[CIPTITLE]],4,FALSE)</f>
        <v>Agriculture, General.</v>
      </c>
    </row>
    <row r="4" spans="1:4" x14ac:dyDescent="0.2">
      <c r="A4" s="7" t="s">
        <v>17847</v>
      </c>
      <c r="B4" s="6" t="s">
        <v>17848</v>
      </c>
      <c r="C4" s="6" t="s">
        <v>6588</v>
      </c>
      <c r="D4" s="7" t="str">
        <f>VLOOKUP(B4,Table1[[CIPCode]:[CIPTITLE]],4,FALSE)</f>
        <v>Agriculture, General.</v>
      </c>
    </row>
    <row r="5" spans="1:4" x14ac:dyDescent="0.2">
      <c r="A5" s="7" t="s">
        <v>17847</v>
      </c>
      <c r="B5" s="6" t="s">
        <v>11584</v>
      </c>
      <c r="C5" s="6" t="s">
        <v>6521</v>
      </c>
      <c r="D5" s="7" t="str">
        <f>VLOOKUP(B5,Table1[[CIPCode]:[CIPTITLE]],4,FALSE)</f>
        <v>Agricultural Business and Management.</v>
      </c>
    </row>
    <row r="6" spans="1:4" x14ac:dyDescent="0.2">
      <c r="A6" s="7" t="s">
        <v>17847</v>
      </c>
      <c r="B6" s="6" t="s">
        <v>17856</v>
      </c>
      <c r="C6" s="6" t="s">
        <v>6522</v>
      </c>
      <c r="D6" s="7" t="str">
        <f>VLOOKUP(B6,Table1[[CIPCode]:[CIPTITLE]],4,FALSE)</f>
        <v>Agricultural Business and Management, General.</v>
      </c>
    </row>
    <row r="7" spans="1:4" x14ac:dyDescent="0.2">
      <c r="A7" s="7" t="s">
        <v>17847</v>
      </c>
      <c r="B7" s="6" t="s">
        <v>17860</v>
      </c>
      <c r="C7" s="6" t="s">
        <v>6523</v>
      </c>
      <c r="D7" s="7" t="str">
        <f>VLOOKUP(B7,Table1[[CIPCode]:[CIPTITLE]],4,FALSE)</f>
        <v>Agribusiness/Agricultural Business Operations.</v>
      </c>
    </row>
    <row r="8" spans="1:4" x14ac:dyDescent="0.2">
      <c r="A8" s="7" t="s">
        <v>17847</v>
      </c>
      <c r="B8" s="6" t="s">
        <v>17864</v>
      </c>
      <c r="C8" s="6" t="s">
        <v>17865</v>
      </c>
      <c r="D8" s="7" t="str">
        <f>VLOOKUP(B8,Table1[[CIPCode]:[CIPTITLE]],4,FALSE)</f>
        <v>Agricultural Economics.</v>
      </c>
    </row>
    <row r="9" spans="1:4" x14ac:dyDescent="0.2">
      <c r="A9" s="7" t="s">
        <v>17847</v>
      </c>
      <c r="B9" s="6" t="s">
        <v>17868</v>
      </c>
      <c r="C9" s="6" t="s">
        <v>6525</v>
      </c>
      <c r="D9" s="7" t="str">
        <f>VLOOKUP(B9,Table1[[CIPCode]:[CIPTITLE]],4,FALSE)</f>
        <v>Farm/Farm and Ranch Management.</v>
      </c>
    </row>
    <row r="10" spans="1:4" x14ac:dyDescent="0.2">
      <c r="A10" s="7" t="s">
        <v>17847</v>
      </c>
      <c r="B10" s="6" t="s">
        <v>11602</v>
      </c>
      <c r="C10" s="6" t="s">
        <v>6554</v>
      </c>
      <c r="D10" s="7" t="str">
        <f>VLOOKUP(B10,Table1[[CIPCode]:[CIPTITLE]],4,FALSE)</f>
        <v>Agricultural/Farm Supplies Retailing and Wholesaling.</v>
      </c>
    </row>
    <row r="11" spans="1:4" x14ac:dyDescent="0.2">
      <c r="A11" s="7" t="s">
        <v>17847</v>
      </c>
      <c r="B11" s="6" t="s">
        <v>11605</v>
      </c>
      <c r="C11" s="6" t="s">
        <v>21057</v>
      </c>
      <c r="D11" s="7" t="str">
        <f>VLOOKUP(B11,Table1[[CIPCode]:[CIPTITLE]],4,FALSE)</f>
        <v>Agricultural Business Technology.</v>
      </c>
    </row>
    <row r="12" spans="1:4" x14ac:dyDescent="0.2">
      <c r="A12" s="7" t="s">
        <v>17847</v>
      </c>
      <c r="B12" s="6" t="s">
        <v>17872</v>
      </c>
      <c r="C12" s="6" t="s">
        <v>6527</v>
      </c>
      <c r="D12" s="7" t="str">
        <f>VLOOKUP(B12,Table1[[CIPCode]:[CIPTITLE]],4,FALSE)</f>
        <v>Agricultural Business and Management, Other.</v>
      </c>
    </row>
    <row r="13" spans="1:4" x14ac:dyDescent="0.2">
      <c r="A13" s="7" t="s">
        <v>17847</v>
      </c>
      <c r="B13" s="6" t="s">
        <v>11610</v>
      </c>
      <c r="C13" s="6" t="s">
        <v>17877</v>
      </c>
      <c r="D13" s="7" t="str">
        <f>VLOOKUP(B13,Table1[[CIPCode]:[CIPTITLE]],4,FALSE)</f>
        <v>Agricultural Mechanization.</v>
      </c>
    </row>
    <row r="14" spans="1:4" x14ac:dyDescent="0.2">
      <c r="A14" s="7" t="s">
        <v>17847</v>
      </c>
      <c r="B14" s="6" t="s">
        <v>17880</v>
      </c>
      <c r="C14" s="6" t="s">
        <v>17881</v>
      </c>
      <c r="D14" s="7" t="str">
        <f>VLOOKUP(B14,Table1[[CIPCode]:[CIPTITLE]],4,FALSE)</f>
        <v>Agricultural Mechanization, General.</v>
      </c>
    </row>
    <row r="15" spans="1:4" x14ac:dyDescent="0.2">
      <c r="A15" s="7" t="s">
        <v>17847</v>
      </c>
      <c r="B15" s="6" t="s">
        <v>17884</v>
      </c>
      <c r="C15" s="6" t="s">
        <v>6528</v>
      </c>
      <c r="D15" s="7" t="str">
        <f>VLOOKUP(B15,Table1[[CIPCode]:[CIPTITLE]],4,FALSE)</f>
        <v>Agricultural Power Machinery Operation.</v>
      </c>
    </row>
    <row r="16" spans="1:4" x14ac:dyDescent="0.2">
      <c r="A16" s="7" t="s">
        <v>17847</v>
      </c>
      <c r="B16" s="6" t="s">
        <v>11619</v>
      </c>
      <c r="C16" s="6" t="s">
        <v>21058</v>
      </c>
      <c r="D16" s="7" t="str">
        <f>VLOOKUP(B16,Table1[[CIPCode]:[CIPTITLE]],4,FALSE)</f>
        <v>Agricultural Mechanics and Equipment/Machine Technology.</v>
      </c>
    </row>
    <row r="17" spans="1:4" x14ac:dyDescent="0.2">
      <c r="A17" s="7" t="s">
        <v>17847</v>
      </c>
      <c r="B17" s="6" t="s">
        <v>17888</v>
      </c>
      <c r="C17" s="6" t="s">
        <v>17889</v>
      </c>
      <c r="D17" s="7" t="str">
        <f>VLOOKUP(B17,Table1[[CIPCode]:[CIPTITLE]],4,FALSE)</f>
        <v>Agricultural Mechanization, Other.</v>
      </c>
    </row>
    <row r="18" spans="1:4" x14ac:dyDescent="0.2">
      <c r="A18" s="7" t="s">
        <v>17847</v>
      </c>
      <c r="B18" s="6" t="s">
        <v>11626</v>
      </c>
      <c r="C18" s="6" t="s">
        <v>6531</v>
      </c>
      <c r="D18" s="7" t="str">
        <f>VLOOKUP(B18,Table1[[CIPCode]:[CIPTITLE]],4,FALSE)</f>
        <v>Agricultural Production Operations.</v>
      </c>
    </row>
    <row r="19" spans="1:4" x14ac:dyDescent="0.2">
      <c r="A19" s="7" t="s">
        <v>17847</v>
      </c>
      <c r="B19" s="6" t="s">
        <v>17896</v>
      </c>
      <c r="C19" s="6" t="s">
        <v>6533</v>
      </c>
      <c r="D19" s="7" t="str">
        <f>VLOOKUP(B19,Table1[[CIPCode]:[CIPTITLE]],4,FALSE)</f>
        <v>Agricultural Production Operations, General.</v>
      </c>
    </row>
    <row r="20" spans="1:4" x14ac:dyDescent="0.2">
      <c r="A20" s="7" t="s">
        <v>17847</v>
      </c>
      <c r="B20" s="6" t="s">
        <v>17900</v>
      </c>
      <c r="C20" s="6" t="s">
        <v>6535</v>
      </c>
      <c r="D20" s="7" t="str">
        <f>VLOOKUP(B20,Table1[[CIPCode]:[CIPTITLE]],4,FALSE)</f>
        <v>Animal/Livestock Husbandry and Production.</v>
      </c>
    </row>
    <row r="21" spans="1:4" x14ac:dyDescent="0.2">
      <c r="A21" s="7" t="s">
        <v>17847</v>
      </c>
      <c r="B21" s="6" t="s">
        <v>17904</v>
      </c>
      <c r="C21" s="6" t="s">
        <v>6537</v>
      </c>
      <c r="D21" s="7" t="str">
        <f>VLOOKUP(B21,Table1[[CIPCode]:[CIPTITLE]],4,FALSE)</f>
        <v>Aquaculture.</v>
      </c>
    </row>
    <row r="22" spans="1:4" x14ac:dyDescent="0.2">
      <c r="A22" s="7" t="s">
        <v>17847</v>
      </c>
      <c r="B22" s="6" t="s">
        <v>17908</v>
      </c>
      <c r="C22" s="6" t="s">
        <v>6539</v>
      </c>
      <c r="D22" s="7" t="str">
        <f>VLOOKUP(B22,Table1[[CIPCode]:[CIPTITLE]],4,FALSE)</f>
        <v>Crop Production.</v>
      </c>
    </row>
    <row r="23" spans="1:4" x14ac:dyDescent="0.2">
      <c r="A23" s="7" t="s">
        <v>17847</v>
      </c>
      <c r="B23" s="6" t="s">
        <v>11636</v>
      </c>
      <c r="C23" s="6" t="s">
        <v>21059</v>
      </c>
      <c r="D23" s="7" t="str">
        <f>VLOOKUP(B23,Table1[[CIPCode]:[CIPTITLE]],4,FALSE)</f>
        <v>Dairy Husbandry and Production.</v>
      </c>
    </row>
    <row r="24" spans="1:4" x14ac:dyDescent="0.2">
      <c r="A24" s="7" t="s">
        <v>17847</v>
      </c>
      <c r="B24" s="6" t="s">
        <v>11639</v>
      </c>
      <c r="C24" s="6" t="s">
        <v>21060</v>
      </c>
      <c r="D24" s="7" t="str">
        <f>VLOOKUP(B24,Table1[[CIPCode]:[CIPTITLE]],4,FALSE)</f>
        <v>Horse Husbandry/Equine Science and Management.</v>
      </c>
    </row>
    <row r="25" spans="1:4" x14ac:dyDescent="0.2">
      <c r="A25" s="7" t="s">
        <v>17847</v>
      </c>
      <c r="B25" s="6" t="s">
        <v>17912</v>
      </c>
      <c r="C25" s="6" t="s">
        <v>6546</v>
      </c>
      <c r="D25" s="7" t="str">
        <f>VLOOKUP(B25,Table1[[CIPCode]:[CIPTITLE]],4,FALSE)</f>
        <v>Agricultural Production Operations, Other.</v>
      </c>
    </row>
    <row r="26" spans="1:4" x14ac:dyDescent="0.2">
      <c r="A26" s="7" t="s">
        <v>17847</v>
      </c>
      <c r="B26" s="6" t="s">
        <v>11644</v>
      </c>
      <c r="C26" s="6" t="s">
        <v>6550</v>
      </c>
      <c r="D26" s="7" t="str">
        <f>VLOOKUP(B26,Table1[[CIPCode]:[CIPTITLE]],4,FALSE)</f>
        <v>Agricultural and Food Products Processing.</v>
      </c>
    </row>
    <row r="27" spans="1:4" x14ac:dyDescent="0.2">
      <c r="A27" s="7" t="s">
        <v>17847</v>
      </c>
      <c r="B27" s="6" t="s">
        <v>17920</v>
      </c>
      <c r="C27" s="6" t="s">
        <v>6550</v>
      </c>
      <c r="D27" s="7" t="str">
        <f>VLOOKUP(B27,Table1[[CIPCode]:[CIPTITLE]],4,FALSE)</f>
        <v>Agricultural and Food Products Processing.</v>
      </c>
    </row>
    <row r="28" spans="1:4" x14ac:dyDescent="0.2">
      <c r="A28" s="7" t="s">
        <v>17847</v>
      </c>
      <c r="B28" s="6" t="s">
        <v>11648</v>
      </c>
      <c r="C28" s="6" t="s">
        <v>6552</v>
      </c>
      <c r="D28" s="7" t="str">
        <f>VLOOKUP(B28,Table1[[CIPCode]:[CIPTITLE]],4,FALSE)</f>
        <v>Agricultural and Domestic Animal Services.</v>
      </c>
    </row>
    <row r="29" spans="1:4" x14ac:dyDescent="0.2">
      <c r="A29" s="7" t="s">
        <v>17847</v>
      </c>
      <c r="B29" s="6" t="s">
        <v>11654</v>
      </c>
      <c r="C29" s="6" t="s">
        <v>21061</v>
      </c>
      <c r="D29" s="7" t="str">
        <f>VLOOKUP(B29,Table1[[CIPCode]:[CIPTITLE]],4,FALSE)</f>
        <v>Dog/Pet/Animal Grooming.</v>
      </c>
    </row>
    <row r="30" spans="1:4" x14ac:dyDescent="0.2">
      <c r="A30" s="7" t="s">
        <v>17847</v>
      </c>
      <c r="B30" s="6" t="s">
        <v>17932</v>
      </c>
      <c r="C30" s="6" t="s">
        <v>6556</v>
      </c>
      <c r="D30" s="7" t="str">
        <f>VLOOKUP(B30,Table1[[CIPCode]:[CIPTITLE]],4,FALSE)</f>
        <v>Animal Training.</v>
      </c>
    </row>
    <row r="31" spans="1:4" x14ac:dyDescent="0.2">
      <c r="A31" s="7" t="s">
        <v>17847</v>
      </c>
      <c r="B31" s="6" t="s">
        <v>17936</v>
      </c>
      <c r="C31" s="6" t="s">
        <v>6558</v>
      </c>
      <c r="D31" s="7" t="str">
        <f>VLOOKUP(B31,Table1[[CIPCode]:[CIPTITLE]],4,FALSE)</f>
        <v>Equestrian/Equine Studies.</v>
      </c>
    </row>
    <row r="32" spans="1:4" x14ac:dyDescent="0.2">
      <c r="A32" s="7" t="s">
        <v>17847</v>
      </c>
      <c r="B32" s="6" t="s">
        <v>17940</v>
      </c>
      <c r="C32" s="6" t="s">
        <v>21062</v>
      </c>
      <c r="D32" s="7" t="str">
        <f>VLOOKUP(B32,Table1[[CIPCode]:[CIPTITLE]],4,FALSE)</f>
        <v>Agricultural and Domestic Animal Services, Other.</v>
      </c>
    </row>
    <row r="33" spans="1:4" x14ac:dyDescent="0.2">
      <c r="A33" s="7" t="s">
        <v>17847</v>
      </c>
      <c r="B33" s="6" t="s">
        <v>11668</v>
      </c>
      <c r="C33" s="6" t="s">
        <v>6563</v>
      </c>
      <c r="D33" s="7" t="str">
        <f>VLOOKUP(B33,Table1[[CIPCode]:[CIPTITLE]],4,FALSE)</f>
        <v>Applied Horticulture and Horticultural Business Services.</v>
      </c>
    </row>
    <row r="34" spans="1:4" x14ac:dyDescent="0.2">
      <c r="A34" s="7" t="s">
        <v>17847</v>
      </c>
      <c r="B34" s="6" t="s">
        <v>17948</v>
      </c>
      <c r="C34" s="6" t="s">
        <v>21063</v>
      </c>
      <c r="D34" s="7" t="str">
        <f>VLOOKUP(B34,Table1[[CIPCode]:[CIPTITLE]],4,FALSE)</f>
        <v>Applied Horticulture/Horticulture Operations, General.</v>
      </c>
    </row>
    <row r="35" spans="1:4" x14ac:dyDescent="0.2">
      <c r="A35" s="7" t="s">
        <v>17847</v>
      </c>
      <c r="B35" s="6" t="s">
        <v>17952</v>
      </c>
      <c r="C35" s="6" t="s">
        <v>6566</v>
      </c>
      <c r="D35" s="7" t="str">
        <f>VLOOKUP(B35,Table1[[CIPCode]:[CIPTITLE]],4,FALSE)</f>
        <v>Ornamental Horticulture.</v>
      </c>
    </row>
    <row r="36" spans="1:4" x14ac:dyDescent="0.2">
      <c r="A36" s="7" t="s">
        <v>17847</v>
      </c>
      <c r="B36" s="6" t="s">
        <v>17956</v>
      </c>
      <c r="C36" s="6" t="s">
        <v>6567</v>
      </c>
      <c r="D36" s="7" t="str">
        <f>VLOOKUP(B36,Table1[[CIPCode]:[CIPTITLE]],4,FALSE)</f>
        <v>Greenhouse Operations and Management.</v>
      </c>
    </row>
    <row r="37" spans="1:4" x14ac:dyDescent="0.2">
      <c r="A37" s="7" t="s">
        <v>17847</v>
      </c>
      <c r="B37" s="6" t="s">
        <v>17960</v>
      </c>
      <c r="C37" s="6" t="s">
        <v>6569</v>
      </c>
      <c r="D37" s="7" t="str">
        <f>VLOOKUP(B37,Table1[[CIPCode]:[CIPTITLE]],4,FALSE)</f>
        <v>Landscaping and Groundskeeping.</v>
      </c>
    </row>
    <row r="38" spans="1:4" x14ac:dyDescent="0.2">
      <c r="A38" s="7" t="s">
        <v>17847</v>
      </c>
      <c r="B38" s="6" t="s">
        <v>17964</v>
      </c>
      <c r="C38" s="6" t="s">
        <v>6571</v>
      </c>
      <c r="D38" s="7" t="str">
        <f>VLOOKUP(B38,Table1[[CIPCode]:[CIPTITLE]],4,FALSE)</f>
        <v>Plant Nursery Operations and Management.</v>
      </c>
    </row>
    <row r="39" spans="1:4" x14ac:dyDescent="0.2">
      <c r="A39" s="7" t="s">
        <v>17847</v>
      </c>
      <c r="B39" s="6" t="s">
        <v>17968</v>
      </c>
      <c r="C39" s="6" t="s">
        <v>6572</v>
      </c>
      <c r="D39" s="7" t="str">
        <f>VLOOKUP(B39,Table1[[CIPCode]:[CIPTITLE]],4,FALSE)</f>
        <v>Turf and Turfgrass Management.</v>
      </c>
    </row>
    <row r="40" spans="1:4" x14ac:dyDescent="0.2">
      <c r="A40" s="7" t="s">
        <v>17847</v>
      </c>
      <c r="B40" s="6" t="s">
        <v>11682</v>
      </c>
      <c r="C40" s="6" t="s">
        <v>21064</v>
      </c>
      <c r="D40" s="7" t="str">
        <f>VLOOKUP(B40,Table1[[CIPCode]:[CIPTITLE]],4,FALSE)</f>
        <v>Floriculture/Floristry Operations and Management.</v>
      </c>
    </row>
    <row r="41" spans="1:4" x14ac:dyDescent="0.2">
      <c r="A41" s="7" t="s">
        <v>17847</v>
      </c>
      <c r="B41" s="6" t="s">
        <v>17972</v>
      </c>
      <c r="C41" s="6" t="s">
        <v>6578</v>
      </c>
      <c r="D41" s="7" t="str">
        <f>VLOOKUP(B41,Table1[[CIPCode]:[CIPTITLE]],4,FALSE)</f>
        <v>Applied Horticulture/Horticultural Business Services, Other.</v>
      </c>
    </row>
    <row r="42" spans="1:4" x14ac:dyDescent="0.2">
      <c r="A42" s="7" t="s">
        <v>17847</v>
      </c>
      <c r="B42" s="6" t="s">
        <v>11687</v>
      </c>
      <c r="C42" s="6" t="s">
        <v>17977</v>
      </c>
      <c r="D42" s="7" t="str">
        <f>VLOOKUP(B42,Table1[[CIPCode]:[CIPTITLE]],4,FALSE)</f>
        <v>International Agriculture.</v>
      </c>
    </row>
    <row r="43" spans="1:4" x14ac:dyDescent="0.2">
      <c r="A43" s="7" t="s">
        <v>17847</v>
      </c>
      <c r="B43" s="6" t="s">
        <v>17980</v>
      </c>
      <c r="C43" s="6" t="s">
        <v>17977</v>
      </c>
      <c r="D43" s="7" t="str">
        <f>VLOOKUP(B43,Table1[[CIPCode]:[CIPTITLE]],4,FALSE)</f>
        <v>International Agriculture.</v>
      </c>
    </row>
    <row r="44" spans="1:4" x14ac:dyDescent="0.2">
      <c r="A44" s="7" t="s">
        <v>17847</v>
      </c>
      <c r="B44" s="6" t="s">
        <v>11691</v>
      </c>
      <c r="C44" s="6" t="s">
        <v>21065</v>
      </c>
      <c r="D44" s="7" t="str">
        <f>VLOOKUP(B44,Table1[[CIPCode]:[CIPTITLE]],4,FALSE)</f>
        <v>Agricultural Public Services.</v>
      </c>
    </row>
    <row r="45" spans="1:4" x14ac:dyDescent="0.2">
      <c r="A45" s="7" t="s">
        <v>17847</v>
      </c>
      <c r="B45" s="6" t="s">
        <v>11694</v>
      </c>
      <c r="C45" s="6" t="s">
        <v>6589</v>
      </c>
      <c r="D45" s="7" t="str">
        <f>VLOOKUP(B45,Table1[[CIPCode]:[CIPTITLE]],4,FALSE)</f>
        <v>Agricultural and Extension Education Services.</v>
      </c>
    </row>
    <row r="46" spans="1:4" x14ac:dyDescent="0.2">
      <c r="A46" s="7" t="s">
        <v>17847</v>
      </c>
      <c r="B46" s="6" t="s">
        <v>11698</v>
      </c>
      <c r="C46" s="6" t="s">
        <v>21066</v>
      </c>
      <c r="D46" s="7" t="str">
        <f>VLOOKUP(B46,Table1[[CIPCode]:[CIPTITLE]],4,FALSE)</f>
        <v>Agricultural Communication/Journalism.</v>
      </c>
    </row>
    <row r="47" spans="1:4" x14ac:dyDescent="0.2">
      <c r="A47" s="7" t="s">
        <v>17847</v>
      </c>
      <c r="B47" s="6" t="s">
        <v>11707</v>
      </c>
      <c r="C47" s="6" t="s">
        <v>18007</v>
      </c>
      <c r="D47" s="7" t="str">
        <f>VLOOKUP(B47,Table1[[CIPCode]:[CIPTITLE]],4,FALSE)</f>
        <v>Animal Sciences.</v>
      </c>
    </row>
    <row r="48" spans="1:4" x14ac:dyDescent="0.2">
      <c r="A48" s="7" t="s">
        <v>17847</v>
      </c>
      <c r="B48" s="6" t="s">
        <v>11710</v>
      </c>
      <c r="C48" s="6" t="s">
        <v>18011</v>
      </c>
      <c r="D48" s="7" t="str">
        <f>VLOOKUP(B48,Table1[[CIPCode]:[CIPTITLE]],4,FALSE)</f>
        <v>Animal Sciences, General.</v>
      </c>
    </row>
    <row r="49" spans="1:4" x14ac:dyDescent="0.2">
      <c r="A49" s="7" t="s">
        <v>17847</v>
      </c>
      <c r="B49" s="6" t="s">
        <v>11722</v>
      </c>
      <c r="C49" s="6" t="s">
        <v>6593</v>
      </c>
      <c r="D49" s="7" t="str">
        <f>VLOOKUP(B49,Table1[[CIPCode]:[CIPTITLE]],4,FALSE)</f>
        <v>Agricultural Animal Breeding.</v>
      </c>
    </row>
    <row r="50" spans="1:4" x14ac:dyDescent="0.2">
      <c r="A50" s="7" t="s">
        <v>17847</v>
      </c>
      <c r="B50" s="6" t="s">
        <v>11729</v>
      </c>
      <c r="C50" s="6" t="s">
        <v>6594</v>
      </c>
      <c r="D50" s="7" t="str">
        <f>VLOOKUP(B50,Table1[[CIPCode]:[CIPTITLE]],4,FALSE)</f>
        <v>Animal Health.</v>
      </c>
    </row>
    <row r="51" spans="1:4" x14ac:dyDescent="0.2">
      <c r="A51" s="7" t="s">
        <v>17847</v>
      </c>
      <c r="B51" s="6" t="s">
        <v>11739</v>
      </c>
      <c r="C51" s="6" t="s">
        <v>6595</v>
      </c>
      <c r="D51" s="7" t="str">
        <f>VLOOKUP(B51,Table1[[CIPCode]:[CIPTITLE]],4,FALSE)</f>
        <v>Animal Nutrition.</v>
      </c>
    </row>
    <row r="52" spans="1:4" x14ac:dyDescent="0.2">
      <c r="A52" s="7" t="s">
        <v>17847</v>
      </c>
      <c r="B52" s="6" t="s">
        <v>11748</v>
      </c>
      <c r="C52" s="6" t="s">
        <v>18031</v>
      </c>
      <c r="D52" s="7" t="str">
        <f>VLOOKUP(B52,Table1[[CIPCode]:[CIPTITLE]],4,FALSE)</f>
        <v>Dairy Science.</v>
      </c>
    </row>
    <row r="53" spans="1:4" x14ac:dyDescent="0.2">
      <c r="A53" s="7" t="s">
        <v>17847</v>
      </c>
      <c r="B53" s="6" t="s">
        <v>11751</v>
      </c>
      <c r="C53" s="6" t="s">
        <v>21067</v>
      </c>
      <c r="D53" s="7" t="str">
        <f>VLOOKUP(B53,Table1[[CIPCode]:[CIPTITLE]],4,FALSE)</f>
        <v>Livestock Management.</v>
      </c>
    </row>
    <row r="54" spans="1:4" x14ac:dyDescent="0.2">
      <c r="A54" s="7" t="s">
        <v>17847</v>
      </c>
      <c r="B54" s="6" t="s">
        <v>11754</v>
      </c>
      <c r="C54" s="6" t="s">
        <v>18035</v>
      </c>
      <c r="D54" s="7" t="str">
        <f>VLOOKUP(B54,Table1[[CIPCode]:[CIPTITLE]],4,FALSE)</f>
        <v>Poultry Science.</v>
      </c>
    </row>
    <row r="55" spans="1:4" x14ac:dyDescent="0.2">
      <c r="A55" s="7" t="s">
        <v>17847</v>
      </c>
      <c r="B55" s="6" t="s">
        <v>11758</v>
      </c>
      <c r="C55" s="6" t="s">
        <v>18039</v>
      </c>
      <c r="D55" s="7" t="str">
        <f>VLOOKUP(B55,Table1[[CIPCode]:[CIPTITLE]],4,FALSE)</f>
        <v>Animal Sciences, Other.</v>
      </c>
    </row>
    <row r="56" spans="1:4" x14ac:dyDescent="0.2">
      <c r="A56" s="7" t="s">
        <v>17847</v>
      </c>
      <c r="B56" s="6" t="s">
        <v>11615</v>
      </c>
      <c r="C56" s="6" t="s">
        <v>6600</v>
      </c>
      <c r="D56" s="7" t="str">
        <f>VLOOKUP(B56,Table1[[CIPCode]:[CIPTITLE]],4,FALSE)</f>
        <v>Food Science and Technology.</v>
      </c>
    </row>
    <row r="57" spans="1:4" x14ac:dyDescent="0.2">
      <c r="A57" s="7" t="s">
        <v>17847</v>
      </c>
      <c r="B57" s="6" t="s">
        <v>11763</v>
      </c>
      <c r="C57" s="6" t="s">
        <v>11901</v>
      </c>
      <c r="D57" s="7" t="str">
        <f>VLOOKUP(B57,Table1[[CIPCode]:[CIPTITLE]],4,FALSE)</f>
        <v>Food Science.</v>
      </c>
    </row>
    <row r="58" spans="1:4" x14ac:dyDescent="0.2">
      <c r="A58" s="7" t="s">
        <v>17847</v>
      </c>
      <c r="B58" s="6" t="s">
        <v>11766</v>
      </c>
      <c r="C58" s="6" t="s">
        <v>21068</v>
      </c>
      <c r="D58" s="7" t="str">
        <f>VLOOKUP(B58,Table1[[CIPCode]:[CIPTITLE]],4,FALSE)</f>
        <v>Food Technology and Processing.</v>
      </c>
    </row>
    <row r="59" spans="1:4" x14ac:dyDescent="0.2">
      <c r="A59" s="7" t="s">
        <v>17847</v>
      </c>
      <c r="B59" s="6" t="s">
        <v>11769</v>
      </c>
      <c r="C59" s="6" t="s">
        <v>21069</v>
      </c>
      <c r="D59" s="7" t="str">
        <f>VLOOKUP(B59,Table1[[CIPCode]:[CIPTITLE]],4,FALSE)</f>
        <v>Food Science and Technology, Other.</v>
      </c>
    </row>
    <row r="60" spans="1:4" x14ac:dyDescent="0.2">
      <c r="A60" s="7" t="s">
        <v>17847</v>
      </c>
      <c r="B60" s="6" t="s">
        <v>12613</v>
      </c>
      <c r="C60" s="6" t="s">
        <v>18050</v>
      </c>
      <c r="D60" s="7" t="str">
        <f>VLOOKUP(B60,Table1[[CIPCode]:[CIPTITLE]],4,FALSE)</f>
        <v>Plant Sciences.</v>
      </c>
    </row>
    <row r="61" spans="1:4" x14ac:dyDescent="0.2">
      <c r="A61" s="7" t="s">
        <v>17847</v>
      </c>
      <c r="B61" s="6" t="s">
        <v>11773</v>
      </c>
      <c r="C61" s="6" t="s">
        <v>18054</v>
      </c>
      <c r="D61" s="7" t="str">
        <f>VLOOKUP(B61,Table1[[CIPCode]:[CIPTITLE]],4,FALSE)</f>
        <v>Plant Sciences, General.</v>
      </c>
    </row>
    <row r="62" spans="1:4" x14ac:dyDescent="0.2">
      <c r="A62" s="7" t="s">
        <v>17847</v>
      </c>
      <c r="B62" s="6" t="s">
        <v>11227</v>
      </c>
      <c r="C62" s="6" t="s">
        <v>6605</v>
      </c>
      <c r="D62" s="7" t="str">
        <f>VLOOKUP(B62,Table1[[CIPCode]:[CIPTITLE]],4,FALSE)</f>
        <v>Agronomy and Crop Science.</v>
      </c>
    </row>
    <row r="63" spans="1:4" x14ac:dyDescent="0.2">
      <c r="A63" s="7" t="s">
        <v>17847</v>
      </c>
      <c r="B63" s="6" t="s">
        <v>11230</v>
      </c>
      <c r="C63" s="6" t="s">
        <v>6606</v>
      </c>
      <c r="D63" s="7" t="str">
        <f>VLOOKUP(B63,Table1[[CIPCode]:[CIPTITLE]],4,FALSE)</f>
        <v>Horticultural Science.</v>
      </c>
    </row>
    <row r="64" spans="1:4" x14ac:dyDescent="0.2">
      <c r="A64" s="7" t="s">
        <v>17847</v>
      </c>
      <c r="B64" s="6" t="s">
        <v>11233</v>
      </c>
      <c r="C64" s="6" t="s">
        <v>21070</v>
      </c>
      <c r="D64" s="7" t="str">
        <f>VLOOKUP(B64,Table1[[CIPCode]:[CIPTITLE]],4,FALSE)</f>
        <v>Agricultural and Horticultural Plant Breeding.</v>
      </c>
    </row>
    <row r="65" spans="1:4" x14ac:dyDescent="0.2">
      <c r="A65" s="7" t="s">
        <v>17847</v>
      </c>
      <c r="B65" s="6" t="s">
        <v>11244</v>
      </c>
      <c r="C65" s="6" t="s">
        <v>21071</v>
      </c>
      <c r="D65" s="7" t="str">
        <f>VLOOKUP(B65,Table1[[CIPCode]:[CIPTITLE]],4,FALSE)</f>
        <v>Plant Protection and Integrated Pest Management.</v>
      </c>
    </row>
    <row r="66" spans="1:4" x14ac:dyDescent="0.2">
      <c r="A66" s="7" t="s">
        <v>17847</v>
      </c>
      <c r="B66" s="6" t="s">
        <v>12607</v>
      </c>
      <c r="C66" s="6" t="s">
        <v>6611</v>
      </c>
      <c r="D66" s="7" t="str">
        <f>VLOOKUP(B66,Table1[[CIPCode]:[CIPTITLE]],4,FALSE)</f>
        <v>Range Science and Management.</v>
      </c>
    </row>
    <row r="67" spans="1:4" x14ac:dyDescent="0.2">
      <c r="A67" s="7" t="s">
        <v>17847</v>
      </c>
      <c r="B67" s="6" t="s">
        <v>11248</v>
      </c>
      <c r="C67" s="6" t="s">
        <v>18086</v>
      </c>
      <c r="D67" s="7" t="str">
        <f>VLOOKUP(B67,Table1[[CIPCode]:[CIPTITLE]],4,FALSE)</f>
        <v>Plant Sciences, Other.</v>
      </c>
    </row>
    <row r="68" spans="1:4" x14ac:dyDescent="0.2">
      <c r="A68" s="7" t="s">
        <v>17847</v>
      </c>
      <c r="B68" s="6" t="s">
        <v>12611</v>
      </c>
      <c r="C68" s="6" t="s">
        <v>18090</v>
      </c>
      <c r="D68" s="7" t="str">
        <f>VLOOKUP(B68,Table1[[CIPCode]:[CIPTITLE]],4,FALSE)</f>
        <v>Soil Sciences.</v>
      </c>
    </row>
    <row r="69" spans="1:4" x14ac:dyDescent="0.2">
      <c r="A69" s="7" t="s">
        <v>17847</v>
      </c>
      <c r="B69" s="6" t="s">
        <v>11251</v>
      </c>
      <c r="C69" s="6" t="s">
        <v>6613</v>
      </c>
      <c r="D69" s="7" t="str">
        <f>VLOOKUP(B69,Table1[[CIPCode]:[CIPTITLE]],4,FALSE)</f>
        <v>Soil Science and Agronomy, General.</v>
      </c>
    </row>
    <row r="70" spans="1:4" x14ac:dyDescent="0.2">
      <c r="A70" s="7" t="s">
        <v>17847</v>
      </c>
      <c r="B70" s="6" t="s">
        <v>11263</v>
      </c>
      <c r="C70" s="6" t="s">
        <v>21072</v>
      </c>
      <c r="D70" s="7" t="str">
        <f>VLOOKUP(B70,Table1[[CIPCode]:[CIPTITLE]],4,FALSE)</f>
        <v>Soil Sciences, Other.</v>
      </c>
    </row>
    <row r="71" spans="1:4" x14ac:dyDescent="0.2">
      <c r="A71" s="7" t="s">
        <v>17847</v>
      </c>
      <c r="B71" s="6" t="s">
        <v>11266</v>
      </c>
      <c r="C71" s="6" t="s">
        <v>21073</v>
      </c>
      <c r="D71" s="7" t="str">
        <f>VLOOKUP(B71,Table1[[CIPCode]:[CIPTITLE]],4,FALSE)</f>
        <v>Agriculture, Agriculture Operations, and Related Sciences, Other.</v>
      </c>
    </row>
    <row r="72" spans="1:4" x14ac:dyDescent="0.2">
      <c r="A72" s="7" t="s">
        <v>17847</v>
      </c>
      <c r="B72" s="6" t="s">
        <v>17987</v>
      </c>
      <c r="C72" s="6" t="s">
        <v>21073</v>
      </c>
      <c r="D72" s="7" t="str">
        <f>VLOOKUP(B72,Table1[[CIPCode]:[CIPTITLE]],4,FALSE)</f>
        <v>Agriculture, Agriculture Operations, and Related Sciences, Other.</v>
      </c>
    </row>
    <row r="73" spans="1:4" x14ac:dyDescent="0.2">
      <c r="A73" s="7" t="s">
        <v>18102</v>
      </c>
      <c r="B73" s="6" t="s">
        <v>18102</v>
      </c>
      <c r="C73" s="6" t="s">
        <v>21074</v>
      </c>
      <c r="D73" s="7" t="e">
        <f>VLOOKUP(B73,Table1[[CIPCode]:[CIPTITLE]],4,FALSE)</f>
        <v>#N/A</v>
      </c>
    </row>
    <row r="74" spans="1:4" x14ac:dyDescent="0.2">
      <c r="A74" s="7" t="s">
        <v>18102</v>
      </c>
      <c r="B74" s="6" t="s">
        <v>11277</v>
      </c>
      <c r="C74" s="6" t="s">
        <v>6618</v>
      </c>
      <c r="D74" s="7" t="str">
        <f>VLOOKUP(B74,Table1[[CIPCode]:[CIPTITLE]],4,FALSE)</f>
        <v>Natural Resources Conservation and Research.</v>
      </c>
    </row>
    <row r="75" spans="1:4" x14ac:dyDescent="0.2">
      <c r="A75" s="7" t="s">
        <v>18102</v>
      </c>
      <c r="B75" s="6" t="s">
        <v>18111</v>
      </c>
      <c r="C75" s="6" t="s">
        <v>6619</v>
      </c>
      <c r="D75" s="7" t="str">
        <f>VLOOKUP(B75,Table1[[CIPCode]:[CIPTITLE]],4,FALSE)</f>
        <v>Natural Resources/Conservation, General.</v>
      </c>
    </row>
    <row r="76" spans="1:4" x14ac:dyDescent="0.2">
      <c r="A76" s="7" t="s">
        <v>18102</v>
      </c>
      <c r="B76" s="6" t="s">
        <v>12618</v>
      </c>
      <c r="C76" s="6" t="s">
        <v>21075</v>
      </c>
      <c r="D76" s="7" t="str">
        <f>VLOOKUP(B76,Table1[[CIPCode]:[CIPTITLE]],4,FALSE)</f>
        <v>Environmental Studies.</v>
      </c>
    </row>
    <row r="77" spans="1:4" x14ac:dyDescent="0.2">
      <c r="A77" s="7" t="s">
        <v>18102</v>
      </c>
      <c r="B77" s="6" t="s">
        <v>11285</v>
      </c>
      <c r="C77" s="6" t="s">
        <v>12464</v>
      </c>
      <c r="D77" s="7" t="str">
        <f>VLOOKUP(B77,Table1[[CIPCode]:[CIPTITLE]],4,FALSE)</f>
        <v>Environmental Science.</v>
      </c>
    </row>
    <row r="78" spans="1:4" x14ac:dyDescent="0.2">
      <c r="A78" s="7" t="s">
        <v>18102</v>
      </c>
      <c r="B78" s="6" t="s">
        <v>21076</v>
      </c>
      <c r="C78" s="6" t="s">
        <v>18116</v>
      </c>
      <c r="D78" s="7" t="str">
        <f>VLOOKUP(B78,Table1[[CIPCode]:[CIPTITLE]],4,FALSE)</f>
        <v>Environmental Science/Studies</v>
      </c>
    </row>
    <row r="79" spans="1:4" x14ac:dyDescent="0.2">
      <c r="A79" s="7" t="s">
        <v>18102</v>
      </c>
      <c r="B79" s="6" t="s">
        <v>11295</v>
      </c>
      <c r="C79" s="6" t="s">
        <v>6624</v>
      </c>
      <c r="D79" s="7" t="str">
        <f>VLOOKUP(B79,Table1[[CIPCode]:[CIPTITLE]],4,FALSE)</f>
        <v>Natural Resources Management and Policy.</v>
      </c>
    </row>
    <row r="80" spans="1:4" x14ac:dyDescent="0.2">
      <c r="A80" s="7" t="s">
        <v>18102</v>
      </c>
      <c r="B80" s="6" t="s">
        <v>18123</v>
      </c>
      <c r="C80" s="6" t="s">
        <v>6624</v>
      </c>
      <c r="D80" s="7" t="str">
        <f>VLOOKUP(B80,Table1[[CIPCode]:[CIPTITLE]],4,FALSE)</f>
        <v>Natural Resources Management and Policy.</v>
      </c>
    </row>
    <row r="81" spans="1:4" x14ac:dyDescent="0.2">
      <c r="A81" s="7" t="s">
        <v>18102</v>
      </c>
      <c r="B81" s="6" t="s">
        <v>11595</v>
      </c>
      <c r="C81" s="6" t="s">
        <v>21077</v>
      </c>
      <c r="D81" s="7" t="str">
        <f>VLOOKUP(B81,Table1[[CIPCode]:[CIPTITLE]],4,FALSE)</f>
        <v>Natural Resource Economics.</v>
      </c>
    </row>
    <row r="82" spans="1:4" x14ac:dyDescent="0.2">
      <c r="A82" s="7" t="s">
        <v>18102</v>
      </c>
      <c r="B82" s="6" t="s">
        <v>11304</v>
      </c>
      <c r="C82" s="6" t="s">
        <v>21078</v>
      </c>
      <c r="D82" s="7" t="str">
        <f>VLOOKUP(B82,Table1[[CIPCode]:[CIPTITLE]],4,FALSE)</f>
        <v>Water, Wetlands, and Marine Resources Management.</v>
      </c>
    </row>
    <row r="83" spans="1:4" x14ac:dyDescent="0.2">
      <c r="A83" s="7" t="s">
        <v>18102</v>
      </c>
      <c r="B83" s="6" t="s">
        <v>11307</v>
      </c>
      <c r="C83" s="6" t="s">
        <v>21079</v>
      </c>
      <c r="D83" s="7" t="str">
        <f>VLOOKUP(B83,Table1[[CIPCode]:[CIPTITLE]],4,FALSE)</f>
        <v>Land Use Planning and Management/Development.</v>
      </c>
    </row>
    <row r="84" spans="1:4" x14ac:dyDescent="0.2">
      <c r="A84" s="7" t="s">
        <v>18102</v>
      </c>
      <c r="B84" s="6" t="s">
        <v>18131</v>
      </c>
      <c r="C84" s="6" t="s">
        <v>6638</v>
      </c>
      <c r="D84" s="7" t="str">
        <f>VLOOKUP(B84,Table1[[CIPCode]:[CIPTITLE]],4,FALSE)</f>
        <v>Natural Resources Management and Policy, Other.</v>
      </c>
    </row>
    <row r="85" spans="1:4" x14ac:dyDescent="0.2">
      <c r="A85" s="7" t="s">
        <v>18102</v>
      </c>
      <c r="B85" s="6" t="s">
        <v>12582</v>
      </c>
      <c r="C85" s="6" t="s">
        <v>6639</v>
      </c>
      <c r="D85" s="7" t="str">
        <f>VLOOKUP(B85,Table1[[CIPCode]:[CIPTITLE]],4,FALSE)</f>
        <v>Fishing and Fisheries Sciences and Management.</v>
      </c>
    </row>
    <row r="86" spans="1:4" x14ac:dyDescent="0.2">
      <c r="A86" s="7" t="s">
        <v>18102</v>
      </c>
      <c r="B86" s="6" t="s">
        <v>18139</v>
      </c>
      <c r="C86" s="6" t="s">
        <v>6639</v>
      </c>
      <c r="D86" s="7" t="str">
        <f>VLOOKUP(B86,Table1[[CIPCode]:[CIPTITLE]],4,FALSE)</f>
        <v>Fishing and Fisheries Sciences and Management.</v>
      </c>
    </row>
    <row r="87" spans="1:4" x14ac:dyDescent="0.2">
      <c r="A87" s="7" t="s">
        <v>18102</v>
      </c>
      <c r="B87" s="6" t="s">
        <v>12602</v>
      </c>
      <c r="C87" s="6" t="s">
        <v>6647</v>
      </c>
      <c r="D87" s="7" t="str">
        <f>VLOOKUP(B87,Table1[[CIPCode]:[CIPTITLE]],4,FALSE)</f>
        <v>Forestry.</v>
      </c>
    </row>
    <row r="88" spans="1:4" x14ac:dyDescent="0.2">
      <c r="A88" s="7" t="s">
        <v>18102</v>
      </c>
      <c r="B88" s="6" t="s">
        <v>18166</v>
      </c>
      <c r="C88" s="6" t="s">
        <v>18167</v>
      </c>
      <c r="D88" s="7" t="str">
        <f>VLOOKUP(B88,Table1[[CIPCode]:[CIPTITLE]],4,FALSE)</f>
        <v>Forestry, General.</v>
      </c>
    </row>
    <row r="89" spans="1:4" x14ac:dyDescent="0.2">
      <c r="A89" s="7" t="s">
        <v>18102</v>
      </c>
      <c r="B89" s="6" t="s">
        <v>18170</v>
      </c>
      <c r="C89" s="6" t="s">
        <v>6648</v>
      </c>
      <c r="D89" s="7" t="str">
        <f>VLOOKUP(B89,Table1[[CIPCode]:[CIPTITLE]],4,FALSE)</f>
        <v>Forest Sciences and Biology.</v>
      </c>
    </row>
    <row r="90" spans="1:4" x14ac:dyDescent="0.2">
      <c r="A90" s="7" t="s">
        <v>18102</v>
      </c>
      <c r="B90" s="6" t="s">
        <v>18174</v>
      </c>
      <c r="C90" s="6" t="s">
        <v>21080</v>
      </c>
      <c r="D90" s="7" t="str">
        <f>VLOOKUP(B90,Table1[[CIPCode]:[CIPTITLE]],4,FALSE)</f>
        <v>Forest Management/Forest Resources Management.</v>
      </c>
    </row>
    <row r="91" spans="1:4" x14ac:dyDescent="0.2">
      <c r="A91" s="7" t="s">
        <v>18102</v>
      </c>
      <c r="B91" s="6" t="s">
        <v>12624</v>
      </c>
      <c r="C91" s="6" t="s">
        <v>21081</v>
      </c>
      <c r="D91" s="7" t="str">
        <f>VLOOKUP(B91,Table1[[CIPCode]:[CIPTITLE]],4,FALSE)</f>
        <v>Urban Forestry.</v>
      </c>
    </row>
    <row r="92" spans="1:4" x14ac:dyDescent="0.2">
      <c r="A92" s="7" t="s">
        <v>18102</v>
      </c>
      <c r="B92" s="6" t="s">
        <v>18178</v>
      </c>
      <c r="C92" s="6" t="s">
        <v>6652</v>
      </c>
      <c r="D92" s="7" t="str">
        <f>VLOOKUP(B92,Table1[[CIPCode]:[CIPTITLE]],4,FALSE)</f>
        <v>Wood Science and Wood Products/Pulp and Paper Technology.</v>
      </c>
    </row>
    <row r="93" spans="1:4" x14ac:dyDescent="0.2">
      <c r="A93" s="7" t="s">
        <v>18102</v>
      </c>
      <c r="B93" s="6" t="s">
        <v>12632</v>
      </c>
      <c r="C93" s="6" t="s">
        <v>21082</v>
      </c>
      <c r="D93" s="7" t="str">
        <f>VLOOKUP(B93,Table1[[CIPCode]:[CIPTITLE]],4,FALSE)</f>
        <v>Forest Resources Production and Management.</v>
      </c>
    </row>
    <row r="94" spans="1:4" x14ac:dyDescent="0.2">
      <c r="A94" s="7" t="s">
        <v>18102</v>
      </c>
      <c r="B94" s="6" t="s">
        <v>12635</v>
      </c>
      <c r="C94" s="6" t="s">
        <v>21083</v>
      </c>
      <c r="D94" s="7" t="str">
        <f>VLOOKUP(B94,Table1[[CIPCode]:[CIPTITLE]],4,FALSE)</f>
        <v>Forest Technology/Technician.</v>
      </c>
    </row>
    <row r="95" spans="1:4" x14ac:dyDescent="0.2">
      <c r="A95" s="7" t="s">
        <v>18102</v>
      </c>
      <c r="B95" s="6" t="s">
        <v>18182</v>
      </c>
      <c r="C95" s="6" t="s">
        <v>6644</v>
      </c>
      <c r="D95" s="7" t="str">
        <f>VLOOKUP(B95,Table1[[CIPCode]:[CIPTITLE]],4,FALSE)</f>
        <v>Forestry, Other.</v>
      </c>
    </row>
    <row r="96" spans="1:4" x14ac:dyDescent="0.2">
      <c r="A96" s="7" t="s">
        <v>18102</v>
      </c>
      <c r="B96" s="6" t="s">
        <v>12640</v>
      </c>
      <c r="C96" s="6" t="s">
        <v>6657</v>
      </c>
      <c r="D96" s="7" t="str">
        <f>VLOOKUP(B96,Table1[[CIPCode]:[CIPTITLE]],4,FALSE)</f>
        <v>Wildlife and Wildlands Science and Management.</v>
      </c>
    </row>
    <row r="97" spans="1:4" x14ac:dyDescent="0.2">
      <c r="A97" s="7" t="s">
        <v>18102</v>
      </c>
      <c r="B97" s="6" t="s">
        <v>18190</v>
      </c>
      <c r="C97" s="6" t="s">
        <v>6657</v>
      </c>
      <c r="D97" s="7" t="str">
        <f>VLOOKUP(B97,Table1[[CIPCode]:[CIPTITLE]],4,FALSE)</f>
        <v>Wildlife and Wildlands Science and Management.</v>
      </c>
    </row>
    <row r="98" spans="1:4" x14ac:dyDescent="0.2">
      <c r="A98" s="7" t="s">
        <v>18102</v>
      </c>
      <c r="B98" s="6" t="s">
        <v>12648</v>
      </c>
      <c r="C98" s="6" t="s">
        <v>6659</v>
      </c>
      <c r="D98" s="7" t="str">
        <f>VLOOKUP(B98,Table1[[CIPCode]:[CIPTITLE]],4,FALSE)</f>
        <v>Natural Resources and Conservation, Other.</v>
      </c>
    </row>
    <row r="99" spans="1:4" x14ac:dyDescent="0.2">
      <c r="A99" s="7" t="s">
        <v>18102</v>
      </c>
      <c r="B99" s="6" t="s">
        <v>18197</v>
      </c>
      <c r="C99" s="6" t="s">
        <v>6659</v>
      </c>
      <c r="D99" s="7" t="str">
        <f>VLOOKUP(B99,Table1[[CIPCode]:[CIPTITLE]],4,FALSE)</f>
        <v>Natural Resources and Conservation, Other.</v>
      </c>
    </row>
    <row r="100" spans="1:4" x14ac:dyDescent="0.2">
      <c r="A100" s="7" t="s">
        <v>18200</v>
      </c>
      <c r="B100" s="6" t="s">
        <v>18200</v>
      </c>
      <c r="C100" s="6" t="s">
        <v>21084</v>
      </c>
      <c r="D100" s="7" t="e">
        <f>VLOOKUP(B100,Table1[[CIPCode]:[CIPTITLE]],4,FALSE)</f>
        <v>#N/A</v>
      </c>
    </row>
    <row r="101" spans="1:4" x14ac:dyDescent="0.2">
      <c r="A101" s="7" t="s">
        <v>18200</v>
      </c>
      <c r="B101" s="6" t="s">
        <v>12655</v>
      </c>
      <c r="C101" s="6" t="s">
        <v>18206</v>
      </c>
      <c r="D101" s="7" t="str">
        <f>VLOOKUP(B101,Table1[[CIPCode]:[CIPTITLE]],4,FALSE)</f>
        <v>Architecture.</v>
      </c>
    </row>
    <row r="102" spans="1:4" x14ac:dyDescent="0.2">
      <c r="A102" s="7" t="s">
        <v>18200</v>
      </c>
      <c r="B102" s="6" t="s">
        <v>18209</v>
      </c>
      <c r="C102" s="6" t="s">
        <v>6662</v>
      </c>
      <c r="D102" s="7" t="str">
        <f>VLOOKUP(B102,Table1[[CIPCode]:[CIPTITLE]],4,FALSE)</f>
        <v>Architecture (BArch, BA/BS, MArch, MA/MS, PhD).</v>
      </c>
    </row>
    <row r="103" spans="1:4" x14ac:dyDescent="0.2">
      <c r="A103" s="7" t="s">
        <v>18200</v>
      </c>
      <c r="B103" s="6" t="s">
        <v>12666</v>
      </c>
      <c r="C103" s="6" t="s">
        <v>6663</v>
      </c>
      <c r="D103" s="7" t="str">
        <f>VLOOKUP(B103,Table1[[CIPCode]:[CIPTITLE]],4,FALSE)</f>
        <v>City/Urban, Community and Regional Planning.</v>
      </c>
    </row>
    <row r="104" spans="1:4" x14ac:dyDescent="0.2">
      <c r="A104" s="7" t="s">
        <v>18200</v>
      </c>
      <c r="B104" s="6" t="s">
        <v>18216</v>
      </c>
      <c r="C104" s="6" t="s">
        <v>6663</v>
      </c>
      <c r="D104" s="7" t="str">
        <f>VLOOKUP(B104,Table1[[CIPCode]:[CIPTITLE]],4,FALSE)</f>
        <v>City/Urban, Community and Regional Planning.</v>
      </c>
    </row>
    <row r="105" spans="1:4" x14ac:dyDescent="0.2">
      <c r="A105" s="7" t="s">
        <v>18200</v>
      </c>
      <c r="B105" s="6" t="s">
        <v>12671</v>
      </c>
      <c r="C105" s="6" t="s">
        <v>11916</v>
      </c>
      <c r="D105" s="7" t="str">
        <f>VLOOKUP(B105,Table1[[CIPCode]:[CIPTITLE]],4,FALSE)</f>
        <v>Environmental Design.</v>
      </c>
    </row>
    <row r="106" spans="1:4" x14ac:dyDescent="0.2">
      <c r="A106" s="7" t="s">
        <v>18200</v>
      </c>
      <c r="B106" s="6" t="s">
        <v>18223</v>
      </c>
      <c r="C106" s="6" t="s">
        <v>6664</v>
      </c>
      <c r="D106" s="7" t="str">
        <f>VLOOKUP(B106,Table1[[CIPCode]:[CIPTITLE]],4,FALSE)</f>
        <v>Environmental Design/Architecture.</v>
      </c>
    </row>
    <row r="107" spans="1:4" x14ac:dyDescent="0.2">
      <c r="A107" s="7" t="s">
        <v>18200</v>
      </c>
      <c r="B107" s="6" t="s">
        <v>11521</v>
      </c>
      <c r="C107" s="6" t="s">
        <v>18227</v>
      </c>
      <c r="D107" s="7" t="str">
        <f>VLOOKUP(B107,Table1[[CIPCode]:[CIPTITLE]],4,FALSE)</f>
        <v>Interior Architecture.</v>
      </c>
    </row>
    <row r="108" spans="1:4" x14ac:dyDescent="0.2">
      <c r="A108" s="7" t="s">
        <v>18200</v>
      </c>
      <c r="B108" s="6" t="s">
        <v>18230</v>
      </c>
      <c r="C108" s="6" t="s">
        <v>18227</v>
      </c>
      <c r="D108" s="7" t="str">
        <f>VLOOKUP(B108,Table1[[CIPCode]:[CIPTITLE]],4,FALSE)</f>
        <v>Interior Architecture.</v>
      </c>
    </row>
    <row r="109" spans="1:4" x14ac:dyDescent="0.2">
      <c r="A109" s="7" t="s">
        <v>18200</v>
      </c>
      <c r="B109" s="6" t="s">
        <v>11525</v>
      </c>
      <c r="C109" s="6" t="s">
        <v>17384</v>
      </c>
      <c r="D109" s="7" t="str">
        <f>VLOOKUP(B109,Table1[[CIPCode]:[CIPTITLE]],4,FALSE)</f>
        <v>Landscape Architecture.</v>
      </c>
    </row>
    <row r="110" spans="1:4" x14ac:dyDescent="0.2">
      <c r="A110" s="7" t="s">
        <v>18200</v>
      </c>
      <c r="B110" s="6" t="s">
        <v>17387</v>
      </c>
      <c r="C110" s="6" t="s">
        <v>6665</v>
      </c>
      <c r="D110" s="7" t="str">
        <f>VLOOKUP(B110,Table1[[CIPCode]:[CIPTITLE]],4,FALSE)</f>
        <v>Landscape Architecture (BS, BSLA, BLA, MSLA, MLA, PhD).</v>
      </c>
    </row>
    <row r="111" spans="1:4" x14ac:dyDescent="0.2">
      <c r="A111" s="7" t="s">
        <v>18200</v>
      </c>
      <c r="B111" s="6" t="s">
        <v>11534</v>
      </c>
      <c r="C111" s="6" t="s">
        <v>21085</v>
      </c>
      <c r="D111" s="7" t="str">
        <f>VLOOKUP(B111,Table1[[CIPCode]:[CIPTITLE]],4,FALSE)</f>
        <v>Architectural History and Criticism.</v>
      </c>
    </row>
    <row r="112" spans="1:4" x14ac:dyDescent="0.2">
      <c r="A112" s="7" t="s">
        <v>18200</v>
      </c>
      <c r="B112" s="6" t="s">
        <v>11537</v>
      </c>
      <c r="C112" s="6" t="s">
        <v>21086</v>
      </c>
      <c r="D112" s="7" t="str">
        <f>VLOOKUP(B112,Table1[[CIPCode]:[CIPTITLE]],4,FALSE)</f>
        <v>Architectural History and Criticism, General.</v>
      </c>
    </row>
    <row r="113" spans="1:4" x14ac:dyDescent="0.2">
      <c r="A113" s="7" t="s">
        <v>18200</v>
      </c>
      <c r="B113" s="6" t="s">
        <v>11545</v>
      </c>
      <c r="C113" s="6" t="s">
        <v>21087</v>
      </c>
      <c r="D113" s="7" t="str">
        <f>VLOOKUP(B113,Table1[[CIPCode]:[CIPTITLE]],4,FALSE)</f>
        <v>Architectural Technology/Technician.</v>
      </c>
    </row>
    <row r="114" spans="1:4" x14ac:dyDescent="0.2">
      <c r="A114" s="7" t="s">
        <v>18200</v>
      </c>
      <c r="B114" s="6" t="s">
        <v>11548</v>
      </c>
      <c r="C114" s="6" t="s">
        <v>21087</v>
      </c>
      <c r="D114" s="7" t="str">
        <f>VLOOKUP(B114,Table1[[CIPCode]:[CIPTITLE]],4,FALSE)</f>
        <v>Architectural Technology/Technician.</v>
      </c>
    </row>
    <row r="115" spans="1:4" x14ac:dyDescent="0.2">
      <c r="A115" s="7" t="s">
        <v>18200</v>
      </c>
      <c r="B115" s="6" t="s">
        <v>11550</v>
      </c>
      <c r="C115" s="6" t="s">
        <v>6675</v>
      </c>
      <c r="D115" s="7" t="str">
        <f>VLOOKUP(B115,Table1[[CIPCode]:[CIPTITLE]],4,FALSE)</f>
        <v>Architecture and Related Services, Other.</v>
      </c>
    </row>
    <row r="116" spans="1:4" x14ac:dyDescent="0.2">
      <c r="A116" s="7" t="s">
        <v>18200</v>
      </c>
      <c r="B116" s="6" t="s">
        <v>17401</v>
      </c>
      <c r="C116" s="6" t="s">
        <v>6675</v>
      </c>
      <c r="D116" s="7" t="str">
        <f>VLOOKUP(B116,Table1[[CIPCode]:[CIPTITLE]],4,FALSE)</f>
        <v>Architecture and Related Services, Other.</v>
      </c>
    </row>
    <row r="117" spans="1:4" x14ac:dyDescent="0.2">
      <c r="A117" s="7" t="s">
        <v>17404</v>
      </c>
      <c r="B117" s="6" t="s">
        <v>17404</v>
      </c>
      <c r="C117" s="6" t="s">
        <v>21088</v>
      </c>
      <c r="D117" s="7" t="e">
        <f>VLOOKUP(B117,Table1[[CIPCode]:[CIPTITLE]],4,FALSE)</f>
        <v>#N/A</v>
      </c>
    </row>
    <row r="118" spans="1:4" x14ac:dyDescent="0.2">
      <c r="A118" s="7" t="s">
        <v>17404</v>
      </c>
      <c r="B118" s="6" t="s">
        <v>11557</v>
      </c>
      <c r="C118" s="6" t="s">
        <v>17410</v>
      </c>
      <c r="D118" s="7" t="str">
        <f>VLOOKUP(B118,Table1[[CIPCode]:[CIPTITLE]],4,FALSE)</f>
        <v>Area Studies.</v>
      </c>
    </row>
    <row r="119" spans="1:4" x14ac:dyDescent="0.2">
      <c r="A119" s="7" t="s">
        <v>17404</v>
      </c>
      <c r="B119" s="6" t="s">
        <v>17413</v>
      </c>
      <c r="C119" s="6" t="s">
        <v>17414</v>
      </c>
      <c r="D119" s="7" t="str">
        <f>VLOOKUP(B119,Table1[[CIPCode]:[CIPTITLE]],4,FALSE)</f>
        <v>African Studies.</v>
      </c>
    </row>
    <row r="120" spans="1:4" x14ac:dyDescent="0.2">
      <c r="A120" s="7" t="s">
        <v>17404</v>
      </c>
      <c r="B120" s="6" t="s">
        <v>17417</v>
      </c>
      <c r="C120" s="6" t="s">
        <v>6678</v>
      </c>
      <c r="D120" s="7" t="str">
        <f>VLOOKUP(B120,Table1[[CIPCode]:[CIPTITLE]],4,FALSE)</f>
        <v>American/United States Studies/Civilization.</v>
      </c>
    </row>
    <row r="121" spans="1:4" x14ac:dyDescent="0.2">
      <c r="A121" s="7" t="s">
        <v>17404</v>
      </c>
      <c r="B121" s="6" t="s">
        <v>17421</v>
      </c>
      <c r="C121" s="6" t="s">
        <v>6679</v>
      </c>
      <c r="D121" s="7" t="str">
        <f>VLOOKUP(B121,Table1[[CIPCode]:[CIPTITLE]],4,FALSE)</f>
        <v>Asian Studies/Civilization.</v>
      </c>
    </row>
    <row r="122" spans="1:4" x14ac:dyDescent="0.2">
      <c r="A122" s="7" t="s">
        <v>17404</v>
      </c>
      <c r="B122" s="6" t="s">
        <v>17425</v>
      </c>
      <c r="C122" s="6" t="s">
        <v>17426</v>
      </c>
      <c r="D122" s="7" t="str">
        <f>VLOOKUP(B122,Table1[[CIPCode]:[CIPTITLE]],4,FALSE)</f>
        <v>East Asian Studies.</v>
      </c>
    </row>
    <row r="123" spans="1:4" x14ac:dyDescent="0.2">
      <c r="A123" s="7" t="s">
        <v>17404</v>
      </c>
      <c r="B123" s="6" t="s">
        <v>17429</v>
      </c>
      <c r="C123" s="6" t="s">
        <v>6680</v>
      </c>
      <c r="D123" s="7" t="str">
        <f>VLOOKUP(B123,Table1[[CIPCode]:[CIPTITLE]],4,FALSE)</f>
        <v>Central/Middle and Eastern European Studies.</v>
      </c>
    </row>
    <row r="124" spans="1:4" x14ac:dyDescent="0.2">
      <c r="A124" s="7" t="s">
        <v>17404</v>
      </c>
      <c r="B124" s="6" t="s">
        <v>17433</v>
      </c>
      <c r="C124" s="6" t="s">
        <v>6681</v>
      </c>
      <c r="D124" s="7" t="str">
        <f>VLOOKUP(B124,Table1[[CIPCode]:[CIPTITLE]],4,FALSE)</f>
        <v>European Studies/Civilization.</v>
      </c>
    </row>
    <row r="125" spans="1:4" x14ac:dyDescent="0.2">
      <c r="A125" s="7" t="s">
        <v>17404</v>
      </c>
      <c r="B125" s="6" t="s">
        <v>17437</v>
      </c>
      <c r="C125" s="6" t="s">
        <v>17438</v>
      </c>
      <c r="D125" s="7" t="str">
        <f>VLOOKUP(B125,Table1[[CIPCode]:[CIPTITLE]],4,FALSE)</f>
        <v>Latin American Studies.</v>
      </c>
    </row>
    <row r="126" spans="1:4" x14ac:dyDescent="0.2">
      <c r="A126" s="7" t="s">
        <v>17404</v>
      </c>
      <c r="B126" s="6" t="s">
        <v>17441</v>
      </c>
      <c r="C126" s="6" t="s">
        <v>6682</v>
      </c>
      <c r="D126" s="7" t="str">
        <f>VLOOKUP(B126,Table1[[CIPCode]:[CIPTITLE]],4,FALSE)</f>
        <v>Near and Middle Eastern Studies.</v>
      </c>
    </row>
    <row r="127" spans="1:4" x14ac:dyDescent="0.2">
      <c r="A127" s="7" t="s">
        <v>17404</v>
      </c>
      <c r="B127" s="6" t="s">
        <v>17445</v>
      </c>
      <c r="C127" s="6" t="s">
        <v>6683</v>
      </c>
      <c r="D127" s="7" t="str">
        <f>VLOOKUP(B127,Table1[[CIPCode]:[CIPTITLE]],4,FALSE)</f>
        <v>Pacific Area/Pacific Rim Studies.</v>
      </c>
    </row>
    <row r="128" spans="1:4" x14ac:dyDescent="0.2">
      <c r="A128" s="7" t="s">
        <v>17404</v>
      </c>
      <c r="B128" s="6" t="s">
        <v>17449</v>
      </c>
      <c r="C128" s="6" t="s">
        <v>6685</v>
      </c>
      <c r="D128" s="7" t="str">
        <f>VLOOKUP(B128,Table1[[CIPCode]:[CIPTITLE]],4,FALSE)</f>
        <v>Russian Studies.</v>
      </c>
    </row>
    <row r="129" spans="1:4" x14ac:dyDescent="0.2">
      <c r="A129" s="7" t="s">
        <v>17404</v>
      </c>
      <c r="B129" s="6" t="s">
        <v>17453</v>
      </c>
      <c r="C129" s="6" t="s">
        <v>6686</v>
      </c>
      <c r="D129" s="7" t="str">
        <f>VLOOKUP(B129,Table1[[CIPCode]:[CIPTITLE]],4,FALSE)</f>
        <v>Scandinavian Studies.</v>
      </c>
    </row>
    <row r="130" spans="1:4" x14ac:dyDescent="0.2">
      <c r="A130" s="7" t="s">
        <v>17404</v>
      </c>
      <c r="B130" s="6" t="s">
        <v>17457</v>
      </c>
      <c r="C130" s="6" t="s">
        <v>17458</v>
      </c>
      <c r="D130" s="7" t="str">
        <f>VLOOKUP(B130,Table1[[CIPCode]:[CIPTITLE]],4,FALSE)</f>
        <v>South Asian Studies.</v>
      </c>
    </row>
    <row r="131" spans="1:4" x14ac:dyDescent="0.2">
      <c r="A131" s="7" t="s">
        <v>17404</v>
      </c>
      <c r="B131" s="6" t="s">
        <v>17461</v>
      </c>
      <c r="C131" s="6" t="s">
        <v>17462</v>
      </c>
      <c r="D131" s="7" t="str">
        <f>VLOOKUP(B131,Table1[[CIPCode]:[CIPTITLE]],4,FALSE)</f>
        <v>Southeast Asian Studies.</v>
      </c>
    </row>
    <row r="132" spans="1:4" x14ac:dyDescent="0.2">
      <c r="A132" s="7" t="s">
        <v>17404</v>
      </c>
      <c r="B132" s="6" t="s">
        <v>17465</v>
      </c>
      <c r="C132" s="6" t="s">
        <v>17466</v>
      </c>
      <c r="D132" s="7" t="str">
        <f>VLOOKUP(B132,Table1[[CIPCode]:[CIPTITLE]],4,FALSE)</f>
        <v>Western European Studies.</v>
      </c>
    </row>
    <row r="133" spans="1:4" x14ac:dyDescent="0.2">
      <c r="A133" s="7" t="s">
        <v>17404</v>
      </c>
      <c r="B133" s="6" t="s">
        <v>17469</v>
      </c>
      <c r="C133" s="6" t="s">
        <v>17470</v>
      </c>
      <c r="D133" s="7" t="str">
        <f>VLOOKUP(B133,Table1[[CIPCode]:[CIPTITLE]],4,FALSE)</f>
        <v>Canadian Studies.</v>
      </c>
    </row>
    <row r="134" spans="1:4" x14ac:dyDescent="0.2">
      <c r="A134" s="7" t="s">
        <v>17404</v>
      </c>
      <c r="B134" s="6" t="s">
        <v>11390</v>
      </c>
      <c r="C134" s="6" t="s">
        <v>21089</v>
      </c>
      <c r="D134" s="7" t="str">
        <f>VLOOKUP(B134,Table1[[CIPCode]:[CIPTITLE]],4,FALSE)</f>
        <v>Slavic Studies.</v>
      </c>
    </row>
    <row r="135" spans="1:4" x14ac:dyDescent="0.2">
      <c r="A135" s="7" t="s">
        <v>17404</v>
      </c>
      <c r="B135" s="6" t="s">
        <v>11396</v>
      </c>
      <c r="C135" s="6" t="s">
        <v>21090</v>
      </c>
      <c r="D135" s="7" t="str">
        <f>VLOOKUP(B135,Table1[[CIPCode]:[CIPTITLE]],4,FALSE)</f>
        <v>Ural-Altaic and Central Asian Studies.</v>
      </c>
    </row>
    <row r="136" spans="1:4" x14ac:dyDescent="0.2">
      <c r="A136" s="7" t="s">
        <v>17404</v>
      </c>
      <c r="B136" s="6" t="s">
        <v>11402</v>
      </c>
      <c r="C136" s="6" t="s">
        <v>21091</v>
      </c>
      <c r="D136" s="7" t="str">
        <f>VLOOKUP(B136,Table1[[CIPCode]:[CIPTITLE]],4,FALSE)</f>
        <v>Regional Studies (U.</v>
      </c>
    </row>
    <row r="137" spans="1:4" x14ac:dyDescent="0.2">
      <c r="A137" s="7" t="s">
        <v>17404</v>
      </c>
      <c r="B137" s="6" t="s">
        <v>11405</v>
      </c>
      <c r="C137" s="6" t="s">
        <v>21092</v>
      </c>
      <c r="D137" s="7" t="str">
        <f>VLOOKUP(B137,Table1[[CIPCode]:[CIPTITLE]],4,FALSE)</f>
        <v>Chinese Studies.</v>
      </c>
    </row>
    <row r="138" spans="1:4" x14ac:dyDescent="0.2">
      <c r="A138" s="7" t="s">
        <v>17404</v>
      </c>
      <c r="B138" s="6" t="s">
        <v>11409</v>
      </c>
      <c r="C138" s="6" t="s">
        <v>21093</v>
      </c>
      <c r="D138" s="7" t="str">
        <f>VLOOKUP(B138,Table1[[CIPCode]:[CIPTITLE]],4,FALSE)</f>
        <v>French Studies.</v>
      </c>
    </row>
    <row r="139" spans="1:4" x14ac:dyDescent="0.2">
      <c r="A139" s="7" t="s">
        <v>17404</v>
      </c>
      <c r="B139" s="6" t="s">
        <v>11412</v>
      </c>
      <c r="C139" s="6" t="s">
        <v>21094</v>
      </c>
      <c r="D139" s="7" t="str">
        <f>VLOOKUP(B139,Table1[[CIPCode]:[CIPTITLE]],4,FALSE)</f>
        <v>German Studies.</v>
      </c>
    </row>
    <row r="140" spans="1:4" x14ac:dyDescent="0.2">
      <c r="A140" s="7" t="s">
        <v>17404</v>
      </c>
      <c r="B140" s="6" t="s">
        <v>11416</v>
      </c>
      <c r="C140" s="6" t="s">
        <v>21095</v>
      </c>
      <c r="D140" s="7" t="str">
        <f>VLOOKUP(B140,Table1[[CIPCode]:[CIPTITLE]],4,FALSE)</f>
        <v>Italian Studies.</v>
      </c>
    </row>
    <row r="141" spans="1:4" x14ac:dyDescent="0.2">
      <c r="A141" s="7" t="s">
        <v>17404</v>
      </c>
      <c r="B141" s="6" t="s">
        <v>11420</v>
      </c>
      <c r="C141" s="6" t="s">
        <v>21096</v>
      </c>
      <c r="D141" s="7" t="str">
        <f>VLOOKUP(B141,Table1[[CIPCode]:[CIPTITLE]],4,FALSE)</f>
        <v>Japanese Studies.</v>
      </c>
    </row>
    <row r="142" spans="1:4" x14ac:dyDescent="0.2">
      <c r="A142" s="7" t="s">
        <v>17404</v>
      </c>
      <c r="B142" s="6" t="s">
        <v>11434</v>
      </c>
      <c r="C142" s="6" t="s">
        <v>21097</v>
      </c>
      <c r="D142" s="7" t="str">
        <f>VLOOKUP(B142,Table1[[CIPCode]:[CIPTITLE]],4,FALSE)</f>
        <v>Spanish and Iberian Studies.</v>
      </c>
    </row>
    <row r="143" spans="1:4" x14ac:dyDescent="0.2">
      <c r="A143" s="7" t="s">
        <v>17404</v>
      </c>
      <c r="B143" s="6" t="s">
        <v>17473</v>
      </c>
      <c r="C143" s="6" t="s">
        <v>17474</v>
      </c>
      <c r="D143" s="7" t="str">
        <f>VLOOKUP(B143,Table1[[CIPCode]:[CIPTITLE]],4,FALSE)</f>
        <v>Area Studies, Other.</v>
      </c>
    </row>
    <row r="144" spans="1:4" x14ac:dyDescent="0.2">
      <c r="A144" s="7" t="s">
        <v>17404</v>
      </c>
      <c r="B144" s="6" t="s">
        <v>11449</v>
      </c>
      <c r="C144" s="6" t="s">
        <v>6626</v>
      </c>
      <c r="D144" s="7" t="str">
        <f>VLOOKUP(B144,Table1[[CIPCode]:[CIPTITLE]],4,FALSE)</f>
        <v>Ethnic, Cultural Minority, and Gender Studies.</v>
      </c>
    </row>
    <row r="145" spans="1:4" x14ac:dyDescent="0.2">
      <c r="A145" s="7" t="s">
        <v>17404</v>
      </c>
      <c r="B145" s="6" t="s">
        <v>17481</v>
      </c>
      <c r="C145" s="6" t="s">
        <v>6628</v>
      </c>
      <c r="D145" s="7" t="str">
        <f>VLOOKUP(B145,Table1[[CIPCode]:[CIPTITLE]],4,FALSE)</f>
        <v>African-American/Black Studies.</v>
      </c>
    </row>
    <row r="146" spans="1:4" x14ac:dyDescent="0.2">
      <c r="A146" s="7" t="s">
        <v>17404</v>
      </c>
      <c r="B146" s="6" t="s">
        <v>17485</v>
      </c>
      <c r="C146" s="6" t="s">
        <v>17486</v>
      </c>
      <c r="D146" s="7" t="str">
        <f>VLOOKUP(B146,Table1[[CIPCode]:[CIPTITLE]],4,FALSE)</f>
        <v>American Indian/Native American Studies.</v>
      </c>
    </row>
    <row r="147" spans="1:4" x14ac:dyDescent="0.2">
      <c r="A147" s="7" t="s">
        <v>17404</v>
      </c>
      <c r="B147" s="6" t="s">
        <v>17489</v>
      </c>
      <c r="C147" s="6" t="s">
        <v>21098</v>
      </c>
      <c r="D147" s="7" t="str">
        <f>VLOOKUP(B147,Table1[[CIPCode]:[CIPTITLE]],4,FALSE)</f>
        <v>Hispanic-American, Puerto Rican, and Mexican-American/Chicano Studies.</v>
      </c>
    </row>
    <row r="148" spans="1:4" x14ac:dyDescent="0.2">
      <c r="A148" s="7" t="s">
        <v>17404</v>
      </c>
      <c r="B148" s="6" t="s">
        <v>17501</v>
      </c>
      <c r="C148" s="6" t="s">
        <v>17502</v>
      </c>
      <c r="D148" s="7" t="str">
        <f>VLOOKUP(B148,Table1[[CIPCode]:[CIPTITLE]],4,FALSE)</f>
        <v>Asian-American Studies.</v>
      </c>
    </row>
    <row r="149" spans="1:4" x14ac:dyDescent="0.2">
      <c r="A149" s="7" t="s">
        <v>17404</v>
      </c>
      <c r="B149" s="6" t="s">
        <v>17505</v>
      </c>
      <c r="C149" s="6" t="s">
        <v>21099</v>
      </c>
      <c r="D149" s="7" t="str">
        <f>VLOOKUP(B149,Table1[[CIPCode]:[CIPTITLE]],4,FALSE)</f>
        <v>Women's Studies.</v>
      </c>
    </row>
    <row r="150" spans="1:4" x14ac:dyDescent="0.2">
      <c r="A150" s="7" t="s">
        <v>17404</v>
      </c>
      <c r="B150" s="6" t="s">
        <v>17509</v>
      </c>
      <c r="C150" s="6" t="s">
        <v>6704</v>
      </c>
      <c r="D150" s="7" t="str">
        <f>VLOOKUP(B150,Table1[[CIPCode]:[CIPTITLE]],4,FALSE)</f>
        <v>Ethnic, Cultural Minority, and Gender Studies, Other.</v>
      </c>
    </row>
    <row r="151" spans="1:4" x14ac:dyDescent="0.2">
      <c r="A151" s="7" t="s">
        <v>17404</v>
      </c>
      <c r="B151" s="6" t="s">
        <v>11468</v>
      </c>
      <c r="C151" s="6" t="s">
        <v>6706</v>
      </c>
      <c r="D151" s="7" t="str">
        <f>VLOOKUP(B151,Table1[[CIPCode]:[CIPTITLE]],4,FALSE)</f>
        <v>Area, Ethnic, Cultural, and Gender Studies, Other.</v>
      </c>
    </row>
    <row r="152" spans="1:4" x14ac:dyDescent="0.2">
      <c r="A152" s="7" t="s">
        <v>17404</v>
      </c>
      <c r="B152" s="6" t="s">
        <v>17517</v>
      </c>
      <c r="C152" s="6" t="s">
        <v>6706</v>
      </c>
      <c r="D152" s="7" t="str">
        <f>VLOOKUP(B152,Table1[[CIPCode]:[CIPTITLE]],4,FALSE)</f>
        <v>Area, Ethnic, Cultural, and Gender Studies, Other.</v>
      </c>
    </row>
    <row r="153" spans="1:4" x14ac:dyDescent="0.2">
      <c r="A153" s="7" t="s">
        <v>17716</v>
      </c>
      <c r="B153" s="6" t="s">
        <v>17716</v>
      </c>
      <c r="C153" s="6" t="s">
        <v>21100</v>
      </c>
      <c r="D153" s="7" t="e">
        <f>VLOOKUP(B153,Table1[[CIPCode]:[CIPTITLE]],4,FALSE)</f>
        <v>#N/A</v>
      </c>
    </row>
    <row r="154" spans="1:4" x14ac:dyDescent="0.2">
      <c r="A154" s="7" t="s">
        <v>17716</v>
      </c>
      <c r="B154" s="6" t="s">
        <v>11478</v>
      </c>
      <c r="C154" s="6" t="s">
        <v>6761</v>
      </c>
      <c r="D154" s="7" t="str">
        <f>VLOOKUP(B154,Table1[[CIPCode]:[CIPTITLE]],4,FALSE)</f>
        <v>Communication and Media Studies.</v>
      </c>
    </row>
    <row r="155" spans="1:4" x14ac:dyDescent="0.2">
      <c r="A155" s="7" t="s">
        <v>17716</v>
      </c>
      <c r="B155" s="6" t="s">
        <v>17725</v>
      </c>
      <c r="C155" s="6" t="s">
        <v>6762</v>
      </c>
      <c r="D155" s="7" t="str">
        <f>VLOOKUP(B155,Table1[[CIPCode]:[CIPTITLE]],4,FALSE)</f>
        <v>Communication Studies/Speech Communication and Rhetoric.</v>
      </c>
    </row>
    <row r="156" spans="1:4" x14ac:dyDescent="0.2">
      <c r="A156" s="7" t="s">
        <v>17716</v>
      </c>
      <c r="B156" s="6" t="s">
        <v>11485</v>
      </c>
      <c r="C156" s="6" t="s">
        <v>21101</v>
      </c>
      <c r="D156" s="7" t="str">
        <f>VLOOKUP(B156,Table1[[CIPCode]:[CIPTITLE]],4,FALSE)</f>
        <v>Mass Communication/Media Studies.</v>
      </c>
    </row>
    <row r="157" spans="1:4" x14ac:dyDescent="0.2">
      <c r="A157" s="7" t="s">
        <v>17716</v>
      </c>
      <c r="B157" s="6" t="s">
        <v>11488</v>
      </c>
      <c r="C157" s="6" t="s">
        <v>21102</v>
      </c>
      <c r="D157" s="7" t="str">
        <f>VLOOKUP(B157,Table1[[CIPCode]:[CIPTITLE]],4,FALSE)</f>
        <v>Communication and Media Studies, Other.</v>
      </c>
    </row>
    <row r="158" spans="1:4" x14ac:dyDescent="0.2">
      <c r="A158" s="7" t="s">
        <v>17716</v>
      </c>
      <c r="B158" s="6" t="s">
        <v>11494</v>
      </c>
      <c r="C158" s="6" t="s">
        <v>17740</v>
      </c>
      <c r="D158" s="7" t="str">
        <f>VLOOKUP(B158,Table1[[CIPCode]:[CIPTITLE]],4,FALSE)</f>
        <v>Journalism.</v>
      </c>
    </row>
    <row r="159" spans="1:4" x14ac:dyDescent="0.2">
      <c r="A159" s="7" t="s">
        <v>17716</v>
      </c>
      <c r="B159" s="6" t="s">
        <v>17739</v>
      </c>
      <c r="C159" s="6" t="s">
        <v>17740</v>
      </c>
      <c r="D159" s="7" t="str">
        <f>VLOOKUP(B159,Table1[[CIPCode]:[CIPTITLE]],4,FALSE)</f>
        <v>Journalism.</v>
      </c>
    </row>
    <row r="160" spans="1:4" x14ac:dyDescent="0.2">
      <c r="A160" s="7" t="s">
        <v>17716</v>
      </c>
      <c r="B160" s="6" t="s">
        <v>17743</v>
      </c>
      <c r="C160" s="6" t="s">
        <v>17744</v>
      </c>
      <c r="D160" s="7" t="str">
        <f>VLOOKUP(B160,Table1[[CIPCode]:[CIPTITLE]],4,FALSE)</f>
        <v>Broadcast Journalism.</v>
      </c>
    </row>
    <row r="161" spans="1:4" x14ac:dyDescent="0.2">
      <c r="A161" s="7" t="s">
        <v>17716</v>
      </c>
      <c r="B161" s="6" t="s">
        <v>11500</v>
      </c>
      <c r="C161" s="6" t="s">
        <v>21103</v>
      </c>
      <c r="D161" s="7" t="str">
        <f>VLOOKUP(B161,Table1[[CIPCode]:[CIPTITLE]],4,FALSE)</f>
        <v>Photojournalism.</v>
      </c>
    </row>
    <row r="162" spans="1:4" x14ac:dyDescent="0.2">
      <c r="A162" s="7" t="s">
        <v>17716</v>
      </c>
      <c r="B162" s="6" t="s">
        <v>17751</v>
      </c>
      <c r="C162" s="6" t="s">
        <v>6768</v>
      </c>
      <c r="D162" s="7" t="str">
        <f>VLOOKUP(B162,Table1[[CIPCode]:[CIPTITLE]],4,FALSE)</f>
        <v>Journalism, Other.</v>
      </c>
    </row>
    <row r="163" spans="1:4" x14ac:dyDescent="0.2">
      <c r="A163" s="7" t="s">
        <v>17716</v>
      </c>
      <c r="B163" s="6" t="s">
        <v>11508</v>
      </c>
      <c r="C163" s="6" t="s">
        <v>6772</v>
      </c>
      <c r="D163" s="7" t="str">
        <f>VLOOKUP(B163,Table1[[CIPCode]:[CIPTITLE]],4,FALSE)</f>
        <v>Radio, Television, and Digital Communication.</v>
      </c>
    </row>
    <row r="164" spans="1:4" x14ac:dyDescent="0.2">
      <c r="A164" s="7" t="s">
        <v>17716</v>
      </c>
      <c r="B164" s="6" t="s">
        <v>17766</v>
      </c>
      <c r="C164" s="6" t="s">
        <v>6773</v>
      </c>
      <c r="D164" s="7" t="str">
        <f>VLOOKUP(B164,Table1[[CIPCode]:[CIPTITLE]],4,FALSE)</f>
        <v>Radio and Television.</v>
      </c>
    </row>
    <row r="165" spans="1:4" x14ac:dyDescent="0.2">
      <c r="A165" s="7" t="s">
        <v>17716</v>
      </c>
      <c r="B165" s="6" t="s">
        <v>10979</v>
      </c>
      <c r="C165" s="6" t="s">
        <v>21104</v>
      </c>
      <c r="D165" s="7" t="str">
        <f>VLOOKUP(B165,Table1[[CIPCode]:[CIPTITLE]],4,FALSE)</f>
        <v>Digital Communication and Media/Multimedia.</v>
      </c>
    </row>
    <row r="166" spans="1:4" x14ac:dyDescent="0.2">
      <c r="A166" s="7" t="s">
        <v>17716</v>
      </c>
      <c r="B166" s="6" t="s">
        <v>10985</v>
      </c>
      <c r="C166" s="6" t="s">
        <v>21105</v>
      </c>
      <c r="D166" s="7" t="str">
        <f>VLOOKUP(B166,Table1[[CIPCode]:[CIPTITLE]],4,FALSE)</f>
        <v>Radio, Television, and Digital Communication, Other.</v>
      </c>
    </row>
    <row r="167" spans="1:4" x14ac:dyDescent="0.2">
      <c r="A167" s="7" t="s">
        <v>17716</v>
      </c>
      <c r="B167" s="6" t="s">
        <v>11703</v>
      </c>
      <c r="C167" s="6" t="s">
        <v>21106</v>
      </c>
      <c r="D167" s="7" t="str">
        <f>VLOOKUP(B167,Table1[[CIPCode]:[CIPTITLE]],4,FALSE)</f>
        <v>Public Relations, Advertising, and Applied Communication.</v>
      </c>
    </row>
    <row r="168" spans="1:4" x14ac:dyDescent="0.2">
      <c r="A168" s="7" t="s">
        <v>17716</v>
      </c>
      <c r="B168" s="6" t="s">
        <v>10990</v>
      </c>
      <c r="C168" s="6" t="s">
        <v>21107</v>
      </c>
      <c r="D168" s="7" t="str">
        <f>VLOOKUP(B168,Table1[[CIPCode]:[CIPTITLE]],4,FALSE)</f>
        <v>Organizational Communication, General.</v>
      </c>
    </row>
    <row r="169" spans="1:4" x14ac:dyDescent="0.2">
      <c r="A169" s="7" t="s">
        <v>17716</v>
      </c>
      <c r="B169" s="6" t="s">
        <v>10993</v>
      </c>
      <c r="C169" s="6" t="s">
        <v>4218</v>
      </c>
      <c r="D169" s="7" t="str">
        <f>VLOOKUP(B169,Table1[[CIPCode]:[CIPTITLE]],4,FALSE)</f>
        <v>Public Relations/Image Management.</v>
      </c>
    </row>
    <row r="170" spans="1:4" x14ac:dyDescent="0.2">
      <c r="A170" s="7" t="s">
        <v>17716</v>
      </c>
      <c r="B170" s="6" t="s">
        <v>10996</v>
      </c>
      <c r="C170" s="6" t="s">
        <v>17729</v>
      </c>
      <c r="D170" s="7" t="str">
        <f>VLOOKUP(B170,Table1[[CIPCode]:[CIPTITLE]],4,FALSE)</f>
        <v>Advertising.</v>
      </c>
    </row>
    <row r="171" spans="1:4" x14ac:dyDescent="0.2">
      <c r="A171" s="7" t="s">
        <v>17716</v>
      </c>
      <c r="B171" s="6" t="s">
        <v>11000</v>
      </c>
      <c r="C171" s="6" t="s">
        <v>21108</v>
      </c>
      <c r="D171" s="7" t="str">
        <f>VLOOKUP(B171,Table1[[CIPCode]:[CIPTITLE]],4,FALSE)</f>
        <v>Political Communication.</v>
      </c>
    </row>
    <row r="172" spans="1:4" x14ac:dyDescent="0.2">
      <c r="A172" s="7" t="s">
        <v>17716</v>
      </c>
      <c r="B172" s="6" t="s">
        <v>11003</v>
      </c>
      <c r="C172" s="6" t="s">
        <v>21109</v>
      </c>
      <c r="D172" s="7" t="str">
        <f>VLOOKUP(B172,Table1[[CIPCode]:[CIPTITLE]],4,FALSE)</f>
        <v>Health Communication.</v>
      </c>
    </row>
    <row r="173" spans="1:4" x14ac:dyDescent="0.2">
      <c r="A173" s="7" t="s">
        <v>17716</v>
      </c>
      <c r="B173" s="6" t="s">
        <v>11006</v>
      </c>
      <c r="C173" s="6" t="s">
        <v>18482</v>
      </c>
      <c r="D173" s="7" t="str">
        <f>VLOOKUP(B173,Table1[[CIPCode]:[CIPTITLE]],4,FALSE)</f>
        <v>Public Relations, Advertising, and Applied Communication, Other (NEW)   Any instructional program in organizational communication, public relations, and advertising not listed above.</v>
      </c>
    </row>
    <row r="174" spans="1:4" x14ac:dyDescent="0.2">
      <c r="A174" s="7" t="s">
        <v>17716</v>
      </c>
      <c r="B174" s="6" t="s">
        <v>11013</v>
      </c>
      <c r="C174" s="6" t="s">
        <v>21110</v>
      </c>
      <c r="D174" s="7" t="str">
        <f>VLOOKUP(B174,Table1[[CIPCode]:[CIPTITLE]],4,FALSE)</f>
        <v>Communication, Journalism, and Related Programs, Other.</v>
      </c>
    </row>
    <row r="175" spans="1:4" x14ac:dyDescent="0.2">
      <c r="A175" s="7" t="s">
        <v>17716</v>
      </c>
      <c r="B175" s="6" t="s">
        <v>17773</v>
      </c>
      <c r="C175" s="6" t="s">
        <v>21110</v>
      </c>
      <c r="D175" s="7" t="str">
        <f>VLOOKUP(B175,Table1[[CIPCode]:[CIPTITLE]],4,FALSE)</f>
        <v>Communication, Journalism, and Related Programs, Other.</v>
      </c>
    </row>
    <row r="176" spans="1:4" x14ac:dyDescent="0.2">
      <c r="A176" s="7" t="s">
        <v>17775</v>
      </c>
      <c r="B176" s="6" t="s">
        <v>17775</v>
      </c>
      <c r="C176" s="6" t="s">
        <v>21111</v>
      </c>
      <c r="D176" s="7" t="e">
        <f>VLOOKUP(B176,Table1[[CIPCode]:[CIPTITLE]],4,FALSE)</f>
        <v>#N/A</v>
      </c>
    </row>
    <row r="177" spans="1:4" x14ac:dyDescent="0.2">
      <c r="A177" s="7" t="s">
        <v>17775</v>
      </c>
      <c r="B177" s="6" t="s">
        <v>11020</v>
      </c>
      <c r="C177" s="6" t="s">
        <v>6785</v>
      </c>
      <c r="D177" s="7" t="str">
        <f>VLOOKUP(B177,Table1[[CIPCode]:[CIPTITLE]],4,FALSE)</f>
        <v>Communications Technology/Technician.</v>
      </c>
    </row>
    <row r="178" spans="1:4" x14ac:dyDescent="0.2">
      <c r="A178" s="7" t="s">
        <v>17775</v>
      </c>
      <c r="B178" s="6" t="s">
        <v>11028</v>
      </c>
      <c r="C178" s="6" t="s">
        <v>6785</v>
      </c>
      <c r="D178" s="7" t="str">
        <f>VLOOKUP(B178,Table1[[CIPCode]:[CIPTITLE]],4,FALSE)</f>
        <v>Communications Technology/Technician.</v>
      </c>
    </row>
    <row r="179" spans="1:4" x14ac:dyDescent="0.2">
      <c r="A179" s="7" t="s">
        <v>17775</v>
      </c>
      <c r="B179" s="6" t="s">
        <v>11032</v>
      </c>
      <c r="C179" s="6" t="s">
        <v>21112</v>
      </c>
      <c r="D179" s="7" t="str">
        <f>VLOOKUP(B179,Table1[[CIPCode]:[CIPTITLE]],4,FALSE)</f>
        <v>Audiovisual Communications Technologies/Technicians.</v>
      </c>
    </row>
    <row r="180" spans="1:4" x14ac:dyDescent="0.2">
      <c r="A180" s="7" t="s">
        <v>17775</v>
      </c>
      <c r="B180" s="6" t="s">
        <v>10975</v>
      </c>
      <c r="C180" s="6" t="s">
        <v>21113</v>
      </c>
      <c r="D180" s="7" t="str">
        <f>VLOOKUP(B180,Table1[[CIPCode]:[CIPTITLE]],4,FALSE)</f>
        <v>Photographic and Film/Video Technology/Technician and Assistant.</v>
      </c>
    </row>
    <row r="181" spans="1:4" x14ac:dyDescent="0.2">
      <c r="A181" s="7" t="s">
        <v>17775</v>
      </c>
      <c r="B181" s="6" t="s">
        <v>10976</v>
      </c>
      <c r="C181" s="6" t="s">
        <v>6787</v>
      </c>
      <c r="D181" s="7" t="str">
        <f>VLOOKUP(B181,Table1[[CIPCode]:[CIPTITLE]],4,FALSE)</f>
        <v>Radio and Television Broadcasting Technology/Technician.</v>
      </c>
    </row>
    <row r="182" spans="1:4" x14ac:dyDescent="0.2">
      <c r="A182" s="7" t="s">
        <v>17775</v>
      </c>
      <c r="B182" s="6" t="s">
        <v>10978</v>
      </c>
      <c r="C182" s="6" t="s">
        <v>21114</v>
      </c>
      <c r="D182" s="7" t="str">
        <f>VLOOKUP(B182,Table1[[CIPCode]:[CIPTITLE]],4,FALSE)</f>
        <v>Recording Arts Technology/Technician.</v>
      </c>
    </row>
    <row r="183" spans="1:4" x14ac:dyDescent="0.2">
      <c r="A183" s="7" t="s">
        <v>17775</v>
      </c>
      <c r="B183" s="6" t="s">
        <v>11043</v>
      </c>
      <c r="C183" s="6" t="s">
        <v>21115</v>
      </c>
      <c r="D183" s="7" t="str">
        <f>VLOOKUP(B183,Table1[[CIPCode]:[CIPTITLE]],4,FALSE)</f>
        <v>Audiovisual Communications Technologies/Technicians, Other.</v>
      </c>
    </row>
    <row r="184" spans="1:4" x14ac:dyDescent="0.2">
      <c r="A184" s="7" t="s">
        <v>17775</v>
      </c>
      <c r="B184" s="6" t="s">
        <v>11046</v>
      </c>
      <c r="C184" s="6" t="s">
        <v>21116</v>
      </c>
      <c r="D184" s="7" t="str">
        <f>VLOOKUP(B184,Table1[[CIPCode]:[CIPTITLE]],4,FALSE)</f>
        <v>Graphic Communications.</v>
      </c>
    </row>
    <row r="185" spans="1:4" x14ac:dyDescent="0.2">
      <c r="A185" s="7" t="s">
        <v>17775</v>
      </c>
      <c r="B185" s="6" t="s">
        <v>11051</v>
      </c>
      <c r="C185" s="6" t="s">
        <v>21117</v>
      </c>
      <c r="D185" s="7" t="str">
        <f>VLOOKUP(B185,Table1[[CIPCode]:[CIPTITLE]],4,FALSE)</f>
        <v>Graphic Communications, General.</v>
      </c>
    </row>
    <row r="186" spans="1:4" x14ac:dyDescent="0.2">
      <c r="A186" s="7" t="s">
        <v>17775</v>
      </c>
      <c r="B186" s="6" t="s">
        <v>11057</v>
      </c>
      <c r="C186" s="6" t="s">
        <v>21118</v>
      </c>
      <c r="D186" s="7" t="str">
        <f>VLOOKUP(B186,Table1[[CIPCode]:[CIPTITLE]],4,FALSE)</f>
        <v>Printing Management.</v>
      </c>
    </row>
    <row r="187" spans="1:4" x14ac:dyDescent="0.2">
      <c r="A187" s="7" t="s">
        <v>17775</v>
      </c>
      <c r="B187" s="6" t="s">
        <v>11060</v>
      </c>
      <c r="C187" s="6" t="s">
        <v>4865</v>
      </c>
      <c r="D187" s="7" t="str">
        <f>VLOOKUP(B187,Table1[[CIPCode]:[CIPTITLE]],4,FALSE)</f>
        <v>Prepress/Desktop Publishing and Digital Imaging Design.</v>
      </c>
    </row>
    <row r="188" spans="1:4" x14ac:dyDescent="0.2">
      <c r="A188" s="7" t="s">
        <v>17775</v>
      </c>
      <c r="B188" s="6" t="s">
        <v>11065</v>
      </c>
      <c r="C188" s="6" t="s">
        <v>21119</v>
      </c>
      <c r="D188" s="7" t="str">
        <f>VLOOKUP(B188,Table1[[CIPCode]:[CIPTITLE]],4,FALSE)</f>
        <v>Animation, Interactive Technology, Video Graphics and Special Effects.</v>
      </c>
    </row>
    <row r="189" spans="1:4" x14ac:dyDescent="0.2">
      <c r="A189" s="7" t="s">
        <v>17775</v>
      </c>
      <c r="B189" s="6" t="s">
        <v>11122</v>
      </c>
      <c r="C189" s="6" t="s">
        <v>4863</v>
      </c>
      <c r="D189" s="7" t="str">
        <f>VLOOKUP(B189,Table1[[CIPCode]:[CIPTITLE]],4,FALSE)</f>
        <v>Graphic and Printing Equipment Operator, General Production.</v>
      </c>
    </row>
    <row r="190" spans="1:4" x14ac:dyDescent="0.2">
      <c r="A190" s="7" t="s">
        <v>17775</v>
      </c>
      <c r="B190" s="6" t="s">
        <v>11125</v>
      </c>
      <c r="C190" s="6" t="s">
        <v>6396</v>
      </c>
      <c r="D190" s="7" t="str">
        <f>VLOOKUP(B190,Table1[[CIPCode]:[CIPTITLE]],4,FALSE)</f>
        <v>Platemaker/Imager.</v>
      </c>
    </row>
    <row r="191" spans="1:4" x14ac:dyDescent="0.2">
      <c r="A191" s="7" t="s">
        <v>17775</v>
      </c>
      <c r="B191" s="6" t="s">
        <v>11129</v>
      </c>
      <c r="C191" s="6" t="s">
        <v>14472</v>
      </c>
      <c r="D191" s="7" t="str">
        <f>VLOOKUP(B191,Table1[[CIPCode]:[CIPTITLE]],4,FALSE)</f>
        <v>Printing Press Operator.</v>
      </c>
    </row>
    <row r="192" spans="1:4" x14ac:dyDescent="0.2">
      <c r="A192" s="7" t="s">
        <v>17775</v>
      </c>
      <c r="B192" s="6" t="s">
        <v>11132</v>
      </c>
      <c r="C192" s="6" t="s">
        <v>4864</v>
      </c>
      <c r="D192" s="7" t="str">
        <f>VLOOKUP(B192,Table1[[CIPCode]:[CIPTITLE]],4,FALSE)</f>
        <v>Computer Typography and Composition Equipment Operator.</v>
      </c>
    </row>
    <row r="193" spans="1:4" x14ac:dyDescent="0.2">
      <c r="A193" s="7" t="s">
        <v>17775</v>
      </c>
      <c r="B193" s="6" t="s">
        <v>11135</v>
      </c>
      <c r="C193" s="6" t="s">
        <v>6398</v>
      </c>
      <c r="D193" s="7" t="str">
        <f>VLOOKUP(B193,Table1[[CIPCode]:[CIPTITLE]],4,FALSE)</f>
        <v>Graphic Communications, Other.</v>
      </c>
    </row>
    <row r="194" spans="1:4" x14ac:dyDescent="0.2">
      <c r="A194" s="7" t="s">
        <v>17775</v>
      </c>
      <c r="B194" s="6" t="s">
        <v>11138</v>
      </c>
      <c r="C194" s="6" t="s">
        <v>21120</v>
      </c>
      <c r="D194" s="7" t="str">
        <f>VLOOKUP(B194,Table1[[CIPCode]:[CIPTITLE]],4,FALSE)</f>
        <v>Communications Technologies/Technicians and Support Services, Other.</v>
      </c>
    </row>
    <row r="195" spans="1:4" x14ac:dyDescent="0.2">
      <c r="A195" s="7" t="s">
        <v>17775</v>
      </c>
      <c r="B195" s="6" t="s">
        <v>11141</v>
      </c>
      <c r="C195" s="6" t="s">
        <v>21121</v>
      </c>
      <c r="D195" s="7" t="str">
        <f>VLOOKUP(B195,Table1[[CIPCode]:[CIPTITLE]],4,FALSE)</f>
        <v>Communications Technologies/Technicians and Support Services, Other.</v>
      </c>
    </row>
    <row r="196" spans="1:4" x14ac:dyDescent="0.2">
      <c r="A196" s="7" t="s">
        <v>17799</v>
      </c>
      <c r="B196" s="6" t="s">
        <v>17799</v>
      </c>
      <c r="C196" s="6" t="s">
        <v>21122</v>
      </c>
      <c r="D196" s="7" t="e">
        <f>VLOOKUP(B196,Table1[[CIPCode]:[CIPTITLE]],4,FALSE)</f>
        <v>#N/A</v>
      </c>
    </row>
    <row r="197" spans="1:4" x14ac:dyDescent="0.2">
      <c r="A197" s="7" t="s">
        <v>17799</v>
      </c>
      <c r="B197" s="6" t="s">
        <v>11144</v>
      </c>
      <c r="C197" s="6" t="s">
        <v>6801</v>
      </c>
      <c r="D197" s="7" t="str">
        <f>VLOOKUP(B197,Table1[[CIPCode]:[CIPTITLE]],4,FALSE)</f>
        <v>Computer and Information Sciences, General .</v>
      </c>
    </row>
    <row r="198" spans="1:4" x14ac:dyDescent="0.2">
      <c r="A198" s="7" t="s">
        <v>17799</v>
      </c>
      <c r="B198" s="6" t="s">
        <v>17808</v>
      </c>
      <c r="C198" s="6" t="s">
        <v>6801</v>
      </c>
      <c r="D198" s="7" t="str">
        <f>VLOOKUP(B198,Table1[[CIPCode]:[CIPTITLE]],4,FALSE)</f>
        <v>Computer and Information Sciences, General.</v>
      </c>
    </row>
    <row r="199" spans="1:4" x14ac:dyDescent="0.2">
      <c r="A199" s="7" t="s">
        <v>17799</v>
      </c>
      <c r="B199" s="6" t="s">
        <v>11149</v>
      </c>
      <c r="C199" s="6" t="s">
        <v>21123</v>
      </c>
      <c r="D199" s="7" t="str">
        <f>VLOOKUP(B199,Table1[[CIPCode]:[CIPTITLE]],4,FALSE)</f>
        <v>Artificial Intelligence and Robotics.</v>
      </c>
    </row>
    <row r="200" spans="1:4" x14ac:dyDescent="0.2">
      <c r="A200" s="7" t="s">
        <v>17799</v>
      </c>
      <c r="B200" s="6" t="s">
        <v>11157</v>
      </c>
      <c r="C200" s="6" t="s">
        <v>4265</v>
      </c>
      <c r="D200" s="7" t="str">
        <f>VLOOKUP(B200,Table1[[CIPCode]:[CIPTITLE]],4,FALSE)</f>
        <v>Information Technology.</v>
      </c>
    </row>
    <row r="201" spans="1:4" x14ac:dyDescent="0.2">
      <c r="A201" s="7" t="s">
        <v>17799</v>
      </c>
      <c r="B201" s="6" t="s">
        <v>11162</v>
      </c>
      <c r="C201" s="6" t="s">
        <v>21124</v>
      </c>
      <c r="D201" s="7" t="str">
        <f>VLOOKUP(B201,Table1[[CIPCode]:[CIPTITLE]],4,FALSE)</f>
        <v>Computer and Information Sciences,  Other.</v>
      </c>
    </row>
    <row r="202" spans="1:4" x14ac:dyDescent="0.2">
      <c r="A202" s="7" t="s">
        <v>17799</v>
      </c>
      <c r="B202" s="6" t="s">
        <v>11165</v>
      </c>
      <c r="C202" s="6" t="s">
        <v>17812</v>
      </c>
      <c r="D202" s="7" t="str">
        <f>VLOOKUP(B202,Table1[[CIPCode]:[CIPTITLE]],4,FALSE)</f>
        <v>Computer Programming.</v>
      </c>
    </row>
    <row r="203" spans="1:4" x14ac:dyDescent="0.2">
      <c r="A203" s="7" t="s">
        <v>17799</v>
      </c>
      <c r="B203" s="6" t="s">
        <v>17815</v>
      </c>
      <c r="C203" s="6" t="s">
        <v>6754</v>
      </c>
      <c r="D203" s="7" t="str">
        <f>VLOOKUP(B203,Table1[[CIPCode]:[CIPTITLE]],4,FALSE)</f>
        <v>Computer Programming/Programmer, General.</v>
      </c>
    </row>
    <row r="204" spans="1:4" x14ac:dyDescent="0.2">
      <c r="A204" s="7" t="s">
        <v>17799</v>
      </c>
      <c r="B204" s="6" t="s">
        <v>11171</v>
      </c>
      <c r="C204" s="6" t="s">
        <v>21125</v>
      </c>
      <c r="D204" s="7" t="str">
        <f>VLOOKUP(B204,Table1[[CIPCode]:[CIPTITLE]],4,FALSE)</f>
        <v>Computer Programming, Specific Applications.</v>
      </c>
    </row>
    <row r="205" spans="1:4" x14ac:dyDescent="0.2">
      <c r="A205" s="7" t="s">
        <v>17799</v>
      </c>
      <c r="B205" s="6" t="s">
        <v>11176</v>
      </c>
      <c r="C205" s="6" t="s">
        <v>21126</v>
      </c>
      <c r="D205" s="7" t="str">
        <f>VLOOKUP(B205,Table1[[CIPCode]:[CIPTITLE]],4,FALSE)</f>
        <v>Computer Programming, Vendor/Product Certification.</v>
      </c>
    </row>
    <row r="206" spans="1:4" x14ac:dyDescent="0.2">
      <c r="A206" s="7" t="s">
        <v>17799</v>
      </c>
      <c r="B206" s="6" t="s">
        <v>11179</v>
      </c>
      <c r="C206" s="6" t="s">
        <v>21127</v>
      </c>
      <c r="D206" s="7" t="str">
        <f>VLOOKUP(B206,Table1[[CIPCode]:[CIPTITLE]],4,FALSE)</f>
        <v>Computer Programming, Other.</v>
      </c>
    </row>
    <row r="207" spans="1:4" x14ac:dyDescent="0.2">
      <c r="A207" s="7" t="s">
        <v>17799</v>
      </c>
      <c r="B207" s="6" t="s">
        <v>11182</v>
      </c>
      <c r="C207" s="6" t="s">
        <v>12076</v>
      </c>
      <c r="D207" s="7" t="str">
        <f>VLOOKUP(B207,Table1[[CIPCode]:[CIPTITLE]],4,FALSE)</f>
        <v>Data Processing.</v>
      </c>
    </row>
    <row r="208" spans="1:4" x14ac:dyDescent="0.2">
      <c r="A208" s="7" t="s">
        <v>17799</v>
      </c>
      <c r="B208" s="6" t="s">
        <v>17822</v>
      </c>
      <c r="C208" s="6" t="s">
        <v>6806</v>
      </c>
      <c r="D208" s="7" t="str">
        <f>VLOOKUP(B208,Table1[[CIPCode]:[CIPTITLE]],4,FALSE)</f>
        <v>Data Processing and Data Processing Technology/Technician.</v>
      </c>
    </row>
    <row r="209" spans="1:4" x14ac:dyDescent="0.2">
      <c r="A209" s="7" t="s">
        <v>17799</v>
      </c>
      <c r="B209" s="6" t="s">
        <v>11187</v>
      </c>
      <c r="C209" s="6" t="s">
        <v>6631</v>
      </c>
      <c r="D209" s="7" t="str">
        <f>VLOOKUP(B209,Table1[[CIPCode]:[CIPTITLE]],4,FALSE)</f>
        <v>Information Science/Studies.</v>
      </c>
    </row>
    <row r="210" spans="1:4" x14ac:dyDescent="0.2">
      <c r="A210" s="7" t="s">
        <v>17799</v>
      </c>
      <c r="B210" s="6" t="s">
        <v>17829</v>
      </c>
      <c r="C210" s="6" t="s">
        <v>6631</v>
      </c>
      <c r="D210" s="7" t="str">
        <f>VLOOKUP(B210,Table1[[CIPCode]:[CIPTITLE]],4,FALSE)</f>
        <v>Information Science/Studies.</v>
      </c>
    </row>
    <row r="211" spans="1:4" x14ac:dyDescent="0.2">
      <c r="A211" s="7" t="s">
        <v>17799</v>
      </c>
      <c r="B211" s="6" t="s">
        <v>11195</v>
      </c>
      <c r="C211" s="6" t="s">
        <v>17833</v>
      </c>
      <c r="D211" s="7" t="str">
        <f>VLOOKUP(B211,Table1[[CIPCode]:[CIPTITLE]],4,FALSE)</f>
        <v>Computer Systems Analysis.</v>
      </c>
    </row>
    <row r="212" spans="1:4" x14ac:dyDescent="0.2">
      <c r="A212" s="7" t="s">
        <v>17799</v>
      </c>
      <c r="B212" s="6" t="s">
        <v>17836</v>
      </c>
      <c r="C212" s="6" t="s">
        <v>6654</v>
      </c>
      <c r="D212" s="7" t="str">
        <f>VLOOKUP(B212,Table1[[CIPCode]:[CIPTITLE]],4,FALSE)</f>
        <v>Computer Systems Analysis/Analyst.</v>
      </c>
    </row>
    <row r="213" spans="1:4" x14ac:dyDescent="0.2">
      <c r="A213" s="7" t="s">
        <v>17799</v>
      </c>
      <c r="B213" s="6" t="s">
        <v>11201</v>
      </c>
      <c r="C213" s="6" t="s">
        <v>21128</v>
      </c>
      <c r="D213" s="7" t="str">
        <f>VLOOKUP(B213,Table1[[CIPCode]:[CIPTITLE]],4,FALSE)</f>
        <v>Data Entry/Microcomputer Applications.</v>
      </c>
    </row>
    <row r="214" spans="1:4" x14ac:dyDescent="0.2">
      <c r="A214" s="7" t="s">
        <v>17799</v>
      </c>
      <c r="B214" s="6" t="s">
        <v>11204</v>
      </c>
      <c r="C214" s="6" t="s">
        <v>21129</v>
      </c>
      <c r="D214" s="7" t="str">
        <f>VLOOKUP(B214,Table1[[CIPCode]:[CIPTITLE]],4,FALSE)</f>
        <v>Data Entry/Microcomputer Applications, General.</v>
      </c>
    </row>
    <row r="215" spans="1:4" x14ac:dyDescent="0.2">
      <c r="A215" s="7" t="s">
        <v>17799</v>
      </c>
      <c r="B215" s="6" t="s">
        <v>11209</v>
      </c>
      <c r="C215" s="6" t="s">
        <v>21130</v>
      </c>
      <c r="D215" s="7" t="str">
        <f>VLOOKUP(B215,Table1[[CIPCode]:[CIPTITLE]],4,FALSE)</f>
        <v>Word Processing.</v>
      </c>
    </row>
    <row r="216" spans="1:4" x14ac:dyDescent="0.2">
      <c r="A216" s="7" t="s">
        <v>17799</v>
      </c>
      <c r="B216" s="6" t="s">
        <v>11212</v>
      </c>
      <c r="C216" s="6" t="s">
        <v>21131</v>
      </c>
      <c r="D216" s="7" t="str">
        <f>VLOOKUP(B216,Table1[[CIPCode]:[CIPTITLE]],4,FALSE)</f>
        <v>Data Entry/Microcomputer Applications, Other.</v>
      </c>
    </row>
    <row r="217" spans="1:4" x14ac:dyDescent="0.2">
      <c r="A217" s="7" t="s">
        <v>17799</v>
      </c>
      <c r="B217" s="6" t="s">
        <v>11215</v>
      </c>
      <c r="C217" s="6" t="s">
        <v>17840</v>
      </c>
      <c r="D217" s="7" t="str">
        <f>VLOOKUP(B217,Table1[[CIPCode]:[CIPTITLE]],4,FALSE)</f>
        <v>Computer Science.</v>
      </c>
    </row>
    <row r="218" spans="1:4" x14ac:dyDescent="0.2">
      <c r="A218" s="7" t="s">
        <v>17799</v>
      </c>
      <c r="B218" s="6" t="s">
        <v>17090</v>
      </c>
      <c r="C218" s="6" t="s">
        <v>17840</v>
      </c>
      <c r="D218" s="7" t="str">
        <f>VLOOKUP(B218,Table1[[CIPCode]:[CIPTITLE]],4,FALSE)</f>
        <v>Computer Science.</v>
      </c>
    </row>
    <row r="219" spans="1:4" x14ac:dyDescent="0.2">
      <c r="A219" s="7" t="s">
        <v>17799</v>
      </c>
      <c r="B219" s="6" t="s">
        <v>11224</v>
      </c>
      <c r="C219" s="6" t="s">
        <v>21132</v>
      </c>
      <c r="D219" s="7" t="str">
        <f>VLOOKUP(B219,Table1[[CIPCode]:[CIPTITLE]],4,FALSE)</f>
        <v>Computer Software and Media Applications.</v>
      </c>
    </row>
    <row r="220" spans="1:4" x14ac:dyDescent="0.2">
      <c r="A220" s="7" t="s">
        <v>17799</v>
      </c>
      <c r="B220" s="6" t="s">
        <v>11063</v>
      </c>
      <c r="C220" s="6" t="s">
        <v>21133</v>
      </c>
      <c r="D220" s="7" t="str">
        <f>VLOOKUP(B220,Table1[[CIPCode]:[CIPTITLE]],4,FALSE)</f>
        <v>Web Page, Digital/Multimedia and Information Resources Design.</v>
      </c>
    </row>
    <row r="221" spans="1:4" x14ac:dyDescent="0.2">
      <c r="A221" s="7" t="s">
        <v>17799</v>
      </c>
      <c r="B221" s="6" t="s">
        <v>10791</v>
      </c>
      <c r="C221" s="6" t="s">
        <v>21134</v>
      </c>
      <c r="D221" s="7" t="str">
        <f>VLOOKUP(B221,Table1[[CIPCode]:[CIPTITLE]],4,FALSE)</f>
        <v>Data Modeling/Warehousing and Database Administration.</v>
      </c>
    </row>
    <row r="222" spans="1:4" x14ac:dyDescent="0.2">
      <c r="A222" s="7" t="s">
        <v>17799</v>
      </c>
      <c r="B222" s="6" t="s">
        <v>11068</v>
      </c>
      <c r="C222" s="6" t="s">
        <v>21135</v>
      </c>
      <c r="D222" s="7" t="str">
        <f>VLOOKUP(B222,Table1[[CIPCode]:[CIPTITLE]],4,FALSE)</f>
        <v>Computer Graphics.</v>
      </c>
    </row>
    <row r="223" spans="1:4" x14ac:dyDescent="0.2">
      <c r="A223" s="7" t="s">
        <v>17799</v>
      </c>
      <c r="B223" s="6" t="s">
        <v>10795</v>
      </c>
      <c r="C223" s="6" t="s">
        <v>21136</v>
      </c>
      <c r="D223" s="7" t="str">
        <f>VLOOKUP(B223,Table1[[CIPCode]:[CIPTITLE]],4,FALSE)</f>
        <v>Computer Software and Media Applications, Other.</v>
      </c>
    </row>
    <row r="224" spans="1:4" x14ac:dyDescent="0.2">
      <c r="A224" s="7" t="s">
        <v>17799</v>
      </c>
      <c r="B224" s="6" t="s">
        <v>10798</v>
      </c>
      <c r="C224" s="6" t="s">
        <v>21137</v>
      </c>
      <c r="D224" s="7" t="str">
        <f>VLOOKUP(B224,Table1[[CIPCode]:[CIPTITLE]],4,FALSE)</f>
        <v>Computer Systems Networking and Telecommunications.</v>
      </c>
    </row>
    <row r="225" spans="1:4" x14ac:dyDescent="0.2">
      <c r="A225" s="7" t="s">
        <v>17799</v>
      </c>
      <c r="B225" s="6" t="s">
        <v>10801</v>
      </c>
      <c r="C225" s="6" t="s">
        <v>21137</v>
      </c>
      <c r="D225" s="7" t="str">
        <f>VLOOKUP(B225,Table1[[CIPCode]:[CIPTITLE]],4,FALSE)</f>
        <v>Computer Systems Networking and Telecommunications.</v>
      </c>
    </row>
    <row r="226" spans="1:4" x14ac:dyDescent="0.2">
      <c r="A226" s="7" t="s">
        <v>17799</v>
      </c>
      <c r="B226" s="6" t="s">
        <v>10803</v>
      </c>
      <c r="C226" s="6" t="s">
        <v>21138</v>
      </c>
      <c r="D226" s="7" t="str">
        <f>VLOOKUP(B226,Table1[[CIPCode]:[CIPTITLE]],4,FALSE)</f>
        <v>Computer/Information Technology Administration and Management.</v>
      </c>
    </row>
    <row r="227" spans="1:4" x14ac:dyDescent="0.2">
      <c r="A227" s="7" t="s">
        <v>17799</v>
      </c>
      <c r="B227" s="6" t="s">
        <v>10810</v>
      </c>
      <c r="C227" s="6" t="s">
        <v>21139</v>
      </c>
      <c r="D227" s="7" t="str">
        <f>VLOOKUP(B227,Table1[[CIPCode]:[CIPTITLE]],4,FALSE)</f>
        <v>System Administration/Administrator.</v>
      </c>
    </row>
    <row r="228" spans="1:4" x14ac:dyDescent="0.2">
      <c r="A228" s="7" t="s">
        <v>17799</v>
      </c>
      <c r="B228" s="6" t="s">
        <v>10813</v>
      </c>
      <c r="C228" s="6" t="s">
        <v>21140</v>
      </c>
      <c r="D228" s="7" t="str">
        <f>VLOOKUP(B228,Table1[[CIPCode]:[CIPTITLE]],4,FALSE)</f>
        <v>System, Networking, and LAN/WAN Management/Manager.</v>
      </c>
    </row>
    <row r="229" spans="1:4" x14ac:dyDescent="0.2">
      <c r="A229" s="7" t="s">
        <v>17799</v>
      </c>
      <c r="B229" s="6" t="s">
        <v>10816</v>
      </c>
      <c r="C229" s="6" t="s">
        <v>21141</v>
      </c>
      <c r="D229" s="7" t="str">
        <f>VLOOKUP(B229,Table1[[CIPCode]:[CIPTITLE]],4,FALSE)</f>
        <v>Computer and Information Systems Security.</v>
      </c>
    </row>
    <row r="230" spans="1:4" x14ac:dyDescent="0.2">
      <c r="A230" s="7" t="s">
        <v>17799</v>
      </c>
      <c r="B230" s="6" t="s">
        <v>10819</v>
      </c>
      <c r="C230" s="6" t="s">
        <v>21142</v>
      </c>
      <c r="D230" s="7" t="str">
        <f>VLOOKUP(B230,Table1[[CIPCode]:[CIPTITLE]],4,FALSE)</f>
        <v>Web/Multimedia Management and Webmaster.</v>
      </c>
    </row>
    <row r="231" spans="1:4" x14ac:dyDescent="0.2">
      <c r="A231" s="7" t="s">
        <v>17799</v>
      </c>
      <c r="B231" s="6" t="s">
        <v>10822</v>
      </c>
      <c r="C231" s="6" t="s">
        <v>21143</v>
      </c>
      <c r="D231" s="7" t="str">
        <f>VLOOKUP(B231,Table1[[CIPCode]:[CIPTITLE]],4,FALSE)</f>
        <v>Computer/Information Technology Services Administration andManagement, Other.</v>
      </c>
    </row>
    <row r="232" spans="1:4" x14ac:dyDescent="0.2">
      <c r="A232" s="7" t="s">
        <v>17799</v>
      </c>
      <c r="B232" s="6" t="s">
        <v>10825</v>
      </c>
      <c r="C232" s="6" t="s">
        <v>10826</v>
      </c>
      <c r="D232" s="7" t="str">
        <f>VLOOKUP(B232,Table1[[CIPCode]:[CIPTITLE]],4,FALSE)</f>
        <v>Computer and Information Sciences and Support Services, Other.</v>
      </c>
    </row>
    <row r="233" spans="1:4" x14ac:dyDescent="0.2">
      <c r="A233" s="7" t="s">
        <v>17799</v>
      </c>
      <c r="B233" s="6" t="s">
        <v>17097</v>
      </c>
      <c r="C233" s="6" t="s">
        <v>6821</v>
      </c>
      <c r="D233" s="7" t="str">
        <f>VLOOKUP(B233,Table1[[CIPCode]:[CIPTITLE]],4,FALSE)</f>
        <v>Computer and Information Sciences and Support Services, Other.</v>
      </c>
    </row>
    <row r="234" spans="1:4" x14ac:dyDescent="0.2">
      <c r="A234" s="7" t="s">
        <v>17100</v>
      </c>
      <c r="B234" s="6" t="s">
        <v>17100</v>
      </c>
      <c r="C234" s="6" t="s">
        <v>21144</v>
      </c>
      <c r="D234" s="7" t="e">
        <f>VLOOKUP(B234,Table1[[CIPCode]:[CIPTITLE]],4,FALSE)</f>
        <v>#N/A</v>
      </c>
    </row>
    <row r="235" spans="1:4" x14ac:dyDescent="0.2">
      <c r="A235" s="7" t="s">
        <v>17100</v>
      </c>
      <c r="B235" s="6" t="s">
        <v>10838</v>
      </c>
      <c r="C235" s="6" t="s">
        <v>6831</v>
      </c>
      <c r="D235" s="7" t="str">
        <f>VLOOKUP(B235,Table1[[CIPCode]:[CIPTITLE]],4,FALSE)</f>
        <v>Funeral Service and Mortuary Science.</v>
      </c>
    </row>
    <row r="236" spans="1:4" x14ac:dyDescent="0.2">
      <c r="A236" s="7" t="s">
        <v>17100</v>
      </c>
      <c r="B236" s="6" t="s">
        <v>17125</v>
      </c>
      <c r="C236" s="6" t="s">
        <v>6832</v>
      </c>
      <c r="D236" s="7" t="str">
        <f>VLOOKUP(B236,Table1[[CIPCode]:[CIPTITLE]],4,FALSE)</f>
        <v>Funeral Service and Mortuary Science, General.</v>
      </c>
    </row>
    <row r="237" spans="1:4" x14ac:dyDescent="0.2">
      <c r="A237" s="7" t="s">
        <v>17100</v>
      </c>
      <c r="B237" s="6" t="s">
        <v>10843</v>
      </c>
      <c r="C237" s="6" t="s">
        <v>21145</v>
      </c>
      <c r="D237" s="7" t="str">
        <f>VLOOKUP(B237,Table1[[CIPCode]:[CIPTITLE]],4,FALSE)</f>
        <v>Funeral Direction/Service.</v>
      </c>
    </row>
    <row r="238" spans="1:4" x14ac:dyDescent="0.2">
      <c r="A238" s="7" t="s">
        <v>17100</v>
      </c>
      <c r="B238" s="6" t="s">
        <v>10846</v>
      </c>
      <c r="C238" s="6" t="s">
        <v>21146</v>
      </c>
      <c r="D238" s="7" t="str">
        <f>VLOOKUP(B238,Table1[[CIPCode]:[CIPTITLE]],4,FALSE)</f>
        <v>Mortuary Science and Embalming/Embalmer.</v>
      </c>
    </row>
    <row r="239" spans="1:4" x14ac:dyDescent="0.2">
      <c r="A239" s="7" t="s">
        <v>17100</v>
      </c>
      <c r="B239" s="6" t="s">
        <v>11657</v>
      </c>
      <c r="C239" s="6" t="s">
        <v>6836</v>
      </c>
      <c r="D239" s="7" t="str">
        <f>VLOOKUP(B239,Table1[[CIPCode]:[CIPTITLE]],4,FALSE)</f>
        <v>Cosmetology and Related Personal Grooming Services.</v>
      </c>
    </row>
    <row r="240" spans="1:4" x14ac:dyDescent="0.2">
      <c r="A240" s="7" t="s">
        <v>17100</v>
      </c>
      <c r="B240" s="6" t="s">
        <v>17132</v>
      </c>
      <c r="C240" s="6" t="s">
        <v>6837</v>
      </c>
      <c r="D240" s="7" t="str">
        <f>VLOOKUP(B240,Table1[[CIPCode]:[CIPTITLE]],4,FALSE)</f>
        <v>Cosmetology/Cosmetologist, General.</v>
      </c>
    </row>
    <row r="241" spans="1:4" x14ac:dyDescent="0.2">
      <c r="A241" s="7" t="s">
        <v>17100</v>
      </c>
      <c r="B241" s="6" t="s">
        <v>16846</v>
      </c>
      <c r="C241" s="6" t="s">
        <v>6838</v>
      </c>
      <c r="D241" s="7" t="str">
        <f>VLOOKUP(B241,Table1[[CIPCode]:[CIPTITLE]],4,FALSE)</f>
        <v>Barbering/Barber.</v>
      </c>
    </row>
    <row r="242" spans="1:4" x14ac:dyDescent="0.2">
      <c r="A242" s="7" t="s">
        <v>17100</v>
      </c>
      <c r="B242" s="6" t="s">
        <v>16854</v>
      </c>
      <c r="C242" s="6" t="s">
        <v>6839</v>
      </c>
      <c r="D242" s="7" t="str">
        <f>VLOOKUP(B242,Table1[[CIPCode]:[CIPTITLE]],4,FALSE)</f>
        <v>Electrolysis/Electrology and Electrolysis Technician.</v>
      </c>
    </row>
    <row r="243" spans="1:4" x14ac:dyDescent="0.2">
      <c r="A243" s="7" t="s">
        <v>17100</v>
      </c>
      <c r="B243" s="6" t="s">
        <v>16862</v>
      </c>
      <c r="C243" s="6" t="s">
        <v>6842</v>
      </c>
      <c r="D243" s="7" t="str">
        <f>VLOOKUP(B243,Table1[[CIPCode]:[CIPTITLE]],4,FALSE)</f>
        <v>Make-Up Artist/Specialist.</v>
      </c>
    </row>
    <row r="244" spans="1:4" x14ac:dyDescent="0.2">
      <c r="A244" s="7" t="s">
        <v>17100</v>
      </c>
      <c r="B244" s="6" t="s">
        <v>10865</v>
      </c>
      <c r="C244" s="6" t="s">
        <v>21147</v>
      </c>
      <c r="D244" s="7" t="str">
        <f>VLOOKUP(B244,Table1[[CIPCode]:[CIPTITLE]],4,FALSE)</f>
        <v>Hair Styling/Stylist and Hair Design.</v>
      </c>
    </row>
    <row r="245" spans="1:4" x14ac:dyDescent="0.2">
      <c r="A245" s="7" t="s">
        <v>17100</v>
      </c>
      <c r="B245" s="6" t="s">
        <v>10868</v>
      </c>
      <c r="C245" s="6" t="s">
        <v>21148</v>
      </c>
      <c r="D245" s="7" t="str">
        <f>VLOOKUP(B245,Table1[[CIPCode]:[CIPTITLE]],4,FALSE)</f>
        <v>Facial Treatment Specialist/Facialist.</v>
      </c>
    </row>
    <row r="246" spans="1:4" x14ac:dyDescent="0.2">
      <c r="A246" s="7" t="s">
        <v>17100</v>
      </c>
      <c r="B246" s="6" t="s">
        <v>10871</v>
      </c>
      <c r="C246" s="6" t="s">
        <v>21149</v>
      </c>
      <c r="D246" s="7" t="str">
        <f>VLOOKUP(B246,Table1[[CIPCode]:[CIPTITLE]],4,FALSE)</f>
        <v>Aesthetician/Esthetician and Skin Care Specialist.</v>
      </c>
    </row>
    <row r="247" spans="1:4" x14ac:dyDescent="0.2">
      <c r="A247" s="7" t="s">
        <v>17100</v>
      </c>
      <c r="B247" s="6" t="s">
        <v>10874</v>
      </c>
      <c r="C247" s="6" t="s">
        <v>21150</v>
      </c>
      <c r="D247" s="7" t="str">
        <f>VLOOKUP(B247,Table1[[CIPCode]:[CIPTITLE]],4,FALSE)</f>
        <v>Nail Technician/Specialist and Manicurist.</v>
      </c>
    </row>
    <row r="248" spans="1:4" x14ac:dyDescent="0.2">
      <c r="A248" s="7" t="s">
        <v>17100</v>
      </c>
      <c r="B248" s="6" t="s">
        <v>10877</v>
      </c>
      <c r="C248" s="6" t="s">
        <v>21151</v>
      </c>
      <c r="D248" s="7" t="str">
        <f>VLOOKUP(B248,Table1[[CIPCode]:[CIPTITLE]],4,FALSE)</f>
        <v>Permanent Cosmetics/Makeup and Tattooing.</v>
      </c>
    </row>
    <row r="249" spans="1:4" x14ac:dyDescent="0.2">
      <c r="A249" s="7" t="s">
        <v>17100</v>
      </c>
      <c r="B249" s="6" t="s">
        <v>10880</v>
      </c>
      <c r="C249" s="6" t="s">
        <v>21152</v>
      </c>
      <c r="D249" s="7" t="str">
        <f>VLOOKUP(B249,Table1[[CIPCode]:[CIPTITLE]],4,FALSE)</f>
        <v>Salon/Beauty Salon Management/Manager.</v>
      </c>
    </row>
    <row r="250" spans="1:4" x14ac:dyDescent="0.2">
      <c r="A250" s="7" t="s">
        <v>17100</v>
      </c>
      <c r="B250" s="6" t="s">
        <v>10883</v>
      </c>
      <c r="C250" s="6" t="s">
        <v>21153</v>
      </c>
      <c r="D250" s="7" t="str">
        <f>VLOOKUP(B250,Table1[[CIPCode]:[CIPTITLE]],4,FALSE)</f>
        <v>Cosmetology, Barber/Styling, and Nail Instructor.</v>
      </c>
    </row>
    <row r="251" spans="1:4" x14ac:dyDescent="0.2">
      <c r="A251" s="7" t="s">
        <v>17100</v>
      </c>
      <c r="B251" s="6" t="s">
        <v>16866</v>
      </c>
      <c r="C251" s="6" t="s">
        <v>6850</v>
      </c>
      <c r="D251" s="7" t="str">
        <f>VLOOKUP(B251,Table1[[CIPCode]:[CIPTITLE]],4,FALSE)</f>
        <v>Cosmetology and Related Personal Grooming Arts, Other.</v>
      </c>
    </row>
    <row r="252" spans="1:4" x14ac:dyDescent="0.2">
      <c r="A252" s="7" t="s">
        <v>17100</v>
      </c>
      <c r="B252" s="6" t="s">
        <v>10888</v>
      </c>
      <c r="C252" s="6" t="s">
        <v>6851</v>
      </c>
      <c r="D252" s="7" t="str">
        <f>VLOOKUP(B252,Table1[[CIPCode]:[CIPTITLE]],4,FALSE)</f>
        <v>Culinary Arts and Related Services.</v>
      </c>
    </row>
    <row r="253" spans="1:4" x14ac:dyDescent="0.2">
      <c r="A253" s="7" t="s">
        <v>17100</v>
      </c>
      <c r="B253" s="6" t="s">
        <v>16870</v>
      </c>
      <c r="C253" s="6" t="s">
        <v>21154</v>
      </c>
      <c r="D253" s="7" t="str">
        <f>VLOOKUP(B253,Table1[[CIPCode]:[CIPTITLE]],4,FALSE)</f>
        <v>Cooking and Related Culinary Arts, General.</v>
      </c>
    </row>
    <row r="254" spans="1:4" x14ac:dyDescent="0.2">
      <c r="A254" s="7" t="s">
        <v>17100</v>
      </c>
      <c r="B254" s="6" t="s">
        <v>16874</v>
      </c>
      <c r="C254" s="6" t="s">
        <v>6853</v>
      </c>
      <c r="D254" s="7" t="str">
        <f>VLOOKUP(B254,Table1[[CIPCode]:[CIPTITLE]],4,FALSE)</f>
        <v>Baking and Pastry Arts/Baker/Pastry Chef.</v>
      </c>
    </row>
    <row r="255" spans="1:4" x14ac:dyDescent="0.2">
      <c r="A255" s="7" t="s">
        <v>17100</v>
      </c>
      <c r="B255" s="6" t="s">
        <v>16878</v>
      </c>
      <c r="C255" s="6" t="s">
        <v>6854</v>
      </c>
      <c r="D255" s="7" t="str">
        <f>VLOOKUP(B255,Table1[[CIPCode]:[CIPTITLE]],4,FALSE)</f>
        <v>Bartending/Bartender.</v>
      </c>
    </row>
    <row r="256" spans="1:4" x14ac:dyDescent="0.2">
      <c r="A256" s="7" t="s">
        <v>17100</v>
      </c>
      <c r="B256" s="6" t="s">
        <v>16882</v>
      </c>
      <c r="C256" s="6" t="s">
        <v>16883</v>
      </c>
      <c r="D256" s="7" t="str">
        <f>VLOOKUP(B256,Table1[[CIPCode]:[CIPTITLE]],4,FALSE)</f>
        <v>Culinary Arts/Chef Training.</v>
      </c>
    </row>
    <row r="257" spans="1:4" x14ac:dyDescent="0.2">
      <c r="A257" s="7" t="s">
        <v>17100</v>
      </c>
      <c r="B257" s="6" t="s">
        <v>16886</v>
      </c>
      <c r="C257" s="6" t="s">
        <v>6856</v>
      </c>
      <c r="D257" s="7" t="str">
        <f>VLOOKUP(B257,Table1[[CIPCode]:[CIPTITLE]],4,FALSE)</f>
        <v>Restaurant, Culinary, and Catering Management/Manager.</v>
      </c>
    </row>
    <row r="258" spans="1:4" x14ac:dyDescent="0.2">
      <c r="A258" s="7" t="s">
        <v>17100</v>
      </c>
      <c r="B258" s="6" t="s">
        <v>16890</v>
      </c>
      <c r="C258" s="6" t="s">
        <v>6858</v>
      </c>
      <c r="D258" s="7" t="str">
        <f>VLOOKUP(B258,Table1[[CIPCode]:[CIPTITLE]],4,FALSE)</f>
        <v>Food Preparation/Professional Cooking/Kitchen Assistant.</v>
      </c>
    </row>
    <row r="259" spans="1:4" x14ac:dyDescent="0.2">
      <c r="A259" s="7" t="s">
        <v>17100</v>
      </c>
      <c r="B259" s="6" t="s">
        <v>16894</v>
      </c>
      <c r="C259" s="6" t="s">
        <v>6859</v>
      </c>
      <c r="D259" s="7" t="str">
        <f>VLOOKUP(B259,Table1[[CIPCode]:[CIPTITLE]],4,FALSE)</f>
        <v>Meat Cutting/Meat Cutter.</v>
      </c>
    </row>
    <row r="260" spans="1:4" x14ac:dyDescent="0.2">
      <c r="A260" s="7" t="s">
        <v>17100</v>
      </c>
      <c r="B260" s="6" t="s">
        <v>16898</v>
      </c>
      <c r="C260" s="6" t="s">
        <v>6861</v>
      </c>
      <c r="D260" s="7" t="str">
        <f>VLOOKUP(B260,Table1[[CIPCode]:[CIPTITLE]],4,FALSE)</f>
        <v>Food Service, Waiter/Waitress, and Dining Room Management/Manager.</v>
      </c>
    </row>
    <row r="261" spans="1:4" x14ac:dyDescent="0.2">
      <c r="A261" s="7" t="s">
        <v>17100</v>
      </c>
      <c r="B261" s="6" t="s">
        <v>10908</v>
      </c>
      <c r="C261" s="6" t="s">
        <v>21155</v>
      </c>
      <c r="D261" s="7" t="str">
        <f>VLOOKUP(B261,Table1[[CIPCode]:[CIPTITLE]],4,FALSE)</f>
        <v>Institutional Food Workers.</v>
      </c>
    </row>
    <row r="262" spans="1:4" x14ac:dyDescent="0.2">
      <c r="A262" s="7" t="s">
        <v>17100</v>
      </c>
      <c r="B262" s="6" t="s">
        <v>21156</v>
      </c>
      <c r="C262" s="6" t="s">
        <v>5958</v>
      </c>
      <c r="D262" s="7" t="str">
        <f>VLOOKUP(B262,Table1[[CIPCode]:[CIPTITLE]],4,FALSE)</f>
        <v>Institutional Food Workers and Administrators, General</v>
      </c>
    </row>
    <row r="263" spans="1:4" x14ac:dyDescent="0.2">
      <c r="A263" s="7" t="s">
        <v>17100</v>
      </c>
      <c r="B263" s="6" t="s">
        <v>16902</v>
      </c>
      <c r="C263" s="6" t="s">
        <v>6863</v>
      </c>
      <c r="D263" s="7" t="str">
        <f>VLOOKUP(B263,Table1[[CIPCode]:[CIPTITLE]],4,FALSE)</f>
        <v>Culinary Arts and Related Services, Other.</v>
      </c>
    </row>
    <row r="264" spans="1:4" x14ac:dyDescent="0.2">
      <c r="A264" s="7" t="s">
        <v>17100</v>
      </c>
      <c r="B264" s="6" t="s">
        <v>10913</v>
      </c>
      <c r="C264" s="6" t="s">
        <v>6826</v>
      </c>
      <c r="D264" s="7" t="str">
        <f>VLOOKUP(B264,Table1[[CIPCode]:[CIPTITLE]],4,FALSE)</f>
        <v>Personal and Culinary Services, Other.</v>
      </c>
    </row>
    <row r="265" spans="1:4" x14ac:dyDescent="0.2">
      <c r="A265" s="7" t="s">
        <v>17100</v>
      </c>
      <c r="B265" s="6" t="s">
        <v>16910</v>
      </c>
      <c r="C265" s="6" t="s">
        <v>6826</v>
      </c>
      <c r="D265" s="7" t="str">
        <f>VLOOKUP(B265,Table1[[CIPCode]:[CIPTITLE]],4,FALSE)</f>
        <v>Personal and Culinary Services, Other.</v>
      </c>
    </row>
    <row r="266" spans="1:4" x14ac:dyDescent="0.2">
      <c r="A266" s="7" t="s">
        <v>16912</v>
      </c>
      <c r="B266" s="6" t="s">
        <v>16912</v>
      </c>
      <c r="C266" s="6" t="s">
        <v>6485</v>
      </c>
      <c r="D266" s="7" t="e">
        <f>VLOOKUP(B266,Table1[[CIPCode]:[CIPTITLE]],4,FALSE)</f>
        <v>#N/A</v>
      </c>
    </row>
    <row r="267" spans="1:4" x14ac:dyDescent="0.2">
      <c r="A267" s="7" t="s">
        <v>16912</v>
      </c>
      <c r="B267" s="6" t="s">
        <v>10922</v>
      </c>
      <c r="C267" s="6" t="s">
        <v>16918</v>
      </c>
      <c r="D267" s="7" t="str">
        <f>VLOOKUP(B267,Table1[[CIPCode]:[CIPTITLE]],4,FALSE)</f>
        <v>Education, General.</v>
      </c>
    </row>
    <row r="268" spans="1:4" x14ac:dyDescent="0.2">
      <c r="A268" s="7" t="s">
        <v>16912</v>
      </c>
      <c r="B268" s="6" t="s">
        <v>16921</v>
      </c>
      <c r="C268" s="6" t="s">
        <v>16918</v>
      </c>
      <c r="D268" s="7" t="str">
        <f>VLOOKUP(B268,Table1[[CIPCode]:[CIPTITLE]],4,FALSE)</f>
        <v>Education, General.</v>
      </c>
    </row>
    <row r="269" spans="1:4" x14ac:dyDescent="0.2">
      <c r="A269" s="7" t="s">
        <v>16912</v>
      </c>
      <c r="B269" s="6" t="s">
        <v>10926</v>
      </c>
      <c r="C269" s="6" t="s">
        <v>6867</v>
      </c>
      <c r="D269" s="7" t="str">
        <f>VLOOKUP(B269,Table1[[CIPCode]:[CIPTITLE]],4,FALSE)</f>
        <v>Bilingual, Multilingual, and Multicultural Education.</v>
      </c>
    </row>
    <row r="270" spans="1:4" x14ac:dyDescent="0.2">
      <c r="A270" s="7" t="s">
        <v>16912</v>
      </c>
      <c r="B270" s="6" t="s">
        <v>16928</v>
      </c>
      <c r="C270" s="6" t="s">
        <v>6868</v>
      </c>
      <c r="D270" s="7" t="str">
        <f>VLOOKUP(B270,Table1[[CIPCode]:[CIPTITLE]],4,FALSE)</f>
        <v>Bilingual and Multilingual Education.</v>
      </c>
    </row>
    <row r="271" spans="1:4" x14ac:dyDescent="0.2">
      <c r="A271" s="7" t="s">
        <v>16912</v>
      </c>
      <c r="B271" s="6" t="s">
        <v>10934</v>
      </c>
      <c r="C271" s="6" t="s">
        <v>21157</v>
      </c>
      <c r="D271" s="7" t="str">
        <f>VLOOKUP(B271,Table1[[CIPCode]:[CIPTITLE]],4,FALSE)</f>
        <v>Multicultural Education.</v>
      </c>
    </row>
    <row r="272" spans="1:4" x14ac:dyDescent="0.2">
      <c r="A272" s="7" t="s">
        <v>16912</v>
      </c>
      <c r="B272" s="6" t="s">
        <v>10937</v>
      </c>
      <c r="C272" s="6" t="s">
        <v>21158</v>
      </c>
      <c r="D272" s="7" t="str">
        <f>VLOOKUP(B272,Table1[[CIPCode]:[CIPTITLE]],4,FALSE)</f>
        <v>Indian/Native American Education.</v>
      </c>
    </row>
    <row r="273" spans="1:4" x14ac:dyDescent="0.2">
      <c r="A273" s="7" t="s">
        <v>16912</v>
      </c>
      <c r="B273" s="6" t="s">
        <v>10940</v>
      </c>
      <c r="C273" s="6" t="s">
        <v>21159</v>
      </c>
      <c r="D273" s="7" t="str">
        <f>VLOOKUP(B273,Table1[[CIPCode]:[CIPTITLE]],4,FALSE)</f>
        <v>Bilingual, Multilingual, and Multicultural Education, Other.</v>
      </c>
    </row>
    <row r="274" spans="1:4" x14ac:dyDescent="0.2">
      <c r="A274" s="7" t="s">
        <v>16912</v>
      </c>
      <c r="B274" s="6" t="s">
        <v>10943</v>
      </c>
      <c r="C274" s="6" t="s">
        <v>6872</v>
      </c>
      <c r="D274" s="7" t="str">
        <f>VLOOKUP(B274,Table1[[CIPCode]:[CIPTITLE]],4,FALSE)</f>
        <v>Curriculum and Instruction.</v>
      </c>
    </row>
    <row r="275" spans="1:4" x14ac:dyDescent="0.2">
      <c r="A275" s="7" t="s">
        <v>16912</v>
      </c>
      <c r="B275" s="6" t="s">
        <v>16935</v>
      </c>
      <c r="C275" s="6" t="s">
        <v>6872</v>
      </c>
      <c r="D275" s="7" t="str">
        <f>VLOOKUP(B275,Table1[[CIPCode]:[CIPTITLE]],4,FALSE)</f>
        <v>Curriculum and Instruction.</v>
      </c>
    </row>
    <row r="276" spans="1:4" x14ac:dyDescent="0.2">
      <c r="A276" s="7" t="s">
        <v>16912</v>
      </c>
      <c r="B276" s="6" t="s">
        <v>10947</v>
      </c>
      <c r="C276" s="6" t="s">
        <v>6874</v>
      </c>
      <c r="D276" s="7" t="str">
        <f>VLOOKUP(B276,Table1[[CIPCode]:[CIPTITLE]],4,FALSE)</f>
        <v>Educational Administration and Supervision.</v>
      </c>
    </row>
    <row r="277" spans="1:4" x14ac:dyDescent="0.2">
      <c r="A277" s="7" t="s">
        <v>16912</v>
      </c>
      <c r="B277" s="6" t="s">
        <v>16942</v>
      </c>
      <c r="C277" s="6" t="s">
        <v>6880</v>
      </c>
      <c r="D277" s="7" t="str">
        <f>VLOOKUP(B277,Table1[[CIPCode]:[CIPTITLE]],4,FALSE)</f>
        <v>Educational Leadership and Administration, General.</v>
      </c>
    </row>
    <row r="278" spans="1:4" x14ac:dyDescent="0.2">
      <c r="A278" s="7" t="s">
        <v>16912</v>
      </c>
      <c r="B278" s="6" t="s">
        <v>16946</v>
      </c>
      <c r="C278" s="6" t="s">
        <v>16947</v>
      </c>
      <c r="D278" s="7" t="str">
        <f>VLOOKUP(B278,Table1[[CIPCode]:[CIPTITLE]],4,FALSE)</f>
        <v>Administration of Special Education.</v>
      </c>
    </row>
    <row r="279" spans="1:4" x14ac:dyDescent="0.2">
      <c r="A279" s="7" t="s">
        <v>16912</v>
      </c>
      <c r="B279" s="6" t="s">
        <v>16950</v>
      </c>
      <c r="C279" s="6" t="s">
        <v>6881</v>
      </c>
      <c r="D279" s="7" t="str">
        <f>VLOOKUP(B279,Table1[[CIPCode]:[CIPTITLE]],4,FALSE)</f>
        <v>Adult and Continuing Education Administration.</v>
      </c>
    </row>
    <row r="280" spans="1:4" x14ac:dyDescent="0.2">
      <c r="A280" s="7" t="s">
        <v>16912</v>
      </c>
      <c r="B280" s="6" t="s">
        <v>16954</v>
      </c>
      <c r="C280" s="6" t="s">
        <v>6882</v>
      </c>
      <c r="D280" s="7" t="str">
        <f>VLOOKUP(B280,Table1[[CIPCode]:[CIPTITLE]],4,FALSE)</f>
        <v>Educational, Instructional, and Curriculum Supervision.</v>
      </c>
    </row>
    <row r="281" spans="1:4" x14ac:dyDescent="0.2">
      <c r="A281" s="7" t="s">
        <v>16912</v>
      </c>
      <c r="B281" s="6" t="s">
        <v>16962</v>
      </c>
      <c r="C281" s="6" t="s">
        <v>6885</v>
      </c>
      <c r="D281" s="7" t="str">
        <f>VLOOKUP(B281,Table1[[CIPCode]:[CIPTITLE]],4,FALSE)</f>
        <v>Higher Education/Higher Education Administration.</v>
      </c>
    </row>
    <row r="282" spans="1:4" x14ac:dyDescent="0.2">
      <c r="A282" s="7" t="s">
        <v>16912</v>
      </c>
      <c r="B282" s="6" t="s">
        <v>16966</v>
      </c>
      <c r="C282" s="6" t="s">
        <v>6877</v>
      </c>
      <c r="D282" s="7" t="str">
        <f>VLOOKUP(B282,Table1[[CIPCode]:[CIPTITLE]],4,FALSE)</f>
        <v>Community College Education.</v>
      </c>
    </row>
    <row r="283" spans="1:4" x14ac:dyDescent="0.2">
      <c r="A283" s="7" t="s">
        <v>16912</v>
      </c>
      <c r="B283" s="6" t="s">
        <v>10964</v>
      </c>
      <c r="C283" s="6" t="s">
        <v>21160</v>
      </c>
      <c r="D283" s="7" t="str">
        <f>VLOOKUP(B283,Table1[[CIPCode]:[CIPTITLE]],4,FALSE)</f>
        <v>Elementary and Middle School Administration/Principalship.</v>
      </c>
    </row>
    <row r="284" spans="1:4" x14ac:dyDescent="0.2">
      <c r="A284" s="7" t="s">
        <v>16912</v>
      </c>
      <c r="B284" s="6" t="s">
        <v>10967</v>
      </c>
      <c r="C284" s="6" t="s">
        <v>21161</v>
      </c>
      <c r="D284" s="7" t="str">
        <f>VLOOKUP(B284,Table1[[CIPCode]:[CIPTITLE]],4,FALSE)</f>
        <v>Secondary School Administration/Principalship.</v>
      </c>
    </row>
    <row r="285" spans="1:4" x14ac:dyDescent="0.2">
      <c r="A285" s="7" t="s">
        <v>16912</v>
      </c>
      <c r="B285" s="6" t="s">
        <v>10970</v>
      </c>
      <c r="C285" s="6" t="s">
        <v>21162</v>
      </c>
      <c r="D285" s="7" t="str">
        <f>VLOOKUP(B285,Table1[[CIPCode]:[CIPTITLE]],4,FALSE)</f>
        <v>Urban Education and Leadership.</v>
      </c>
    </row>
    <row r="286" spans="1:4" x14ac:dyDescent="0.2">
      <c r="A286" s="7" t="s">
        <v>16912</v>
      </c>
      <c r="B286" s="6" t="s">
        <v>11090</v>
      </c>
      <c r="C286" s="6" t="s">
        <v>21163</v>
      </c>
      <c r="D286" s="7" t="str">
        <f>VLOOKUP(B286,Table1[[CIPCode]:[CIPTITLE]],4,FALSE)</f>
        <v>Superintendency and Educational System Administration.</v>
      </c>
    </row>
    <row r="287" spans="1:4" x14ac:dyDescent="0.2">
      <c r="A287" s="7" t="s">
        <v>16912</v>
      </c>
      <c r="B287" s="6" t="s">
        <v>21164</v>
      </c>
      <c r="C287" s="6" t="s">
        <v>6883</v>
      </c>
      <c r="D287" s="7" t="str">
        <f>VLOOKUP(B287,Table1[[CIPCode]:[CIPTITLE]],4,FALSE)</f>
        <v>Elementary, Middle and Secondary Education Administration</v>
      </c>
    </row>
    <row r="288" spans="1:4" x14ac:dyDescent="0.2">
      <c r="A288" s="7" t="s">
        <v>16912</v>
      </c>
      <c r="B288" s="6" t="s">
        <v>16970</v>
      </c>
      <c r="C288" s="6" t="s">
        <v>6888</v>
      </c>
      <c r="D288" s="7" t="str">
        <f>VLOOKUP(B288,Table1[[CIPCode]:[CIPTITLE]],4,FALSE)</f>
        <v>Educational Administration and Supervision, Other.</v>
      </c>
    </row>
    <row r="289" spans="1:4" x14ac:dyDescent="0.2">
      <c r="A289" s="7" t="s">
        <v>16912</v>
      </c>
      <c r="B289" s="6" t="s">
        <v>11095</v>
      </c>
      <c r="C289" s="6" t="s">
        <v>16975</v>
      </c>
      <c r="D289" s="7" t="str">
        <f>VLOOKUP(B289,Table1[[CIPCode]:[CIPTITLE]],4,FALSE)</f>
        <v>Educational/Instructional Media Design.</v>
      </c>
    </row>
    <row r="290" spans="1:4" x14ac:dyDescent="0.2">
      <c r="A290" s="7" t="s">
        <v>16912</v>
      </c>
      <c r="B290" s="6" t="s">
        <v>16978</v>
      </c>
      <c r="C290" s="6" t="s">
        <v>16975</v>
      </c>
      <c r="D290" s="7" t="str">
        <f>VLOOKUP(B290,Table1[[CIPCode]:[CIPTITLE]],4,FALSE)</f>
        <v>Educational/Instructional Media Design.</v>
      </c>
    </row>
    <row r="291" spans="1:4" x14ac:dyDescent="0.2">
      <c r="A291" s="7" t="s">
        <v>16912</v>
      </c>
      <c r="B291" s="6" t="s">
        <v>11099</v>
      </c>
      <c r="C291" s="6" t="s">
        <v>6890</v>
      </c>
      <c r="D291" s="7" t="str">
        <f>VLOOKUP(B291,Table1[[CIPCode]:[CIPTITLE]],4,FALSE)</f>
        <v>Educational Assessment, Evaluation, and Research.</v>
      </c>
    </row>
    <row r="292" spans="1:4" x14ac:dyDescent="0.2">
      <c r="A292" s="7" t="s">
        <v>16912</v>
      </c>
      <c r="B292" s="6" t="s">
        <v>16985</v>
      </c>
      <c r="C292" s="6" t="s">
        <v>6891</v>
      </c>
      <c r="D292" s="7" t="str">
        <f>VLOOKUP(B292,Table1[[CIPCode]:[CIPTITLE]],4,FALSE)</f>
        <v>Educational Evaluation and Research.</v>
      </c>
    </row>
    <row r="293" spans="1:4" x14ac:dyDescent="0.2">
      <c r="A293" s="7" t="s">
        <v>16912</v>
      </c>
      <c r="B293" s="6" t="s">
        <v>16989</v>
      </c>
      <c r="C293" s="6" t="s">
        <v>6892</v>
      </c>
      <c r="D293" s="7" t="str">
        <f>VLOOKUP(B293,Table1[[CIPCode]:[CIPTITLE]],4,FALSE)</f>
        <v>Educational Statistics and Research Methods.</v>
      </c>
    </row>
    <row r="294" spans="1:4" x14ac:dyDescent="0.2">
      <c r="A294" s="7" t="s">
        <v>16912</v>
      </c>
      <c r="B294" s="6" t="s">
        <v>16993</v>
      </c>
      <c r="C294" s="6" t="s">
        <v>6894</v>
      </c>
      <c r="D294" s="7" t="str">
        <f>VLOOKUP(B294,Table1[[CIPCode]:[CIPTITLE]],4,FALSE)</f>
        <v>Educational Assessment, Testing, and Measurement.</v>
      </c>
    </row>
    <row r="295" spans="1:4" x14ac:dyDescent="0.2">
      <c r="A295" s="7" t="s">
        <v>16912</v>
      </c>
      <c r="B295" s="6" t="s">
        <v>16997</v>
      </c>
      <c r="C295" s="6" t="s">
        <v>6896</v>
      </c>
      <c r="D295" s="7" t="str">
        <f>VLOOKUP(B295,Table1[[CIPCode]:[CIPTITLE]],4,FALSE)</f>
        <v>Educational Assessment, Evaluation, and Research, Other.</v>
      </c>
    </row>
    <row r="296" spans="1:4" x14ac:dyDescent="0.2">
      <c r="A296" s="7" t="s">
        <v>16912</v>
      </c>
      <c r="B296" s="6" t="s">
        <v>11110</v>
      </c>
      <c r="C296" s="6" t="s">
        <v>6897</v>
      </c>
      <c r="D296" s="7" t="str">
        <f>VLOOKUP(B296,Table1[[CIPCode]:[CIPTITLE]],4,FALSE)</f>
        <v>International and Comparative Education.</v>
      </c>
    </row>
    <row r="297" spans="1:4" x14ac:dyDescent="0.2">
      <c r="A297" s="7" t="s">
        <v>16912</v>
      </c>
      <c r="B297" s="6" t="s">
        <v>17005</v>
      </c>
      <c r="C297" s="6" t="s">
        <v>6897</v>
      </c>
      <c r="D297" s="7" t="str">
        <f>VLOOKUP(B297,Table1[[CIPCode]:[CIPTITLE]],4,FALSE)</f>
        <v>International and Comparative Education.</v>
      </c>
    </row>
    <row r="298" spans="1:4" x14ac:dyDescent="0.2">
      <c r="A298" s="7" t="s">
        <v>16912</v>
      </c>
      <c r="B298" s="6" t="s">
        <v>11118</v>
      </c>
      <c r="C298" s="6" t="s">
        <v>6902</v>
      </c>
      <c r="D298" s="7" t="str">
        <f>VLOOKUP(B298,Table1[[CIPCode]:[CIPTITLE]],4,FALSE)</f>
        <v>Social and Philosophical Foundations of Education.</v>
      </c>
    </row>
    <row r="299" spans="1:4" x14ac:dyDescent="0.2">
      <c r="A299" s="7" t="s">
        <v>16912</v>
      </c>
      <c r="B299" s="6" t="s">
        <v>17019</v>
      </c>
      <c r="C299" s="6" t="s">
        <v>6902</v>
      </c>
      <c r="D299" s="7" t="str">
        <f>VLOOKUP(B299,Table1[[CIPCode]:[CIPTITLE]],4,FALSE)</f>
        <v>Social and Philosophical Foundations of Education.</v>
      </c>
    </row>
    <row r="300" spans="1:4" x14ac:dyDescent="0.2">
      <c r="A300" s="7" t="s">
        <v>16912</v>
      </c>
      <c r="B300" s="6" t="s">
        <v>10603</v>
      </c>
      <c r="C300" s="6" t="s">
        <v>6903</v>
      </c>
      <c r="D300" s="7" t="str">
        <f>VLOOKUP(B300,Table1[[CIPCode]:[CIPTITLE]],4,FALSE)</f>
        <v>Special Education and Teaching.</v>
      </c>
    </row>
    <row r="301" spans="1:4" x14ac:dyDescent="0.2">
      <c r="A301" s="7" t="s">
        <v>16912</v>
      </c>
      <c r="B301" s="6" t="s">
        <v>17026</v>
      </c>
      <c r="C301" s="6" t="s">
        <v>6904</v>
      </c>
      <c r="D301" s="7" t="str">
        <f>VLOOKUP(B301,Table1[[CIPCode]:[CIPTITLE]],4,FALSE)</f>
        <v>Special Education and Teaching, General.</v>
      </c>
    </row>
    <row r="302" spans="1:4" x14ac:dyDescent="0.2">
      <c r="A302" s="7" t="s">
        <v>16912</v>
      </c>
      <c r="B302" s="6" t="s">
        <v>17030</v>
      </c>
      <c r="C302" s="6" t="s">
        <v>21165</v>
      </c>
      <c r="D302" s="7" t="str">
        <f>VLOOKUP(B302,Table1[[CIPCode]:[CIPTITLE]],4,FALSE)</f>
        <v>Education/Teaching of Individuals with Hearing Impairments Including Deafness.</v>
      </c>
    </row>
    <row r="303" spans="1:4" x14ac:dyDescent="0.2">
      <c r="A303" s="7" t="s">
        <v>16912</v>
      </c>
      <c r="B303" s="6" t="s">
        <v>17034</v>
      </c>
      <c r="C303" s="6" t="s">
        <v>6908</v>
      </c>
      <c r="D303" s="7" t="str">
        <f>VLOOKUP(B303,Table1[[CIPCode]:[CIPTITLE]],4,FALSE)</f>
        <v>Education/Teaching of the Gifted and Talented.</v>
      </c>
    </row>
    <row r="304" spans="1:4" x14ac:dyDescent="0.2">
      <c r="A304" s="7" t="s">
        <v>16912</v>
      </c>
      <c r="B304" s="6" t="s">
        <v>17038</v>
      </c>
      <c r="C304" s="6" t="s">
        <v>6909</v>
      </c>
      <c r="D304" s="7" t="str">
        <f>VLOOKUP(B304,Table1[[CIPCode]:[CIPTITLE]],4,FALSE)</f>
        <v>Education/Teaching of Individuals with Emotional Disturbances.</v>
      </c>
    </row>
    <row r="305" spans="1:4" x14ac:dyDescent="0.2">
      <c r="A305" s="7" t="s">
        <v>16912</v>
      </c>
      <c r="B305" s="6" t="s">
        <v>17042</v>
      </c>
      <c r="C305" s="6" t="s">
        <v>6910</v>
      </c>
      <c r="D305" s="7" t="str">
        <f>VLOOKUP(B305,Table1[[CIPCode]:[CIPTITLE]],4,FALSE)</f>
        <v>Education/Teaching of Individuals with Mental Retardation.</v>
      </c>
    </row>
    <row r="306" spans="1:4" x14ac:dyDescent="0.2">
      <c r="A306" s="7" t="s">
        <v>16912</v>
      </c>
      <c r="B306" s="6" t="s">
        <v>17046</v>
      </c>
      <c r="C306" s="6" t="s">
        <v>6911</v>
      </c>
      <c r="D306" s="7" t="str">
        <f>VLOOKUP(B306,Table1[[CIPCode]:[CIPTITLE]],4,FALSE)</f>
        <v>Education/Teaching of Individuals with Multiple Disabilities.</v>
      </c>
    </row>
    <row r="307" spans="1:4" x14ac:dyDescent="0.2">
      <c r="A307" s="7" t="s">
        <v>16912</v>
      </c>
      <c r="B307" s="6" t="s">
        <v>17050</v>
      </c>
      <c r="C307" s="6" t="s">
        <v>21166</v>
      </c>
      <c r="D307" s="7" t="str">
        <f>VLOOKUP(B307,Table1[[CIPCode]:[CIPTITLE]],4,FALSE)</f>
        <v>Education/Teaching of Individuals with Orthopedic and Other Physical Health Impairments.</v>
      </c>
    </row>
    <row r="308" spans="1:4" x14ac:dyDescent="0.2">
      <c r="A308" s="7" t="s">
        <v>16912</v>
      </c>
      <c r="B308" s="6" t="s">
        <v>17054</v>
      </c>
      <c r="C308" s="6" t="s">
        <v>21167</v>
      </c>
      <c r="D308" s="7" t="str">
        <f>VLOOKUP(B308,Table1[[CIPCode]:[CIPTITLE]],4,FALSE)</f>
        <v>Education/Teaching of Individuals with Vision Impairments Including Blindness.</v>
      </c>
    </row>
    <row r="309" spans="1:4" x14ac:dyDescent="0.2">
      <c r="A309" s="7" t="s">
        <v>16912</v>
      </c>
      <c r="B309" s="6" t="s">
        <v>17058</v>
      </c>
      <c r="C309" s="6" t="s">
        <v>21168</v>
      </c>
      <c r="D309" s="7" t="str">
        <f>VLOOKUP(B309,Table1[[CIPCode]:[CIPTITLE]],4,FALSE)</f>
        <v>Education/Teaching of Individuals with Specific Learning Disabilities.</v>
      </c>
    </row>
    <row r="310" spans="1:4" x14ac:dyDescent="0.2">
      <c r="A310" s="7" t="s">
        <v>16912</v>
      </c>
      <c r="B310" s="6" t="s">
        <v>17062</v>
      </c>
      <c r="C310" s="6" t="s">
        <v>21169</v>
      </c>
      <c r="D310" s="7" t="str">
        <f>VLOOKUP(B310,Table1[[CIPCode]:[CIPTITLE]],4,FALSE)</f>
        <v>Education/Teaching of Individuals with Speech or Language Impairments.</v>
      </c>
    </row>
    <row r="311" spans="1:4" x14ac:dyDescent="0.2">
      <c r="A311" s="7" t="s">
        <v>16912</v>
      </c>
      <c r="B311" s="6" t="s">
        <v>17066</v>
      </c>
      <c r="C311" s="6" t="s">
        <v>6916</v>
      </c>
      <c r="D311" s="7" t="str">
        <f>VLOOKUP(B311,Table1[[CIPCode]:[CIPTITLE]],4,FALSE)</f>
        <v>Education/Teaching of Individuals with Autism.</v>
      </c>
    </row>
    <row r="312" spans="1:4" x14ac:dyDescent="0.2">
      <c r="A312" s="7" t="s">
        <v>16912</v>
      </c>
      <c r="B312" s="6" t="s">
        <v>10524</v>
      </c>
      <c r="C312" s="6" t="s">
        <v>21170</v>
      </c>
      <c r="D312" s="7" t="str">
        <f>VLOOKUP(B312,Table1[[CIPCode]:[CIPTITLE]],4,FALSE)</f>
        <v>Education/Teaching of Individuals Who are Developmentally Delayed.</v>
      </c>
    </row>
    <row r="313" spans="1:4" x14ac:dyDescent="0.2">
      <c r="A313" s="7" t="s">
        <v>16912</v>
      </c>
      <c r="B313" s="6" t="s">
        <v>10527</v>
      </c>
      <c r="C313" s="6" t="s">
        <v>21171</v>
      </c>
      <c r="D313" s="7" t="str">
        <f>VLOOKUP(B313,Table1[[CIPCode]:[CIPTITLE]],4,FALSE)</f>
        <v>Education/Teaching of Individuals in Early Childhood Special Education Programs.</v>
      </c>
    </row>
    <row r="314" spans="1:4" x14ac:dyDescent="0.2">
      <c r="A314" s="7" t="s">
        <v>16912</v>
      </c>
      <c r="B314" s="6" t="s">
        <v>17070</v>
      </c>
      <c r="C314" s="6" t="s">
        <v>6898</v>
      </c>
      <c r="D314" s="7" t="str">
        <f>VLOOKUP(B314,Table1[[CIPCode]:[CIPTITLE]],4,FALSE)</f>
        <v>Special Education and Teaching, Other.</v>
      </c>
    </row>
    <row r="315" spans="1:4" x14ac:dyDescent="0.2">
      <c r="A315" s="7" t="s">
        <v>16912</v>
      </c>
      <c r="B315" s="6" t="s">
        <v>10535</v>
      </c>
      <c r="C315" s="6" t="s">
        <v>6921</v>
      </c>
      <c r="D315" s="7" t="str">
        <f>VLOOKUP(B315,Table1[[CIPCode]:[CIPTITLE]],4,FALSE)</f>
        <v>Student Counseling and Personnel Services.</v>
      </c>
    </row>
    <row r="316" spans="1:4" x14ac:dyDescent="0.2">
      <c r="A316" s="7" t="s">
        <v>16912</v>
      </c>
      <c r="B316" s="6" t="s">
        <v>17078</v>
      </c>
      <c r="C316" s="6" t="s">
        <v>6923</v>
      </c>
      <c r="D316" s="7" t="str">
        <f>VLOOKUP(B316,Table1[[CIPCode]:[CIPTITLE]],4,FALSE)</f>
        <v>Counselor Education/School Counseling and Guidance Services.</v>
      </c>
    </row>
    <row r="317" spans="1:4" x14ac:dyDescent="0.2">
      <c r="A317" s="7" t="s">
        <v>16912</v>
      </c>
      <c r="B317" s="6" t="s">
        <v>17082</v>
      </c>
      <c r="C317" s="6" t="s">
        <v>6925</v>
      </c>
      <c r="D317" s="7" t="str">
        <f>VLOOKUP(B317,Table1[[CIPCode]:[CIPTITLE]],4,FALSE)</f>
        <v>College Student Counseling and Personnel Services.</v>
      </c>
    </row>
    <row r="318" spans="1:4" x14ac:dyDescent="0.2">
      <c r="A318" s="7" t="s">
        <v>16912</v>
      </c>
      <c r="B318" s="6" t="s">
        <v>10540</v>
      </c>
      <c r="C318" s="6" t="s">
        <v>21172</v>
      </c>
      <c r="D318" s="7" t="str">
        <f>VLOOKUP(B318,Table1[[CIPCode]:[CIPTITLE]],4,FALSE)</f>
        <v>Student Counseling and Personnel Services, Other.</v>
      </c>
    </row>
    <row r="319" spans="1:4" x14ac:dyDescent="0.2">
      <c r="A319" s="7" t="s">
        <v>16912</v>
      </c>
      <c r="B319" s="6" t="s">
        <v>10543</v>
      </c>
      <c r="C319" s="6" t="s">
        <v>21173</v>
      </c>
      <c r="D319" s="7" t="str">
        <f>VLOOKUP(B319,Table1[[CIPCode]:[CIPTITLE]],4,FALSE)</f>
        <v>Teacher Education and Professional Development, Specific Levels and Methods.</v>
      </c>
    </row>
    <row r="320" spans="1:4" x14ac:dyDescent="0.2">
      <c r="A320" s="7" t="s">
        <v>16912</v>
      </c>
      <c r="B320" s="6" t="s">
        <v>16495</v>
      </c>
      <c r="C320" s="6" t="s">
        <v>6928</v>
      </c>
      <c r="D320" s="7" t="str">
        <f>VLOOKUP(B320,Table1[[CIPCode]:[CIPTITLE]],4,FALSE)</f>
        <v>Adult and Continuing Education and Teaching.</v>
      </c>
    </row>
    <row r="321" spans="1:4" x14ac:dyDescent="0.2">
      <c r="A321" s="7" t="s">
        <v>16912</v>
      </c>
      <c r="B321" s="6" t="s">
        <v>16499</v>
      </c>
      <c r="C321" s="6" t="s">
        <v>6900</v>
      </c>
      <c r="D321" s="7" t="str">
        <f>VLOOKUP(B321,Table1[[CIPCode]:[CIPTITLE]],4,FALSE)</f>
        <v>Elementary Education and Teaching.</v>
      </c>
    </row>
    <row r="322" spans="1:4" x14ac:dyDescent="0.2">
      <c r="A322" s="7" t="s">
        <v>16912</v>
      </c>
      <c r="B322" s="6" t="s">
        <v>16503</v>
      </c>
      <c r="C322" s="6" t="s">
        <v>6929</v>
      </c>
      <c r="D322" s="7" t="str">
        <f>VLOOKUP(B322,Table1[[CIPCode]:[CIPTITLE]],4,FALSE)</f>
        <v>Junior High/Intermediate/Middle School Education and Teaching.</v>
      </c>
    </row>
    <row r="323" spans="1:4" x14ac:dyDescent="0.2">
      <c r="A323" s="7" t="s">
        <v>16912</v>
      </c>
      <c r="B323" s="6" t="s">
        <v>16511</v>
      </c>
      <c r="C323" s="6" t="s">
        <v>6933</v>
      </c>
      <c r="D323" s="7" t="str">
        <f>VLOOKUP(B323,Table1[[CIPCode]:[CIPTITLE]],4,FALSE)</f>
        <v>Secondary Education and Teaching.</v>
      </c>
    </row>
    <row r="324" spans="1:4" x14ac:dyDescent="0.2">
      <c r="A324" s="7" t="s">
        <v>16912</v>
      </c>
      <c r="B324" s="6" t="s">
        <v>16515</v>
      </c>
      <c r="C324" s="6" t="s">
        <v>16516</v>
      </c>
      <c r="D324" s="7" t="str">
        <f>VLOOKUP(B324,Table1[[CIPCode]:[CIPTITLE]],4,FALSE)</f>
        <v>Teacher Education, Multiple Levels.</v>
      </c>
    </row>
    <row r="325" spans="1:4" x14ac:dyDescent="0.2">
      <c r="A325" s="7" t="s">
        <v>16912</v>
      </c>
      <c r="B325" s="6" t="s">
        <v>10623</v>
      </c>
      <c r="C325" s="6" t="s">
        <v>21174</v>
      </c>
      <c r="D325" s="7" t="str">
        <f>VLOOKUP(B325,Table1[[CIPCode]:[CIPTITLE]],4,FALSE)</f>
        <v>Montessori Teacher Education.</v>
      </c>
    </row>
    <row r="326" spans="1:4" x14ac:dyDescent="0.2">
      <c r="A326" s="7" t="s">
        <v>16912</v>
      </c>
      <c r="B326" s="6" t="s">
        <v>10629</v>
      </c>
      <c r="C326" s="6" t="s">
        <v>21175</v>
      </c>
      <c r="D326" s="7" t="str">
        <f>VLOOKUP(B326,Table1[[CIPCode]:[CIPTITLE]],4,FALSE)</f>
        <v>Kindergarten/Preschool Education and Teaching.</v>
      </c>
    </row>
    <row r="327" spans="1:4" x14ac:dyDescent="0.2">
      <c r="A327" s="7" t="s">
        <v>16912</v>
      </c>
      <c r="B327" s="6" t="s">
        <v>10632</v>
      </c>
      <c r="C327" s="6" t="s">
        <v>21176</v>
      </c>
      <c r="D327" s="7" t="str">
        <f>VLOOKUP(B327,Table1[[CIPCode]:[CIPTITLE]],4,FALSE)</f>
        <v>Early Childhood Education and Teaching.</v>
      </c>
    </row>
    <row r="328" spans="1:4" x14ac:dyDescent="0.2">
      <c r="A328" s="7" t="s">
        <v>16912</v>
      </c>
      <c r="B328" s="6" t="s">
        <v>21051</v>
      </c>
      <c r="C328" s="6" t="s">
        <v>6930</v>
      </c>
      <c r="D328" s="7" t="str">
        <f>VLOOKUP(B328,Table1[[CIPCode]:[CIPTITLE]],4,FALSE)</f>
        <v>Pre-Elementary/Early Childhood/Kindergarten Teacher Education'</v>
      </c>
    </row>
    <row r="329" spans="1:4" x14ac:dyDescent="0.2">
      <c r="A329" s="7" t="s">
        <v>16912</v>
      </c>
      <c r="B329" s="6" t="s">
        <v>16519</v>
      </c>
      <c r="C329" s="6" t="s">
        <v>21177</v>
      </c>
      <c r="D329" s="7" t="str">
        <f>VLOOKUP(B329,Table1[[CIPCode]:[CIPTITLE]],4,FALSE)</f>
        <v>Teacher Education and Professional Development, Specific Levels and Methods, Other.</v>
      </c>
    </row>
    <row r="330" spans="1:4" x14ac:dyDescent="0.2">
      <c r="A330" s="7" t="s">
        <v>16912</v>
      </c>
      <c r="B330" s="6" t="s">
        <v>10637</v>
      </c>
      <c r="C330" s="6" t="s">
        <v>6938</v>
      </c>
      <c r="D330" s="7" t="str">
        <f>VLOOKUP(B330,Table1[[CIPCode]:[CIPTITLE]],4,FALSE)</f>
        <v>Teacher Education and Professional Development, Specific Subject Areas.</v>
      </c>
    </row>
    <row r="331" spans="1:4" x14ac:dyDescent="0.2">
      <c r="A331" s="7" t="s">
        <v>16912</v>
      </c>
      <c r="B331" s="6" t="s">
        <v>16527</v>
      </c>
      <c r="C331" s="6" t="s">
        <v>6939</v>
      </c>
      <c r="D331" s="7" t="str">
        <f>VLOOKUP(B331,Table1[[CIPCode]:[CIPTITLE]],4,FALSE)</f>
        <v>Agricultural Teacher Education.</v>
      </c>
    </row>
    <row r="332" spans="1:4" x14ac:dyDescent="0.2">
      <c r="A332" s="7" t="s">
        <v>16912</v>
      </c>
      <c r="B332" s="6" t="s">
        <v>16531</v>
      </c>
      <c r="C332" s="6" t="s">
        <v>16532</v>
      </c>
      <c r="D332" s="7" t="str">
        <f>VLOOKUP(B332,Table1[[CIPCode]:[CIPTITLE]],4,FALSE)</f>
        <v>Art Teacher Education.</v>
      </c>
    </row>
    <row r="333" spans="1:4" x14ac:dyDescent="0.2">
      <c r="A333" s="7" t="s">
        <v>16912</v>
      </c>
      <c r="B333" s="6" t="s">
        <v>16535</v>
      </c>
      <c r="C333" s="6" t="s">
        <v>6828</v>
      </c>
      <c r="D333" s="7" t="str">
        <f>VLOOKUP(B333,Table1[[CIPCode]:[CIPTITLE]],4,FALSE)</f>
        <v>Business Teacher Education.</v>
      </c>
    </row>
    <row r="334" spans="1:4" x14ac:dyDescent="0.2">
      <c r="A334" s="7" t="s">
        <v>16912</v>
      </c>
      <c r="B334" s="6" t="s">
        <v>16539</v>
      </c>
      <c r="C334" s="6" t="s">
        <v>6940</v>
      </c>
      <c r="D334" s="7" t="str">
        <f>VLOOKUP(B334,Table1[[CIPCode]:[CIPTITLE]],4,FALSE)</f>
        <v>Driver and Safety Teacher Education.</v>
      </c>
    </row>
    <row r="335" spans="1:4" x14ac:dyDescent="0.2">
      <c r="A335" s="7" t="s">
        <v>16912</v>
      </c>
      <c r="B335" s="6" t="s">
        <v>16543</v>
      </c>
      <c r="C335" s="6" t="s">
        <v>6698</v>
      </c>
      <c r="D335" s="7" t="str">
        <f>VLOOKUP(B335,Table1[[CIPCode]:[CIPTITLE]],4,FALSE)</f>
        <v>English/Language Arts Teacher Education.</v>
      </c>
    </row>
    <row r="336" spans="1:4" x14ac:dyDescent="0.2">
      <c r="A336" s="7" t="s">
        <v>16912</v>
      </c>
      <c r="B336" s="6" t="s">
        <v>16547</v>
      </c>
      <c r="C336" s="6" t="s">
        <v>6805</v>
      </c>
      <c r="D336" s="7" t="str">
        <f>VLOOKUP(B336,Table1[[CIPCode]:[CIPTITLE]],4,FALSE)</f>
        <v>Foreign Language Teacher  Education.</v>
      </c>
    </row>
    <row r="337" spans="1:4" x14ac:dyDescent="0.2">
      <c r="A337" s="7" t="s">
        <v>16912</v>
      </c>
      <c r="B337" s="6" t="s">
        <v>16551</v>
      </c>
      <c r="C337" s="6" t="s">
        <v>16552</v>
      </c>
      <c r="D337" s="7" t="str">
        <f>VLOOKUP(B337,Table1[[CIPCode]:[CIPTITLE]],4,FALSE)</f>
        <v>Health Teacher Education.</v>
      </c>
    </row>
    <row r="338" spans="1:4" x14ac:dyDescent="0.2">
      <c r="A338" s="7" t="s">
        <v>16912</v>
      </c>
      <c r="B338" s="6" t="s">
        <v>16555</v>
      </c>
      <c r="C338" s="6" t="s">
        <v>6941</v>
      </c>
      <c r="D338" s="7" t="str">
        <f>VLOOKUP(B338,Table1[[CIPCode]:[CIPTITLE]],4,FALSE)</f>
        <v>Family and Consumer Sciences/Home Economics Teacher Education.</v>
      </c>
    </row>
    <row r="339" spans="1:4" x14ac:dyDescent="0.2">
      <c r="A339" s="7" t="s">
        <v>16912</v>
      </c>
      <c r="B339" s="6" t="s">
        <v>16559</v>
      </c>
      <c r="C339" s="6" t="s">
        <v>6942</v>
      </c>
      <c r="D339" s="7" t="str">
        <f>VLOOKUP(B339,Table1[[CIPCode]:[CIPTITLE]],4,FALSE)</f>
        <v>Technology Teacher Education/Industrial Arts Teacher Education.</v>
      </c>
    </row>
    <row r="340" spans="1:4" x14ac:dyDescent="0.2">
      <c r="A340" s="7" t="s">
        <v>16912</v>
      </c>
      <c r="B340" s="6" t="s">
        <v>16563</v>
      </c>
      <c r="C340" s="6" t="s">
        <v>21178</v>
      </c>
      <c r="D340" s="7" t="str">
        <f>VLOOKUP(B340,Table1[[CIPCode]:[CIPTITLE]],4,FALSE)</f>
        <v>Sales and Marketing Operations/Marketing and Distribution   Teacher Education.</v>
      </c>
    </row>
    <row r="341" spans="1:4" x14ac:dyDescent="0.2">
      <c r="A341" s="7" t="s">
        <v>16912</v>
      </c>
      <c r="B341" s="6" t="s">
        <v>16567</v>
      </c>
      <c r="C341" s="6" t="s">
        <v>16568</v>
      </c>
      <c r="D341" s="7" t="str">
        <f>VLOOKUP(B341,Table1[[CIPCode]:[CIPTITLE]],4,FALSE)</f>
        <v>Mathematics Teacher Education.</v>
      </c>
    </row>
    <row r="342" spans="1:4" x14ac:dyDescent="0.2">
      <c r="A342" s="7" t="s">
        <v>16912</v>
      </c>
      <c r="B342" s="6" t="s">
        <v>16571</v>
      </c>
      <c r="C342" s="6" t="s">
        <v>16572</v>
      </c>
      <c r="D342" s="7" t="str">
        <f>VLOOKUP(B342,Table1[[CIPCode]:[CIPTITLE]],4,FALSE)</f>
        <v>Music Teacher Education.</v>
      </c>
    </row>
    <row r="343" spans="1:4" x14ac:dyDescent="0.2">
      <c r="A343" s="7" t="s">
        <v>16912</v>
      </c>
      <c r="B343" s="6" t="s">
        <v>16575</v>
      </c>
      <c r="C343" s="6" t="s">
        <v>6945</v>
      </c>
      <c r="D343" s="7" t="str">
        <f>VLOOKUP(B343,Table1[[CIPCode]:[CIPTITLE]],4,FALSE)</f>
        <v>Physical Education Teaching and Coaching.</v>
      </c>
    </row>
    <row r="344" spans="1:4" x14ac:dyDescent="0.2">
      <c r="A344" s="7" t="s">
        <v>16912</v>
      </c>
      <c r="B344" s="6" t="s">
        <v>16579</v>
      </c>
      <c r="C344" s="6" t="s">
        <v>16580</v>
      </c>
      <c r="D344" s="7" t="str">
        <f>VLOOKUP(B344,Table1[[CIPCode]:[CIPTITLE]],4,FALSE)</f>
        <v>Reading Teacher Education.</v>
      </c>
    </row>
    <row r="345" spans="1:4" x14ac:dyDescent="0.2">
      <c r="A345" s="7" t="s">
        <v>16912</v>
      </c>
      <c r="B345" s="6" t="s">
        <v>16583</v>
      </c>
      <c r="C345" s="6" t="s">
        <v>6946</v>
      </c>
      <c r="D345" s="7" t="str">
        <f>VLOOKUP(B345,Table1[[CIPCode]:[CIPTITLE]],4,FALSE)</f>
        <v>Science Teacher Education/General Science Teacher Education.</v>
      </c>
    </row>
    <row r="346" spans="1:4" x14ac:dyDescent="0.2">
      <c r="A346" s="7" t="s">
        <v>16912</v>
      </c>
      <c r="B346" s="6" t="s">
        <v>16587</v>
      </c>
      <c r="C346" s="6" t="s">
        <v>16588</v>
      </c>
      <c r="D346" s="7" t="str">
        <f>VLOOKUP(B346,Table1[[CIPCode]:[CIPTITLE]],4,FALSE)</f>
        <v>Social Science Teacher Education.</v>
      </c>
    </row>
    <row r="347" spans="1:4" x14ac:dyDescent="0.2">
      <c r="A347" s="7" t="s">
        <v>16912</v>
      </c>
      <c r="B347" s="6" t="s">
        <v>16591</v>
      </c>
      <c r="C347" s="6" t="s">
        <v>16592</v>
      </c>
      <c r="D347" s="7" t="str">
        <f>VLOOKUP(B347,Table1[[CIPCode]:[CIPTITLE]],4,FALSE)</f>
        <v>Social Studies Teacher Education.</v>
      </c>
    </row>
    <row r="348" spans="1:4" x14ac:dyDescent="0.2">
      <c r="A348" s="7" t="s">
        <v>16912</v>
      </c>
      <c r="B348" s="6" t="s">
        <v>16595</v>
      </c>
      <c r="C348" s="6" t="s">
        <v>6947</v>
      </c>
      <c r="D348" s="7" t="str">
        <f>VLOOKUP(B348,Table1[[CIPCode]:[CIPTITLE]],4,FALSE)</f>
        <v>Technical Teacher Education.</v>
      </c>
    </row>
    <row r="349" spans="1:4" x14ac:dyDescent="0.2">
      <c r="A349" s="7" t="s">
        <v>16912</v>
      </c>
      <c r="B349" s="6" t="s">
        <v>16599</v>
      </c>
      <c r="C349" s="6" t="s">
        <v>6949</v>
      </c>
      <c r="D349" s="7" t="str">
        <f>VLOOKUP(B349,Table1[[CIPCode]:[CIPTITLE]],4,FALSE)</f>
        <v>Trade and Industrial Teacher Education.</v>
      </c>
    </row>
    <row r="350" spans="1:4" x14ac:dyDescent="0.2">
      <c r="A350" s="7" t="s">
        <v>16912</v>
      </c>
      <c r="B350" s="6" t="s">
        <v>16603</v>
      </c>
      <c r="C350" s="6" t="s">
        <v>16604</v>
      </c>
      <c r="D350" s="7" t="str">
        <f>VLOOKUP(B350,Table1[[CIPCode]:[CIPTITLE]],4,FALSE)</f>
        <v>Computer Teacher Education.</v>
      </c>
    </row>
    <row r="351" spans="1:4" x14ac:dyDescent="0.2">
      <c r="A351" s="7" t="s">
        <v>16912</v>
      </c>
      <c r="B351" s="6" t="s">
        <v>16607</v>
      </c>
      <c r="C351" s="6" t="s">
        <v>16608</v>
      </c>
      <c r="D351" s="7" t="str">
        <f>VLOOKUP(B351,Table1[[CIPCode]:[CIPTITLE]],4,FALSE)</f>
        <v>Biology Teacher Education.</v>
      </c>
    </row>
    <row r="352" spans="1:4" x14ac:dyDescent="0.2">
      <c r="A352" s="7" t="s">
        <v>16912</v>
      </c>
      <c r="B352" s="6" t="s">
        <v>16611</v>
      </c>
      <c r="C352" s="6" t="s">
        <v>16612</v>
      </c>
      <c r="D352" s="7" t="str">
        <f>VLOOKUP(B352,Table1[[CIPCode]:[CIPTITLE]],4,FALSE)</f>
        <v>Chemistry Teacher Education.</v>
      </c>
    </row>
    <row r="353" spans="1:4" x14ac:dyDescent="0.2">
      <c r="A353" s="7" t="s">
        <v>16912</v>
      </c>
      <c r="B353" s="6" t="s">
        <v>16615</v>
      </c>
      <c r="C353" s="6" t="s">
        <v>6950</v>
      </c>
      <c r="D353" s="7" t="str">
        <f>VLOOKUP(B353,Table1[[CIPCode]:[CIPTITLE]],4,FALSE)</f>
        <v>Drama and Dance Teacher Education.</v>
      </c>
    </row>
    <row r="354" spans="1:4" x14ac:dyDescent="0.2">
      <c r="A354" s="7" t="s">
        <v>16912</v>
      </c>
      <c r="B354" s="6" t="s">
        <v>16619</v>
      </c>
      <c r="C354" s="6" t="s">
        <v>16620</v>
      </c>
      <c r="D354" s="7" t="str">
        <f>VLOOKUP(B354,Table1[[CIPCode]:[CIPTITLE]],4,FALSE)</f>
        <v>French Language Teacher Education.</v>
      </c>
    </row>
    <row r="355" spans="1:4" x14ac:dyDescent="0.2">
      <c r="A355" s="7" t="s">
        <v>16912</v>
      </c>
      <c r="B355" s="6" t="s">
        <v>16623</v>
      </c>
      <c r="C355" s="6" t="s">
        <v>16624</v>
      </c>
      <c r="D355" s="7" t="str">
        <f>VLOOKUP(B355,Table1[[CIPCode]:[CIPTITLE]],4,FALSE)</f>
        <v>German Language Teacher Education.</v>
      </c>
    </row>
    <row r="356" spans="1:4" x14ac:dyDescent="0.2">
      <c r="A356" s="7" t="s">
        <v>16912</v>
      </c>
      <c r="B356" s="6" t="s">
        <v>16627</v>
      </c>
      <c r="C356" s="6" t="s">
        <v>6952</v>
      </c>
      <c r="D356" s="7" t="str">
        <f>VLOOKUP(B356,Table1[[CIPCode]:[CIPTITLE]],4,FALSE)</f>
        <v>Health Occupations Teacher Education.</v>
      </c>
    </row>
    <row r="357" spans="1:4" x14ac:dyDescent="0.2">
      <c r="A357" s="7" t="s">
        <v>16912</v>
      </c>
      <c r="B357" s="6" t="s">
        <v>16631</v>
      </c>
      <c r="C357" s="6" t="s">
        <v>16632</v>
      </c>
      <c r="D357" s="7" t="str">
        <f>VLOOKUP(B357,Table1[[CIPCode]:[CIPTITLE]],4,FALSE)</f>
        <v>History Teacher Education.</v>
      </c>
    </row>
    <row r="358" spans="1:4" x14ac:dyDescent="0.2">
      <c r="A358" s="7" t="s">
        <v>16912</v>
      </c>
      <c r="B358" s="6" t="s">
        <v>16635</v>
      </c>
      <c r="C358" s="6" t="s">
        <v>16636</v>
      </c>
      <c r="D358" s="7" t="str">
        <f>VLOOKUP(B358,Table1[[CIPCode]:[CIPTITLE]],4,FALSE)</f>
        <v>Physics Teacher Education.</v>
      </c>
    </row>
    <row r="359" spans="1:4" x14ac:dyDescent="0.2">
      <c r="A359" s="7" t="s">
        <v>16912</v>
      </c>
      <c r="B359" s="6" t="s">
        <v>16639</v>
      </c>
      <c r="C359" s="6" t="s">
        <v>16640</v>
      </c>
      <c r="D359" s="7" t="str">
        <f>VLOOKUP(B359,Table1[[CIPCode]:[CIPTITLE]],4,FALSE)</f>
        <v>Spanish Language Teacher Education.</v>
      </c>
    </row>
    <row r="360" spans="1:4" x14ac:dyDescent="0.2">
      <c r="A360" s="7" t="s">
        <v>16912</v>
      </c>
      <c r="B360" s="6" t="s">
        <v>16643</v>
      </c>
      <c r="C360" s="6" t="s">
        <v>16644</v>
      </c>
      <c r="D360" s="7" t="str">
        <f>VLOOKUP(B360,Table1[[CIPCode]:[CIPTITLE]],4,FALSE)</f>
        <v>Speech Teacher Education.</v>
      </c>
    </row>
    <row r="361" spans="1:4" x14ac:dyDescent="0.2">
      <c r="A361" s="7" t="s">
        <v>16912</v>
      </c>
      <c r="B361" s="6" t="s">
        <v>10743</v>
      </c>
      <c r="C361" s="6" t="s">
        <v>21179</v>
      </c>
      <c r="D361" s="7" t="str">
        <f>VLOOKUP(B361,Table1[[CIPCode]:[CIPTITLE]],4,FALSE)</f>
        <v>Geography Teacher Education.</v>
      </c>
    </row>
    <row r="362" spans="1:4" x14ac:dyDescent="0.2">
      <c r="A362" s="7" t="s">
        <v>16912</v>
      </c>
      <c r="B362" s="6" t="s">
        <v>10747</v>
      </c>
      <c r="C362" s="6" t="s">
        <v>21180</v>
      </c>
      <c r="D362" s="7" t="str">
        <f>VLOOKUP(B362,Table1[[CIPCode]:[CIPTITLE]],4,FALSE)</f>
        <v>Latin Teacher Education.</v>
      </c>
    </row>
    <row r="363" spans="1:4" x14ac:dyDescent="0.2">
      <c r="A363" s="7" t="s">
        <v>16912</v>
      </c>
      <c r="B363" s="6" t="s">
        <v>10753</v>
      </c>
      <c r="C363" s="6" t="s">
        <v>21181</v>
      </c>
      <c r="D363" s="7" t="str">
        <f>VLOOKUP(B363,Table1[[CIPCode]:[CIPTITLE]],4,FALSE)</f>
        <v>Psychology Teacher Education.</v>
      </c>
    </row>
    <row r="364" spans="1:4" x14ac:dyDescent="0.2">
      <c r="A364" s="7" t="s">
        <v>16912</v>
      </c>
      <c r="B364" s="6" t="s">
        <v>16647</v>
      </c>
      <c r="C364" s="6" t="s">
        <v>21182</v>
      </c>
      <c r="D364" s="7" t="str">
        <f>VLOOKUP(B364,Table1[[CIPCode]:[CIPTITLE]],4,FALSE)</f>
        <v>Teacher Education and Professional Development, Specific Subject Areas, Other.</v>
      </c>
    </row>
    <row r="365" spans="1:4" x14ac:dyDescent="0.2">
      <c r="A365" s="7" t="s">
        <v>16912</v>
      </c>
      <c r="B365" s="6" t="s">
        <v>10759</v>
      </c>
      <c r="C365" s="6" t="s">
        <v>21183</v>
      </c>
      <c r="D365" s="7" t="str">
        <f>VLOOKUP(B365,Table1[[CIPCode]:[CIPTITLE]],4,FALSE)</f>
        <v>Teaching English or French as a Second or Foreign Language.</v>
      </c>
    </row>
    <row r="366" spans="1:4" x14ac:dyDescent="0.2">
      <c r="A366" s="7" t="s">
        <v>16912</v>
      </c>
      <c r="B366" s="6" t="s">
        <v>16655</v>
      </c>
      <c r="C366" s="6" t="s">
        <v>21184</v>
      </c>
      <c r="D366" s="7" t="str">
        <f>VLOOKUP(B366,Table1[[CIPCode]:[CIPTITLE]],4,FALSE)</f>
        <v>Teaching English as a Second or Foreign Language/ESL Language Instructor.</v>
      </c>
    </row>
    <row r="367" spans="1:4" x14ac:dyDescent="0.2">
      <c r="A367" s="7" t="s">
        <v>16912</v>
      </c>
      <c r="B367" s="6" t="s">
        <v>10932</v>
      </c>
      <c r="C367" s="6" t="s">
        <v>21185</v>
      </c>
      <c r="D367" s="7" t="str">
        <f>VLOOKUP(B367,Table1[[CIPCode]:[CIPTITLE]],4,FALSE)</f>
        <v>Teaching French as a Second or Foreign Language.</v>
      </c>
    </row>
    <row r="368" spans="1:4" x14ac:dyDescent="0.2">
      <c r="A368" s="7" t="s">
        <v>16912</v>
      </c>
      <c r="B368" s="6" t="s">
        <v>10764</v>
      </c>
      <c r="C368" s="6" t="s">
        <v>21186</v>
      </c>
      <c r="D368" s="7" t="str">
        <f>VLOOKUP(B368,Table1[[CIPCode]:[CIPTITLE]],4,FALSE)</f>
        <v>Teaching English or French as a Second or Foreign Language, Other.</v>
      </c>
    </row>
    <row r="369" spans="1:4" x14ac:dyDescent="0.2">
      <c r="A369" s="7" t="s">
        <v>16912</v>
      </c>
      <c r="B369" s="6" t="s">
        <v>10767</v>
      </c>
      <c r="C369" s="6" t="s">
        <v>6964</v>
      </c>
      <c r="D369" s="7" t="str">
        <f>VLOOKUP(B369,Table1[[CIPCode]:[CIPTITLE]],4,FALSE)</f>
        <v>Teaching Assistants/Aides.</v>
      </c>
    </row>
    <row r="370" spans="1:4" x14ac:dyDescent="0.2">
      <c r="A370" s="7" t="s">
        <v>16912</v>
      </c>
      <c r="B370" s="6" t="s">
        <v>16662</v>
      </c>
      <c r="C370" s="6" t="s">
        <v>16659</v>
      </c>
      <c r="D370" s="7" t="str">
        <f>VLOOKUP(B370,Table1[[CIPCode]:[CIPTITLE]],4,FALSE)</f>
        <v>Teacher Assistant/Aide.</v>
      </c>
    </row>
    <row r="371" spans="1:4" x14ac:dyDescent="0.2">
      <c r="A371" s="7" t="s">
        <v>16912</v>
      </c>
      <c r="B371" s="6" t="s">
        <v>10772</v>
      </c>
      <c r="C371" s="6" t="s">
        <v>21187</v>
      </c>
      <c r="D371" s="7" t="str">
        <f>VLOOKUP(B371,Table1[[CIPCode]:[CIPTITLE]],4,FALSE)</f>
        <v>Adult Literacy Tutor/Instructor.</v>
      </c>
    </row>
    <row r="372" spans="1:4" x14ac:dyDescent="0.2">
      <c r="A372" s="7" t="s">
        <v>16912</v>
      </c>
      <c r="B372" s="6" t="s">
        <v>10778</v>
      </c>
      <c r="C372" s="6" t="s">
        <v>16666</v>
      </c>
      <c r="D372" s="7" t="str">
        <f>VLOOKUP(B372,Table1[[CIPCode]:[CIPTITLE]],4,FALSE)</f>
        <v>Education, Other.</v>
      </c>
    </row>
    <row r="373" spans="1:4" x14ac:dyDescent="0.2">
      <c r="A373" s="7" t="s">
        <v>16912</v>
      </c>
      <c r="B373" s="6" t="s">
        <v>16669</v>
      </c>
      <c r="C373" s="6" t="s">
        <v>16666</v>
      </c>
      <c r="D373" s="7" t="str">
        <f>VLOOKUP(B373,Table1[[CIPCode]:[CIPTITLE]],4,FALSE)</f>
        <v>Education, Other.</v>
      </c>
    </row>
    <row r="374" spans="1:4" x14ac:dyDescent="0.2">
      <c r="A374" s="7" t="s">
        <v>16672</v>
      </c>
      <c r="B374" s="6" t="s">
        <v>16672</v>
      </c>
      <c r="C374" s="6" t="s">
        <v>16674</v>
      </c>
      <c r="D374" s="7" t="e">
        <f>VLOOKUP(B374,Table1[[CIPCode]:[CIPTITLE]],4,FALSE)</f>
        <v>#N/A</v>
      </c>
    </row>
    <row r="375" spans="1:4" x14ac:dyDescent="0.2">
      <c r="A375" s="7" t="s">
        <v>16672</v>
      </c>
      <c r="B375" s="6" t="s">
        <v>10783</v>
      </c>
      <c r="C375" s="6" t="s">
        <v>16678</v>
      </c>
      <c r="D375" s="7" t="str">
        <f>VLOOKUP(B375,Table1[[CIPCode]:[CIPTITLE]],4,FALSE)</f>
        <v>Engineering, General.</v>
      </c>
    </row>
    <row r="376" spans="1:4" x14ac:dyDescent="0.2">
      <c r="A376" s="7" t="s">
        <v>16672</v>
      </c>
      <c r="B376" s="6" t="s">
        <v>16681</v>
      </c>
      <c r="C376" s="6" t="s">
        <v>16678</v>
      </c>
      <c r="D376" s="7" t="str">
        <f>VLOOKUP(B376,Table1[[CIPCode]:[CIPTITLE]],4,FALSE)</f>
        <v>Engineering, General.</v>
      </c>
    </row>
    <row r="377" spans="1:4" x14ac:dyDescent="0.2">
      <c r="A377" s="7" t="s">
        <v>16672</v>
      </c>
      <c r="B377" s="6" t="s">
        <v>10288</v>
      </c>
      <c r="C377" s="6" t="s">
        <v>6968</v>
      </c>
      <c r="D377" s="7" t="str">
        <f>VLOOKUP(B377,Table1[[CIPCode]:[CIPTITLE]],4,FALSE)</f>
        <v>Aerospace, Aeronautical and Astronautical Engineering.</v>
      </c>
    </row>
    <row r="378" spans="1:4" x14ac:dyDescent="0.2">
      <c r="A378" s="7" t="s">
        <v>16672</v>
      </c>
      <c r="B378" s="6" t="s">
        <v>16688</v>
      </c>
      <c r="C378" s="6" t="s">
        <v>6968</v>
      </c>
      <c r="D378" s="7" t="str">
        <f>VLOOKUP(B378,Table1[[CIPCode]:[CIPTITLE]],4,FALSE)</f>
        <v>Aerospace, Aeronautical and Astronautical Engineering.</v>
      </c>
    </row>
    <row r="379" spans="1:4" x14ac:dyDescent="0.2">
      <c r="A379" s="7" t="s">
        <v>16672</v>
      </c>
      <c r="B379" s="6" t="s">
        <v>10293</v>
      </c>
      <c r="C379" s="6" t="s">
        <v>6969</v>
      </c>
      <c r="D379" s="7" t="str">
        <f>VLOOKUP(B379,Table1[[CIPCode]:[CIPTITLE]],4,FALSE)</f>
        <v>Agricultural/Biological Engineering and Bioengineering.</v>
      </c>
    </row>
    <row r="380" spans="1:4" x14ac:dyDescent="0.2">
      <c r="A380" s="7" t="s">
        <v>16672</v>
      </c>
      <c r="B380" s="6" t="s">
        <v>16695</v>
      </c>
      <c r="C380" s="6" t="s">
        <v>6969</v>
      </c>
      <c r="D380" s="7" t="str">
        <f>VLOOKUP(B380,Table1[[CIPCode]:[CIPTITLE]],4,FALSE)</f>
        <v>Agricultural/Biological Engineering and Bioengineering.</v>
      </c>
    </row>
    <row r="381" spans="1:4" x14ac:dyDescent="0.2">
      <c r="A381" s="7" t="s">
        <v>16672</v>
      </c>
      <c r="B381" s="6" t="s">
        <v>10297</v>
      </c>
      <c r="C381" s="6" t="s">
        <v>16699</v>
      </c>
      <c r="D381" s="7" t="str">
        <f>VLOOKUP(B381,Table1[[CIPCode]:[CIPTITLE]],4,FALSE)</f>
        <v>Architectural Engineering.</v>
      </c>
    </row>
    <row r="382" spans="1:4" x14ac:dyDescent="0.2">
      <c r="A382" s="7" t="s">
        <v>16672</v>
      </c>
      <c r="B382" s="6" t="s">
        <v>16702</v>
      </c>
      <c r="C382" s="6" t="s">
        <v>16699</v>
      </c>
      <c r="D382" s="7" t="str">
        <f>VLOOKUP(B382,Table1[[CIPCode]:[CIPTITLE]],4,FALSE)</f>
        <v>Architectural Engineering.</v>
      </c>
    </row>
    <row r="383" spans="1:4" x14ac:dyDescent="0.2">
      <c r="A383" s="7" t="s">
        <v>16672</v>
      </c>
      <c r="B383" s="6" t="s">
        <v>10300</v>
      </c>
      <c r="C383" s="6" t="s">
        <v>6971</v>
      </c>
      <c r="D383" s="7" t="str">
        <f>VLOOKUP(B383,Table1[[CIPCode]:[CIPTITLE]],4,FALSE)</f>
        <v>Biomedical/Medical Engineering.</v>
      </c>
    </row>
    <row r="384" spans="1:4" x14ac:dyDescent="0.2">
      <c r="A384" s="7" t="s">
        <v>16672</v>
      </c>
      <c r="B384" s="6" t="s">
        <v>16709</v>
      </c>
      <c r="C384" s="6" t="s">
        <v>6971</v>
      </c>
      <c r="D384" s="7" t="str">
        <f>VLOOKUP(B384,Table1[[CIPCode]:[CIPTITLE]],4,FALSE)</f>
        <v>Biomedical/Medical Engineering.</v>
      </c>
    </row>
    <row r="385" spans="1:4" x14ac:dyDescent="0.2">
      <c r="A385" s="7" t="s">
        <v>16672</v>
      </c>
      <c r="B385" s="6" t="s">
        <v>10310</v>
      </c>
      <c r="C385" s="6" t="s">
        <v>6972</v>
      </c>
      <c r="D385" s="7" t="str">
        <f>VLOOKUP(B385,Table1[[CIPCode]:[CIPTITLE]],4,FALSE)</f>
        <v>Ceramic Sciences and Engineering.</v>
      </c>
    </row>
    <row r="386" spans="1:4" x14ac:dyDescent="0.2">
      <c r="A386" s="7" t="s">
        <v>16672</v>
      </c>
      <c r="B386" s="6" t="s">
        <v>16716</v>
      </c>
      <c r="C386" s="6" t="s">
        <v>6972</v>
      </c>
      <c r="D386" s="7" t="str">
        <f>VLOOKUP(B386,Table1[[CIPCode]:[CIPTITLE]],4,FALSE)</f>
        <v>Ceramic Sciences and Engineering.</v>
      </c>
    </row>
    <row r="387" spans="1:4" x14ac:dyDescent="0.2">
      <c r="A387" s="7" t="s">
        <v>16672</v>
      </c>
      <c r="B387" s="6" t="s">
        <v>10314</v>
      </c>
      <c r="C387" s="6" t="s">
        <v>16720</v>
      </c>
      <c r="D387" s="7" t="str">
        <f>VLOOKUP(B387,Table1[[CIPCode]:[CIPTITLE]],4,FALSE)</f>
        <v>Chemical Engineering.</v>
      </c>
    </row>
    <row r="388" spans="1:4" x14ac:dyDescent="0.2">
      <c r="A388" s="7" t="s">
        <v>16672</v>
      </c>
      <c r="B388" s="6" t="s">
        <v>16723</v>
      </c>
      <c r="C388" s="6" t="s">
        <v>16720</v>
      </c>
      <c r="D388" s="7" t="str">
        <f>VLOOKUP(B388,Table1[[CIPCode]:[CIPTITLE]],4,FALSE)</f>
        <v>Chemical Engineering.</v>
      </c>
    </row>
    <row r="389" spans="1:4" x14ac:dyDescent="0.2">
      <c r="A389" s="7" t="s">
        <v>16672</v>
      </c>
      <c r="B389" s="6" t="s">
        <v>10574</v>
      </c>
      <c r="C389" s="6" t="s">
        <v>16727</v>
      </c>
      <c r="D389" s="7" t="str">
        <f>VLOOKUP(B389,Table1[[CIPCode]:[CIPTITLE]],4,FALSE)</f>
        <v>Civil Engineering.</v>
      </c>
    </row>
    <row r="390" spans="1:4" x14ac:dyDescent="0.2">
      <c r="A390" s="7" t="s">
        <v>16672</v>
      </c>
      <c r="B390" s="6" t="s">
        <v>16730</v>
      </c>
      <c r="C390" s="6" t="s">
        <v>16731</v>
      </c>
      <c r="D390" s="7" t="str">
        <f>VLOOKUP(B390,Table1[[CIPCode]:[CIPTITLE]],4,FALSE)</f>
        <v>Civil Engineering, General.</v>
      </c>
    </row>
    <row r="391" spans="1:4" x14ac:dyDescent="0.2">
      <c r="A391" s="7" t="s">
        <v>16672</v>
      </c>
      <c r="B391" s="6" t="s">
        <v>16734</v>
      </c>
      <c r="C391" s="6" t="s">
        <v>16735</v>
      </c>
      <c r="D391" s="7" t="str">
        <f>VLOOKUP(B391,Table1[[CIPCode]:[CIPTITLE]],4,FALSE)</f>
        <v>Geotechnical Engineering.</v>
      </c>
    </row>
    <row r="392" spans="1:4" x14ac:dyDescent="0.2">
      <c r="A392" s="7" t="s">
        <v>16672</v>
      </c>
      <c r="B392" s="6" t="s">
        <v>16738</v>
      </c>
      <c r="C392" s="6" t="s">
        <v>16739</v>
      </c>
      <c r="D392" s="7" t="str">
        <f>VLOOKUP(B392,Table1[[CIPCode]:[CIPTITLE]],4,FALSE)</f>
        <v>Structural Engineering.</v>
      </c>
    </row>
    <row r="393" spans="1:4" x14ac:dyDescent="0.2">
      <c r="A393" s="7" t="s">
        <v>16672</v>
      </c>
      <c r="B393" s="6" t="s">
        <v>16742</v>
      </c>
      <c r="C393" s="6" t="s">
        <v>6973</v>
      </c>
      <c r="D393" s="7" t="str">
        <f>VLOOKUP(B393,Table1[[CIPCode]:[CIPTITLE]],4,FALSE)</f>
        <v>Transportation and Highway Engineering.</v>
      </c>
    </row>
    <row r="394" spans="1:4" x14ac:dyDescent="0.2">
      <c r="A394" s="7" t="s">
        <v>16672</v>
      </c>
      <c r="B394" s="6" t="s">
        <v>16746</v>
      </c>
      <c r="C394" s="6" t="s">
        <v>16747</v>
      </c>
      <c r="D394" s="7" t="str">
        <f>VLOOKUP(B394,Table1[[CIPCode]:[CIPTITLE]],4,FALSE)</f>
        <v>Water Resources Engineering.</v>
      </c>
    </row>
    <row r="395" spans="1:4" x14ac:dyDescent="0.2">
      <c r="A395" s="7" t="s">
        <v>16672</v>
      </c>
      <c r="B395" s="6" t="s">
        <v>16750</v>
      </c>
      <c r="C395" s="6" t="s">
        <v>16751</v>
      </c>
      <c r="D395" s="7" t="str">
        <f>VLOOKUP(B395,Table1[[CIPCode]:[CIPTITLE]],4,FALSE)</f>
        <v>Civil Engineering, Other.</v>
      </c>
    </row>
    <row r="396" spans="1:4" x14ac:dyDescent="0.2">
      <c r="A396" s="7" t="s">
        <v>16672</v>
      </c>
      <c r="B396" s="6" t="s">
        <v>10335</v>
      </c>
      <c r="C396" s="6" t="s">
        <v>6974</v>
      </c>
      <c r="D396" s="7" t="str">
        <f>VLOOKUP(B396,Table1[[CIPCode]:[CIPTITLE]],4,FALSE)</f>
        <v>Computer Engineering, General.</v>
      </c>
    </row>
    <row r="397" spans="1:4" x14ac:dyDescent="0.2">
      <c r="A397" s="7" t="s">
        <v>16672</v>
      </c>
      <c r="B397" s="6" t="s">
        <v>16758</v>
      </c>
      <c r="C397" s="6" t="s">
        <v>6974</v>
      </c>
      <c r="D397" s="7" t="str">
        <f>VLOOKUP(B397,Table1[[CIPCode]:[CIPTITLE]],4,FALSE)</f>
        <v>Computer Engineering, General.</v>
      </c>
    </row>
    <row r="398" spans="1:4" x14ac:dyDescent="0.2">
      <c r="A398" s="7" t="s">
        <v>16672</v>
      </c>
      <c r="B398" s="6" t="s">
        <v>10786</v>
      </c>
      <c r="C398" s="6" t="s">
        <v>21188</v>
      </c>
      <c r="D398" s="7" t="str">
        <f>VLOOKUP(B398,Table1[[CIPCode]:[CIPTITLE]],4,FALSE)</f>
        <v>Computer Software Engineering.</v>
      </c>
    </row>
    <row r="399" spans="1:4" x14ac:dyDescent="0.2">
      <c r="A399" s="7" t="s">
        <v>16672</v>
      </c>
      <c r="B399" s="6" t="s">
        <v>10342</v>
      </c>
      <c r="C399" s="6" t="s">
        <v>21189</v>
      </c>
      <c r="D399" s="7" t="str">
        <f>VLOOKUP(B399,Table1[[CIPCode]:[CIPTITLE]],4,FALSE)</f>
        <v>Computer Engineering, Other.</v>
      </c>
    </row>
    <row r="400" spans="1:4" x14ac:dyDescent="0.2">
      <c r="A400" s="7" t="s">
        <v>16672</v>
      </c>
      <c r="B400" s="6" t="s">
        <v>10345</v>
      </c>
      <c r="C400" s="6" t="s">
        <v>6978</v>
      </c>
      <c r="D400" s="7" t="str">
        <f>VLOOKUP(B400,Table1[[CIPCode]:[CIPTITLE]],4,FALSE)</f>
        <v>Electrical, Electronics and Communications Engineering.</v>
      </c>
    </row>
    <row r="401" spans="1:4" x14ac:dyDescent="0.2">
      <c r="A401" s="7" t="s">
        <v>16672</v>
      </c>
      <c r="B401" s="6" t="s">
        <v>16765</v>
      </c>
      <c r="C401" s="6" t="s">
        <v>6978</v>
      </c>
      <c r="D401" s="7" t="str">
        <f>VLOOKUP(B401,Table1[[CIPCode]:[CIPTITLE]],4,FALSE)</f>
        <v>Electrical, Electronics and Communications Engineering.</v>
      </c>
    </row>
    <row r="402" spans="1:4" x14ac:dyDescent="0.2">
      <c r="A402" s="7" t="s">
        <v>16672</v>
      </c>
      <c r="B402" s="6" t="s">
        <v>10348</v>
      </c>
      <c r="C402" s="6" t="s">
        <v>16769</v>
      </c>
      <c r="D402" s="7" t="str">
        <f>VLOOKUP(B402,Table1[[CIPCode]:[CIPTITLE]],4,FALSE)</f>
        <v>Engineering Mechanics.</v>
      </c>
    </row>
    <row r="403" spans="1:4" x14ac:dyDescent="0.2">
      <c r="A403" s="7" t="s">
        <v>16672</v>
      </c>
      <c r="B403" s="6" t="s">
        <v>16772</v>
      </c>
      <c r="C403" s="6" t="s">
        <v>16769</v>
      </c>
      <c r="D403" s="7" t="str">
        <f>VLOOKUP(B403,Table1[[CIPCode]:[CIPTITLE]],4,FALSE)</f>
        <v>Engineering Mechanics.</v>
      </c>
    </row>
    <row r="404" spans="1:4" x14ac:dyDescent="0.2">
      <c r="A404" s="7" t="s">
        <v>16672</v>
      </c>
      <c r="B404" s="6" t="s">
        <v>10352</v>
      </c>
      <c r="C404" s="6" t="s">
        <v>16776</v>
      </c>
      <c r="D404" s="7" t="str">
        <f>VLOOKUP(B404,Table1[[CIPCode]:[CIPTITLE]],4,FALSE)</f>
        <v>Engineering Physics.</v>
      </c>
    </row>
    <row r="405" spans="1:4" x14ac:dyDescent="0.2">
      <c r="A405" s="7" t="s">
        <v>16672</v>
      </c>
      <c r="B405" s="6" t="s">
        <v>16779</v>
      </c>
      <c r="C405" s="6" t="s">
        <v>16776</v>
      </c>
      <c r="D405" s="7" t="str">
        <f>VLOOKUP(B405,Table1[[CIPCode]:[CIPTITLE]],4,FALSE)</f>
        <v>Engineering Physics.</v>
      </c>
    </row>
    <row r="406" spans="1:4" x14ac:dyDescent="0.2">
      <c r="A406" s="7" t="s">
        <v>16672</v>
      </c>
      <c r="B406" s="6" t="s">
        <v>10356</v>
      </c>
      <c r="C406" s="6" t="s">
        <v>16783</v>
      </c>
      <c r="D406" s="7" t="str">
        <f>VLOOKUP(B406,Table1[[CIPCode]:[CIPTITLE]],4,FALSE)</f>
        <v>Engineering Science.</v>
      </c>
    </row>
    <row r="407" spans="1:4" x14ac:dyDescent="0.2">
      <c r="A407" s="7" t="s">
        <v>16672</v>
      </c>
      <c r="B407" s="6" t="s">
        <v>16786</v>
      </c>
      <c r="C407" s="6" t="s">
        <v>16783</v>
      </c>
      <c r="D407" s="7" t="str">
        <f>VLOOKUP(B407,Table1[[CIPCode]:[CIPTITLE]],4,FALSE)</f>
        <v>Engineering Science.</v>
      </c>
    </row>
    <row r="408" spans="1:4" x14ac:dyDescent="0.2">
      <c r="A408" s="7" t="s">
        <v>16672</v>
      </c>
      <c r="B408" s="6" t="s">
        <v>10360</v>
      </c>
      <c r="C408" s="6" t="s">
        <v>16790</v>
      </c>
      <c r="D408" s="7" t="str">
        <f>VLOOKUP(B408,Table1[[CIPCode]:[CIPTITLE]],4,FALSE)</f>
        <v>Environmental/Environmental Health Engineering.</v>
      </c>
    </row>
    <row r="409" spans="1:4" x14ac:dyDescent="0.2">
      <c r="A409" s="7" t="s">
        <v>16672</v>
      </c>
      <c r="B409" s="6" t="s">
        <v>16793</v>
      </c>
      <c r="C409" s="6" t="s">
        <v>16790</v>
      </c>
      <c r="D409" s="7" t="str">
        <f>VLOOKUP(B409,Table1[[CIPCode]:[CIPTITLE]],4,FALSE)</f>
        <v>Environmental/Environmental Health Engineering.</v>
      </c>
    </row>
    <row r="410" spans="1:4" x14ac:dyDescent="0.2">
      <c r="A410" s="7" t="s">
        <v>16672</v>
      </c>
      <c r="B410" s="6" t="s">
        <v>10374</v>
      </c>
      <c r="C410" s="6" t="s">
        <v>16818</v>
      </c>
      <c r="D410" s="7" t="str">
        <f>VLOOKUP(B410,Table1[[CIPCode]:[CIPTITLE]],4,FALSE)</f>
        <v>Materials Engineering   Instructional content is defined in code 14.</v>
      </c>
    </row>
    <row r="411" spans="1:4" x14ac:dyDescent="0.2">
      <c r="A411" s="7" t="s">
        <v>16672</v>
      </c>
      <c r="B411" s="6" t="s">
        <v>16821</v>
      </c>
      <c r="C411" s="6" t="s">
        <v>16818</v>
      </c>
      <c r="D411" s="7" t="str">
        <f>VLOOKUP(B411,Table1[[CIPCode]:[CIPTITLE]],4,FALSE)</f>
        <v>Materials Engineering.</v>
      </c>
    </row>
    <row r="412" spans="1:4" x14ac:dyDescent="0.2">
      <c r="A412" s="7" t="s">
        <v>16672</v>
      </c>
      <c r="B412" s="6" t="s">
        <v>10380</v>
      </c>
      <c r="C412" s="6" t="s">
        <v>16825</v>
      </c>
      <c r="D412" s="7" t="str">
        <f>VLOOKUP(B412,Table1[[CIPCode]:[CIPTITLE]],4,FALSE)</f>
        <v>Mechanical Engineering.</v>
      </c>
    </row>
    <row r="413" spans="1:4" x14ac:dyDescent="0.2">
      <c r="A413" s="7" t="s">
        <v>16672</v>
      </c>
      <c r="B413" s="6" t="s">
        <v>16828</v>
      </c>
      <c r="C413" s="6" t="s">
        <v>16825</v>
      </c>
      <c r="D413" s="7" t="str">
        <f>VLOOKUP(B413,Table1[[CIPCode]:[CIPTITLE]],4,FALSE)</f>
        <v>Mechanical Engineering.</v>
      </c>
    </row>
    <row r="414" spans="1:4" x14ac:dyDescent="0.2">
      <c r="A414" s="7" t="s">
        <v>16672</v>
      </c>
      <c r="B414" s="6" t="s">
        <v>10384</v>
      </c>
      <c r="C414" s="6" t="s">
        <v>16832</v>
      </c>
      <c r="D414" s="7" t="str">
        <f>VLOOKUP(B414,Table1[[CIPCode]:[CIPTITLE]],4,FALSE)</f>
        <v>Metallurgical Engineering.</v>
      </c>
    </row>
    <row r="415" spans="1:4" x14ac:dyDescent="0.2">
      <c r="A415" s="7" t="s">
        <v>16672</v>
      </c>
      <c r="B415" s="6" t="s">
        <v>16835</v>
      </c>
      <c r="C415" s="6" t="s">
        <v>16832</v>
      </c>
      <c r="D415" s="7" t="str">
        <f>VLOOKUP(B415,Table1[[CIPCode]:[CIPTITLE]],4,FALSE)</f>
        <v>Metallurgical Engineering.</v>
      </c>
    </row>
    <row r="416" spans="1:4" x14ac:dyDescent="0.2">
      <c r="A416" s="7" t="s">
        <v>16672</v>
      </c>
      <c r="B416" s="6" t="s">
        <v>10389</v>
      </c>
      <c r="C416" s="6" t="s">
        <v>6985</v>
      </c>
      <c r="D416" s="7" t="str">
        <f>VLOOKUP(B416,Table1[[CIPCode]:[CIPTITLE]],4,FALSE)</f>
        <v>Mining and Mineral Engineering.</v>
      </c>
    </row>
    <row r="417" spans="1:4" x14ac:dyDescent="0.2">
      <c r="A417" s="7" t="s">
        <v>16672</v>
      </c>
      <c r="B417" s="6" t="s">
        <v>16258</v>
      </c>
      <c r="C417" s="6" t="s">
        <v>6985</v>
      </c>
      <c r="D417" s="7" t="str">
        <f>VLOOKUP(B417,Table1[[CIPCode]:[CIPTITLE]],4,FALSE)</f>
        <v>Mining and Mineral Engineering.</v>
      </c>
    </row>
    <row r="418" spans="1:4" x14ac:dyDescent="0.2">
      <c r="A418" s="7" t="s">
        <v>16672</v>
      </c>
      <c r="B418" s="6" t="s">
        <v>10394</v>
      </c>
      <c r="C418" s="6" t="s">
        <v>6986</v>
      </c>
      <c r="D418" s="7" t="str">
        <f>VLOOKUP(B418,Table1[[CIPCode]:[CIPTITLE]],4,FALSE)</f>
        <v>Naval Architecture and Marine Engineering.</v>
      </c>
    </row>
    <row r="419" spans="1:4" x14ac:dyDescent="0.2">
      <c r="A419" s="7" t="s">
        <v>16672</v>
      </c>
      <c r="B419" s="6" t="s">
        <v>16265</v>
      </c>
      <c r="C419" s="6" t="s">
        <v>6986</v>
      </c>
      <c r="D419" s="7" t="str">
        <f>VLOOKUP(B419,Table1[[CIPCode]:[CIPTITLE]],4,FALSE)</f>
        <v>Naval Architecture and Marine Engineering.</v>
      </c>
    </row>
    <row r="420" spans="1:4" x14ac:dyDescent="0.2">
      <c r="A420" s="7" t="s">
        <v>16672</v>
      </c>
      <c r="B420" s="6" t="s">
        <v>10398</v>
      </c>
      <c r="C420" s="6" t="s">
        <v>16269</v>
      </c>
      <c r="D420" s="7" t="str">
        <f>VLOOKUP(B420,Table1[[CIPCode]:[CIPTITLE]],4,FALSE)</f>
        <v>Nuclear Engineering.</v>
      </c>
    </row>
    <row r="421" spans="1:4" x14ac:dyDescent="0.2">
      <c r="A421" s="7" t="s">
        <v>16672</v>
      </c>
      <c r="B421" s="6" t="s">
        <v>16272</v>
      </c>
      <c r="C421" s="6" t="s">
        <v>16269</v>
      </c>
      <c r="D421" s="7" t="str">
        <f>VLOOKUP(B421,Table1[[CIPCode]:[CIPTITLE]],4,FALSE)</f>
        <v>Nuclear Engineering.</v>
      </c>
    </row>
    <row r="422" spans="1:4" x14ac:dyDescent="0.2">
      <c r="A422" s="7" t="s">
        <v>16672</v>
      </c>
      <c r="B422" s="6" t="s">
        <v>10404</v>
      </c>
      <c r="C422" s="6" t="s">
        <v>16276</v>
      </c>
      <c r="D422" s="7" t="str">
        <f>VLOOKUP(B422,Table1[[CIPCode]:[CIPTITLE]],4,FALSE)</f>
        <v>Ocean Engineering.</v>
      </c>
    </row>
    <row r="423" spans="1:4" x14ac:dyDescent="0.2">
      <c r="A423" s="7" t="s">
        <v>16672</v>
      </c>
      <c r="B423" s="6" t="s">
        <v>16279</v>
      </c>
      <c r="C423" s="6" t="s">
        <v>16276</v>
      </c>
      <c r="D423" s="7" t="str">
        <f>VLOOKUP(B423,Table1[[CIPCode]:[CIPTITLE]],4,FALSE)</f>
        <v>Ocean Engineering.</v>
      </c>
    </row>
    <row r="424" spans="1:4" x14ac:dyDescent="0.2">
      <c r="A424" s="7" t="s">
        <v>16672</v>
      </c>
      <c r="B424" s="6" t="s">
        <v>10409</v>
      </c>
      <c r="C424" s="6" t="s">
        <v>16283</v>
      </c>
      <c r="D424" s="7" t="str">
        <f>VLOOKUP(B424,Table1[[CIPCode]:[CIPTITLE]],4,FALSE)</f>
        <v>Petroleum Engineering.</v>
      </c>
    </row>
    <row r="425" spans="1:4" x14ac:dyDescent="0.2">
      <c r="A425" s="7" t="s">
        <v>16672</v>
      </c>
      <c r="B425" s="6" t="s">
        <v>16286</v>
      </c>
      <c r="C425" s="6" t="s">
        <v>16283</v>
      </c>
      <c r="D425" s="7" t="str">
        <f>VLOOKUP(B425,Table1[[CIPCode]:[CIPTITLE]],4,FALSE)</f>
        <v>Petroleum Engineering.</v>
      </c>
    </row>
    <row r="426" spans="1:4" x14ac:dyDescent="0.2">
      <c r="A426" s="7" t="s">
        <v>16672</v>
      </c>
      <c r="B426" s="6" t="s">
        <v>10414</v>
      </c>
      <c r="C426" s="6" t="s">
        <v>16290</v>
      </c>
      <c r="D426" s="7" t="str">
        <f>VLOOKUP(B426,Table1[[CIPCode]:[CIPTITLE]],4,FALSE)</f>
        <v>Systems Engineering.</v>
      </c>
    </row>
    <row r="427" spans="1:4" x14ac:dyDescent="0.2">
      <c r="A427" s="7" t="s">
        <v>16672</v>
      </c>
      <c r="B427" s="6" t="s">
        <v>16293</v>
      </c>
      <c r="C427" s="6" t="s">
        <v>16290</v>
      </c>
      <c r="D427" s="7" t="str">
        <f>VLOOKUP(B427,Table1[[CIPCode]:[CIPTITLE]],4,FALSE)</f>
        <v>Systems Engineering.</v>
      </c>
    </row>
    <row r="428" spans="1:4" x14ac:dyDescent="0.2">
      <c r="A428" s="7" t="s">
        <v>16672</v>
      </c>
      <c r="B428" s="6" t="s">
        <v>10417</v>
      </c>
      <c r="C428" s="6" t="s">
        <v>6992</v>
      </c>
      <c r="D428" s="7" t="str">
        <f>VLOOKUP(B428,Table1[[CIPCode]:[CIPTITLE]],4,FALSE)</f>
        <v>Textile Sciences and Engineering.</v>
      </c>
    </row>
    <row r="429" spans="1:4" x14ac:dyDescent="0.2">
      <c r="A429" s="7" t="s">
        <v>16672</v>
      </c>
      <c r="B429" s="6" t="s">
        <v>16300</v>
      </c>
      <c r="C429" s="6" t="s">
        <v>6992</v>
      </c>
      <c r="D429" s="7" t="str">
        <f>VLOOKUP(B429,Table1[[CIPCode]:[CIPTITLE]],4,FALSE)</f>
        <v>Textile Sciences and Engineering.</v>
      </c>
    </row>
    <row r="430" spans="1:4" x14ac:dyDescent="0.2">
      <c r="A430" s="7" t="s">
        <v>16672</v>
      </c>
      <c r="B430" s="6" t="s">
        <v>10427</v>
      </c>
      <c r="C430" s="6" t="s">
        <v>16318</v>
      </c>
      <c r="D430" s="7" t="str">
        <f>VLOOKUP(B430,Table1[[CIPCode]:[CIPTITLE]],4,FALSE)</f>
        <v>Materials Science.</v>
      </c>
    </row>
    <row r="431" spans="1:4" x14ac:dyDescent="0.2">
      <c r="A431" s="7" t="s">
        <v>16672</v>
      </c>
      <c r="B431" s="6" t="s">
        <v>16321</v>
      </c>
      <c r="C431" s="6" t="s">
        <v>16318</v>
      </c>
      <c r="D431" s="7" t="str">
        <f>VLOOKUP(B431,Table1[[CIPCode]:[CIPTITLE]],4,FALSE)</f>
        <v>Materials Science.</v>
      </c>
    </row>
    <row r="432" spans="1:4" x14ac:dyDescent="0.2">
      <c r="A432" s="7" t="s">
        <v>16672</v>
      </c>
      <c r="B432" s="6" t="s">
        <v>10430</v>
      </c>
      <c r="C432" s="6" t="s">
        <v>16325</v>
      </c>
      <c r="D432" s="7" t="str">
        <f>VLOOKUP(B432,Table1[[CIPCode]:[CIPTITLE]],4,FALSE)</f>
        <v>Polymer/Plastics Engineering.</v>
      </c>
    </row>
    <row r="433" spans="1:4" x14ac:dyDescent="0.2">
      <c r="A433" s="7" t="s">
        <v>16672</v>
      </c>
      <c r="B433" s="6" t="s">
        <v>16328</v>
      </c>
      <c r="C433" s="6" t="s">
        <v>16325</v>
      </c>
      <c r="D433" s="7" t="str">
        <f>VLOOKUP(B433,Table1[[CIPCode]:[CIPTITLE]],4,FALSE)</f>
        <v>Polymer/Plastics Engineering.</v>
      </c>
    </row>
    <row r="434" spans="1:4" x14ac:dyDescent="0.2">
      <c r="A434" s="7" t="s">
        <v>16672</v>
      </c>
      <c r="B434" s="6" t="s">
        <v>10436</v>
      </c>
      <c r="C434" s="6" t="s">
        <v>21190</v>
      </c>
      <c r="D434" s="7" t="str">
        <f>VLOOKUP(B434,Table1[[CIPCode]:[CIPTITLE]],4,FALSE)</f>
        <v>Construction Engineering.</v>
      </c>
    </row>
    <row r="435" spans="1:4" x14ac:dyDescent="0.2">
      <c r="A435" s="7" t="s">
        <v>16672</v>
      </c>
      <c r="B435" s="6" t="s">
        <v>12661</v>
      </c>
      <c r="C435" s="6" t="s">
        <v>21190</v>
      </c>
      <c r="D435" s="7" t="str">
        <f>VLOOKUP(B435,Table1[[CIPCode]:[CIPTITLE]],4,FALSE)</f>
        <v>Construction Engineering.</v>
      </c>
    </row>
    <row r="436" spans="1:4" x14ac:dyDescent="0.2">
      <c r="A436" s="7" t="s">
        <v>16672</v>
      </c>
      <c r="B436" s="6" t="s">
        <v>10439</v>
      </c>
      <c r="C436" s="6" t="s">
        <v>21191</v>
      </c>
      <c r="D436" s="7" t="str">
        <f>VLOOKUP(B436,Table1[[CIPCode]:[CIPTITLE]],4,FALSE)</f>
        <v>Forest Engineering.</v>
      </c>
    </row>
    <row r="437" spans="1:4" x14ac:dyDescent="0.2">
      <c r="A437" s="7" t="s">
        <v>16672</v>
      </c>
      <c r="B437" s="6" t="s">
        <v>12630</v>
      </c>
      <c r="C437" s="6" t="s">
        <v>21191</v>
      </c>
      <c r="D437" s="7" t="str">
        <f>VLOOKUP(B437,Table1[[CIPCode]:[CIPTITLE]],4,FALSE)</f>
        <v>Forest Engineering.</v>
      </c>
    </row>
    <row r="438" spans="1:4" x14ac:dyDescent="0.2">
      <c r="A438" s="7" t="s">
        <v>16672</v>
      </c>
      <c r="B438" s="6" t="s">
        <v>10442</v>
      </c>
      <c r="C438" s="6" t="s">
        <v>12135</v>
      </c>
      <c r="D438" s="7" t="str">
        <f>VLOOKUP(B438,Table1[[CIPCode]:[CIPTITLE]],4,FALSE)</f>
        <v>Industrial Engineering.</v>
      </c>
    </row>
    <row r="439" spans="1:4" x14ac:dyDescent="0.2">
      <c r="A439" s="7" t="s">
        <v>16672</v>
      </c>
      <c r="B439" s="6" t="s">
        <v>10445</v>
      </c>
      <c r="C439" s="6" t="s">
        <v>12135</v>
      </c>
      <c r="D439" s="7" t="str">
        <f>VLOOKUP(B439,Table1[[CIPCode]:[CIPTITLE]],4,FALSE)</f>
        <v>Industrial Engineering.</v>
      </c>
    </row>
    <row r="440" spans="1:4" x14ac:dyDescent="0.2">
      <c r="A440" s="7" t="s">
        <v>16672</v>
      </c>
      <c r="B440" s="6" t="s">
        <v>21192</v>
      </c>
      <c r="C440" s="6" t="s">
        <v>16811</v>
      </c>
      <c r="D440" s="7" t="str">
        <f>VLOOKUP(B440,Table1[[CIPCode]:[CIPTITLE]],4,FALSE)</f>
        <v>Industrial/Manufacturing Engineering</v>
      </c>
    </row>
    <row r="441" spans="1:4" x14ac:dyDescent="0.2">
      <c r="A441" s="7" t="s">
        <v>16672</v>
      </c>
      <c r="B441" s="6" t="s">
        <v>10449</v>
      </c>
      <c r="C441" s="6" t="s">
        <v>21193</v>
      </c>
      <c r="D441" s="7" t="str">
        <f>VLOOKUP(B441,Table1[[CIPCode]:[CIPTITLE]],4,FALSE)</f>
        <v>Manufacturing Engineering.</v>
      </c>
    </row>
    <row r="442" spans="1:4" x14ac:dyDescent="0.2">
      <c r="A442" s="7" t="s">
        <v>16672</v>
      </c>
      <c r="B442" s="6" t="s">
        <v>10452</v>
      </c>
      <c r="C442" s="6" t="s">
        <v>21193</v>
      </c>
      <c r="D442" s="7" t="str">
        <f>VLOOKUP(B442,Table1[[CIPCode]:[CIPTITLE]],4,FALSE)</f>
        <v>Manufacturing Engineering.</v>
      </c>
    </row>
    <row r="443" spans="1:4" x14ac:dyDescent="0.2">
      <c r="A443" s="7" t="s">
        <v>16672</v>
      </c>
      <c r="B443" s="6" t="s">
        <v>10454</v>
      </c>
      <c r="C443" s="6" t="s">
        <v>15219</v>
      </c>
      <c r="D443" s="7" t="str">
        <f>VLOOKUP(B443,Table1[[CIPCode]:[CIPTITLE]],4,FALSE)</f>
        <v>Operations Research.</v>
      </c>
    </row>
    <row r="444" spans="1:4" x14ac:dyDescent="0.2">
      <c r="A444" s="7" t="s">
        <v>16672</v>
      </c>
      <c r="B444" s="6" t="s">
        <v>10457</v>
      </c>
      <c r="C444" s="6" t="s">
        <v>15219</v>
      </c>
      <c r="D444" s="7" t="str">
        <f>VLOOKUP(B444,Table1[[CIPCode]:[CIPTITLE]],4,FALSE)</f>
        <v>Operations Research.</v>
      </c>
    </row>
    <row r="445" spans="1:4" x14ac:dyDescent="0.2">
      <c r="A445" s="7" t="s">
        <v>16672</v>
      </c>
      <c r="B445" s="6" t="s">
        <v>10550</v>
      </c>
      <c r="C445" s="6" t="s">
        <v>21194</v>
      </c>
      <c r="D445" s="7" t="str">
        <f>VLOOKUP(B445,Table1[[CIPCode]:[CIPTITLE]],4,FALSE)</f>
        <v>Geological/Geophysical Engineering.</v>
      </c>
    </row>
    <row r="446" spans="1:4" x14ac:dyDescent="0.2">
      <c r="A446" s="7" t="s">
        <v>16672</v>
      </c>
      <c r="B446" s="6" t="s">
        <v>10553</v>
      </c>
      <c r="C446" s="6" t="s">
        <v>21194</v>
      </c>
      <c r="D446" s="7" t="str">
        <f>VLOOKUP(B446,Table1[[CIPCode]:[CIPTITLE]],4,FALSE)</f>
        <v>Geological/Geophysical Engineering.</v>
      </c>
    </row>
    <row r="447" spans="1:4" x14ac:dyDescent="0.2">
      <c r="A447" s="7" t="s">
        <v>16672</v>
      </c>
      <c r="B447" s="6" t="s">
        <v>10556</v>
      </c>
      <c r="C447" s="6" t="s">
        <v>16332</v>
      </c>
      <c r="D447" s="7" t="str">
        <f>VLOOKUP(B447,Table1[[CIPCode]:[CIPTITLE]],4,FALSE)</f>
        <v>Engineering, Other.</v>
      </c>
    </row>
    <row r="448" spans="1:4" x14ac:dyDescent="0.2">
      <c r="A448" s="7" t="s">
        <v>16672</v>
      </c>
      <c r="B448" s="6" t="s">
        <v>16335</v>
      </c>
      <c r="C448" s="6" t="s">
        <v>16332</v>
      </c>
      <c r="D448" s="7" t="str">
        <f>VLOOKUP(B448,Table1[[CIPCode]:[CIPTITLE]],4,FALSE)</f>
        <v>Engineering, Other.</v>
      </c>
    </row>
    <row r="449" spans="1:4" x14ac:dyDescent="0.2">
      <c r="A449" s="7" t="s">
        <v>16338</v>
      </c>
      <c r="B449" s="6" t="s">
        <v>16338</v>
      </c>
      <c r="C449" s="6" t="s">
        <v>21195</v>
      </c>
      <c r="D449" s="7" t="e">
        <f>VLOOKUP(B449,Table1[[CIPCode]:[CIPTITLE]],4,FALSE)</f>
        <v>#N/A</v>
      </c>
    </row>
    <row r="450" spans="1:4" x14ac:dyDescent="0.2">
      <c r="A450" s="7" t="s">
        <v>16338</v>
      </c>
      <c r="B450" s="6" t="s">
        <v>10561</v>
      </c>
      <c r="C450" s="6" t="s">
        <v>5761</v>
      </c>
      <c r="D450" s="7" t="str">
        <f>VLOOKUP(B450,Table1[[CIPCode]:[CIPTITLE]],4,FALSE)</f>
        <v>Engineering Technology, General.</v>
      </c>
    </row>
    <row r="451" spans="1:4" x14ac:dyDescent="0.2">
      <c r="A451" s="7" t="s">
        <v>16338</v>
      </c>
      <c r="B451" s="6" t="s">
        <v>16339</v>
      </c>
      <c r="C451" s="6" t="s">
        <v>5761</v>
      </c>
      <c r="D451" s="7" t="str">
        <f>VLOOKUP(B451,Table1[[CIPCode]:[CIPTITLE]],4,FALSE)</f>
        <v>Engineering Technology, General.</v>
      </c>
    </row>
    <row r="452" spans="1:4" x14ac:dyDescent="0.2">
      <c r="A452" s="7" t="s">
        <v>16338</v>
      </c>
      <c r="B452" s="6" t="s">
        <v>10565</v>
      </c>
      <c r="C452" s="6" t="s">
        <v>21196</v>
      </c>
      <c r="D452" s="7" t="str">
        <f>VLOOKUP(B452,Table1[[CIPCode]:[CIPTITLE]],4,FALSE)</f>
        <v>Architectural Engineering Technologies/Technicians.</v>
      </c>
    </row>
    <row r="453" spans="1:4" x14ac:dyDescent="0.2">
      <c r="A453" s="7" t="s">
        <v>16338</v>
      </c>
      <c r="B453" s="6" t="s">
        <v>16347</v>
      </c>
      <c r="C453" s="6" t="s">
        <v>16348</v>
      </c>
      <c r="D453" s="7" t="str">
        <f>VLOOKUP(B453,Table1[[CIPCode]:[CIPTITLE]],4,FALSE)</f>
        <v>Architectural Engineering Technology/Technician.</v>
      </c>
    </row>
    <row r="454" spans="1:4" x14ac:dyDescent="0.2">
      <c r="A454" s="7" t="s">
        <v>16338</v>
      </c>
      <c r="B454" s="6" t="s">
        <v>10569</v>
      </c>
      <c r="C454" s="6" t="s">
        <v>21197</v>
      </c>
      <c r="D454" s="7" t="str">
        <f>VLOOKUP(B454,Table1[[CIPCode]:[CIPTITLE]],4,FALSE)</f>
        <v>Civil Engineering Technologies/Technicians.</v>
      </c>
    </row>
    <row r="455" spans="1:4" x14ac:dyDescent="0.2">
      <c r="A455" s="7" t="s">
        <v>16338</v>
      </c>
      <c r="B455" s="6" t="s">
        <v>16355</v>
      </c>
      <c r="C455" s="6" t="s">
        <v>7005</v>
      </c>
      <c r="D455" s="7" t="str">
        <f>VLOOKUP(B455,Table1[[CIPCode]:[CIPTITLE]],4,FALSE)</f>
        <v>Civil Engineering Technology/Technician.</v>
      </c>
    </row>
    <row r="456" spans="1:4" x14ac:dyDescent="0.2">
      <c r="A456" s="7" t="s">
        <v>16338</v>
      </c>
      <c r="B456" s="6" t="s">
        <v>10576</v>
      </c>
      <c r="C456" s="6" t="s">
        <v>21198</v>
      </c>
      <c r="D456" s="7" t="str">
        <f>VLOOKUP(B456,Table1[[CIPCode]:[CIPTITLE]],4,FALSE)</f>
        <v>Electrical Engineering Technologies/Technicians.</v>
      </c>
    </row>
    <row r="457" spans="1:4" x14ac:dyDescent="0.2">
      <c r="A457" s="7" t="s">
        <v>16338</v>
      </c>
      <c r="B457" s="6" t="s">
        <v>16367</v>
      </c>
      <c r="C457" s="6" t="s">
        <v>21199</v>
      </c>
      <c r="D457" s="7" t="str">
        <f>VLOOKUP(B457,Table1[[CIPCode]:[CIPTITLE]],4,FALSE)</f>
        <v>Electrical, Electronic and Communications Engineering Technology/Technician.</v>
      </c>
    </row>
    <row r="458" spans="1:4" x14ac:dyDescent="0.2">
      <c r="A458" s="7" t="s">
        <v>16338</v>
      </c>
      <c r="B458" s="6" t="s">
        <v>16371</v>
      </c>
      <c r="C458" s="6" t="s">
        <v>7011</v>
      </c>
      <c r="D458" s="7" t="str">
        <f>VLOOKUP(B458,Table1[[CIPCode]:[CIPTITLE]],4,FALSE)</f>
        <v>Laser and Optical Technology/Technician.</v>
      </c>
    </row>
    <row r="459" spans="1:4" x14ac:dyDescent="0.2">
      <c r="A459" s="7" t="s">
        <v>16338</v>
      </c>
      <c r="B459" s="6" t="s">
        <v>10982</v>
      </c>
      <c r="C459" s="6" t="s">
        <v>21200</v>
      </c>
      <c r="D459" s="7" t="str">
        <f>VLOOKUP(B459,Table1[[CIPCode]:[CIPTITLE]],4,FALSE)</f>
        <v>Telecommunications Technology/Technician.</v>
      </c>
    </row>
    <row r="460" spans="1:4" x14ac:dyDescent="0.2">
      <c r="A460" s="7" t="s">
        <v>16338</v>
      </c>
      <c r="B460" s="6" t="s">
        <v>16375</v>
      </c>
      <c r="C460" s="6" t="s">
        <v>21201</v>
      </c>
      <c r="D460" s="7" t="str">
        <f>VLOOKUP(B460,Table1[[CIPCode]:[CIPTITLE]],4,FALSE)</f>
        <v>Electrical and Electronic Engineering Technologies/Technicians, Other.</v>
      </c>
    </row>
    <row r="461" spans="1:4" x14ac:dyDescent="0.2">
      <c r="A461" s="7" t="s">
        <v>16338</v>
      </c>
      <c r="B461" s="6" t="s">
        <v>10466</v>
      </c>
      <c r="C461" s="6" t="s">
        <v>21202</v>
      </c>
      <c r="D461" s="7" t="str">
        <f>VLOOKUP(B461,Table1[[CIPCode]:[CIPTITLE]],4,FALSE)</f>
        <v>Electromechanical Instrumentation and Maintenance Technologies/Technicians.</v>
      </c>
    </row>
    <row r="462" spans="1:4" x14ac:dyDescent="0.2">
      <c r="A462" s="7" t="s">
        <v>16338</v>
      </c>
      <c r="B462" s="6" t="s">
        <v>16383</v>
      </c>
      <c r="C462" s="6" t="s">
        <v>7017</v>
      </c>
      <c r="D462" s="7" t="str">
        <f>VLOOKUP(B462,Table1[[CIPCode]:[CIPTITLE]],4,FALSE)</f>
        <v>Biomedical Technology/Technician.</v>
      </c>
    </row>
    <row r="463" spans="1:4" x14ac:dyDescent="0.2">
      <c r="A463" s="7" t="s">
        <v>16338</v>
      </c>
      <c r="B463" s="6" t="s">
        <v>16391</v>
      </c>
      <c r="C463" s="6" t="s">
        <v>21203</v>
      </c>
      <c r="D463" s="7" t="str">
        <f>VLOOKUP(B463,Table1[[CIPCode]:[CIPTITLE]],4,FALSE)</f>
        <v>Electromechanical Technology/Electromechanical Engineering Technology.</v>
      </c>
    </row>
    <row r="464" spans="1:4" x14ac:dyDescent="0.2">
      <c r="A464" s="7" t="s">
        <v>16338</v>
      </c>
      <c r="B464" s="6" t="s">
        <v>16395</v>
      </c>
      <c r="C464" s="6" t="s">
        <v>16396</v>
      </c>
      <c r="D464" s="7" t="str">
        <f>VLOOKUP(B464,Table1[[CIPCode]:[CIPTITLE]],4,FALSE)</f>
        <v>Instrumentation Technology/Technician.</v>
      </c>
    </row>
    <row r="465" spans="1:4" x14ac:dyDescent="0.2">
      <c r="A465" s="7" t="s">
        <v>16338</v>
      </c>
      <c r="B465" s="6" t="s">
        <v>16399</v>
      </c>
      <c r="C465" s="6" t="s">
        <v>16400</v>
      </c>
      <c r="D465" s="7" t="str">
        <f>VLOOKUP(B465,Table1[[CIPCode]:[CIPTITLE]],4,FALSE)</f>
        <v>Robotics Technology/Technician.</v>
      </c>
    </row>
    <row r="466" spans="1:4" x14ac:dyDescent="0.2">
      <c r="A466" s="7" t="s">
        <v>16338</v>
      </c>
      <c r="B466" s="6" t="s">
        <v>16403</v>
      </c>
      <c r="C466" s="6" t="s">
        <v>21204</v>
      </c>
      <c r="D466" s="7" t="str">
        <f>VLOOKUP(B466,Table1[[CIPCode]:[CIPTITLE]],4,FALSE)</f>
        <v>Electromechanical and Instrumentation and Maintenance Technologies/Technicians, Other.</v>
      </c>
    </row>
    <row r="467" spans="1:4" x14ac:dyDescent="0.2">
      <c r="A467" s="7" t="s">
        <v>16338</v>
      </c>
      <c r="B467" s="6" t="s">
        <v>10305</v>
      </c>
      <c r="C467" s="6" t="s">
        <v>5727</v>
      </c>
      <c r="D467" s="7" t="str">
        <f>VLOOKUP(B467,Table1[[CIPCode]:[CIPTITLE]],4,FALSE)</f>
        <v>Environmental Control Technologies/Technicians.</v>
      </c>
    </row>
    <row r="468" spans="1:4" x14ac:dyDescent="0.2">
      <c r="A468" s="7" t="s">
        <v>16338</v>
      </c>
      <c r="B468" s="6" t="s">
        <v>16411</v>
      </c>
      <c r="C468" s="6" t="s">
        <v>21205</v>
      </c>
      <c r="D468" s="7" t="str">
        <f>VLOOKUP(B468,Table1[[CIPCode]:[CIPTITLE]],4,FALSE)</f>
        <v>Heating, Air Conditioning and Refrigeration Technology/Technician (ACH/ACR/ACHR/HRAC/HVAC/AC Technology).</v>
      </c>
    </row>
    <row r="469" spans="1:4" x14ac:dyDescent="0.2">
      <c r="A469" s="7" t="s">
        <v>16338</v>
      </c>
      <c r="B469" s="6" t="s">
        <v>16415</v>
      </c>
      <c r="C469" s="6" t="s">
        <v>5730</v>
      </c>
      <c r="D469" s="7" t="str">
        <f>VLOOKUP(B469,Table1[[CIPCode]:[CIPTITLE]],4,FALSE)</f>
        <v>Energy Management and Systems Technology/Technician.</v>
      </c>
    </row>
    <row r="470" spans="1:4" x14ac:dyDescent="0.2">
      <c r="A470" s="7" t="s">
        <v>16338</v>
      </c>
      <c r="B470" s="6" t="s">
        <v>16419</v>
      </c>
      <c r="C470" s="6" t="s">
        <v>7018</v>
      </c>
      <c r="D470" s="7" t="str">
        <f>VLOOKUP(B470,Table1[[CIPCode]:[CIPTITLE]],4,FALSE)</f>
        <v>Solar Energy Technology/Technician.</v>
      </c>
    </row>
    <row r="471" spans="1:4" x14ac:dyDescent="0.2">
      <c r="A471" s="7" t="s">
        <v>16338</v>
      </c>
      <c r="B471" s="6" t="s">
        <v>16423</v>
      </c>
      <c r="C471" s="6" t="s">
        <v>21206</v>
      </c>
      <c r="D471" s="7" t="str">
        <f>VLOOKUP(B471,Table1[[CIPCode]:[CIPTITLE]],4,FALSE)</f>
        <v>Water Quality and Wastewater Treatment Management and Recycling Technology/Technician.</v>
      </c>
    </row>
    <row r="472" spans="1:4" x14ac:dyDescent="0.2">
      <c r="A472" s="7" t="s">
        <v>16338</v>
      </c>
      <c r="B472" s="6" t="s">
        <v>16427</v>
      </c>
      <c r="C472" s="6" t="s">
        <v>5734</v>
      </c>
      <c r="D472" s="7" t="str">
        <f>VLOOKUP(B472,Table1[[CIPCode]:[CIPTITLE]],4,FALSE)</f>
        <v>Environmental Engineering Technology/Environmental Technology.</v>
      </c>
    </row>
    <row r="473" spans="1:4" x14ac:dyDescent="0.2">
      <c r="A473" s="7" t="s">
        <v>16338</v>
      </c>
      <c r="B473" s="6" t="s">
        <v>10490</v>
      </c>
      <c r="C473" s="6" t="s">
        <v>21207</v>
      </c>
      <c r="D473" s="7" t="str">
        <f>VLOOKUP(B473,Table1[[CIPCode]:[CIPTITLE]],4,FALSE)</f>
        <v>Hazardous Materials Management and Waste Technology/Technician.</v>
      </c>
    </row>
    <row r="474" spans="1:4" x14ac:dyDescent="0.2">
      <c r="A474" s="7" t="s">
        <v>16338</v>
      </c>
      <c r="B474" s="6" t="s">
        <v>16431</v>
      </c>
      <c r="C474" s="6" t="s">
        <v>16432</v>
      </c>
      <c r="D474" s="7" t="str">
        <f>VLOOKUP(B474,Table1[[CIPCode]:[CIPTITLE]],4,FALSE)</f>
        <v>Environmental Control Technologies/Technicians, Other.</v>
      </c>
    </row>
    <row r="475" spans="1:4" x14ac:dyDescent="0.2">
      <c r="A475" s="7" t="s">
        <v>16338</v>
      </c>
      <c r="B475" s="6" t="s">
        <v>10495</v>
      </c>
      <c r="C475" s="6" t="s">
        <v>5735</v>
      </c>
      <c r="D475" s="7" t="str">
        <f>VLOOKUP(B475,Table1[[CIPCode]:[CIPTITLE]],4,FALSE)</f>
        <v>Industrial Production Technologies/Technicians.</v>
      </c>
    </row>
    <row r="476" spans="1:4" x14ac:dyDescent="0.2">
      <c r="A476" s="7" t="s">
        <v>16338</v>
      </c>
      <c r="B476" s="6" t="s">
        <v>16443</v>
      </c>
      <c r="C476" s="6" t="s">
        <v>5722</v>
      </c>
      <c r="D476" s="7" t="str">
        <f>VLOOKUP(B476,Table1[[CIPCode]:[CIPTITLE]],4,FALSE)</f>
        <v>Plastics Engineering Technology/Technician.</v>
      </c>
    </row>
    <row r="477" spans="1:4" x14ac:dyDescent="0.2">
      <c r="A477" s="7" t="s">
        <v>16338</v>
      </c>
      <c r="B477" s="6" t="s">
        <v>16447</v>
      </c>
      <c r="C477" s="6" t="s">
        <v>16448</v>
      </c>
      <c r="D477" s="7" t="str">
        <f>VLOOKUP(B477,Table1[[CIPCode]:[CIPTITLE]],4,FALSE)</f>
        <v>Metallurgical Technology/Technician.</v>
      </c>
    </row>
    <row r="478" spans="1:4" x14ac:dyDescent="0.2">
      <c r="A478" s="7" t="s">
        <v>16338</v>
      </c>
      <c r="B478" s="6" t="s">
        <v>10447</v>
      </c>
      <c r="C478" s="6" t="s">
        <v>21208</v>
      </c>
      <c r="D478" s="7" t="str">
        <f>VLOOKUP(B478,Table1[[CIPCode]:[CIPTITLE]],4,FALSE)</f>
        <v>Industrial Technology/Technician.</v>
      </c>
    </row>
    <row r="479" spans="1:4" x14ac:dyDescent="0.2">
      <c r="A479" s="7" t="s">
        <v>16338</v>
      </c>
      <c r="B479" s="6" t="s">
        <v>10503</v>
      </c>
      <c r="C479" s="6" t="s">
        <v>21209</v>
      </c>
      <c r="D479" s="7" t="str">
        <f>VLOOKUP(B479,Table1[[CIPCode]:[CIPTITLE]],4,FALSE)</f>
        <v>Manufacturing Technology/Technician.</v>
      </c>
    </row>
    <row r="480" spans="1:4" x14ac:dyDescent="0.2">
      <c r="A480" s="7" t="s">
        <v>16338</v>
      </c>
      <c r="B480" s="6" t="s">
        <v>21053</v>
      </c>
      <c r="C480" s="6" t="s">
        <v>16440</v>
      </c>
      <c r="D480" s="7" t="str">
        <f>VLOOKUP(B480,Table1[[CIPCode]:[CIPTITLE]],4,FALSE)</f>
        <v>Industrial/Manufacturing Technology/Technician</v>
      </c>
    </row>
    <row r="481" spans="1:4" x14ac:dyDescent="0.2">
      <c r="A481" s="7" t="s">
        <v>16338</v>
      </c>
      <c r="B481" s="6" t="s">
        <v>16451</v>
      </c>
      <c r="C481" s="6" t="s">
        <v>16452</v>
      </c>
      <c r="D481" s="7" t="str">
        <f>VLOOKUP(B481,Table1[[CIPCode]:[CIPTITLE]],4,FALSE)</f>
        <v>Industrial Production Technologies/Technicians, Other.</v>
      </c>
    </row>
    <row r="482" spans="1:4" x14ac:dyDescent="0.2">
      <c r="A482" s="7" t="s">
        <v>16338</v>
      </c>
      <c r="B482" s="6" t="s">
        <v>10364</v>
      </c>
      <c r="C482" s="6" t="s">
        <v>5743</v>
      </c>
      <c r="D482" s="7" t="str">
        <f>VLOOKUP(B482,Table1[[CIPCode]:[CIPTITLE]],4,FALSE)</f>
        <v>Quality Control and Safety Technologies/Technicians.</v>
      </c>
    </row>
    <row r="483" spans="1:4" x14ac:dyDescent="0.2">
      <c r="A483" s="7" t="s">
        <v>16338</v>
      </c>
      <c r="B483" s="6" t="s">
        <v>16459</v>
      </c>
      <c r="C483" s="6" t="s">
        <v>5744</v>
      </c>
      <c r="D483" s="7" t="str">
        <f>VLOOKUP(B483,Table1[[CIPCode]:[CIPTITLE]],4,FALSE)</f>
        <v>Occupational Safety and Health Technology/Technician.</v>
      </c>
    </row>
    <row r="484" spans="1:4" x14ac:dyDescent="0.2">
      <c r="A484" s="7" t="s">
        <v>16338</v>
      </c>
      <c r="B484" s="6" t="s">
        <v>16463</v>
      </c>
      <c r="C484" s="6" t="s">
        <v>16464</v>
      </c>
      <c r="D484" s="7" t="str">
        <f>VLOOKUP(B484,Table1[[CIPCode]:[CIPTITLE]],4,FALSE)</f>
        <v>Quality Control Technology/Technician.</v>
      </c>
    </row>
    <row r="485" spans="1:4" x14ac:dyDescent="0.2">
      <c r="A485" s="7" t="s">
        <v>16338</v>
      </c>
      <c r="B485" s="6" t="s">
        <v>10093</v>
      </c>
      <c r="C485" s="6" t="s">
        <v>21210</v>
      </c>
      <c r="D485" s="7" t="str">
        <f>VLOOKUP(B485,Table1[[CIPCode]:[CIPTITLE]],4,FALSE)</f>
        <v>Industrial Safety Technology/Technician.</v>
      </c>
    </row>
    <row r="486" spans="1:4" x14ac:dyDescent="0.2">
      <c r="A486" s="7" t="s">
        <v>16338</v>
      </c>
      <c r="B486" s="6" t="s">
        <v>16467</v>
      </c>
      <c r="C486" s="6" t="s">
        <v>5747</v>
      </c>
      <c r="D486" s="7" t="str">
        <f>VLOOKUP(B486,Table1[[CIPCode]:[CIPTITLE]],4,FALSE)</f>
        <v>Quality Control and Safety Technologies/Technicians, Other.</v>
      </c>
    </row>
    <row r="487" spans="1:4" x14ac:dyDescent="0.2">
      <c r="A487" s="7" t="s">
        <v>16338</v>
      </c>
      <c r="B487" s="6" t="s">
        <v>10101</v>
      </c>
      <c r="C487" s="6" t="s">
        <v>5748</v>
      </c>
      <c r="D487" s="7" t="str">
        <f>VLOOKUP(B487,Table1[[CIPCode]:[CIPTITLE]],4,FALSE)</f>
        <v>Mechanical Engineering Related Technologies/Technicians.</v>
      </c>
    </row>
    <row r="488" spans="1:4" x14ac:dyDescent="0.2">
      <c r="A488" s="7" t="s">
        <v>16338</v>
      </c>
      <c r="B488" s="6" t="s">
        <v>16475</v>
      </c>
      <c r="C488" s="6" t="s">
        <v>5750</v>
      </c>
      <c r="D488" s="7" t="str">
        <f>VLOOKUP(B488,Table1[[CIPCode]:[CIPTITLE]],4,FALSE)</f>
        <v>Aeronautical/Aerospace Engineering Technology/Technician.</v>
      </c>
    </row>
    <row r="489" spans="1:4" x14ac:dyDescent="0.2">
      <c r="A489" s="7" t="s">
        <v>16338</v>
      </c>
      <c r="B489" s="6" t="s">
        <v>16479</v>
      </c>
      <c r="C489" s="6" t="s">
        <v>16480</v>
      </c>
      <c r="D489" s="7" t="str">
        <f>VLOOKUP(B489,Table1[[CIPCode]:[CIPTITLE]],4,FALSE)</f>
        <v>Automotive Engineering Technology/Technician.</v>
      </c>
    </row>
    <row r="490" spans="1:4" x14ac:dyDescent="0.2">
      <c r="A490" s="7" t="s">
        <v>16338</v>
      </c>
      <c r="B490" s="6" t="s">
        <v>16483</v>
      </c>
      <c r="C490" s="6" t="s">
        <v>16484</v>
      </c>
      <c r="D490" s="7" t="str">
        <f>VLOOKUP(B490,Table1[[CIPCode]:[CIPTITLE]],4,FALSE)</f>
        <v>Mechanical Engineering/Mechanical Technology/Technician.</v>
      </c>
    </row>
    <row r="491" spans="1:4" x14ac:dyDescent="0.2">
      <c r="A491" s="7" t="s">
        <v>16338</v>
      </c>
      <c r="B491" s="6" t="s">
        <v>16487</v>
      </c>
      <c r="C491" s="6" t="s">
        <v>5752</v>
      </c>
      <c r="D491" s="7" t="str">
        <f>VLOOKUP(B491,Table1[[CIPCode]:[CIPTITLE]],4,FALSE)</f>
        <v>Mechanical Engineering Related Technologies/Technicians, Other.</v>
      </c>
    </row>
    <row r="492" spans="1:4" x14ac:dyDescent="0.2">
      <c r="A492" s="7" t="s">
        <v>16338</v>
      </c>
      <c r="B492" s="6" t="s">
        <v>10113</v>
      </c>
      <c r="C492" s="6" t="s">
        <v>5754</v>
      </c>
      <c r="D492" s="7" t="str">
        <f>VLOOKUP(B492,Table1[[CIPCode]:[CIPTITLE]],4,FALSE)</f>
        <v>Mining and Petroleum Technologies/Technicians.</v>
      </c>
    </row>
    <row r="493" spans="1:4" x14ac:dyDescent="0.2">
      <c r="A493" s="7" t="s">
        <v>16338</v>
      </c>
      <c r="B493" s="6" t="s">
        <v>15918</v>
      </c>
      <c r="C493" s="6" t="s">
        <v>15919</v>
      </c>
      <c r="D493" s="7" t="str">
        <f>VLOOKUP(B493,Table1[[CIPCode]:[CIPTITLE]],4,FALSE)</f>
        <v>Mining Technology/Technician.</v>
      </c>
    </row>
    <row r="494" spans="1:4" x14ac:dyDescent="0.2">
      <c r="A494" s="7" t="s">
        <v>16338</v>
      </c>
      <c r="B494" s="6" t="s">
        <v>15922</v>
      </c>
      <c r="C494" s="6" t="s">
        <v>15923</v>
      </c>
      <c r="D494" s="7" t="str">
        <f>VLOOKUP(B494,Table1[[CIPCode]:[CIPTITLE]],4,FALSE)</f>
        <v>Petroleum Technology/Technician.</v>
      </c>
    </row>
    <row r="495" spans="1:4" x14ac:dyDescent="0.2">
      <c r="A495" s="7" t="s">
        <v>16338</v>
      </c>
      <c r="B495" s="6" t="s">
        <v>15926</v>
      </c>
      <c r="C495" s="6" t="s">
        <v>5758</v>
      </c>
      <c r="D495" s="7" t="str">
        <f>VLOOKUP(B495,Table1[[CIPCode]:[CIPTITLE]],4,FALSE)</f>
        <v>Mining and Petroleum Technologies/Technicians, Other.</v>
      </c>
    </row>
    <row r="496" spans="1:4" x14ac:dyDescent="0.2">
      <c r="A496" s="7" t="s">
        <v>16338</v>
      </c>
      <c r="B496" s="6" t="s">
        <v>10120</v>
      </c>
      <c r="C496" s="6" t="s">
        <v>21211</v>
      </c>
      <c r="D496" s="7" t="str">
        <f>VLOOKUP(B496,Table1[[CIPCode]:[CIPTITLE]],4,FALSE)</f>
        <v>Construction Engineering Technologies.</v>
      </c>
    </row>
    <row r="497" spans="1:4" x14ac:dyDescent="0.2">
      <c r="A497" s="7" t="s">
        <v>16338</v>
      </c>
      <c r="B497" s="6" t="s">
        <v>15934</v>
      </c>
      <c r="C497" s="6" t="s">
        <v>5759</v>
      </c>
      <c r="D497" s="7" t="str">
        <f>VLOOKUP(B497,Table1[[CIPCode]:[CIPTITLE]],4,FALSE)</f>
        <v>Construction Engineering Technology/Technician.</v>
      </c>
    </row>
    <row r="498" spans="1:4" x14ac:dyDescent="0.2">
      <c r="A498" s="7" t="s">
        <v>16338</v>
      </c>
      <c r="B498" s="6" t="s">
        <v>10124</v>
      </c>
      <c r="C498" s="6" t="s">
        <v>16340</v>
      </c>
      <c r="D498" s="7" t="str">
        <f>VLOOKUP(B498,Table1[[CIPCode]:[CIPTITLE]],4,FALSE)</f>
        <v>Engineering-Related Technologies.</v>
      </c>
    </row>
    <row r="499" spans="1:4" x14ac:dyDescent="0.2">
      <c r="A499" s="7" t="s">
        <v>16338</v>
      </c>
      <c r="B499" s="6" t="s">
        <v>15946</v>
      </c>
      <c r="C499" s="6" t="s">
        <v>4703</v>
      </c>
      <c r="D499" s="7" t="str">
        <f>VLOOKUP(B499,Table1[[CIPCode]:[CIPTITLE]],4,FALSE)</f>
        <v>Surveying Technology/Surveying.</v>
      </c>
    </row>
    <row r="500" spans="1:4" x14ac:dyDescent="0.2">
      <c r="A500" s="7" t="s">
        <v>16338</v>
      </c>
      <c r="B500" s="6" t="s">
        <v>15950</v>
      </c>
      <c r="C500" s="6" t="s">
        <v>21212</v>
      </c>
      <c r="D500" s="7" t="str">
        <f>VLOOKUP(B500,Table1[[CIPCode]:[CIPTITLE]],4,FALSE)</f>
        <v>Hydraulics and Fluid Power Technology/Technician.</v>
      </c>
    </row>
    <row r="501" spans="1:4" x14ac:dyDescent="0.2">
      <c r="A501" s="7" t="s">
        <v>16338</v>
      </c>
      <c r="B501" s="6" t="s">
        <v>10133</v>
      </c>
      <c r="C501" s="6" t="s">
        <v>15955</v>
      </c>
      <c r="D501" s="7" t="str">
        <f>VLOOKUP(B501,Table1[[CIPCode]:[CIPTITLE]],4,FALSE)</f>
        <v>Engineering-Related Technologies, Other.</v>
      </c>
    </row>
    <row r="502" spans="1:4" x14ac:dyDescent="0.2">
      <c r="A502" s="7" t="s">
        <v>16338</v>
      </c>
      <c r="B502" s="6" t="s">
        <v>10136</v>
      </c>
      <c r="C502" s="6" t="s">
        <v>21213</v>
      </c>
      <c r="D502" s="7" t="str">
        <f>VLOOKUP(B502,Table1[[CIPCode]:[CIPTITLE]],4,FALSE)</f>
        <v>Computer Engineering Technologies/Technicians.</v>
      </c>
    </row>
    <row r="503" spans="1:4" x14ac:dyDescent="0.2">
      <c r="A503" s="7" t="s">
        <v>16338</v>
      </c>
      <c r="B503" s="6" t="s">
        <v>11222</v>
      </c>
      <c r="C503" s="6" t="s">
        <v>16364</v>
      </c>
      <c r="D503" s="7" t="str">
        <f>VLOOKUP(B503,Table1[[CIPCode]:[CIPTITLE]],4,FALSE)</f>
        <v>Computer Engineering Technology/Technician.</v>
      </c>
    </row>
    <row r="504" spans="1:4" x14ac:dyDescent="0.2">
      <c r="A504" s="7" t="s">
        <v>16338</v>
      </c>
      <c r="B504" s="6" t="s">
        <v>10338</v>
      </c>
      <c r="C504" s="6" t="s">
        <v>4831</v>
      </c>
      <c r="D504" s="7" t="str">
        <f>VLOOKUP(B504,Table1[[CIPCode]:[CIPTITLE]],4,FALSE)</f>
        <v>Computer Technology/Computer Systems Technology.</v>
      </c>
    </row>
    <row r="505" spans="1:4" x14ac:dyDescent="0.2">
      <c r="A505" s="7" t="s">
        <v>16338</v>
      </c>
      <c r="B505" s="6" t="s">
        <v>11155</v>
      </c>
      <c r="C505" s="6" t="s">
        <v>21214</v>
      </c>
      <c r="D505" s="7" t="str">
        <f>VLOOKUP(B505,Table1[[CIPCode]:[CIPTITLE]],4,FALSE)</f>
        <v>Computer Hardware Technology/Technician.</v>
      </c>
    </row>
    <row r="506" spans="1:4" x14ac:dyDescent="0.2">
      <c r="A506" s="7" t="s">
        <v>16338</v>
      </c>
      <c r="B506" s="6" t="s">
        <v>10788</v>
      </c>
      <c r="C506" s="6" t="s">
        <v>21215</v>
      </c>
      <c r="D506" s="7" t="str">
        <f>VLOOKUP(B506,Table1[[CIPCode]:[CIPTITLE]],4,FALSE)</f>
        <v>Computer Software Technology/Technician.</v>
      </c>
    </row>
    <row r="507" spans="1:4" x14ac:dyDescent="0.2">
      <c r="A507" s="7" t="s">
        <v>16338</v>
      </c>
      <c r="B507" s="6" t="s">
        <v>10144</v>
      </c>
      <c r="C507" s="6" t="s">
        <v>21216</v>
      </c>
      <c r="D507" s="7" t="str">
        <f>VLOOKUP(B507,Table1[[CIPCode]:[CIPTITLE]],4,FALSE)</f>
        <v>Computer Engineering Technologies/Technicians, Other.</v>
      </c>
    </row>
    <row r="508" spans="1:4" x14ac:dyDescent="0.2">
      <c r="A508" s="7" t="s">
        <v>16338</v>
      </c>
      <c r="B508" s="6" t="s">
        <v>10147</v>
      </c>
      <c r="C508" s="6" t="s">
        <v>21217</v>
      </c>
      <c r="D508" s="7" t="str">
        <f>VLOOKUP(B508,Table1[[CIPCode]:[CIPTITLE]],4,FALSE)</f>
        <v>Drafting/Design Engineering Technologies/Technicians.</v>
      </c>
    </row>
    <row r="509" spans="1:4" x14ac:dyDescent="0.2">
      <c r="A509" s="7" t="s">
        <v>16338</v>
      </c>
      <c r="B509" s="6" t="s">
        <v>10150</v>
      </c>
      <c r="C509" s="6" t="s">
        <v>6420</v>
      </c>
      <c r="D509" s="7" t="str">
        <f>VLOOKUP(B509,Table1[[CIPCode]:[CIPTITLE]],4,FALSE)</f>
        <v>Drafting and Design Technology/Technician, General.</v>
      </c>
    </row>
    <row r="510" spans="1:4" x14ac:dyDescent="0.2">
      <c r="A510" s="7" t="s">
        <v>16338</v>
      </c>
      <c r="B510" s="6" t="s">
        <v>10153</v>
      </c>
      <c r="C510" s="6" t="s">
        <v>21218</v>
      </c>
      <c r="D510" s="7" t="str">
        <f>VLOOKUP(B510,Table1[[CIPCode]:[CIPTITLE]],4,FALSE)</f>
        <v>CAD/CADD Drafting and/or Design Technology/Technician.</v>
      </c>
    </row>
    <row r="511" spans="1:4" x14ac:dyDescent="0.2">
      <c r="A511" s="7" t="s">
        <v>16338</v>
      </c>
      <c r="B511" s="6" t="s">
        <v>12664</v>
      </c>
      <c r="C511" s="6" t="s">
        <v>6385</v>
      </c>
      <c r="D511" s="7" t="str">
        <f>VLOOKUP(B511,Table1[[CIPCode]:[CIPTITLE]],4,FALSE)</f>
        <v>Architectural Drafting and Architectural CAD/CADD.</v>
      </c>
    </row>
    <row r="512" spans="1:4" x14ac:dyDescent="0.2">
      <c r="A512" s="7" t="s">
        <v>16338</v>
      </c>
      <c r="B512" s="6" t="s">
        <v>10158</v>
      </c>
      <c r="C512" s="6" t="s">
        <v>6386</v>
      </c>
      <c r="D512" s="7" t="str">
        <f>VLOOKUP(B512,Table1[[CIPCode]:[CIPTITLE]],4,FALSE)</f>
        <v>Civil Drafting and Civil Engineering CAD/CADD.</v>
      </c>
    </row>
    <row r="513" spans="1:4" x14ac:dyDescent="0.2">
      <c r="A513" s="7" t="s">
        <v>16338</v>
      </c>
      <c r="B513" s="6" t="s">
        <v>10161</v>
      </c>
      <c r="C513" s="6" t="s">
        <v>21219</v>
      </c>
      <c r="D513" s="7" t="str">
        <f>VLOOKUP(B513,Table1[[CIPCode]:[CIPTITLE]],4,FALSE)</f>
        <v>Electrical/Electronics Drafting and Electrical/Electronics CAD/CADD.</v>
      </c>
    </row>
    <row r="514" spans="1:4" x14ac:dyDescent="0.2">
      <c r="A514" s="7" t="s">
        <v>16338</v>
      </c>
      <c r="B514" s="6" t="s">
        <v>10164</v>
      </c>
      <c r="C514" s="6" t="s">
        <v>6422</v>
      </c>
      <c r="D514" s="7" t="str">
        <f>VLOOKUP(B514,Table1[[CIPCode]:[CIPTITLE]],4,FALSE)</f>
        <v>Mechanical Drafting and Mechanical Drafting CAD/CADD.</v>
      </c>
    </row>
    <row r="515" spans="1:4" x14ac:dyDescent="0.2">
      <c r="A515" s="7" t="s">
        <v>16338</v>
      </c>
      <c r="B515" s="6" t="s">
        <v>10167</v>
      </c>
      <c r="C515" s="6" t="s">
        <v>6423</v>
      </c>
      <c r="D515" s="7" t="str">
        <f>VLOOKUP(B515,Table1[[CIPCode]:[CIPTITLE]],4,FALSE)</f>
        <v>Drafting/Design Engineering Technologies/Technicians, Other.</v>
      </c>
    </row>
    <row r="516" spans="1:4" x14ac:dyDescent="0.2">
      <c r="A516" s="7" t="s">
        <v>16338</v>
      </c>
      <c r="B516" s="6" t="s">
        <v>10176</v>
      </c>
      <c r="C516" s="6" t="s">
        <v>21220</v>
      </c>
      <c r="D516" s="7" t="str">
        <f>VLOOKUP(B516,Table1[[CIPCode]:[CIPTITLE]],4,FALSE)</f>
        <v>Engineering-Related Fields.</v>
      </c>
    </row>
    <row r="517" spans="1:4" x14ac:dyDescent="0.2">
      <c r="A517" s="7" t="s">
        <v>16338</v>
      </c>
      <c r="B517" s="6" t="s">
        <v>10179</v>
      </c>
      <c r="C517" s="6" t="s">
        <v>16311</v>
      </c>
      <c r="D517" s="7" t="str">
        <f>VLOOKUP(B517,Table1[[CIPCode]:[CIPTITLE]],4,FALSE)</f>
        <v>Engineering/Industrial Management.</v>
      </c>
    </row>
    <row r="518" spans="1:4" x14ac:dyDescent="0.2">
      <c r="A518" s="7" t="s">
        <v>16338</v>
      </c>
      <c r="B518" s="6" t="s">
        <v>10181</v>
      </c>
      <c r="C518" s="6" t="s">
        <v>5772</v>
      </c>
      <c r="D518" s="7" t="str">
        <f>VLOOKUP(B518,Table1[[CIPCode]:[CIPTITLE]],4,FALSE)</f>
        <v>Engineering Technologies/Technicians, Other.</v>
      </c>
    </row>
    <row r="519" spans="1:4" x14ac:dyDescent="0.2">
      <c r="A519" s="7" t="s">
        <v>16338</v>
      </c>
      <c r="B519" s="6" t="s">
        <v>15958</v>
      </c>
      <c r="C519" s="6" t="s">
        <v>5772</v>
      </c>
      <c r="D519" s="7" t="str">
        <f>VLOOKUP(B519,Table1[[CIPCode]:[CIPTITLE]],4,FALSE)</f>
        <v>Engineering Technologies/Technicians, Other.</v>
      </c>
    </row>
    <row r="520" spans="1:4" x14ac:dyDescent="0.2">
      <c r="A520" s="7" t="s">
        <v>15962</v>
      </c>
      <c r="B520" s="6" t="s">
        <v>15962</v>
      </c>
      <c r="C520" s="6" t="s">
        <v>21221</v>
      </c>
      <c r="D520" s="7" t="e">
        <f>VLOOKUP(B520,Table1[[CIPCode]:[CIPTITLE]],4,FALSE)</f>
        <v>#N/A</v>
      </c>
    </row>
    <row r="521" spans="1:4" x14ac:dyDescent="0.2">
      <c r="A521" s="7" t="s">
        <v>15962</v>
      </c>
      <c r="B521" s="6" t="s">
        <v>10187</v>
      </c>
      <c r="C521" s="6" t="s">
        <v>21222</v>
      </c>
      <c r="D521" s="7" t="str">
        <f>VLOOKUP(B521,Table1[[CIPCode]:[CIPTITLE]],4,FALSE)</f>
        <v>Linguistic, Comparative, and Related Language Studies and Services.</v>
      </c>
    </row>
    <row r="522" spans="1:4" x14ac:dyDescent="0.2">
      <c r="A522" s="7" t="s">
        <v>15962</v>
      </c>
      <c r="B522" s="6" t="s">
        <v>15971</v>
      </c>
      <c r="C522" s="6" t="s">
        <v>5776</v>
      </c>
      <c r="D522" s="7" t="str">
        <f>VLOOKUP(B522,Table1[[CIPCode]:[CIPTITLE]],4,FALSE)</f>
        <v>Foreign Languages and Literatures, General.</v>
      </c>
    </row>
    <row r="523" spans="1:4" x14ac:dyDescent="0.2">
      <c r="A523" s="7" t="s">
        <v>15962</v>
      </c>
      <c r="B523" s="6" t="s">
        <v>15975</v>
      </c>
      <c r="C523" s="6" t="s">
        <v>15976</v>
      </c>
      <c r="D523" s="7" t="str">
        <f>VLOOKUP(B523,Table1[[CIPCode]:[CIPTITLE]],4,FALSE)</f>
        <v>Linguistics.</v>
      </c>
    </row>
    <row r="524" spans="1:4" x14ac:dyDescent="0.2">
      <c r="A524" s="7" t="s">
        <v>15962</v>
      </c>
      <c r="B524" s="6" t="s">
        <v>15979</v>
      </c>
      <c r="C524" s="6" t="s">
        <v>5783</v>
      </c>
      <c r="D524" s="7" t="str">
        <f>VLOOKUP(B524,Table1[[CIPCode]:[CIPTITLE]],4,FALSE)</f>
        <v>Language Interpretation and Translation.</v>
      </c>
    </row>
    <row r="525" spans="1:4" x14ac:dyDescent="0.2">
      <c r="A525" s="7" t="s">
        <v>15962</v>
      </c>
      <c r="B525" s="6" t="s">
        <v>10197</v>
      </c>
      <c r="C525" s="6" t="s">
        <v>15698</v>
      </c>
      <c r="D525" s="7" t="str">
        <f>VLOOKUP(B525,Table1[[CIPCode]:[CIPTITLE]],4,FALSE)</f>
        <v>Comparative Literature.</v>
      </c>
    </row>
    <row r="526" spans="1:4" x14ac:dyDescent="0.2">
      <c r="A526" s="7" t="s">
        <v>15962</v>
      </c>
      <c r="B526" s="6" t="s">
        <v>10200</v>
      </c>
      <c r="C526" s="6" t="s">
        <v>21223</v>
      </c>
      <c r="D526" s="7" t="str">
        <f>VLOOKUP(B526,Table1[[CIPCode]:[CIPTITLE]],4,FALSE)</f>
        <v>Linguistic, Comparative, and Related Language Studies and Services, Other.</v>
      </c>
    </row>
    <row r="527" spans="1:4" x14ac:dyDescent="0.2">
      <c r="A527" s="7" t="s">
        <v>15962</v>
      </c>
      <c r="B527" s="6" t="s">
        <v>10203</v>
      </c>
      <c r="C527" s="6" t="s">
        <v>21224</v>
      </c>
      <c r="D527" s="7" t="str">
        <f>VLOOKUP(B527,Table1[[CIPCode]:[CIPTITLE]],4,FALSE)</f>
        <v>African Languages, Literatures, and Linguistics.</v>
      </c>
    </row>
    <row r="528" spans="1:4" x14ac:dyDescent="0.2">
      <c r="A528" s="7" t="s">
        <v>15962</v>
      </c>
      <c r="B528" s="6" t="s">
        <v>11566</v>
      </c>
      <c r="C528" s="6" t="s">
        <v>21224</v>
      </c>
      <c r="D528" s="7" t="str">
        <f>VLOOKUP(B528,Table1[[CIPCode]:[CIPTITLE]],4,FALSE)</f>
        <v>African Languages, Literatures, and Linguistics.</v>
      </c>
    </row>
    <row r="529" spans="1:4" x14ac:dyDescent="0.2">
      <c r="A529" s="7" t="s">
        <v>15962</v>
      </c>
      <c r="B529" s="6" t="s">
        <v>11332</v>
      </c>
      <c r="C529" s="6" t="s">
        <v>5785</v>
      </c>
      <c r="D529" s="7" t="str">
        <f>VLOOKUP(B529,Table1[[CIPCode]:[CIPTITLE]],4,FALSE)</f>
        <v>East Asian Languages, Literatures, and Linguistics.</v>
      </c>
    </row>
    <row r="530" spans="1:4" x14ac:dyDescent="0.2">
      <c r="A530" s="7" t="s">
        <v>15962</v>
      </c>
      <c r="B530" s="6" t="s">
        <v>15983</v>
      </c>
      <c r="C530" s="6" t="s">
        <v>21225</v>
      </c>
      <c r="D530" s="7" t="str">
        <f>VLOOKUP(B530,Table1[[CIPCode]:[CIPTITLE]],4,FALSE)</f>
        <v>East Asian Languages, Literatures, and Linguistics, General.</v>
      </c>
    </row>
    <row r="531" spans="1:4" x14ac:dyDescent="0.2">
      <c r="A531" s="7" t="s">
        <v>15962</v>
      </c>
      <c r="B531" s="6" t="s">
        <v>15987</v>
      </c>
      <c r="C531" s="6" t="s">
        <v>5741</v>
      </c>
      <c r="D531" s="7" t="str">
        <f>VLOOKUP(B531,Table1[[CIPCode]:[CIPTITLE]],4,FALSE)</f>
        <v>Chinese Language and Literature.</v>
      </c>
    </row>
    <row r="532" spans="1:4" x14ac:dyDescent="0.2">
      <c r="A532" s="7" t="s">
        <v>15962</v>
      </c>
      <c r="B532" s="6" t="s">
        <v>15991</v>
      </c>
      <c r="C532" s="6" t="s">
        <v>6988</v>
      </c>
      <c r="D532" s="7" t="str">
        <f>VLOOKUP(B532,Table1[[CIPCode]:[CIPTITLE]],4,FALSE)</f>
        <v>Japanese Language and Literature.</v>
      </c>
    </row>
    <row r="533" spans="1:4" x14ac:dyDescent="0.2">
      <c r="A533" s="7" t="s">
        <v>15962</v>
      </c>
      <c r="B533" s="6" t="s">
        <v>11427</v>
      </c>
      <c r="C533" s="6" t="s">
        <v>21226</v>
      </c>
      <c r="D533" s="7" t="str">
        <f>VLOOKUP(B533,Table1[[CIPCode]:[CIPTITLE]],4,FALSE)</f>
        <v>Korean Language and Literature.</v>
      </c>
    </row>
    <row r="534" spans="1:4" x14ac:dyDescent="0.2">
      <c r="A534" s="7" t="s">
        <v>15962</v>
      </c>
      <c r="B534" s="6" t="s">
        <v>15995</v>
      </c>
      <c r="C534" s="6" t="s">
        <v>5787</v>
      </c>
      <c r="D534" s="7" t="str">
        <f>VLOOKUP(B534,Table1[[CIPCode]:[CIPTITLE]],4,FALSE)</f>
        <v>East Asian Languages, Literatures, and Linguistics, Other.</v>
      </c>
    </row>
    <row r="535" spans="1:4" x14ac:dyDescent="0.2">
      <c r="A535" s="7" t="s">
        <v>15962</v>
      </c>
      <c r="B535" s="6" t="s">
        <v>11341</v>
      </c>
      <c r="C535" s="6" t="s">
        <v>21227</v>
      </c>
      <c r="D535" s="7" t="str">
        <f>VLOOKUP(B535,Table1[[CIPCode]:[CIPTITLE]],4,FALSE)</f>
        <v>Slavic, Baltic and Albanian Languages, Literatures, and Linguistics.</v>
      </c>
    </row>
    <row r="536" spans="1:4" x14ac:dyDescent="0.2">
      <c r="A536" s="7" t="s">
        <v>15962</v>
      </c>
      <c r="B536" s="6" t="s">
        <v>15999</v>
      </c>
      <c r="C536" s="6" t="s">
        <v>21228</v>
      </c>
      <c r="D536" s="7" t="str">
        <f>VLOOKUP(B536,Table1[[CIPCode]:[CIPTITLE]],4,FALSE)</f>
        <v>Slavic Languages, Literatures, and Linguistics, General.</v>
      </c>
    </row>
    <row r="537" spans="1:4" x14ac:dyDescent="0.2">
      <c r="A537" s="7" t="s">
        <v>15962</v>
      </c>
      <c r="B537" s="6" t="s">
        <v>16003</v>
      </c>
      <c r="C537" s="6" t="s">
        <v>6901</v>
      </c>
      <c r="D537" s="7" t="str">
        <f>VLOOKUP(B537,Table1[[CIPCode]:[CIPTITLE]],4,FALSE)</f>
        <v>Russian Language and Literature.</v>
      </c>
    </row>
    <row r="538" spans="1:4" x14ac:dyDescent="0.2">
      <c r="A538" s="7" t="s">
        <v>15962</v>
      </c>
      <c r="B538" s="6" t="s">
        <v>16011</v>
      </c>
      <c r="C538" s="6" t="s">
        <v>21229</v>
      </c>
      <c r="D538" s="7" t="str">
        <f>VLOOKUP(B538,Table1[[CIPCode]:[CIPTITLE]],4,FALSE)</f>
        <v>Czech Language and Literature.</v>
      </c>
    </row>
    <row r="539" spans="1:4" x14ac:dyDescent="0.2">
      <c r="A539" s="7" t="s">
        <v>15962</v>
      </c>
      <c r="B539" s="6" t="s">
        <v>11432</v>
      </c>
      <c r="C539" s="6" t="s">
        <v>21230</v>
      </c>
      <c r="D539" s="7" t="str">
        <f>VLOOKUP(B539,Table1[[CIPCode]:[CIPTITLE]],4,FALSE)</f>
        <v>Polish Language and Literature.</v>
      </c>
    </row>
    <row r="540" spans="1:4" x14ac:dyDescent="0.2">
      <c r="A540" s="7" t="s">
        <v>15962</v>
      </c>
      <c r="B540" s="6" t="s">
        <v>16013</v>
      </c>
      <c r="C540" s="6" t="s">
        <v>21231</v>
      </c>
      <c r="D540" s="7" t="str">
        <f>VLOOKUP(B540,Table1[[CIPCode]:[CIPTITLE]],4,FALSE)</f>
        <v>Slavic, Baltic, and Albanian Languages, Literatures, and Linguistics, Other.</v>
      </c>
    </row>
    <row r="541" spans="1:4" x14ac:dyDescent="0.2">
      <c r="A541" s="7" t="s">
        <v>15962</v>
      </c>
      <c r="B541" s="6" t="s">
        <v>11335</v>
      </c>
      <c r="C541" s="6" t="s">
        <v>5804</v>
      </c>
      <c r="D541" s="7" t="str">
        <f>VLOOKUP(B541,Table1[[CIPCode]:[CIPTITLE]],4,FALSE)</f>
        <v>Germanic Languages, Literatures, and Linguistics.</v>
      </c>
    </row>
    <row r="542" spans="1:4" x14ac:dyDescent="0.2">
      <c r="A542" s="7" t="s">
        <v>15962</v>
      </c>
      <c r="B542" s="6" t="s">
        <v>16017</v>
      </c>
      <c r="C542" s="6" t="s">
        <v>21232</v>
      </c>
      <c r="D542" s="7" t="str">
        <f>VLOOKUP(B542,Table1[[CIPCode]:[CIPTITLE]],4,FALSE)</f>
        <v>Germanic Languages, Literatures, and Linguistics, General.</v>
      </c>
    </row>
    <row r="543" spans="1:4" x14ac:dyDescent="0.2">
      <c r="A543" s="7" t="s">
        <v>15962</v>
      </c>
      <c r="B543" s="6" t="s">
        <v>16021</v>
      </c>
      <c r="C543" s="6" t="s">
        <v>5800</v>
      </c>
      <c r="D543" s="7" t="str">
        <f>VLOOKUP(B543,Table1[[CIPCode]:[CIPTITLE]],4,FALSE)</f>
        <v>German Language and Literature.</v>
      </c>
    </row>
    <row r="544" spans="1:4" x14ac:dyDescent="0.2">
      <c r="A544" s="7" t="s">
        <v>15962</v>
      </c>
      <c r="B544" s="6" t="s">
        <v>16025</v>
      </c>
      <c r="C544" s="6" t="s">
        <v>5806</v>
      </c>
      <c r="D544" s="7" t="str">
        <f>VLOOKUP(B544,Table1[[CIPCode]:[CIPTITLE]],4,FALSE)</f>
        <v>Scandinavian Languages, Literatures, and Linguistics.</v>
      </c>
    </row>
    <row r="545" spans="1:4" x14ac:dyDescent="0.2">
      <c r="A545" s="7" t="s">
        <v>15962</v>
      </c>
      <c r="B545" s="6" t="s">
        <v>10252</v>
      </c>
      <c r="C545" s="6" t="s">
        <v>21233</v>
      </c>
      <c r="D545" s="7" t="str">
        <f>VLOOKUP(B545,Table1[[CIPCode]:[CIPTITLE]],4,FALSE)</f>
        <v>Norwegian Language and Literature.</v>
      </c>
    </row>
    <row r="546" spans="1:4" x14ac:dyDescent="0.2">
      <c r="A546" s="7" t="s">
        <v>15962</v>
      </c>
      <c r="B546" s="6" t="s">
        <v>16029</v>
      </c>
      <c r="C546" s="6" t="s">
        <v>5814</v>
      </c>
      <c r="D546" s="7" t="str">
        <f>VLOOKUP(B546,Table1[[CIPCode]:[CIPTITLE]],4,FALSE)</f>
        <v>Germanic Languages, Literatures, and Linguistics, Other.</v>
      </c>
    </row>
    <row r="547" spans="1:4" x14ac:dyDescent="0.2">
      <c r="A547" s="7" t="s">
        <v>15962</v>
      </c>
      <c r="B547" s="6" t="s">
        <v>10260</v>
      </c>
      <c r="C547" s="6" t="s">
        <v>5816</v>
      </c>
      <c r="D547" s="7" t="str">
        <f>VLOOKUP(B547,Table1[[CIPCode]:[CIPTITLE]],4,FALSE)</f>
        <v>Modern Greek Language and Literature.</v>
      </c>
    </row>
    <row r="548" spans="1:4" x14ac:dyDescent="0.2">
      <c r="A548" s="7" t="s">
        <v>15962</v>
      </c>
      <c r="B548" s="6" t="s">
        <v>16037</v>
      </c>
      <c r="C548" s="6" t="s">
        <v>5816</v>
      </c>
      <c r="D548" s="7" t="str">
        <f>VLOOKUP(B548,Table1[[CIPCode]:[CIPTITLE]],4,FALSE)</f>
        <v>Modern Greek Language and Literature.</v>
      </c>
    </row>
    <row r="549" spans="1:4" x14ac:dyDescent="0.2">
      <c r="A549" s="7" t="s">
        <v>15962</v>
      </c>
      <c r="B549" s="6" t="s">
        <v>11318</v>
      </c>
      <c r="C549" s="6" t="s">
        <v>5818</v>
      </c>
      <c r="D549" s="7" t="str">
        <f>VLOOKUP(B549,Table1[[CIPCode]:[CIPTITLE]],4,FALSE)</f>
        <v>South Asian Languages, Literatures, and Linguistics.</v>
      </c>
    </row>
    <row r="550" spans="1:4" x14ac:dyDescent="0.2">
      <c r="A550" s="7" t="s">
        <v>15962</v>
      </c>
      <c r="B550" s="6" t="s">
        <v>16040</v>
      </c>
      <c r="C550" s="6" t="s">
        <v>21234</v>
      </c>
      <c r="D550" s="7" t="str">
        <f>VLOOKUP(B550,Table1[[CIPCode]:[CIPTITLE]],4,FALSE)</f>
        <v>South Asian Languages, Literatures, and Linguistics, General.</v>
      </c>
    </row>
    <row r="551" spans="1:4" x14ac:dyDescent="0.2">
      <c r="A551" s="7" t="s">
        <v>15962</v>
      </c>
      <c r="B551" s="6" t="s">
        <v>10269</v>
      </c>
      <c r="C551" s="6" t="s">
        <v>21235</v>
      </c>
      <c r="D551" s="7" t="str">
        <f>VLOOKUP(B551,Table1[[CIPCode]:[CIPTITLE]],4,FALSE)</f>
        <v>Sanskrit and Classical Indian Languages, Literatures, and Linguistics.</v>
      </c>
    </row>
    <row r="552" spans="1:4" x14ac:dyDescent="0.2">
      <c r="A552" s="7" t="s">
        <v>15962</v>
      </c>
      <c r="B552" s="6" t="s">
        <v>11339</v>
      </c>
      <c r="C552" s="6" t="s">
        <v>5833</v>
      </c>
      <c r="D552" s="7" t="str">
        <f>VLOOKUP(B552,Table1[[CIPCode]:[CIPTITLE]],4,FALSE)</f>
        <v>Romance Languages, Literatures, and Linguistics.</v>
      </c>
    </row>
    <row r="553" spans="1:4" x14ac:dyDescent="0.2">
      <c r="A553" s="7" t="s">
        <v>15962</v>
      </c>
      <c r="B553" s="6" t="s">
        <v>16047</v>
      </c>
      <c r="C553" s="6" t="s">
        <v>21236</v>
      </c>
      <c r="D553" s="7" t="str">
        <f>VLOOKUP(B553,Table1[[CIPCode]:[CIPTITLE]],4,FALSE)</f>
        <v>Romance Languages, Literatures, and Linguistics, General.</v>
      </c>
    </row>
    <row r="554" spans="1:4" x14ac:dyDescent="0.2">
      <c r="A554" s="7" t="s">
        <v>15962</v>
      </c>
      <c r="B554" s="6" t="s">
        <v>16051</v>
      </c>
      <c r="C554" s="6" t="s">
        <v>5835</v>
      </c>
      <c r="D554" s="7" t="str">
        <f>VLOOKUP(B554,Table1[[CIPCode]:[CIPTITLE]],4,FALSE)</f>
        <v>French Language and Literature.</v>
      </c>
    </row>
    <row r="555" spans="1:4" x14ac:dyDescent="0.2">
      <c r="A555" s="7" t="s">
        <v>15962</v>
      </c>
      <c r="B555" s="6" t="s">
        <v>16055</v>
      </c>
      <c r="C555" s="6" t="s">
        <v>5836</v>
      </c>
      <c r="D555" s="7" t="str">
        <f>VLOOKUP(B555,Table1[[CIPCode]:[CIPTITLE]],4,FALSE)</f>
        <v>Italian Language and Literature.</v>
      </c>
    </row>
    <row r="556" spans="1:4" x14ac:dyDescent="0.2">
      <c r="A556" s="7" t="s">
        <v>15962</v>
      </c>
      <c r="B556" s="6" t="s">
        <v>16059</v>
      </c>
      <c r="C556" s="6" t="s">
        <v>5837</v>
      </c>
      <c r="D556" s="7" t="str">
        <f>VLOOKUP(B556,Table1[[CIPCode]:[CIPTITLE]],4,FALSE)</f>
        <v>Portuguese Language and Literature.</v>
      </c>
    </row>
    <row r="557" spans="1:4" x14ac:dyDescent="0.2">
      <c r="A557" s="7" t="s">
        <v>15962</v>
      </c>
      <c r="B557" s="6" t="s">
        <v>16063</v>
      </c>
      <c r="C557" s="6" t="s">
        <v>5838</v>
      </c>
      <c r="D557" s="7" t="str">
        <f>VLOOKUP(B557,Table1[[CIPCode]:[CIPTITLE]],4,FALSE)</f>
        <v>Spanish Language and Literature.</v>
      </c>
    </row>
    <row r="558" spans="1:4" x14ac:dyDescent="0.2">
      <c r="A558" s="7" t="s">
        <v>15962</v>
      </c>
      <c r="B558" s="6" t="s">
        <v>16067</v>
      </c>
      <c r="C558" s="6" t="s">
        <v>5841</v>
      </c>
      <c r="D558" s="7" t="str">
        <f>VLOOKUP(B558,Table1[[CIPCode]:[CIPTITLE]],4,FALSE)</f>
        <v>Romance Languages, Literatures, and Linguistics, Other.</v>
      </c>
    </row>
    <row r="559" spans="1:4" x14ac:dyDescent="0.2">
      <c r="A559" s="7" t="s">
        <v>15962</v>
      </c>
      <c r="B559" s="6" t="s">
        <v>9871</v>
      </c>
      <c r="C559" s="6" t="s">
        <v>21237</v>
      </c>
      <c r="D559" s="7" t="str">
        <f>VLOOKUP(B559,Table1[[CIPCode]:[CIPTITLE]],4,FALSE)</f>
        <v>American Indian/Native American Languages, Literatures, and Linguistics.</v>
      </c>
    </row>
    <row r="560" spans="1:4" x14ac:dyDescent="0.2">
      <c r="A560" s="7" t="s">
        <v>15962</v>
      </c>
      <c r="B560" s="6" t="s">
        <v>11356</v>
      </c>
      <c r="C560" s="6" t="s">
        <v>21237</v>
      </c>
      <c r="D560" s="7" t="str">
        <f>VLOOKUP(B560,Table1[[CIPCode]:[CIPTITLE]],4,FALSE)</f>
        <v>American Indian/Native American Languages, Literatures, and Linguistics.</v>
      </c>
    </row>
    <row r="561" spans="1:4" x14ac:dyDescent="0.2">
      <c r="A561" s="7" t="s">
        <v>15962</v>
      </c>
      <c r="B561" s="6" t="s">
        <v>11338</v>
      </c>
      <c r="C561" s="6" t="s">
        <v>5845</v>
      </c>
      <c r="D561" s="7" t="str">
        <f>VLOOKUP(B561,Table1[[CIPCode]:[CIPTITLE]],4,FALSE)</f>
        <v>Middle/Near Eastern and Semitic Languages, Literatures, and Linguistics.</v>
      </c>
    </row>
    <row r="562" spans="1:4" x14ac:dyDescent="0.2">
      <c r="A562" s="7" t="s">
        <v>15962</v>
      </c>
      <c r="B562" s="6" t="s">
        <v>16075</v>
      </c>
      <c r="C562" s="6" t="s">
        <v>5847</v>
      </c>
      <c r="D562" s="7" t="str">
        <f>VLOOKUP(B562,Table1[[CIPCode]:[CIPTITLE]],4,FALSE)</f>
        <v>Arabic Language and Literature.</v>
      </c>
    </row>
    <row r="563" spans="1:4" x14ac:dyDescent="0.2">
      <c r="A563" s="7" t="s">
        <v>15962</v>
      </c>
      <c r="B563" s="6" t="s">
        <v>16079</v>
      </c>
      <c r="C563" s="6" t="s">
        <v>5848</v>
      </c>
      <c r="D563" s="7" t="str">
        <f>VLOOKUP(B563,Table1[[CIPCode]:[CIPTITLE]],4,FALSE)</f>
        <v>Hebrew Language and Literature.</v>
      </c>
    </row>
    <row r="564" spans="1:4" x14ac:dyDescent="0.2">
      <c r="A564" s="7" t="s">
        <v>15962</v>
      </c>
      <c r="B564" s="6" t="s">
        <v>9885</v>
      </c>
      <c r="C564" s="6" t="s">
        <v>21238</v>
      </c>
      <c r="D564" s="7" t="str">
        <f>VLOOKUP(B564,Table1[[CIPCode]:[CIPTITLE]],4,FALSE)</f>
        <v>Ancient Near Eastern and Biblical Languages, Literatures, and Linguistics.</v>
      </c>
    </row>
    <row r="565" spans="1:4" x14ac:dyDescent="0.2">
      <c r="A565" s="7" t="s">
        <v>15962</v>
      </c>
      <c r="B565" s="6" t="s">
        <v>16083</v>
      </c>
      <c r="C565" s="6" t="s">
        <v>21239</v>
      </c>
      <c r="D565" s="7" t="str">
        <f>VLOOKUP(B565,Table1[[CIPCode]:[CIPTITLE]],4,FALSE)</f>
        <v>Middle/Near Eastern and Semitic Languages, Literatures, and Linguistics, Other.</v>
      </c>
    </row>
    <row r="566" spans="1:4" x14ac:dyDescent="0.2">
      <c r="A566" s="7" t="s">
        <v>15962</v>
      </c>
      <c r="B566" s="6" t="s">
        <v>9891</v>
      </c>
      <c r="C566" s="6" t="s">
        <v>5853</v>
      </c>
      <c r="D566" s="7" t="str">
        <f>VLOOKUP(B566,Table1[[CIPCode]:[CIPTITLE]],4,FALSE)</f>
        <v>Classics and Classical Languages, Literatures, and Linguistics.</v>
      </c>
    </row>
    <row r="567" spans="1:4" x14ac:dyDescent="0.2">
      <c r="A567" s="7" t="s">
        <v>15962</v>
      </c>
      <c r="B567" s="6" t="s">
        <v>16087</v>
      </c>
      <c r="C567" s="6" t="s">
        <v>21240</v>
      </c>
      <c r="D567" s="7" t="str">
        <f>VLOOKUP(B567,Table1[[CIPCode]:[CIPTITLE]],4,FALSE)</f>
        <v>Classics and Classical Languages, Literatures, and Linguistics, General.</v>
      </c>
    </row>
    <row r="568" spans="1:4" x14ac:dyDescent="0.2">
      <c r="A568" s="7" t="s">
        <v>15962</v>
      </c>
      <c r="B568" s="6" t="s">
        <v>16095</v>
      </c>
      <c r="C568" s="6" t="s">
        <v>5859</v>
      </c>
      <c r="D568" s="7" t="str">
        <f>VLOOKUP(B568,Table1[[CIPCode]:[CIPTITLE]],4,FALSE)</f>
        <v>Ancient/Classical Greek Language and Literature.</v>
      </c>
    </row>
    <row r="569" spans="1:4" x14ac:dyDescent="0.2">
      <c r="A569" s="7" t="s">
        <v>15962</v>
      </c>
      <c r="B569" s="6" t="s">
        <v>16099</v>
      </c>
      <c r="C569" s="6" t="s">
        <v>5861</v>
      </c>
      <c r="D569" s="7" t="str">
        <f>VLOOKUP(B569,Table1[[CIPCode]:[CIPTITLE]],4,FALSE)</f>
        <v>Latin Language and Literature.</v>
      </c>
    </row>
    <row r="570" spans="1:4" x14ac:dyDescent="0.2">
      <c r="A570" s="7" t="s">
        <v>15962</v>
      </c>
      <c r="B570" s="6" t="s">
        <v>16103</v>
      </c>
      <c r="C570" s="6" t="s">
        <v>21241</v>
      </c>
      <c r="D570" s="7" t="str">
        <f>VLOOKUP(B570,Table1[[CIPCode]:[CIPTITLE]],4,FALSE)</f>
        <v>Classics and Classical Languages, Literatures, and Linguistics, Other.</v>
      </c>
    </row>
    <row r="571" spans="1:4" x14ac:dyDescent="0.2">
      <c r="A571" s="7" t="s">
        <v>15962</v>
      </c>
      <c r="B571" s="6" t="s">
        <v>9907</v>
      </c>
      <c r="C571" s="6" t="s">
        <v>21242</v>
      </c>
      <c r="D571" s="7" t="str">
        <f>VLOOKUP(B571,Table1[[CIPCode]:[CIPTITLE]],4,FALSE)</f>
        <v>Celtic Languages, Literatures, and Linguistics.</v>
      </c>
    </row>
    <row r="572" spans="1:4" x14ac:dyDescent="0.2">
      <c r="A572" s="7" t="s">
        <v>15962</v>
      </c>
      <c r="B572" s="6" t="s">
        <v>11348</v>
      </c>
      <c r="C572" s="6" t="s">
        <v>21242</v>
      </c>
      <c r="D572" s="7" t="str">
        <f>VLOOKUP(B572,Table1[[CIPCode]:[CIPTITLE]],4,FALSE)</f>
        <v>Celtic Languages, Literatures, and Linguistics.</v>
      </c>
    </row>
    <row r="573" spans="1:4" x14ac:dyDescent="0.2">
      <c r="A573" s="7" t="s">
        <v>15962</v>
      </c>
      <c r="B573" s="6" t="s">
        <v>9958</v>
      </c>
      <c r="C573" s="6" t="s">
        <v>21243</v>
      </c>
      <c r="D573" s="7" t="str">
        <f>VLOOKUP(B573,Table1[[CIPCode]:[CIPTITLE]],4,FALSE)</f>
        <v>American Sign Language.</v>
      </c>
    </row>
    <row r="574" spans="1:4" x14ac:dyDescent="0.2">
      <c r="A574" s="7" t="s">
        <v>15962</v>
      </c>
      <c r="B574" s="6" t="s">
        <v>9961</v>
      </c>
      <c r="C574" s="6" t="s">
        <v>21243</v>
      </c>
      <c r="D574" s="7" t="str">
        <f>VLOOKUP(B574,Table1[[CIPCode]:[CIPTITLE]],4,FALSE)</f>
        <v>American Sign Language (ASL).</v>
      </c>
    </row>
    <row r="575" spans="1:4" x14ac:dyDescent="0.2">
      <c r="A575" s="7" t="s">
        <v>15962</v>
      </c>
      <c r="B575" s="6" t="s">
        <v>10610</v>
      </c>
      <c r="C575" s="6" t="s">
        <v>4984</v>
      </c>
      <c r="D575" s="7" t="str">
        <f>VLOOKUP(B575,Table1[[CIPCode]:[CIPTITLE]],4,FALSE)</f>
        <v>Sign Language Interpretation and Translation.</v>
      </c>
    </row>
    <row r="576" spans="1:4" x14ac:dyDescent="0.2">
      <c r="A576" s="7" t="s">
        <v>15962</v>
      </c>
      <c r="B576" s="6" t="s">
        <v>9969</v>
      </c>
      <c r="C576" s="6" t="s">
        <v>21244</v>
      </c>
      <c r="D576" s="7" t="str">
        <f>VLOOKUP(B576,Table1[[CIPCode]:[CIPTITLE]],4,FALSE)</f>
        <v>American Sign Language, Other.</v>
      </c>
    </row>
    <row r="577" spans="1:4" x14ac:dyDescent="0.2">
      <c r="A577" s="7" t="s">
        <v>15962</v>
      </c>
      <c r="B577" s="6" t="s">
        <v>9972</v>
      </c>
      <c r="C577" s="6" t="s">
        <v>5878</v>
      </c>
      <c r="D577" s="7" t="str">
        <f>VLOOKUP(B577,Table1[[CIPCode]:[CIPTITLE]],4,FALSE)</f>
        <v>Foreign Languages, Literatures, and Linguistics, Other.</v>
      </c>
    </row>
    <row r="578" spans="1:4" x14ac:dyDescent="0.2">
      <c r="A578" s="7" t="s">
        <v>15962</v>
      </c>
      <c r="B578" s="6" t="s">
        <v>16111</v>
      </c>
      <c r="C578" s="6" t="s">
        <v>5878</v>
      </c>
      <c r="D578" s="7" t="str">
        <f>VLOOKUP(B578,Table1[[CIPCode]:[CIPTITLE]],4,FALSE)</f>
        <v>Foreign Languages, Literatures, and Linguistics, Other.</v>
      </c>
    </row>
    <row r="579" spans="1:4" x14ac:dyDescent="0.2">
      <c r="A579" s="7" t="s">
        <v>17136</v>
      </c>
      <c r="B579" s="6" t="s">
        <v>17136</v>
      </c>
      <c r="C579" s="6" t="s">
        <v>21245</v>
      </c>
      <c r="D579" s="7" t="e">
        <f>VLOOKUP(B579,Table1[[CIPCode]:[CIPTITLE]],4,FALSE)</f>
        <v>#N/A</v>
      </c>
    </row>
    <row r="580" spans="1:4" x14ac:dyDescent="0.2">
      <c r="A580" s="7" t="s">
        <v>17136</v>
      </c>
      <c r="B580" s="6" t="s">
        <v>9977</v>
      </c>
      <c r="C580" s="6" t="s">
        <v>21246</v>
      </c>
      <c r="D580" s="7" t="str">
        <f>VLOOKUP(B580,Table1[[CIPCode]:[CIPTITLE]],4,FALSE)</f>
        <v>Work and Family Studies.</v>
      </c>
    </row>
    <row r="581" spans="1:4" x14ac:dyDescent="0.2">
      <c r="A581" s="7" t="s">
        <v>17136</v>
      </c>
      <c r="B581" s="6" t="s">
        <v>16113</v>
      </c>
      <c r="C581" s="6" t="s">
        <v>21246</v>
      </c>
      <c r="D581" s="7" t="str">
        <f>VLOOKUP(B581,Table1[[CIPCode]:[CIPTITLE]],4,FALSE)</f>
        <v>Work and Family Studies.</v>
      </c>
    </row>
    <row r="582" spans="1:4" x14ac:dyDescent="0.2">
      <c r="A582" s="7" t="s">
        <v>17136</v>
      </c>
      <c r="B582" s="6" t="s">
        <v>9981</v>
      </c>
      <c r="C582" s="6" t="s">
        <v>5882</v>
      </c>
      <c r="D582" s="7" t="str">
        <f>VLOOKUP(B582,Table1[[CIPCode]:[CIPTITLE]],4,FALSE)</f>
        <v>Family and Consumer Sciences/Human Sciences, General.</v>
      </c>
    </row>
    <row r="583" spans="1:4" x14ac:dyDescent="0.2">
      <c r="A583" s="7" t="s">
        <v>17136</v>
      </c>
      <c r="B583" s="6" t="s">
        <v>17137</v>
      </c>
      <c r="C583" s="6" t="s">
        <v>5882</v>
      </c>
      <c r="D583" s="7" t="str">
        <f>VLOOKUP(B583,Table1[[CIPCode]:[CIPTITLE]],4,FALSE)</f>
        <v>Family and Consumer Sciences/Human Sciences, General.</v>
      </c>
    </row>
    <row r="584" spans="1:4" x14ac:dyDescent="0.2">
      <c r="A584" s="7" t="s">
        <v>17136</v>
      </c>
      <c r="B584" s="6" t="s">
        <v>9984</v>
      </c>
      <c r="C584" s="6" t="s">
        <v>21247</v>
      </c>
      <c r="D584" s="7" t="str">
        <f>VLOOKUP(B584,Table1[[CIPCode]:[CIPTITLE]],4,FALSE)</f>
        <v>Family and Consumer Sciences/Human Sciences Business Services.</v>
      </c>
    </row>
    <row r="585" spans="1:4" x14ac:dyDescent="0.2">
      <c r="A585" s="7" t="s">
        <v>17136</v>
      </c>
      <c r="B585" s="6" t="s">
        <v>17145</v>
      </c>
      <c r="C585" s="6" t="s">
        <v>5886</v>
      </c>
      <c r="D585" s="7" t="str">
        <f>VLOOKUP(B585,Table1[[CIPCode]:[CIPTITLE]],4,FALSE)</f>
        <v>Business Family and Consumer Sciences/Human Sciences.</v>
      </c>
    </row>
    <row r="586" spans="1:4" x14ac:dyDescent="0.2">
      <c r="A586" s="7" t="s">
        <v>17136</v>
      </c>
      <c r="B586" s="6" t="s">
        <v>17149</v>
      </c>
      <c r="C586" s="6" t="s">
        <v>5892</v>
      </c>
      <c r="D586" s="7" t="str">
        <f>VLOOKUP(B586,Table1[[CIPCode]:[CIPTITLE]],4,FALSE)</f>
        <v>Family and Consumer Sciences/Human Sciences Communication.</v>
      </c>
    </row>
    <row r="587" spans="1:4" x14ac:dyDescent="0.2">
      <c r="A587" s="7" t="s">
        <v>17136</v>
      </c>
      <c r="B587" s="6" t="s">
        <v>9991</v>
      </c>
      <c r="C587" s="6" t="s">
        <v>21248</v>
      </c>
      <c r="D587" s="7" t="str">
        <f>VLOOKUP(B587,Table1[[CIPCode]:[CIPTITLE]],4,FALSE)</f>
        <v>Consumer Merchandising/Retailing Management.</v>
      </c>
    </row>
    <row r="588" spans="1:4" x14ac:dyDescent="0.2">
      <c r="A588" s="7" t="s">
        <v>17136</v>
      </c>
      <c r="B588" s="6" t="s">
        <v>9998</v>
      </c>
      <c r="C588" s="6" t="s">
        <v>21249</v>
      </c>
      <c r="D588" s="7" t="str">
        <f>VLOOKUP(B588,Table1[[CIPCode]:[CIPTITLE]],4,FALSE)</f>
        <v>Family and Consumer Sciences/Human Sciences Business Services, Other.</v>
      </c>
    </row>
    <row r="589" spans="1:4" x14ac:dyDescent="0.2">
      <c r="A589" s="7" t="s">
        <v>17136</v>
      </c>
      <c r="B589" s="6" t="s">
        <v>10004</v>
      </c>
      <c r="C589" s="6" t="s">
        <v>21250</v>
      </c>
      <c r="D589" s="7" t="str">
        <f>VLOOKUP(B589,Table1[[CIPCode]:[CIPTITLE]],4,FALSE)</f>
        <v>Family and Consumer Economics and Related Studies.</v>
      </c>
    </row>
    <row r="590" spans="1:4" x14ac:dyDescent="0.2">
      <c r="A590" s="7" t="s">
        <v>17136</v>
      </c>
      <c r="B590" s="6" t="s">
        <v>17164</v>
      </c>
      <c r="C590" s="6" t="s">
        <v>5898</v>
      </c>
      <c r="D590" s="7" t="str">
        <f>VLOOKUP(B590,Table1[[CIPCode]:[CIPTITLE]],4,FALSE)</f>
        <v>Family Resource Management Studies, General.</v>
      </c>
    </row>
    <row r="591" spans="1:4" x14ac:dyDescent="0.2">
      <c r="A591" s="7" t="s">
        <v>17136</v>
      </c>
      <c r="B591" s="6" t="s">
        <v>17168</v>
      </c>
      <c r="C591" s="6" t="s">
        <v>5900</v>
      </c>
      <c r="D591" s="7" t="str">
        <f>VLOOKUP(B591,Table1[[CIPCode]:[CIPTITLE]],4,FALSE)</f>
        <v>Consumer Economics.</v>
      </c>
    </row>
    <row r="592" spans="1:4" x14ac:dyDescent="0.2">
      <c r="A592" s="7" t="s">
        <v>17136</v>
      </c>
      <c r="B592" s="6" t="s">
        <v>17172</v>
      </c>
      <c r="C592" s="6" t="s">
        <v>5902</v>
      </c>
      <c r="D592" s="7" t="str">
        <f>VLOOKUP(B592,Table1[[CIPCode]:[CIPTITLE]],4,FALSE)</f>
        <v>Family and Consumer Economics and Related Services, Other.</v>
      </c>
    </row>
    <row r="593" spans="1:4" x14ac:dyDescent="0.2">
      <c r="A593" s="7" t="s">
        <v>17136</v>
      </c>
      <c r="B593" s="6" t="s">
        <v>10018</v>
      </c>
      <c r="C593" s="6" t="s">
        <v>5904</v>
      </c>
      <c r="D593" s="7" t="str">
        <f>VLOOKUP(B593,Table1[[CIPCode]:[CIPTITLE]],4,FALSE)</f>
        <v>Foods, Nutrition, and Related Services.</v>
      </c>
    </row>
    <row r="594" spans="1:4" x14ac:dyDescent="0.2">
      <c r="A594" s="7" t="s">
        <v>17136</v>
      </c>
      <c r="B594" s="6" t="s">
        <v>17180</v>
      </c>
      <c r="C594" s="6" t="s">
        <v>5906</v>
      </c>
      <c r="D594" s="7" t="str">
        <f>VLOOKUP(B594,Table1[[CIPCode]:[CIPTITLE]],4,FALSE)</f>
        <v>Foods, Nutrition, and Wellness Studies, General.</v>
      </c>
    </row>
    <row r="595" spans="1:4" x14ac:dyDescent="0.2">
      <c r="A595" s="7" t="s">
        <v>17136</v>
      </c>
      <c r="B595" s="6" t="s">
        <v>12370</v>
      </c>
      <c r="C595" s="6" t="s">
        <v>12371</v>
      </c>
      <c r="D595" s="7" t="str">
        <f>VLOOKUP(B595,Table1[[CIPCode]:[CIPTITLE]],4,FALSE)</f>
        <v>Human Nutrition.</v>
      </c>
    </row>
    <row r="596" spans="1:4" x14ac:dyDescent="0.2">
      <c r="A596" s="7" t="s">
        <v>17136</v>
      </c>
      <c r="B596" s="6" t="s">
        <v>17192</v>
      </c>
      <c r="C596" s="6" t="s">
        <v>5911</v>
      </c>
      <c r="D596" s="7" t="str">
        <f>VLOOKUP(B596,Table1[[CIPCode]:[CIPTITLE]],4,FALSE)</f>
        <v>Foodservice Systems Administration/Management.</v>
      </c>
    </row>
    <row r="597" spans="1:4" x14ac:dyDescent="0.2">
      <c r="A597" s="7" t="s">
        <v>17136</v>
      </c>
      <c r="B597" s="6" t="s">
        <v>17196</v>
      </c>
      <c r="C597" s="6" t="s">
        <v>5915</v>
      </c>
      <c r="D597" s="7" t="str">
        <f>VLOOKUP(B597,Table1[[CIPCode]:[CIPTITLE]],4,FALSE)</f>
        <v>Foods, Nutrition, and Related Services, Other.</v>
      </c>
    </row>
    <row r="598" spans="1:4" x14ac:dyDescent="0.2">
      <c r="A598" s="7" t="s">
        <v>17136</v>
      </c>
      <c r="B598" s="6" t="s">
        <v>10034</v>
      </c>
      <c r="C598" s="6" t="s">
        <v>5912</v>
      </c>
      <c r="D598" s="7" t="str">
        <f>VLOOKUP(B598,Table1[[CIPCode]:[CIPTITLE]],4,FALSE)</f>
        <v>Housing and Human Environments.</v>
      </c>
    </row>
    <row r="599" spans="1:4" x14ac:dyDescent="0.2">
      <c r="A599" s="7" t="s">
        <v>17136</v>
      </c>
      <c r="B599" s="6" t="s">
        <v>17204</v>
      </c>
      <c r="C599" s="6" t="s">
        <v>5913</v>
      </c>
      <c r="D599" s="7" t="str">
        <f>VLOOKUP(B599,Table1[[CIPCode]:[CIPTITLE]],4,FALSE)</f>
        <v>Housing and Human Environments, General.</v>
      </c>
    </row>
    <row r="600" spans="1:4" x14ac:dyDescent="0.2">
      <c r="A600" s="7" t="s">
        <v>17136</v>
      </c>
      <c r="B600" s="6" t="s">
        <v>10040</v>
      </c>
      <c r="C600" s="6" t="s">
        <v>21251</v>
      </c>
      <c r="D600" s="7" t="str">
        <f>VLOOKUP(B600,Table1[[CIPCode]:[CIPTITLE]],4,FALSE)</f>
        <v>Facilities Planning and Management.</v>
      </c>
    </row>
    <row r="601" spans="1:4" x14ac:dyDescent="0.2">
      <c r="A601" s="7" t="s">
        <v>17136</v>
      </c>
      <c r="B601" s="6" t="s">
        <v>10043</v>
      </c>
      <c r="C601" s="6" t="s">
        <v>5972</v>
      </c>
      <c r="D601" s="7" t="str">
        <f>VLOOKUP(B601,Table1[[CIPCode]:[CIPTITLE]],4,FALSE)</f>
        <v>Home Furnishings and Equipment Installers.</v>
      </c>
    </row>
    <row r="602" spans="1:4" x14ac:dyDescent="0.2">
      <c r="A602" s="7" t="s">
        <v>17136</v>
      </c>
      <c r="B602" s="6" t="s">
        <v>17212</v>
      </c>
      <c r="C602" s="6" t="s">
        <v>5917</v>
      </c>
      <c r="D602" s="7" t="str">
        <f>VLOOKUP(B602,Table1[[CIPCode]:[CIPTITLE]],4,FALSE)</f>
        <v>Housing and Human Environments, Other.</v>
      </c>
    </row>
    <row r="603" spans="1:4" x14ac:dyDescent="0.2">
      <c r="A603" s="7" t="s">
        <v>17136</v>
      </c>
      <c r="B603" s="6" t="s">
        <v>10048</v>
      </c>
      <c r="C603" s="6" t="s">
        <v>5921</v>
      </c>
      <c r="D603" s="7" t="str">
        <f>VLOOKUP(B603,Table1[[CIPCode]:[CIPTITLE]],4,FALSE)</f>
        <v>Human Development, Family Studies, and Related Services.</v>
      </c>
    </row>
    <row r="604" spans="1:4" x14ac:dyDescent="0.2">
      <c r="A604" s="7" t="s">
        <v>17136</v>
      </c>
      <c r="B604" s="6" t="s">
        <v>17220</v>
      </c>
      <c r="C604" s="6" t="s">
        <v>5923</v>
      </c>
      <c r="D604" s="7" t="str">
        <f>VLOOKUP(B604,Table1[[CIPCode]:[CIPTITLE]],4,FALSE)</f>
        <v>Human Development and Family Studies, General.</v>
      </c>
    </row>
    <row r="605" spans="1:4" x14ac:dyDescent="0.2">
      <c r="A605" s="7" t="s">
        <v>17136</v>
      </c>
      <c r="B605" s="6" t="s">
        <v>10053</v>
      </c>
      <c r="C605" s="6" t="s">
        <v>21252</v>
      </c>
      <c r="D605" s="7" t="str">
        <f>VLOOKUP(B605,Table1[[CIPCode]:[CIPTITLE]],4,FALSE)</f>
        <v>Adult Development and Aging.</v>
      </c>
    </row>
    <row r="606" spans="1:4" x14ac:dyDescent="0.2">
      <c r="A606" s="7" t="s">
        <v>17136</v>
      </c>
      <c r="B606" s="6" t="s">
        <v>16123</v>
      </c>
      <c r="C606" s="6" t="s">
        <v>5888</v>
      </c>
      <c r="D606" s="7" t="str">
        <f>VLOOKUP(B606,Table1[[CIPCode]:[CIPTITLE]],4,FALSE)</f>
        <v>Family Systems.</v>
      </c>
    </row>
    <row r="607" spans="1:4" x14ac:dyDescent="0.2">
      <c r="A607" s="7" t="s">
        <v>17136</v>
      </c>
      <c r="B607" s="6" t="s">
        <v>16131</v>
      </c>
      <c r="C607" s="6" t="s">
        <v>5891</v>
      </c>
      <c r="D607" s="7" t="str">
        <f>VLOOKUP(B607,Table1[[CIPCode]:[CIPTITLE]],4,FALSE)</f>
        <v>Child Development.</v>
      </c>
    </row>
    <row r="608" spans="1:4" x14ac:dyDescent="0.2">
      <c r="A608" s="7" t="s">
        <v>17136</v>
      </c>
      <c r="B608" s="6" t="s">
        <v>10067</v>
      </c>
      <c r="C608" s="6" t="s">
        <v>5896</v>
      </c>
      <c r="D608" s="7" t="str">
        <f>VLOOKUP(B608,Table1[[CIPCode]:[CIPTITLE]],4,FALSE)</f>
        <v>Family and Community Services.</v>
      </c>
    </row>
    <row r="609" spans="1:4" x14ac:dyDescent="0.2">
      <c r="A609" s="7" t="s">
        <v>17136</v>
      </c>
      <c r="B609" s="6" t="s">
        <v>10073</v>
      </c>
      <c r="C609" s="6" t="s">
        <v>21253</v>
      </c>
      <c r="D609" s="7" t="str">
        <f>VLOOKUP(B609,Table1[[CIPCode]:[CIPTITLE]],4,FALSE)</f>
        <v>Child Care and Support Services Management.</v>
      </c>
    </row>
    <row r="610" spans="1:4" x14ac:dyDescent="0.2">
      <c r="A610" s="7" t="s">
        <v>17136</v>
      </c>
      <c r="B610" s="6" t="s">
        <v>10076</v>
      </c>
      <c r="C610" s="6" t="s">
        <v>16215</v>
      </c>
      <c r="D610" s="7" t="str">
        <f>VLOOKUP(B610,Table1[[CIPCode]:[CIPTITLE]],4,FALSE)</f>
        <v>Child Care Provider/Assistant.</v>
      </c>
    </row>
    <row r="611" spans="1:4" x14ac:dyDescent="0.2">
      <c r="A611" s="7" t="s">
        <v>17136</v>
      </c>
      <c r="B611" s="6" t="s">
        <v>16135</v>
      </c>
      <c r="C611" s="6" t="s">
        <v>5926</v>
      </c>
      <c r="D611" s="7" t="str">
        <f>VLOOKUP(B611,Table1[[CIPCode]:[CIPTITLE]],4,FALSE)</f>
        <v>Human Development, Family Studies, and Related Services, Other.</v>
      </c>
    </row>
    <row r="612" spans="1:4" x14ac:dyDescent="0.2">
      <c r="A612" s="7" t="s">
        <v>17136</v>
      </c>
      <c r="B612" s="6" t="s">
        <v>10081</v>
      </c>
      <c r="C612" s="6" t="s">
        <v>5928</v>
      </c>
      <c r="D612" s="7" t="str">
        <f>VLOOKUP(B612,Table1[[CIPCode]:[CIPTITLE]],4,FALSE)</f>
        <v>Apparel and Textiles.</v>
      </c>
    </row>
    <row r="613" spans="1:4" x14ac:dyDescent="0.2">
      <c r="A613" s="7" t="s">
        <v>17136</v>
      </c>
      <c r="B613" s="6" t="s">
        <v>16143</v>
      </c>
      <c r="C613" s="6" t="s">
        <v>5929</v>
      </c>
      <c r="D613" s="7" t="str">
        <f>VLOOKUP(B613,Table1[[CIPCode]:[CIPTITLE]],4,FALSE)</f>
        <v>Apparel and Textiles, General.</v>
      </c>
    </row>
    <row r="614" spans="1:4" x14ac:dyDescent="0.2">
      <c r="A614" s="7" t="s">
        <v>17136</v>
      </c>
      <c r="B614" s="6" t="s">
        <v>12378</v>
      </c>
      <c r="C614" s="6" t="s">
        <v>5950</v>
      </c>
      <c r="D614" s="7" t="str">
        <f>VLOOKUP(B614,Table1[[CIPCode]:[CIPTITLE]],4,FALSE)</f>
        <v>Apparel and Textile Manufacture.</v>
      </c>
    </row>
    <row r="615" spans="1:4" x14ac:dyDescent="0.2">
      <c r="A615" s="7" t="s">
        <v>17136</v>
      </c>
      <c r="B615" s="6" t="s">
        <v>9586</v>
      </c>
      <c r="C615" s="6" t="s">
        <v>5948</v>
      </c>
      <c r="D615" s="7" t="str">
        <f>VLOOKUP(B615,Table1[[CIPCode]:[CIPTITLE]],4,FALSE)</f>
        <v>Apparel and Textile Marketing Management.</v>
      </c>
    </row>
    <row r="616" spans="1:4" x14ac:dyDescent="0.2">
      <c r="A616" s="7" t="s">
        <v>17136</v>
      </c>
      <c r="B616" s="6" t="s">
        <v>9591</v>
      </c>
      <c r="C616" s="6" t="s">
        <v>5952</v>
      </c>
      <c r="D616" s="7" t="str">
        <f>VLOOKUP(B616,Table1[[CIPCode]:[CIPTITLE]],4,FALSE)</f>
        <v>Fashion and Fabric Consultant.</v>
      </c>
    </row>
    <row r="617" spans="1:4" x14ac:dyDescent="0.2">
      <c r="A617" s="7" t="s">
        <v>17136</v>
      </c>
      <c r="B617" s="6" t="s">
        <v>9594</v>
      </c>
      <c r="C617" s="6" t="s">
        <v>21254</v>
      </c>
      <c r="D617" s="7" t="str">
        <f>VLOOKUP(B617,Table1[[CIPCode]:[CIPTITLE]],4,FALSE)</f>
        <v>Apparel and Textiles, Other.</v>
      </c>
    </row>
    <row r="618" spans="1:4" x14ac:dyDescent="0.2">
      <c r="A618" s="7" t="s">
        <v>17136</v>
      </c>
      <c r="B618" s="6" t="s">
        <v>9597</v>
      </c>
      <c r="C618" s="6" t="s">
        <v>5931</v>
      </c>
      <c r="D618" s="7" t="str">
        <f>VLOOKUP(B618,Table1[[CIPCode]:[CIPTITLE]],4,FALSE)</f>
        <v>Family and Consumer Sciences/Human Sciences, Other.</v>
      </c>
    </row>
    <row r="619" spans="1:4" x14ac:dyDescent="0.2">
      <c r="A619" s="7" t="s">
        <v>17136</v>
      </c>
      <c r="B619" s="6" t="s">
        <v>16150</v>
      </c>
      <c r="C619" s="6" t="s">
        <v>5931</v>
      </c>
      <c r="D619" s="7" t="e">
        <f>VLOOKUP(B619,Table1[[CIPCode]:[CIPTITLE]],4,FALSE)</f>
        <v>#N/A</v>
      </c>
    </row>
    <row r="620" spans="1:4" x14ac:dyDescent="0.2">
      <c r="A620" s="7" t="s">
        <v>15656</v>
      </c>
      <c r="B620" s="6" t="s">
        <v>15656</v>
      </c>
      <c r="C620" s="6" t="s">
        <v>21255</v>
      </c>
      <c r="D620" s="7" t="e">
        <f>VLOOKUP(B620,Table1[[CIPCode]:[CIPTITLE]],4,FALSE)</f>
        <v>#N/A</v>
      </c>
    </row>
    <row r="621" spans="1:4" x14ac:dyDescent="0.2">
      <c r="A621" s="7" t="s">
        <v>15656</v>
      </c>
      <c r="B621" s="6" t="s">
        <v>9609</v>
      </c>
      <c r="C621" s="6" t="s">
        <v>21256</v>
      </c>
      <c r="D621" s="7" t="str">
        <f>VLOOKUP(B621,Table1[[CIPCode]:[CIPTITLE]],4,FALSE)</f>
        <v>Non-Professional General Legal Studies (Undergraduate).</v>
      </c>
    </row>
    <row r="622" spans="1:4" x14ac:dyDescent="0.2">
      <c r="A622" s="7" t="s">
        <v>15656</v>
      </c>
      <c r="B622" s="6" t="s">
        <v>15657</v>
      </c>
      <c r="C622" s="6" t="s">
        <v>21257</v>
      </c>
      <c r="D622" s="7" t="str">
        <f>VLOOKUP(B622,Table1[[CIPCode]:[CIPTITLE]],4,FALSE)</f>
        <v>Legal Studies, General.</v>
      </c>
    </row>
    <row r="623" spans="1:4" x14ac:dyDescent="0.2">
      <c r="A623" s="7" t="s">
        <v>15656</v>
      </c>
      <c r="B623" s="6" t="s">
        <v>9614</v>
      </c>
      <c r="C623" s="6" t="s">
        <v>15670</v>
      </c>
      <c r="D623" s="7" t="str">
        <f>VLOOKUP(B623,Table1[[CIPCode]:[CIPTITLE]],4,FALSE)</f>
        <v>Pre-Law Studies.</v>
      </c>
    </row>
    <row r="624" spans="1:4" x14ac:dyDescent="0.2">
      <c r="A624" s="7" t="s">
        <v>15656</v>
      </c>
      <c r="B624" s="6" t="s">
        <v>9617</v>
      </c>
      <c r="C624" s="6" t="s">
        <v>21258</v>
      </c>
      <c r="D624" s="7" t="str">
        <f>VLOOKUP(B624,Table1[[CIPCode]:[CIPTITLE]],4,FALSE)</f>
        <v>Law (LL.</v>
      </c>
    </row>
    <row r="625" spans="1:4" x14ac:dyDescent="0.2">
      <c r="A625" s="7" t="s">
        <v>15656</v>
      </c>
      <c r="B625" s="6" t="s">
        <v>15665</v>
      </c>
      <c r="C625" s="6" t="s">
        <v>21259</v>
      </c>
      <c r="D625" s="7" t="str">
        <f>VLOOKUP(B625,Table1[[CIPCode]:[CIPTITLE]],4,FALSE)</f>
        <v>Law (LL.</v>
      </c>
    </row>
    <row r="626" spans="1:4" x14ac:dyDescent="0.2">
      <c r="A626" s="7" t="s">
        <v>15656</v>
      </c>
      <c r="B626" s="6" t="s">
        <v>9628</v>
      </c>
      <c r="C626" s="6" t="s">
        <v>21260</v>
      </c>
      <c r="D626" s="7" t="str">
        <f>VLOOKUP(B626,Table1[[CIPCode]:[CIPTITLE]],4,FALSE)</f>
        <v>Legal Research and Advanced Professional Studies (Post-LL.</v>
      </c>
    </row>
    <row r="627" spans="1:4" x14ac:dyDescent="0.2">
      <c r="A627" s="7" t="s">
        <v>15656</v>
      </c>
      <c r="B627" s="6" t="s">
        <v>9631</v>
      </c>
      <c r="C627" s="6" t="s">
        <v>21261</v>
      </c>
      <c r="D627" s="7" t="str">
        <f>VLOOKUP(B627,Table1[[CIPCode]:[CIPTITLE]],4,FALSE)</f>
        <v>Advanced Legal Research/Studies, General (LL.</v>
      </c>
    </row>
    <row r="628" spans="1:4" x14ac:dyDescent="0.2">
      <c r="A628" s="7" t="s">
        <v>15656</v>
      </c>
      <c r="B628" s="6" t="s">
        <v>9634</v>
      </c>
      <c r="C628" s="6" t="s">
        <v>21262</v>
      </c>
      <c r="D628" s="7" t="str">
        <f>VLOOKUP(B628,Table1[[CIPCode]:[CIPTITLE]],4,FALSE)</f>
        <v>Programs for Foreign Lawyers (LL.</v>
      </c>
    </row>
    <row r="629" spans="1:4" x14ac:dyDescent="0.2">
      <c r="A629" s="7" t="s">
        <v>15656</v>
      </c>
      <c r="B629" s="6" t="s">
        <v>9637</v>
      </c>
      <c r="C629" s="6" t="s">
        <v>21263</v>
      </c>
      <c r="D629" s="7" t="str">
        <f>VLOOKUP(B629,Table1[[CIPCode]:[CIPTITLE]],4,FALSE)</f>
        <v>American/U.</v>
      </c>
    </row>
    <row r="630" spans="1:4" x14ac:dyDescent="0.2">
      <c r="A630" s="7" t="s">
        <v>15656</v>
      </c>
      <c r="B630" s="6" t="s">
        <v>9643</v>
      </c>
      <c r="C630" s="6" t="s">
        <v>21264</v>
      </c>
      <c r="D630" s="7" t="str">
        <f>VLOOKUP(B630,Table1[[CIPCode]:[CIPTITLE]],4,FALSE)</f>
        <v>Banking, Corporate, Finance, and Securities Law (LL.</v>
      </c>
    </row>
    <row r="631" spans="1:4" x14ac:dyDescent="0.2">
      <c r="A631" s="7" t="s">
        <v>15656</v>
      </c>
      <c r="B631" s="6" t="s">
        <v>9646</v>
      </c>
      <c r="C631" s="6" t="s">
        <v>21265</v>
      </c>
      <c r="D631" s="7" t="str">
        <f>VLOOKUP(B631,Table1[[CIPCode]:[CIPTITLE]],4,FALSE)</f>
        <v>Comparative Law (LL.</v>
      </c>
    </row>
    <row r="632" spans="1:4" x14ac:dyDescent="0.2">
      <c r="A632" s="7" t="s">
        <v>15656</v>
      </c>
      <c r="B632" s="6" t="s">
        <v>9649</v>
      </c>
      <c r="C632" s="6" t="s">
        <v>21266</v>
      </c>
      <c r="D632" s="7" t="str">
        <f>VLOOKUP(B632,Table1[[CIPCode]:[CIPTITLE]],4,FALSE)</f>
        <v>Energy, Environment, and Natural Resources Law (LL.</v>
      </c>
    </row>
    <row r="633" spans="1:4" x14ac:dyDescent="0.2">
      <c r="A633" s="7" t="s">
        <v>15656</v>
      </c>
      <c r="B633" s="6" t="s">
        <v>9652</v>
      </c>
      <c r="C633" s="6" t="s">
        <v>21267</v>
      </c>
      <c r="D633" s="7" t="str">
        <f>VLOOKUP(B633,Table1[[CIPCode]:[CIPTITLE]],4,FALSE)</f>
        <v>Health Law (LL.</v>
      </c>
    </row>
    <row r="634" spans="1:4" x14ac:dyDescent="0.2">
      <c r="A634" s="7" t="s">
        <v>15656</v>
      </c>
      <c r="B634" s="6" t="s">
        <v>9655</v>
      </c>
      <c r="C634" s="6" t="s">
        <v>21268</v>
      </c>
      <c r="D634" s="7" t="str">
        <f>VLOOKUP(B634,Table1[[CIPCode]:[CIPTITLE]],4,FALSE)</f>
        <v>International Law and Legal Studies (LL.</v>
      </c>
    </row>
    <row r="635" spans="1:4" x14ac:dyDescent="0.2">
      <c r="A635" s="7" t="s">
        <v>15656</v>
      </c>
      <c r="B635" s="6" t="s">
        <v>9658</v>
      </c>
      <c r="C635" s="6" t="s">
        <v>21269</v>
      </c>
      <c r="D635" s="7" t="str">
        <f>VLOOKUP(B635,Table1[[CIPCode]:[CIPTITLE]],4,FALSE)</f>
        <v>International Business, Trade, and Tax Law (LL.</v>
      </c>
    </row>
    <row r="636" spans="1:4" x14ac:dyDescent="0.2">
      <c r="A636" s="7" t="s">
        <v>15656</v>
      </c>
      <c r="B636" s="6" t="s">
        <v>9661</v>
      </c>
      <c r="C636" s="6" t="s">
        <v>21270</v>
      </c>
      <c r="D636" s="7" t="str">
        <f>VLOOKUP(B636,Table1[[CIPCode]:[CIPTITLE]],4,FALSE)</f>
        <v>Tax Law/Taxation (LL.</v>
      </c>
    </row>
    <row r="637" spans="1:4" x14ac:dyDescent="0.2">
      <c r="A637" s="7" t="s">
        <v>15656</v>
      </c>
      <c r="B637" s="6" t="s">
        <v>9664</v>
      </c>
      <c r="C637" s="6" t="s">
        <v>21271</v>
      </c>
      <c r="D637" s="7" t="str">
        <f>VLOOKUP(B637,Table1[[CIPCode]:[CIPTITLE]],4,FALSE)</f>
        <v>Legal Research and Advanced Professional Studies, Other.</v>
      </c>
    </row>
    <row r="638" spans="1:4" x14ac:dyDescent="0.2">
      <c r="A638" s="7" t="s">
        <v>15656</v>
      </c>
      <c r="B638" s="6" t="s">
        <v>9667</v>
      </c>
      <c r="C638" s="6" t="s">
        <v>21272</v>
      </c>
      <c r="D638" s="7" t="str">
        <f>VLOOKUP(B638,Table1[[CIPCode]:[CIPTITLE]],4,FALSE)</f>
        <v>Legal Support Services.</v>
      </c>
    </row>
    <row r="639" spans="1:4" x14ac:dyDescent="0.2">
      <c r="A639" s="7" t="s">
        <v>15656</v>
      </c>
      <c r="B639" s="6" t="s">
        <v>9670</v>
      </c>
      <c r="C639" s="6" t="s">
        <v>12786</v>
      </c>
      <c r="D639" s="7" t="str">
        <f>VLOOKUP(B639,Table1[[CIPCode]:[CIPTITLE]],4,FALSE)</f>
        <v>Legal Administrative Assistant/Secretary.</v>
      </c>
    </row>
    <row r="640" spans="1:4" x14ac:dyDescent="0.2">
      <c r="A640" s="7" t="s">
        <v>15656</v>
      </c>
      <c r="B640" s="6" t="s">
        <v>9673</v>
      </c>
      <c r="C640" s="6" t="s">
        <v>5965</v>
      </c>
      <c r="D640" s="7" t="str">
        <f>VLOOKUP(B640,Table1[[CIPCode]:[CIPTITLE]],4,FALSE)</f>
        <v>Legal Assistant/Paralegal.</v>
      </c>
    </row>
    <row r="641" spans="1:4" x14ac:dyDescent="0.2">
      <c r="A641" s="7" t="s">
        <v>15656</v>
      </c>
      <c r="B641" s="6" t="s">
        <v>9676</v>
      </c>
      <c r="C641" s="6" t="s">
        <v>5258</v>
      </c>
      <c r="D641" s="7" t="str">
        <f>VLOOKUP(B641,Table1[[CIPCode]:[CIPTITLE]],4,FALSE)</f>
        <v>Court Reporting/Court Reporter.</v>
      </c>
    </row>
    <row r="642" spans="1:4" x14ac:dyDescent="0.2">
      <c r="A642" s="7" t="s">
        <v>15656</v>
      </c>
      <c r="B642" s="6" t="s">
        <v>9679</v>
      </c>
      <c r="C642" s="6" t="s">
        <v>21273</v>
      </c>
      <c r="D642" s="7" t="str">
        <f>VLOOKUP(B642,Table1[[CIPCode]:[CIPTITLE]],4,FALSE)</f>
        <v>Legal Support Services, Other.</v>
      </c>
    </row>
    <row r="643" spans="1:4" x14ac:dyDescent="0.2">
      <c r="A643" s="7" t="s">
        <v>15656</v>
      </c>
      <c r="B643" s="6" t="s">
        <v>9682</v>
      </c>
      <c r="C643" s="6" t="s">
        <v>21274</v>
      </c>
      <c r="D643" s="7" t="str">
        <f>VLOOKUP(B643,Table1[[CIPCode]:[CIPTITLE]],4,FALSE)</f>
        <v>Legal Professions and Studies, Other.</v>
      </c>
    </row>
    <row r="644" spans="1:4" x14ac:dyDescent="0.2">
      <c r="A644" s="7" t="s">
        <v>15656</v>
      </c>
      <c r="B644" s="6" t="s">
        <v>9685</v>
      </c>
      <c r="C644" s="6" t="s">
        <v>21274</v>
      </c>
      <c r="D644" s="7" t="str">
        <f>VLOOKUP(B644,Table1[[CIPCode]:[CIPTITLE]],4,FALSE)</f>
        <v>Legal Professions and Studies, Other.</v>
      </c>
    </row>
    <row r="645" spans="1:4" x14ac:dyDescent="0.2">
      <c r="A645" s="7" t="s">
        <v>15685</v>
      </c>
      <c r="B645" s="6" t="s">
        <v>15685</v>
      </c>
      <c r="C645" s="6" t="s">
        <v>21275</v>
      </c>
      <c r="D645" s="7" t="e">
        <f>VLOOKUP(B645,Table1[[CIPCode]:[CIPTITLE]],4,FALSE)</f>
        <v>#N/A</v>
      </c>
    </row>
    <row r="646" spans="1:4" x14ac:dyDescent="0.2">
      <c r="A646" s="7" t="s">
        <v>15685</v>
      </c>
      <c r="B646" s="6" t="s">
        <v>9688</v>
      </c>
      <c r="C646" s="6" t="s">
        <v>5993</v>
      </c>
      <c r="D646" s="7" t="str">
        <f>VLOOKUP(B646,Table1[[CIPCode]:[CIPTITLE]],4,FALSE)</f>
        <v>English Language and Literature, General.</v>
      </c>
    </row>
    <row r="647" spans="1:4" x14ac:dyDescent="0.2">
      <c r="A647" s="7" t="s">
        <v>15685</v>
      </c>
      <c r="B647" s="6" t="s">
        <v>15694</v>
      </c>
      <c r="C647" s="6" t="s">
        <v>5993</v>
      </c>
      <c r="D647" s="7" t="str">
        <f>VLOOKUP(B647,Table1[[CIPCode]:[CIPTITLE]],4,FALSE)</f>
        <v>English Language and Literature, General.</v>
      </c>
    </row>
    <row r="648" spans="1:4" x14ac:dyDescent="0.2">
      <c r="A648" s="7" t="s">
        <v>15685</v>
      </c>
      <c r="B648" s="6" t="s">
        <v>9693</v>
      </c>
      <c r="C648" s="6" t="s">
        <v>15705</v>
      </c>
      <c r="D648" s="7" t="str">
        <f>VLOOKUP(B648,Table1[[CIPCode]:[CIPTITLE]],4,FALSE)</f>
        <v>English Composition.</v>
      </c>
    </row>
    <row r="649" spans="1:4" x14ac:dyDescent="0.2">
      <c r="A649" s="7" t="s">
        <v>15685</v>
      </c>
      <c r="B649" s="6" t="s">
        <v>15708</v>
      </c>
      <c r="C649" s="6" t="s">
        <v>15705</v>
      </c>
      <c r="D649" s="7" t="str">
        <f>VLOOKUP(B649,Table1[[CIPCode]:[CIPTITLE]],4,FALSE)</f>
        <v>English Composition.</v>
      </c>
    </row>
    <row r="650" spans="1:4" x14ac:dyDescent="0.2">
      <c r="A650" s="7" t="s">
        <v>15685</v>
      </c>
      <c r="B650" s="6" t="s">
        <v>9697</v>
      </c>
      <c r="C650" s="6" t="s">
        <v>12397</v>
      </c>
      <c r="D650" s="7" t="str">
        <f>VLOOKUP(B650,Table1[[CIPCode]:[CIPTITLE]],4,FALSE)</f>
        <v>Creative Writing.</v>
      </c>
    </row>
    <row r="651" spans="1:4" x14ac:dyDescent="0.2">
      <c r="A651" s="7" t="s">
        <v>15685</v>
      </c>
      <c r="B651" s="6" t="s">
        <v>15715</v>
      </c>
      <c r="C651" s="6" t="s">
        <v>12397</v>
      </c>
      <c r="D651" s="7" t="str">
        <f>VLOOKUP(B651,Table1[[CIPCode]:[CIPTITLE]],4,FALSE)</f>
        <v>Creative Writing.</v>
      </c>
    </row>
    <row r="652" spans="1:4" x14ac:dyDescent="0.2">
      <c r="A652" s="7" t="s">
        <v>15685</v>
      </c>
      <c r="B652" s="6" t="s">
        <v>9701</v>
      </c>
      <c r="C652" s="6" t="s">
        <v>5995</v>
      </c>
      <c r="D652" s="7" t="str">
        <f>VLOOKUP(B652,Table1[[CIPCode]:[CIPTITLE]],4,FALSE)</f>
        <v>American Literature (United States and Canadian.</v>
      </c>
    </row>
    <row r="653" spans="1:4" x14ac:dyDescent="0.2">
      <c r="A653" s="7" t="s">
        <v>15685</v>
      </c>
      <c r="B653" s="6" t="s">
        <v>15722</v>
      </c>
      <c r="C653" s="6" t="s">
        <v>15719</v>
      </c>
      <c r="D653" s="7" t="str">
        <f>VLOOKUP(B653,Table1[[CIPCode]:[CIPTITLE]],4,FALSE)</f>
        <v>American Literature (United States).</v>
      </c>
    </row>
    <row r="654" spans="1:4" x14ac:dyDescent="0.2">
      <c r="A654" s="7" t="s">
        <v>15685</v>
      </c>
      <c r="B654" s="6" t="s">
        <v>9706</v>
      </c>
      <c r="C654" s="6" t="s">
        <v>5997</v>
      </c>
      <c r="D654" s="7" t="str">
        <f>VLOOKUP(B654,Table1[[CIPCode]:[CIPTITLE]],4,FALSE)</f>
        <v>English Literature (British and Commonwealth).</v>
      </c>
    </row>
    <row r="655" spans="1:4" x14ac:dyDescent="0.2">
      <c r="A655" s="7" t="s">
        <v>15685</v>
      </c>
      <c r="B655" s="6" t="s">
        <v>15729</v>
      </c>
      <c r="C655" s="6" t="s">
        <v>5997</v>
      </c>
      <c r="D655" s="7" t="str">
        <f>VLOOKUP(B655,Table1[[CIPCode]:[CIPTITLE]],4,FALSE)</f>
        <v>English Literature (British and Commonwealth).</v>
      </c>
    </row>
    <row r="656" spans="1:4" x14ac:dyDescent="0.2">
      <c r="A656" s="7" t="s">
        <v>15685</v>
      </c>
      <c r="B656" s="6" t="s">
        <v>9709</v>
      </c>
      <c r="C656" s="6" t="s">
        <v>5998</v>
      </c>
      <c r="D656" s="7" t="str">
        <f>VLOOKUP(B656,Table1[[CIPCode]:[CIPTITLE]],4,FALSE)</f>
        <v>Speech and Rhetorical Studies.</v>
      </c>
    </row>
    <row r="657" spans="1:4" x14ac:dyDescent="0.2">
      <c r="A657" s="7" t="s">
        <v>15685</v>
      </c>
      <c r="B657" s="6" t="s">
        <v>15736</v>
      </c>
      <c r="C657" s="6" t="s">
        <v>5998</v>
      </c>
      <c r="D657" s="7" t="str">
        <f>VLOOKUP(B657,Table1[[CIPCode]:[CIPTITLE]],4,FALSE)</f>
        <v>Speech and Rhetorical Studies.</v>
      </c>
    </row>
    <row r="658" spans="1:4" x14ac:dyDescent="0.2">
      <c r="A658" s="7" t="s">
        <v>15685</v>
      </c>
      <c r="B658" s="6" t="s">
        <v>9712</v>
      </c>
      <c r="C658" s="6" t="s">
        <v>21276</v>
      </c>
      <c r="D658" s="7" t="str">
        <f>VLOOKUP(B658,Table1[[CIPCode]:[CIPTITLE]],4,FALSE)</f>
        <v>Technical and Business Writing.</v>
      </c>
    </row>
    <row r="659" spans="1:4" x14ac:dyDescent="0.2">
      <c r="A659" s="7" t="s">
        <v>15685</v>
      </c>
      <c r="B659" s="6" t="s">
        <v>15743</v>
      </c>
      <c r="C659" s="6" t="s">
        <v>21276</v>
      </c>
      <c r="D659" s="7" t="str">
        <f>VLOOKUP(B659,Table1[[CIPCode]:[CIPTITLE]],4,FALSE)</f>
        <v>Technical and Business Writing.</v>
      </c>
    </row>
    <row r="660" spans="1:4" x14ac:dyDescent="0.2">
      <c r="A660" s="7" t="s">
        <v>15685</v>
      </c>
      <c r="B660" s="6" t="s">
        <v>9716</v>
      </c>
      <c r="C660" s="6" t="s">
        <v>6001</v>
      </c>
      <c r="D660" s="7" t="str">
        <f>VLOOKUP(B660,Table1[[CIPCode]:[CIPTITLE]],4,FALSE)</f>
        <v>English Language and Literature/Letters, Other.</v>
      </c>
    </row>
    <row r="661" spans="1:4" x14ac:dyDescent="0.2">
      <c r="A661" s="7" t="s">
        <v>15685</v>
      </c>
      <c r="B661" s="6" t="s">
        <v>15750</v>
      </c>
      <c r="C661" s="6" t="s">
        <v>6001</v>
      </c>
      <c r="D661" s="7" t="str">
        <f>VLOOKUP(B661,Table1[[CIPCode]:[CIPTITLE]],4,FALSE)</f>
        <v>English Language and Literature/Letters, Other.</v>
      </c>
    </row>
    <row r="662" spans="1:4" x14ac:dyDescent="0.2">
      <c r="A662" s="7" t="s">
        <v>15753</v>
      </c>
      <c r="B662" s="6" t="s">
        <v>15753</v>
      </c>
      <c r="C662" s="6" t="s">
        <v>21277</v>
      </c>
      <c r="D662" s="7" t="e">
        <f>VLOOKUP(B662,Table1[[CIPCode]:[CIPTITLE]],4,FALSE)</f>
        <v>#N/A</v>
      </c>
    </row>
    <row r="663" spans="1:4" x14ac:dyDescent="0.2">
      <c r="A663" s="7" t="s">
        <v>15753</v>
      </c>
      <c r="B663" s="6" t="s">
        <v>9723</v>
      </c>
      <c r="C663" s="6" t="s">
        <v>21278</v>
      </c>
      <c r="D663" s="7" t="str">
        <f>VLOOKUP(B663,Table1[[CIPCode]:[CIPTITLE]],4,FALSE)</f>
        <v>Liberal Arts and Sciences, General Studies and Humanities.</v>
      </c>
    </row>
    <row r="664" spans="1:4" x14ac:dyDescent="0.2">
      <c r="A664" s="7" t="s">
        <v>15753</v>
      </c>
      <c r="B664" s="6" t="s">
        <v>15762</v>
      </c>
      <c r="C664" s="6" t="s">
        <v>6004</v>
      </c>
      <c r="D664" s="7" t="str">
        <f>VLOOKUP(B664,Table1[[CIPCode]:[CIPTITLE]],4,FALSE)</f>
        <v>Liberal Arts and Sciences/Liberal Studies.</v>
      </c>
    </row>
    <row r="665" spans="1:4" x14ac:dyDescent="0.2">
      <c r="A665" s="7" t="s">
        <v>15753</v>
      </c>
      <c r="B665" s="6" t="s">
        <v>15766</v>
      </c>
      <c r="C665" s="6" t="s">
        <v>15767</v>
      </c>
      <c r="D665" s="7" t="str">
        <f>VLOOKUP(B665,Table1[[CIPCode]:[CIPTITLE]],4,FALSE)</f>
        <v>General Studies.</v>
      </c>
    </row>
    <row r="666" spans="1:4" x14ac:dyDescent="0.2">
      <c r="A666" s="7" t="s">
        <v>15753</v>
      </c>
      <c r="B666" s="6" t="s">
        <v>15770</v>
      </c>
      <c r="C666" s="6" t="s">
        <v>15771</v>
      </c>
      <c r="D666" s="7" t="str">
        <f>VLOOKUP(B666,Table1[[CIPCode]:[CIPTITLE]],4,FALSE)</f>
        <v>Humanities/Humanistic Studies.</v>
      </c>
    </row>
    <row r="667" spans="1:4" x14ac:dyDescent="0.2">
      <c r="A667" s="7" t="s">
        <v>15753</v>
      </c>
      <c r="B667" s="6" t="s">
        <v>15774</v>
      </c>
      <c r="C667" s="6" t="s">
        <v>6006</v>
      </c>
      <c r="D667" s="7" t="str">
        <f>VLOOKUP(B667,Table1[[CIPCode]:[CIPTITLE]],4,FALSE)</f>
        <v>Liberal Arts and Sciences, General Studies and Humanities, Other.</v>
      </c>
    </row>
    <row r="668" spans="1:4" x14ac:dyDescent="0.2">
      <c r="A668" s="7" t="s">
        <v>15778</v>
      </c>
      <c r="B668" s="6" t="s">
        <v>15778</v>
      </c>
      <c r="C668" s="6" t="s">
        <v>21279</v>
      </c>
      <c r="D668" s="7" t="e">
        <f>VLOOKUP(B668,Table1[[CIPCode]:[CIPTITLE]],4,FALSE)</f>
        <v>#N/A</v>
      </c>
    </row>
    <row r="669" spans="1:4" x14ac:dyDescent="0.2">
      <c r="A669" s="7" t="s">
        <v>15778</v>
      </c>
      <c r="B669" s="6" t="s">
        <v>9737</v>
      </c>
      <c r="C669" s="6" t="s">
        <v>15784</v>
      </c>
      <c r="D669" s="7" t="str">
        <f>VLOOKUP(B669,Table1[[CIPCode]:[CIPTITLE]],4,FALSE)</f>
        <v>Library Science/Librarianship.</v>
      </c>
    </row>
    <row r="670" spans="1:4" x14ac:dyDescent="0.2">
      <c r="A670" s="7" t="s">
        <v>15778</v>
      </c>
      <c r="B670" s="6" t="s">
        <v>15787</v>
      </c>
      <c r="C670" s="6" t="s">
        <v>15784</v>
      </c>
      <c r="D670" s="7" t="str">
        <f>VLOOKUP(B670,Table1[[CIPCode]:[CIPTITLE]],4,FALSE)</f>
        <v>Library Science/Librarianship.</v>
      </c>
    </row>
    <row r="671" spans="1:4" x14ac:dyDescent="0.2">
      <c r="A671" s="7" t="s">
        <v>15778</v>
      </c>
      <c r="B671" s="6" t="s">
        <v>9742</v>
      </c>
      <c r="C671" s="6" t="s">
        <v>15791</v>
      </c>
      <c r="D671" s="7" t="str">
        <f>VLOOKUP(B671,Table1[[CIPCode]:[CIPTITLE]],4,FALSE)</f>
        <v>Library Assistant.</v>
      </c>
    </row>
    <row r="672" spans="1:4" x14ac:dyDescent="0.2">
      <c r="A672" s="7" t="s">
        <v>15778</v>
      </c>
      <c r="B672" s="6" t="s">
        <v>15794</v>
      </c>
      <c r="C672" s="6" t="s">
        <v>6008</v>
      </c>
      <c r="D672" s="7" t="str">
        <f>VLOOKUP(B672,Table1[[CIPCode]:[CIPTITLE]],4,FALSE)</f>
        <v>Library Assistant/Technician.</v>
      </c>
    </row>
    <row r="673" spans="1:4" x14ac:dyDescent="0.2">
      <c r="A673" s="7" t="s">
        <v>15778</v>
      </c>
      <c r="B673" s="6" t="s">
        <v>9749</v>
      </c>
      <c r="C673" s="6" t="s">
        <v>15798</v>
      </c>
      <c r="D673" s="7" t="str">
        <f>VLOOKUP(B673,Table1[[CIPCode]:[CIPTITLE]],4,FALSE)</f>
        <v>Library Science, Other.</v>
      </c>
    </row>
    <row r="674" spans="1:4" x14ac:dyDescent="0.2">
      <c r="A674" s="7" t="s">
        <v>15778</v>
      </c>
      <c r="B674" s="6" t="s">
        <v>15801</v>
      </c>
      <c r="C674" s="6" t="s">
        <v>15798</v>
      </c>
      <c r="D674" s="7" t="str">
        <f>VLOOKUP(B674,Table1[[CIPCode]:[CIPTITLE]],4,FALSE)</f>
        <v>Library Science, Other.</v>
      </c>
    </row>
    <row r="675" spans="1:4" x14ac:dyDescent="0.2">
      <c r="A675" s="7" t="s">
        <v>15803</v>
      </c>
      <c r="B675" s="6" t="s">
        <v>15803</v>
      </c>
      <c r="C675" s="6" t="s">
        <v>21280</v>
      </c>
      <c r="D675" s="7" t="e">
        <f>VLOOKUP(B675,Table1[[CIPCode]:[CIPTITLE]],4,FALSE)</f>
        <v>#N/A</v>
      </c>
    </row>
    <row r="676" spans="1:4" x14ac:dyDescent="0.2">
      <c r="A676" s="7" t="s">
        <v>15803</v>
      </c>
      <c r="B676" s="6" t="s">
        <v>9756</v>
      </c>
      <c r="C676" s="6" t="s">
        <v>15809</v>
      </c>
      <c r="D676" s="7" t="str">
        <f>VLOOKUP(B676,Table1[[CIPCode]:[CIPTITLE]],4,FALSE)</f>
        <v>Biology, General.</v>
      </c>
    </row>
    <row r="677" spans="1:4" x14ac:dyDescent="0.2">
      <c r="A677" s="7" t="s">
        <v>15803</v>
      </c>
      <c r="B677" s="6" t="s">
        <v>15812</v>
      </c>
      <c r="C677" s="6" t="s">
        <v>6011</v>
      </c>
      <c r="D677" s="7" t="str">
        <f>VLOOKUP(B677,Table1[[CIPCode]:[CIPTITLE]],4,FALSE)</f>
        <v>Biology/Biological Sciences, General.</v>
      </c>
    </row>
    <row r="678" spans="1:4" x14ac:dyDescent="0.2">
      <c r="A678" s="7" t="s">
        <v>15803</v>
      </c>
      <c r="B678" s="6" t="s">
        <v>9760</v>
      </c>
      <c r="C678" s="6" t="s">
        <v>21281</v>
      </c>
      <c r="D678" s="7" t="str">
        <f>VLOOKUP(B678,Table1[[CIPCode]:[CIPTITLE]],4,FALSE)</f>
        <v>Biomedical Sciences, General.</v>
      </c>
    </row>
    <row r="679" spans="1:4" x14ac:dyDescent="0.2">
      <c r="A679" s="7" t="s">
        <v>15803</v>
      </c>
      <c r="B679" s="6" t="s">
        <v>11713</v>
      </c>
      <c r="C679" s="6" t="s">
        <v>6014</v>
      </c>
      <c r="D679" s="7" t="str">
        <f>VLOOKUP(B679,Table1[[CIPCode]:[CIPTITLE]],4,FALSE)</f>
        <v>Biochemistry, Biophysics and Molecular Biology.</v>
      </c>
    </row>
    <row r="680" spans="1:4" x14ac:dyDescent="0.2">
      <c r="A680" s="7" t="s">
        <v>15803</v>
      </c>
      <c r="B680" s="6" t="s">
        <v>15819</v>
      </c>
      <c r="C680" s="6" t="s">
        <v>15820</v>
      </c>
      <c r="D680" s="7" t="str">
        <f>VLOOKUP(B680,Table1[[CIPCode]:[CIPTITLE]],4,FALSE)</f>
        <v>Biochemistry.</v>
      </c>
    </row>
    <row r="681" spans="1:4" x14ac:dyDescent="0.2">
      <c r="A681" s="7" t="s">
        <v>15803</v>
      </c>
      <c r="B681" s="6" t="s">
        <v>15823</v>
      </c>
      <c r="C681" s="6" t="s">
        <v>15824</v>
      </c>
      <c r="D681" s="7" t="str">
        <f>VLOOKUP(B681,Table1[[CIPCode]:[CIPTITLE]],4,FALSE)</f>
        <v>Biophysics.</v>
      </c>
    </row>
    <row r="682" spans="1:4" x14ac:dyDescent="0.2">
      <c r="A682" s="7" t="s">
        <v>15803</v>
      </c>
      <c r="B682" s="6" t="s">
        <v>9769</v>
      </c>
      <c r="C682" s="6" t="s">
        <v>15856</v>
      </c>
      <c r="D682" s="7" t="str">
        <f>VLOOKUP(B682,Table1[[CIPCode]:[CIPTITLE]],4,FALSE)</f>
        <v>Molecular Biology.</v>
      </c>
    </row>
    <row r="683" spans="1:4" x14ac:dyDescent="0.2">
      <c r="A683" s="7" t="s">
        <v>15803</v>
      </c>
      <c r="B683" s="6" t="s">
        <v>9772</v>
      </c>
      <c r="C683" s="6" t="s">
        <v>21282</v>
      </c>
      <c r="D683" s="7" t="str">
        <f>VLOOKUP(B683,Table1[[CIPCode]:[CIPTITLE]],4,FALSE)</f>
        <v>Molecular Biochemistry.</v>
      </c>
    </row>
    <row r="684" spans="1:4" x14ac:dyDescent="0.2">
      <c r="A684" s="7" t="s">
        <v>15803</v>
      </c>
      <c r="B684" s="6" t="s">
        <v>9775</v>
      </c>
      <c r="C684" s="6" t="s">
        <v>21283</v>
      </c>
      <c r="D684" s="7" t="str">
        <f>VLOOKUP(B684,Table1[[CIPCode]:[CIPTITLE]],4,FALSE)</f>
        <v>Molecular Biophysics.</v>
      </c>
    </row>
    <row r="685" spans="1:4" x14ac:dyDescent="0.2">
      <c r="A685" s="7" t="s">
        <v>15803</v>
      </c>
      <c r="B685" s="6" t="s">
        <v>9778</v>
      </c>
      <c r="C685" s="6" t="s">
        <v>21284</v>
      </c>
      <c r="D685" s="7" t="str">
        <f>VLOOKUP(B685,Table1[[CIPCode]:[CIPTITLE]],4,FALSE)</f>
        <v>Structural Biology.</v>
      </c>
    </row>
    <row r="686" spans="1:4" x14ac:dyDescent="0.2">
      <c r="A686" s="7" t="s">
        <v>15803</v>
      </c>
      <c r="B686" s="6" t="s">
        <v>9784</v>
      </c>
      <c r="C686" s="6" t="s">
        <v>15899</v>
      </c>
      <c r="D686" s="7" t="str">
        <f>VLOOKUP(B686,Table1[[CIPCode]:[CIPTITLE]],4,FALSE)</f>
        <v>Radiation Biology/Radiobiology.</v>
      </c>
    </row>
    <row r="687" spans="1:4" x14ac:dyDescent="0.2">
      <c r="A687" s="7" t="s">
        <v>15803</v>
      </c>
      <c r="B687" s="6" t="s">
        <v>9787</v>
      </c>
      <c r="C687" s="6" t="s">
        <v>21285</v>
      </c>
      <c r="D687" s="7" t="str">
        <f>VLOOKUP(B687,Table1[[CIPCode]:[CIPTITLE]],4,FALSE)</f>
        <v>Biochemistry/Biophysics and Molecular Biology.</v>
      </c>
    </row>
    <row r="688" spans="1:4" x14ac:dyDescent="0.2">
      <c r="A688" s="7" t="s">
        <v>15803</v>
      </c>
      <c r="B688" s="6" t="s">
        <v>9790</v>
      </c>
      <c r="C688" s="6" t="s">
        <v>21286</v>
      </c>
      <c r="D688" s="7" t="str">
        <f>VLOOKUP(B688,Table1[[CIPCode]:[CIPTITLE]],4,FALSE)</f>
        <v>Biochemistry, Biophysics and Molecular Biology, Other.</v>
      </c>
    </row>
    <row r="689" spans="1:4" x14ac:dyDescent="0.2">
      <c r="A689" s="7" t="s">
        <v>15803</v>
      </c>
      <c r="B689" s="6" t="s">
        <v>12615</v>
      </c>
      <c r="C689" s="6" t="s">
        <v>6021</v>
      </c>
      <c r="D689" s="7" t="str">
        <f>VLOOKUP(B689,Table1[[CIPCode]:[CIPTITLE]],4,FALSE)</f>
        <v>Botany/Plant Biology.</v>
      </c>
    </row>
    <row r="690" spans="1:4" x14ac:dyDescent="0.2">
      <c r="A690" s="7" t="s">
        <v>15803</v>
      </c>
      <c r="B690" s="6" t="s">
        <v>15831</v>
      </c>
      <c r="C690" s="6" t="s">
        <v>6021</v>
      </c>
      <c r="D690" s="7" t="str">
        <f>VLOOKUP(B690,Table1[[CIPCode]:[CIPTITLE]],4,FALSE)</f>
        <v>Botany/Plant Biology.</v>
      </c>
    </row>
    <row r="691" spans="1:4" x14ac:dyDescent="0.2">
      <c r="A691" s="7" t="s">
        <v>15803</v>
      </c>
      <c r="B691" s="6" t="s">
        <v>15835</v>
      </c>
      <c r="C691" s="6" t="s">
        <v>6609</v>
      </c>
      <c r="D691" s="7" t="str">
        <f>VLOOKUP(B691,Table1[[CIPCode]:[CIPTITLE]],4,FALSE)</f>
        <v>Plant Pathology/Phytopathology.</v>
      </c>
    </row>
    <row r="692" spans="1:4" x14ac:dyDescent="0.2">
      <c r="A692" s="7" t="s">
        <v>15803</v>
      </c>
      <c r="B692" s="6" t="s">
        <v>15839</v>
      </c>
      <c r="C692" s="6" t="s">
        <v>15840</v>
      </c>
      <c r="D692" s="7" t="str">
        <f>VLOOKUP(B692,Table1[[CIPCode]:[CIPTITLE]],4,FALSE)</f>
        <v>Plant Physiology.</v>
      </c>
    </row>
    <row r="693" spans="1:4" x14ac:dyDescent="0.2">
      <c r="A693" s="7" t="s">
        <v>15803</v>
      </c>
      <c r="B693" s="6" t="s">
        <v>9799</v>
      </c>
      <c r="C693" s="6" t="s">
        <v>21287</v>
      </c>
      <c r="D693" s="7" t="str">
        <f>VLOOKUP(B693,Table1[[CIPCode]:[CIPTITLE]],4,FALSE)</f>
        <v>Plant Molecular Biology.</v>
      </c>
    </row>
    <row r="694" spans="1:4" x14ac:dyDescent="0.2">
      <c r="A694" s="7" t="s">
        <v>15803</v>
      </c>
      <c r="B694" s="6" t="s">
        <v>15843</v>
      </c>
      <c r="C694" s="6" t="s">
        <v>6023</v>
      </c>
      <c r="D694" s="7" t="str">
        <f>VLOOKUP(B694,Table1[[CIPCode]:[CIPTITLE]],4,FALSE)</f>
        <v>Botany/Plant Biology, Other.</v>
      </c>
    </row>
    <row r="695" spans="1:4" x14ac:dyDescent="0.2">
      <c r="A695" s="7" t="s">
        <v>15803</v>
      </c>
      <c r="B695" s="6" t="s">
        <v>9804</v>
      </c>
      <c r="C695" s="6" t="s">
        <v>6025</v>
      </c>
      <c r="D695" s="7" t="str">
        <f>VLOOKUP(B695,Table1[[CIPCode]:[CIPTITLE]],4,FALSE)</f>
        <v>Cell/Cellular Biology and Anatomical Sciences.</v>
      </c>
    </row>
    <row r="696" spans="1:4" x14ac:dyDescent="0.2">
      <c r="A696" s="7" t="s">
        <v>15803</v>
      </c>
      <c r="B696" s="6" t="s">
        <v>15851</v>
      </c>
      <c r="C696" s="6" t="s">
        <v>6026</v>
      </c>
      <c r="D696" s="7" t="str">
        <f>VLOOKUP(B696,Table1[[CIPCode]:[CIPTITLE]],4,FALSE)</f>
        <v>Cell/Cellular Biology and Histology.</v>
      </c>
    </row>
    <row r="697" spans="1:4" x14ac:dyDescent="0.2">
      <c r="A697" s="7" t="s">
        <v>15803</v>
      </c>
      <c r="B697" s="6" t="s">
        <v>9809</v>
      </c>
      <c r="C697" s="6" t="s">
        <v>15875</v>
      </c>
      <c r="D697" s="7" t="str">
        <f>VLOOKUP(B697,Table1[[CIPCode]:[CIPTITLE]],4,FALSE)</f>
        <v>Anatomy.</v>
      </c>
    </row>
    <row r="698" spans="1:4" x14ac:dyDescent="0.2">
      <c r="A698" s="7" t="s">
        <v>15803</v>
      </c>
      <c r="B698" s="6" t="s">
        <v>9812</v>
      </c>
      <c r="C698" s="6" t="s">
        <v>21288</v>
      </c>
      <c r="D698" s="7" t="str">
        <f>VLOOKUP(B698,Table1[[CIPCode]:[CIPTITLE]],4,FALSE)</f>
        <v>Developmental Biology and Embryology.</v>
      </c>
    </row>
    <row r="699" spans="1:4" x14ac:dyDescent="0.2">
      <c r="A699" s="7" t="s">
        <v>15803</v>
      </c>
      <c r="B699" s="6" t="s">
        <v>9815</v>
      </c>
      <c r="C699" s="6" t="s">
        <v>21289</v>
      </c>
      <c r="D699" s="7" t="str">
        <f>VLOOKUP(B699,Table1[[CIPCode]:[CIPTITLE]],4,FALSE)</f>
        <v>Neuroanatomy.</v>
      </c>
    </row>
    <row r="700" spans="1:4" x14ac:dyDescent="0.2">
      <c r="A700" s="7" t="s">
        <v>15803</v>
      </c>
      <c r="B700" s="6" t="s">
        <v>9818</v>
      </c>
      <c r="C700" s="6" t="s">
        <v>21290</v>
      </c>
      <c r="D700" s="7" t="str">
        <f>VLOOKUP(B700,Table1[[CIPCode]:[CIPTITLE]],4,FALSE)</f>
        <v>Cell/Cellular and Molecular Biology.</v>
      </c>
    </row>
    <row r="701" spans="1:4" x14ac:dyDescent="0.2">
      <c r="A701" s="7" t="s">
        <v>15803</v>
      </c>
      <c r="B701" s="6" t="s">
        <v>9821</v>
      </c>
      <c r="C701" s="6" t="s">
        <v>21291</v>
      </c>
      <c r="D701" s="7" t="str">
        <f>VLOOKUP(B701,Table1[[CIPCode]:[CIPTITLE]],4,FALSE)</f>
        <v>Cell Biology and Anatomy.</v>
      </c>
    </row>
    <row r="702" spans="1:4" x14ac:dyDescent="0.2">
      <c r="A702" s="7" t="s">
        <v>15803</v>
      </c>
      <c r="B702" s="6" t="s">
        <v>15859</v>
      </c>
      <c r="C702" s="6" t="s">
        <v>6032</v>
      </c>
      <c r="D702" s="7" t="str">
        <f>VLOOKUP(B702,Table1[[CIPCode]:[CIPTITLE]],4,FALSE)</f>
        <v>Cell/Cellular Biology and Anatomical Sciences, Other.</v>
      </c>
    </row>
    <row r="703" spans="1:4" x14ac:dyDescent="0.2">
      <c r="A703" s="7" t="s">
        <v>15803</v>
      </c>
      <c r="B703" s="6" t="s">
        <v>11732</v>
      </c>
      <c r="C703" s="6" t="s">
        <v>6033</v>
      </c>
      <c r="D703" s="7" t="str">
        <f>VLOOKUP(B703,Table1[[CIPCode]:[CIPTITLE]],4,FALSE)</f>
        <v>Microbiological Sciences and Immunology.</v>
      </c>
    </row>
    <row r="704" spans="1:4" x14ac:dyDescent="0.2">
      <c r="A704" s="7" t="s">
        <v>15803</v>
      </c>
      <c r="B704" s="6" t="s">
        <v>9829</v>
      </c>
      <c r="C704" s="6" t="s">
        <v>21292</v>
      </c>
      <c r="D704" s="7" t="str">
        <f>VLOOKUP(B704,Table1[[CIPCode]:[CIPTITLE]],4,FALSE)</f>
        <v>Microbiology, General.</v>
      </c>
    </row>
    <row r="705" spans="1:4" x14ac:dyDescent="0.2">
      <c r="A705" s="7" t="s">
        <v>15803</v>
      </c>
      <c r="B705" s="6" t="s">
        <v>9832</v>
      </c>
      <c r="C705" s="6" t="s">
        <v>5087</v>
      </c>
      <c r="D705" s="7" t="str">
        <f>VLOOKUP(B705,Table1[[CIPCode]:[CIPTITLE]],4,FALSE)</f>
        <v>Medical Microbiology and Bacteriology.</v>
      </c>
    </row>
    <row r="706" spans="1:4" x14ac:dyDescent="0.2">
      <c r="A706" s="7" t="s">
        <v>15803</v>
      </c>
      <c r="B706" s="6" t="s">
        <v>9835</v>
      </c>
      <c r="C706" s="6" t="s">
        <v>15158</v>
      </c>
      <c r="D706" s="7" t="str">
        <f>VLOOKUP(B706,Table1[[CIPCode]:[CIPTITLE]],4,FALSE)</f>
        <v>Virology.</v>
      </c>
    </row>
    <row r="707" spans="1:4" x14ac:dyDescent="0.2">
      <c r="A707" s="7" t="s">
        <v>15803</v>
      </c>
      <c r="B707" s="6" t="s">
        <v>9838</v>
      </c>
      <c r="C707" s="6" t="s">
        <v>15895</v>
      </c>
      <c r="D707" s="7" t="str">
        <f>VLOOKUP(B707,Table1[[CIPCode]:[CIPTITLE]],4,FALSE)</f>
        <v>Parasitology.</v>
      </c>
    </row>
    <row r="708" spans="1:4" x14ac:dyDescent="0.2">
      <c r="A708" s="7" t="s">
        <v>15803</v>
      </c>
      <c r="B708" s="6" t="s">
        <v>9415</v>
      </c>
      <c r="C708" s="6" t="s">
        <v>6046</v>
      </c>
      <c r="D708" s="7" t="str">
        <f>VLOOKUP(B708,Table1[[CIPCode]:[CIPTITLE]],4,FALSE)</f>
        <v>Immunology.</v>
      </c>
    </row>
    <row r="709" spans="1:4" x14ac:dyDescent="0.2">
      <c r="A709" s="7" t="s">
        <v>15803</v>
      </c>
      <c r="B709" s="6" t="s">
        <v>9418</v>
      </c>
      <c r="C709" s="6" t="s">
        <v>21293</v>
      </c>
      <c r="D709" s="7" t="str">
        <f>VLOOKUP(B709,Table1[[CIPCode]:[CIPTITLE]],4,FALSE)</f>
        <v>Microbiological Sciences and Immunology, Other.</v>
      </c>
    </row>
    <row r="710" spans="1:4" x14ac:dyDescent="0.2">
      <c r="A710" s="7" t="s">
        <v>15803</v>
      </c>
      <c r="B710" s="6" t="s">
        <v>12647</v>
      </c>
      <c r="C710" s="6" t="s">
        <v>6047</v>
      </c>
      <c r="D710" s="7" t="str">
        <f>VLOOKUP(B710,Table1[[CIPCode]:[CIPTITLE]],4,FALSE)</f>
        <v>Zoology/Animal Biology.</v>
      </c>
    </row>
    <row r="711" spans="1:4" x14ac:dyDescent="0.2">
      <c r="A711" s="7" t="s">
        <v>15803</v>
      </c>
      <c r="B711" s="6" t="s">
        <v>15169</v>
      </c>
      <c r="C711" s="6" t="s">
        <v>6047</v>
      </c>
      <c r="D711" s="7" t="str">
        <f>VLOOKUP(B711,Table1[[CIPCode]:[CIPTITLE]],4,FALSE)</f>
        <v>Zoology/Animal Biology.</v>
      </c>
    </row>
    <row r="712" spans="1:4" x14ac:dyDescent="0.2">
      <c r="A712" s="7" t="s">
        <v>15803</v>
      </c>
      <c r="B712" s="6" t="s">
        <v>15173</v>
      </c>
      <c r="C712" s="6" t="s">
        <v>15174</v>
      </c>
      <c r="D712" s="7" t="str">
        <f>VLOOKUP(B712,Table1[[CIPCode]:[CIPTITLE]],4,FALSE)</f>
        <v>Entomology.</v>
      </c>
    </row>
    <row r="713" spans="1:4" x14ac:dyDescent="0.2">
      <c r="A713" s="7" t="s">
        <v>15803</v>
      </c>
      <c r="B713" s="6" t="s">
        <v>11746</v>
      </c>
      <c r="C713" s="6" t="s">
        <v>6596</v>
      </c>
      <c r="D713" s="7" t="str">
        <f>VLOOKUP(B713,Table1[[CIPCode]:[CIPTITLE]],4,FALSE)</f>
        <v>Animal Physiology.</v>
      </c>
    </row>
    <row r="714" spans="1:4" x14ac:dyDescent="0.2">
      <c r="A714" s="7" t="s">
        <v>15803</v>
      </c>
      <c r="B714" s="6" t="s">
        <v>9459</v>
      </c>
      <c r="C714" s="6" t="s">
        <v>21294</v>
      </c>
      <c r="D714" s="7" t="str">
        <f>VLOOKUP(B714,Table1[[CIPCode]:[CIPTITLE]],4,FALSE)</f>
        <v>Animal Behavior and Ethology.</v>
      </c>
    </row>
    <row r="715" spans="1:4" x14ac:dyDescent="0.2">
      <c r="A715" s="7" t="s">
        <v>15803</v>
      </c>
      <c r="B715" s="6" t="s">
        <v>12645</v>
      </c>
      <c r="C715" s="6" t="s">
        <v>21295</v>
      </c>
      <c r="D715" s="7" t="str">
        <f>VLOOKUP(B715,Table1[[CIPCode]:[CIPTITLE]],4,FALSE)</f>
        <v>Wildlife Biology.</v>
      </c>
    </row>
    <row r="716" spans="1:4" x14ac:dyDescent="0.2">
      <c r="A716" s="7" t="s">
        <v>15803</v>
      </c>
      <c r="B716" s="6" t="s">
        <v>21054</v>
      </c>
      <c r="C716" s="6" t="s">
        <v>6052</v>
      </c>
      <c r="D716" s="7" t="str">
        <f>VLOOKUP(B716,Table1[[CIPCode]:[CIPTITLE]],4,FALSE)</f>
        <v>Physiology, Human and Animal</v>
      </c>
    </row>
    <row r="717" spans="1:4" x14ac:dyDescent="0.2">
      <c r="A717" s="7" t="s">
        <v>15803</v>
      </c>
      <c r="B717" s="6" t="s">
        <v>15189</v>
      </c>
      <c r="C717" s="6" t="s">
        <v>6056</v>
      </c>
      <c r="D717" s="7" t="str">
        <f>VLOOKUP(B717,Table1[[CIPCode]:[CIPTITLE]],4,FALSE)</f>
        <v>Zoology/Animal Biology, Other.</v>
      </c>
    </row>
    <row r="718" spans="1:4" x14ac:dyDescent="0.2">
      <c r="A718" s="7" t="s">
        <v>15803</v>
      </c>
      <c r="B718" s="6" t="s">
        <v>12620</v>
      </c>
      <c r="C718" s="6" t="s">
        <v>21296</v>
      </c>
      <c r="D718" s="7" t="str">
        <f>VLOOKUP(B718,Table1[[CIPCode]:[CIPTITLE]],4,FALSE)</f>
        <v>Genetics.</v>
      </c>
    </row>
    <row r="719" spans="1:4" x14ac:dyDescent="0.2">
      <c r="A719" s="7" t="s">
        <v>15803</v>
      </c>
      <c r="B719" s="6" t="s">
        <v>9466</v>
      </c>
      <c r="C719" s="6" t="s">
        <v>21297</v>
      </c>
      <c r="D719" s="7" t="str">
        <f>VLOOKUP(B719,Table1[[CIPCode]:[CIPTITLE]],4,FALSE)</f>
        <v>Genetics, General.</v>
      </c>
    </row>
    <row r="720" spans="1:4" x14ac:dyDescent="0.2">
      <c r="A720" s="7" t="s">
        <v>15803</v>
      </c>
      <c r="B720" s="6" t="s">
        <v>9469</v>
      </c>
      <c r="C720" s="6" t="s">
        <v>21298</v>
      </c>
      <c r="D720" s="7" t="str">
        <f>VLOOKUP(B720,Table1[[CIPCode]:[CIPTITLE]],4,FALSE)</f>
        <v>Molecular Genetics.</v>
      </c>
    </row>
    <row r="721" spans="1:4" x14ac:dyDescent="0.2">
      <c r="A721" s="7" t="s">
        <v>15803</v>
      </c>
      <c r="B721" s="6" t="s">
        <v>11725</v>
      </c>
      <c r="C721" s="6" t="s">
        <v>4413</v>
      </c>
      <c r="D721" s="7" t="str">
        <f>VLOOKUP(B721,Table1[[CIPCode]:[CIPTITLE]],4,FALSE)</f>
        <v>Animal Genetics.</v>
      </c>
    </row>
    <row r="722" spans="1:4" x14ac:dyDescent="0.2">
      <c r="A722" s="7" t="s">
        <v>15803</v>
      </c>
      <c r="B722" s="6" t="s">
        <v>11236</v>
      </c>
      <c r="C722" s="6" t="s">
        <v>4414</v>
      </c>
      <c r="D722" s="7" t="str">
        <f>VLOOKUP(B722,Table1[[CIPCode]:[CIPTITLE]],4,FALSE)</f>
        <v>Plant Genetics.</v>
      </c>
    </row>
    <row r="723" spans="1:4" x14ac:dyDescent="0.2">
      <c r="A723" s="7" t="s">
        <v>15803</v>
      </c>
      <c r="B723" s="6" t="s">
        <v>9476</v>
      </c>
      <c r="C723" s="6" t="s">
        <v>5086</v>
      </c>
      <c r="D723" s="7" t="str">
        <f>VLOOKUP(B723,Table1[[CIPCode]:[CIPTITLE]],4,FALSE)</f>
        <v>Human/Medical Genetics.</v>
      </c>
    </row>
    <row r="724" spans="1:4" x14ac:dyDescent="0.2">
      <c r="A724" s="7" t="s">
        <v>15803</v>
      </c>
      <c r="B724" s="6" t="s">
        <v>21299</v>
      </c>
      <c r="C724" s="6" t="s">
        <v>6041</v>
      </c>
      <c r="D724" s="7" t="str">
        <f>VLOOKUP(B724,Table1[[CIPCode]:[CIPTITLE]],4,FALSE)</f>
        <v>Genetics, Plant and Animal</v>
      </c>
    </row>
    <row r="725" spans="1:4" x14ac:dyDescent="0.2">
      <c r="A725" s="7" t="s">
        <v>15803</v>
      </c>
      <c r="B725" s="6" t="s">
        <v>9485</v>
      </c>
      <c r="C725" s="6" t="s">
        <v>21300</v>
      </c>
      <c r="D725" s="7" t="str">
        <f>VLOOKUP(B725,Table1[[CIPCode]:[CIPTITLE]],4,FALSE)</f>
        <v>Genetics, Other.</v>
      </c>
    </row>
    <row r="726" spans="1:4" x14ac:dyDescent="0.2">
      <c r="A726" s="7" t="s">
        <v>15803</v>
      </c>
      <c r="B726" s="6" t="s">
        <v>11734</v>
      </c>
      <c r="C726" s="6" t="s">
        <v>21301</v>
      </c>
      <c r="D726" s="7" t="str">
        <f>VLOOKUP(B726,Table1[[CIPCode]:[CIPTITLE]],4,FALSE)</f>
        <v>Physiology, Pathology and Related Sciences.</v>
      </c>
    </row>
    <row r="727" spans="1:4" x14ac:dyDescent="0.2">
      <c r="A727" s="7" t="s">
        <v>15803</v>
      </c>
      <c r="B727" s="6" t="s">
        <v>9489</v>
      </c>
      <c r="C727" s="6" t="s">
        <v>6053</v>
      </c>
      <c r="D727" s="7" t="str">
        <f>VLOOKUP(B727,Table1[[CIPCode]:[CIPTITLE]],4,FALSE)</f>
        <v>Physiology, General.</v>
      </c>
    </row>
    <row r="728" spans="1:4" x14ac:dyDescent="0.2">
      <c r="A728" s="7" t="s">
        <v>15803</v>
      </c>
      <c r="B728" s="6" t="s">
        <v>11240</v>
      </c>
      <c r="C728" s="6" t="s">
        <v>21302</v>
      </c>
      <c r="D728" s="7" t="str">
        <f>VLOOKUP(B728,Table1[[CIPCode]:[CIPTITLE]],4,FALSE)</f>
        <v>Molecular Physiology.</v>
      </c>
    </row>
    <row r="729" spans="1:4" x14ac:dyDescent="0.2">
      <c r="A729" s="7" t="s">
        <v>15803</v>
      </c>
      <c r="B729" s="6" t="s">
        <v>11242</v>
      </c>
      <c r="C729" s="6" t="s">
        <v>21303</v>
      </c>
      <c r="D729" s="7" t="str">
        <f>VLOOKUP(B729,Table1[[CIPCode]:[CIPTITLE]],4,FALSE)</f>
        <v>Cell Physiology.</v>
      </c>
    </row>
    <row r="730" spans="1:4" x14ac:dyDescent="0.2">
      <c r="A730" s="7" t="s">
        <v>15803</v>
      </c>
      <c r="B730" s="6" t="s">
        <v>9493</v>
      </c>
      <c r="C730" s="6" t="s">
        <v>21304</v>
      </c>
      <c r="D730" s="7" t="str">
        <f>VLOOKUP(B730,Table1[[CIPCode]:[CIPTITLE]],4,FALSE)</f>
        <v>Endocrinology.</v>
      </c>
    </row>
    <row r="731" spans="1:4" x14ac:dyDescent="0.2">
      <c r="A731" s="7" t="s">
        <v>15803</v>
      </c>
      <c r="B731" s="6" t="s">
        <v>9496</v>
      </c>
      <c r="C731" s="6" t="s">
        <v>21305</v>
      </c>
      <c r="D731" s="7" t="str">
        <f>VLOOKUP(B731,Table1[[CIPCode]:[CIPTITLE]],4,FALSE)</f>
        <v>Reproductive Biology.</v>
      </c>
    </row>
    <row r="732" spans="1:4" x14ac:dyDescent="0.2">
      <c r="A732" s="7" t="s">
        <v>15803</v>
      </c>
      <c r="B732" s="6" t="s">
        <v>9499</v>
      </c>
      <c r="C732" s="6" t="s">
        <v>5065</v>
      </c>
      <c r="D732" s="7" t="str">
        <f>VLOOKUP(B732,Table1[[CIPCode]:[CIPTITLE]],4,FALSE)</f>
        <v>Neurobiology and Neurophysiology.</v>
      </c>
    </row>
    <row r="733" spans="1:4" x14ac:dyDescent="0.2">
      <c r="A733" s="7" t="s">
        <v>15803</v>
      </c>
      <c r="B733" s="6" t="s">
        <v>9504</v>
      </c>
      <c r="C733" s="6" t="s">
        <v>21306</v>
      </c>
      <c r="D733" s="7" t="str">
        <f>VLOOKUP(B733,Table1[[CIPCode]:[CIPTITLE]],4,FALSE)</f>
        <v>Cardiovascular Science.</v>
      </c>
    </row>
    <row r="734" spans="1:4" x14ac:dyDescent="0.2">
      <c r="A734" s="7" t="s">
        <v>15803</v>
      </c>
      <c r="B734" s="6" t="s">
        <v>9507</v>
      </c>
      <c r="C734" s="6" t="s">
        <v>21307</v>
      </c>
      <c r="D734" s="7" t="str">
        <f>VLOOKUP(B734,Table1[[CIPCode]:[CIPTITLE]],4,FALSE)</f>
        <v>Exercise Physiology.</v>
      </c>
    </row>
    <row r="735" spans="1:4" x14ac:dyDescent="0.2">
      <c r="A735" s="7" t="s">
        <v>15803</v>
      </c>
      <c r="B735" s="6" t="s">
        <v>9514</v>
      </c>
      <c r="C735" s="6" t="s">
        <v>5088</v>
      </c>
      <c r="D735" s="7" t="str">
        <f>VLOOKUP(B735,Table1[[CIPCode]:[CIPTITLE]],4,FALSE)</f>
        <v>Pathology/Experimental Pathology.</v>
      </c>
    </row>
    <row r="736" spans="1:4" x14ac:dyDescent="0.2">
      <c r="A736" s="7" t="s">
        <v>15803</v>
      </c>
      <c r="B736" s="6" t="s">
        <v>9516</v>
      </c>
      <c r="C736" s="6" t="s">
        <v>21308</v>
      </c>
      <c r="D736" s="7" t="str">
        <f>VLOOKUP(B736,Table1[[CIPCode]:[CIPTITLE]],4,FALSE)</f>
        <v>Oncology and Cancer Biology.</v>
      </c>
    </row>
    <row r="737" spans="1:4" x14ac:dyDescent="0.2">
      <c r="A737" s="7" t="s">
        <v>15803</v>
      </c>
      <c r="B737" s="6" t="s">
        <v>21309</v>
      </c>
      <c r="C737" s="6" t="s">
        <v>13902</v>
      </c>
      <c r="D737" s="7" t="str">
        <f>VLOOKUP(B737,Table1[[CIPCode]:[CIPTITLE]],4,FALSE)</f>
        <v>Medical Physiology</v>
      </c>
    </row>
    <row r="738" spans="1:4" x14ac:dyDescent="0.2">
      <c r="A738" s="7" t="s">
        <v>15803</v>
      </c>
      <c r="B738" s="6" t="s">
        <v>9519</v>
      </c>
      <c r="C738" s="6" t="s">
        <v>21310</v>
      </c>
      <c r="D738" s="7" t="str">
        <f>VLOOKUP(B738,Table1[[CIPCode]:[CIPTITLE]],4,FALSE)</f>
        <v>Physiology, Pathology, and Related Sciences, Other.</v>
      </c>
    </row>
    <row r="739" spans="1:4" x14ac:dyDescent="0.2">
      <c r="A739" s="7" t="s">
        <v>15803</v>
      </c>
      <c r="B739" s="6" t="s">
        <v>11736</v>
      </c>
      <c r="C739" s="6" t="s">
        <v>21311</v>
      </c>
      <c r="D739" s="7" t="str">
        <f>VLOOKUP(B739,Table1[[CIPCode]:[CIPTITLE]],4,FALSE)</f>
        <v>Pharmacology and Toxicology.</v>
      </c>
    </row>
    <row r="740" spans="1:4" x14ac:dyDescent="0.2">
      <c r="A740" s="7" t="s">
        <v>15803</v>
      </c>
      <c r="B740" s="6" t="s">
        <v>9523</v>
      </c>
      <c r="C740" s="6" t="s">
        <v>6051</v>
      </c>
      <c r="D740" s="7" t="str">
        <f>VLOOKUP(B740,Table1[[CIPCode]:[CIPTITLE]],4,FALSE)</f>
        <v>Pharmacology.</v>
      </c>
    </row>
    <row r="741" spans="1:4" x14ac:dyDescent="0.2">
      <c r="A741" s="7" t="s">
        <v>15803</v>
      </c>
      <c r="B741" s="6" t="s">
        <v>9526</v>
      </c>
      <c r="C741" s="6" t="s">
        <v>21312</v>
      </c>
      <c r="D741" s="7" t="str">
        <f>VLOOKUP(B741,Table1[[CIPCode]:[CIPTITLE]],4,FALSE)</f>
        <v>Molecular Pharmacology.</v>
      </c>
    </row>
    <row r="742" spans="1:4" x14ac:dyDescent="0.2">
      <c r="A742" s="7" t="s">
        <v>15803</v>
      </c>
      <c r="B742" s="6" t="s">
        <v>9532</v>
      </c>
      <c r="C742" s="6" t="s">
        <v>15903</v>
      </c>
      <c r="D742" s="7" t="str">
        <f>VLOOKUP(B742,Table1[[CIPCode]:[CIPTITLE]],4,FALSE)</f>
        <v>Toxicology.</v>
      </c>
    </row>
    <row r="743" spans="1:4" x14ac:dyDescent="0.2">
      <c r="A743" s="7" t="s">
        <v>15803</v>
      </c>
      <c r="B743" s="6" t="s">
        <v>9534</v>
      </c>
      <c r="C743" s="6" t="s">
        <v>21313</v>
      </c>
      <c r="D743" s="7" t="str">
        <f>VLOOKUP(B743,Table1[[CIPCode]:[CIPTITLE]],4,FALSE)</f>
        <v>Molecular Toxicology.</v>
      </c>
    </row>
    <row r="744" spans="1:4" x14ac:dyDescent="0.2">
      <c r="A744" s="7" t="s">
        <v>15803</v>
      </c>
      <c r="B744" s="6" t="s">
        <v>9537</v>
      </c>
      <c r="C744" s="6" t="s">
        <v>21314</v>
      </c>
      <c r="D744" s="7" t="str">
        <f>VLOOKUP(B744,Table1[[CIPCode]:[CIPTITLE]],4,FALSE)</f>
        <v>Environmental Toxicology.</v>
      </c>
    </row>
    <row r="745" spans="1:4" x14ac:dyDescent="0.2">
      <c r="A745" s="7" t="s">
        <v>15803</v>
      </c>
      <c r="B745" s="6" t="s">
        <v>9540</v>
      </c>
      <c r="C745" s="6" t="s">
        <v>21311</v>
      </c>
      <c r="D745" s="7" t="str">
        <f>VLOOKUP(B745,Table1[[CIPCode]:[CIPTITLE]],4,FALSE)</f>
        <v>Pharmacology and Toxicology.</v>
      </c>
    </row>
    <row r="746" spans="1:4" x14ac:dyDescent="0.2">
      <c r="A746" s="7" t="s">
        <v>15803</v>
      </c>
      <c r="B746" s="6" t="s">
        <v>9545</v>
      </c>
      <c r="C746" s="6" t="s">
        <v>21315</v>
      </c>
      <c r="D746" s="7" t="str">
        <f>VLOOKUP(B746,Table1[[CIPCode]:[CIPTITLE]],4,FALSE)</f>
        <v>Biomathematics and Bioinformatics.</v>
      </c>
    </row>
    <row r="747" spans="1:4" x14ac:dyDescent="0.2">
      <c r="A747" s="7" t="s">
        <v>15803</v>
      </c>
      <c r="B747" s="6" t="s">
        <v>11717</v>
      </c>
      <c r="C747" s="6" t="s">
        <v>5085</v>
      </c>
      <c r="D747" s="7" t="str">
        <f>VLOOKUP(B747,Table1[[CIPCode]:[CIPTITLE]],4,FALSE)</f>
        <v>Biometry/Biometrics.</v>
      </c>
    </row>
    <row r="748" spans="1:4" x14ac:dyDescent="0.2">
      <c r="A748" s="7" t="s">
        <v>15803</v>
      </c>
      <c r="B748" s="6" t="s">
        <v>9549</v>
      </c>
      <c r="C748" s="6" t="s">
        <v>15915</v>
      </c>
      <c r="D748" s="7" t="str">
        <f>VLOOKUP(B748,Table1[[CIPCode]:[CIPTITLE]],4,FALSE)</f>
        <v>Biostatistics.</v>
      </c>
    </row>
    <row r="749" spans="1:4" x14ac:dyDescent="0.2">
      <c r="A749" s="7" t="s">
        <v>15803</v>
      </c>
      <c r="B749" s="6" t="s">
        <v>11720</v>
      </c>
      <c r="C749" s="6" t="s">
        <v>21316</v>
      </c>
      <c r="D749" s="7" t="str">
        <f>VLOOKUP(B749,Table1[[CIPCode]:[CIPTITLE]],4,FALSE)</f>
        <v>Bioinformatics.</v>
      </c>
    </row>
    <row r="750" spans="1:4" x14ac:dyDescent="0.2">
      <c r="A750" s="7" t="s">
        <v>15803</v>
      </c>
      <c r="B750" s="6" t="s">
        <v>9552</v>
      </c>
      <c r="C750" s="6" t="s">
        <v>4660</v>
      </c>
      <c r="D750" s="7" t="str">
        <f>VLOOKUP(B750,Table1[[CIPCode]:[CIPTITLE]],4,FALSE)</f>
        <v>Biomathematics and Bioinformatics, Other.</v>
      </c>
    </row>
    <row r="751" spans="1:4" x14ac:dyDescent="0.2">
      <c r="A751" s="7" t="s">
        <v>15803</v>
      </c>
      <c r="B751" s="6" t="s">
        <v>9555</v>
      </c>
      <c r="C751" s="6" t="s">
        <v>6045</v>
      </c>
      <c r="D751" s="7" t="str">
        <f>VLOOKUP(B751,Table1[[CIPCode]:[CIPTITLE]],4,FALSE)</f>
        <v>Biotechnology.</v>
      </c>
    </row>
    <row r="752" spans="1:4" x14ac:dyDescent="0.2">
      <c r="A752" s="7" t="s">
        <v>15803</v>
      </c>
      <c r="B752" s="6" t="s">
        <v>11727</v>
      </c>
      <c r="C752" s="6" t="s">
        <v>6045</v>
      </c>
      <c r="D752" s="7" t="str">
        <f>VLOOKUP(B752,Table1[[CIPCode]:[CIPTITLE]],4,FALSE)</f>
        <v>Biotechnology.</v>
      </c>
    </row>
    <row r="753" spans="1:4" x14ac:dyDescent="0.2">
      <c r="A753" s="7" t="s">
        <v>15803</v>
      </c>
      <c r="B753" s="6" t="s">
        <v>11715</v>
      </c>
      <c r="C753" s="6" t="s">
        <v>21317</v>
      </c>
      <c r="D753" s="7" t="str">
        <f>VLOOKUP(B753,Table1[[CIPCode]:[CIPTITLE]],4,FALSE)</f>
        <v>Ecology, Evolution, Systematics, and Population Biology.</v>
      </c>
    </row>
    <row r="754" spans="1:4" x14ac:dyDescent="0.2">
      <c r="A754" s="7" t="s">
        <v>15803</v>
      </c>
      <c r="B754" s="6" t="s">
        <v>12616</v>
      </c>
      <c r="C754" s="6" t="s">
        <v>15879</v>
      </c>
      <c r="D754" s="7" t="str">
        <f>VLOOKUP(B754,Table1[[CIPCode]:[CIPTITLE]],4,FALSE)</f>
        <v>Ecology.</v>
      </c>
    </row>
    <row r="755" spans="1:4" x14ac:dyDescent="0.2">
      <c r="A755" s="7" t="s">
        <v>15803</v>
      </c>
      <c r="B755" s="6" t="s">
        <v>12587</v>
      </c>
      <c r="C755" s="6" t="s">
        <v>6038</v>
      </c>
      <c r="D755" s="7" t="str">
        <f>VLOOKUP(B755,Table1[[CIPCode]:[CIPTITLE]],4,FALSE)</f>
        <v>Marine Biology and Biological Oceanography.</v>
      </c>
    </row>
    <row r="756" spans="1:4" x14ac:dyDescent="0.2">
      <c r="A756" s="7" t="s">
        <v>15803</v>
      </c>
      <c r="B756" s="6" t="s">
        <v>9562</v>
      </c>
      <c r="C756" s="6" t="s">
        <v>15150</v>
      </c>
      <c r="D756" s="7" t="str">
        <f>VLOOKUP(B756,Table1[[CIPCode]:[CIPTITLE]],4,FALSE)</f>
        <v>Evolutionary Biology.</v>
      </c>
    </row>
    <row r="757" spans="1:4" x14ac:dyDescent="0.2">
      <c r="A757" s="7" t="s">
        <v>15803</v>
      </c>
      <c r="B757" s="6" t="s">
        <v>12589</v>
      </c>
      <c r="C757" s="6" t="s">
        <v>21318</v>
      </c>
      <c r="D757" s="7" t="str">
        <f>VLOOKUP(B757,Table1[[CIPCode]:[CIPTITLE]],4,FALSE)</f>
        <v>Aquatic Biology/Limnology.</v>
      </c>
    </row>
    <row r="758" spans="1:4" x14ac:dyDescent="0.2">
      <c r="A758" s="7" t="s">
        <v>15803</v>
      </c>
      <c r="B758" s="6" t="s">
        <v>11290</v>
      </c>
      <c r="C758" s="6" t="s">
        <v>21319</v>
      </c>
      <c r="D758" s="7" t="str">
        <f>VLOOKUP(B758,Table1[[CIPCode]:[CIPTITLE]],4,FALSE)</f>
        <v>Environmental Biology.</v>
      </c>
    </row>
    <row r="759" spans="1:4" x14ac:dyDescent="0.2">
      <c r="A759" s="7" t="s">
        <v>15803</v>
      </c>
      <c r="B759" s="6" t="s">
        <v>9566</v>
      </c>
      <c r="C759" s="6" t="s">
        <v>21320</v>
      </c>
      <c r="D759" s="7" t="str">
        <f>VLOOKUP(B759,Table1[[CIPCode]:[CIPTITLE]],4,FALSE)</f>
        <v>Population Biology.</v>
      </c>
    </row>
    <row r="760" spans="1:4" x14ac:dyDescent="0.2">
      <c r="A760" s="7" t="s">
        <v>15803</v>
      </c>
      <c r="B760" s="6" t="s">
        <v>11288</v>
      </c>
      <c r="C760" s="6" t="s">
        <v>21321</v>
      </c>
      <c r="D760" s="7" t="str">
        <f>VLOOKUP(B760,Table1[[CIPCode]:[CIPTITLE]],4,FALSE)</f>
        <v>Conservation Biology.</v>
      </c>
    </row>
    <row r="761" spans="1:4" x14ac:dyDescent="0.2">
      <c r="A761" s="7" t="s">
        <v>15803</v>
      </c>
      <c r="B761" s="6" t="s">
        <v>9570</v>
      </c>
      <c r="C761" s="6" t="s">
        <v>21322</v>
      </c>
      <c r="D761" s="7" t="str">
        <f>VLOOKUP(B761,Table1[[CIPCode]:[CIPTITLE]],4,FALSE)</f>
        <v>Systematic Biology/Biological Systematics.</v>
      </c>
    </row>
    <row r="762" spans="1:4" x14ac:dyDescent="0.2">
      <c r="A762" s="7" t="s">
        <v>15803</v>
      </c>
      <c r="B762" s="6" t="s">
        <v>9573</v>
      </c>
      <c r="C762" s="6" t="s">
        <v>13463</v>
      </c>
      <c r="D762" s="7" t="str">
        <f>VLOOKUP(B762,Table1[[CIPCode]:[CIPTITLE]],4,FALSE)</f>
        <v>Epidemiology.</v>
      </c>
    </row>
    <row r="763" spans="1:4" x14ac:dyDescent="0.2">
      <c r="A763" s="7" t="s">
        <v>15803</v>
      </c>
      <c r="B763" s="6" t="s">
        <v>9576</v>
      </c>
      <c r="C763" s="6" t="s">
        <v>21323</v>
      </c>
      <c r="D763" s="7" t="str">
        <f>VLOOKUP(B763,Table1[[CIPCode]:[CIPTITLE]],4,FALSE)</f>
        <v>Ecology, Evolution, Systematics and Population Biology, Other.</v>
      </c>
    </row>
    <row r="764" spans="1:4" x14ac:dyDescent="0.2">
      <c r="A764" s="7" t="s">
        <v>15803</v>
      </c>
      <c r="B764" s="6" t="s">
        <v>9579</v>
      </c>
      <c r="C764" s="6" t="s">
        <v>6093</v>
      </c>
      <c r="D764" s="7" t="str">
        <f>VLOOKUP(B764,Table1[[CIPCode]:[CIPTITLE]],4,FALSE)</f>
        <v>Biological and Biomedical Sciences, Other.</v>
      </c>
    </row>
    <row r="765" spans="1:4" x14ac:dyDescent="0.2">
      <c r="A765" s="7" t="s">
        <v>15803</v>
      </c>
      <c r="B765" s="6" t="s">
        <v>15197</v>
      </c>
      <c r="C765" s="6" t="s">
        <v>6093</v>
      </c>
      <c r="D765" s="7" t="str">
        <f>VLOOKUP(B765,Table1[[CIPCode]:[CIPTITLE]],4,FALSE)</f>
        <v>Biological and Biomedical Sciences, Other.</v>
      </c>
    </row>
    <row r="766" spans="1:4" x14ac:dyDescent="0.2">
      <c r="A766" s="7" t="s">
        <v>15199</v>
      </c>
      <c r="B766" s="6" t="s">
        <v>15199</v>
      </c>
      <c r="C766" s="6" t="s">
        <v>21324</v>
      </c>
      <c r="D766" s="7" t="e">
        <f>VLOOKUP(B766,Table1[[CIPCode]:[CIPTITLE]],4,FALSE)</f>
        <v>#N/A</v>
      </c>
    </row>
    <row r="767" spans="1:4" x14ac:dyDescent="0.2">
      <c r="A767" s="7" t="s">
        <v>15199</v>
      </c>
      <c r="B767" s="6" t="s">
        <v>9145</v>
      </c>
      <c r="C767" s="6" t="s">
        <v>15201</v>
      </c>
      <c r="D767" s="7" t="str">
        <f>VLOOKUP(B767,Table1[[CIPCode]:[CIPTITLE]],4,FALSE)</f>
        <v>Mathematics.</v>
      </c>
    </row>
    <row r="768" spans="1:4" x14ac:dyDescent="0.2">
      <c r="A768" s="7" t="s">
        <v>15199</v>
      </c>
      <c r="B768" s="6" t="s">
        <v>15207</v>
      </c>
      <c r="C768" s="6" t="s">
        <v>12443</v>
      </c>
      <c r="D768" s="7" t="str">
        <f>VLOOKUP(B768,Table1[[CIPCode]:[CIPTITLE]],4,FALSE)</f>
        <v>Mathematics, General.</v>
      </c>
    </row>
    <row r="769" spans="1:4" x14ac:dyDescent="0.2">
      <c r="A769" s="7" t="s">
        <v>15199</v>
      </c>
      <c r="B769" s="6" t="s">
        <v>9162</v>
      </c>
      <c r="C769" s="6" t="s">
        <v>15234</v>
      </c>
      <c r="D769" s="7" t="str">
        <f>VLOOKUP(B769,Table1[[CIPCode]:[CIPTITLE]],4,FALSE)</f>
        <v>Mathematics, Other.</v>
      </c>
    </row>
    <row r="770" spans="1:4" x14ac:dyDescent="0.2">
      <c r="A770" s="7" t="s">
        <v>15199</v>
      </c>
      <c r="B770" s="6" t="s">
        <v>9165</v>
      </c>
      <c r="C770" s="6" t="s">
        <v>15211</v>
      </c>
      <c r="D770" s="7" t="str">
        <f>VLOOKUP(B770,Table1[[CIPCode]:[CIPTITLE]],4,FALSE)</f>
        <v>Applied Mathematics.</v>
      </c>
    </row>
    <row r="771" spans="1:4" x14ac:dyDescent="0.2">
      <c r="A771" s="7" t="s">
        <v>15199</v>
      </c>
      <c r="B771" s="6" t="s">
        <v>15214</v>
      </c>
      <c r="C771" s="6" t="s">
        <v>15211</v>
      </c>
      <c r="D771" s="7" t="str">
        <f>VLOOKUP(B771,Table1[[CIPCode]:[CIPTITLE]],4,FALSE)</f>
        <v>Applied Mathematics.</v>
      </c>
    </row>
    <row r="772" spans="1:4" x14ac:dyDescent="0.2">
      <c r="A772" s="7" t="s">
        <v>15199</v>
      </c>
      <c r="B772" s="6" t="s">
        <v>11219</v>
      </c>
      <c r="C772" s="6" t="s">
        <v>21325</v>
      </c>
      <c r="D772" s="7" t="str">
        <f>VLOOKUP(B772,Table1[[CIPCode]:[CIPTITLE]],4,FALSE)</f>
        <v>Computational Mathematics.</v>
      </c>
    </row>
    <row r="773" spans="1:4" x14ac:dyDescent="0.2">
      <c r="A773" s="7" t="s">
        <v>15199</v>
      </c>
      <c r="B773" s="6" t="s">
        <v>15222</v>
      </c>
      <c r="C773" s="6" t="s">
        <v>15223</v>
      </c>
      <c r="D773" s="7" t="str">
        <f>VLOOKUP(B773,Table1[[CIPCode]:[CIPTITLE]],4,FALSE)</f>
        <v>Applied Mathematics, Other.</v>
      </c>
    </row>
    <row r="774" spans="1:4" x14ac:dyDescent="0.2">
      <c r="A774" s="7" t="s">
        <v>15199</v>
      </c>
      <c r="B774" s="6" t="s">
        <v>9173</v>
      </c>
      <c r="C774" s="6" t="s">
        <v>12444</v>
      </c>
      <c r="D774" s="7" t="str">
        <f>VLOOKUP(B774,Table1[[CIPCode]:[CIPTITLE]],4,FALSE)</f>
        <v>Statistics.</v>
      </c>
    </row>
    <row r="775" spans="1:4" x14ac:dyDescent="0.2">
      <c r="A775" s="7" t="s">
        <v>15199</v>
      </c>
      <c r="B775" s="6" t="s">
        <v>15230</v>
      </c>
      <c r="C775" s="6" t="s">
        <v>6102</v>
      </c>
      <c r="D775" s="7" t="str">
        <f>VLOOKUP(B775,Table1[[CIPCode]:[CIPTITLE]],4,FALSE)</f>
        <v>Statistics, General.</v>
      </c>
    </row>
    <row r="776" spans="1:4" x14ac:dyDescent="0.2">
      <c r="A776" s="7" t="s">
        <v>15199</v>
      </c>
      <c r="B776" s="6" t="s">
        <v>9182</v>
      </c>
      <c r="C776" s="6" t="s">
        <v>21326</v>
      </c>
      <c r="D776" s="7" t="str">
        <f>VLOOKUP(B776,Table1[[CIPCode]:[CIPTITLE]],4,FALSE)</f>
        <v>Mathematical Statistics and Probability.</v>
      </c>
    </row>
    <row r="777" spans="1:4" x14ac:dyDescent="0.2">
      <c r="A777" s="7" t="s">
        <v>15199</v>
      </c>
      <c r="B777" s="6" t="s">
        <v>9185</v>
      </c>
      <c r="C777" s="6" t="s">
        <v>21327</v>
      </c>
      <c r="D777" s="7" t="str">
        <f>VLOOKUP(B777,Table1[[CIPCode]:[CIPTITLE]],4,FALSE)</f>
        <v>Statistics, Other.</v>
      </c>
    </row>
    <row r="778" spans="1:4" x14ac:dyDescent="0.2">
      <c r="A778" s="7" t="s">
        <v>15199</v>
      </c>
      <c r="B778" s="6" t="s">
        <v>9188</v>
      </c>
      <c r="C778" s="6" t="s">
        <v>6105</v>
      </c>
      <c r="D778" s="7" t="str">
        <f>VLOOKUP(B778,Table1[[CIPCode]:[CIPTITLE]],4,FALSE)</f>
        <v>Mathematics and Statistics, Other.</v>
      </c>
    </row>
    <row r="779" spans="1:4" x14ac:dyDescent="0.2">
      <c r="A779" s="7" t="s">
        <v>15199</v>
      </c>
      <c r="B779" s="6" t="s">
        <v>15237</v>
      </c>
      <c r="C779" s="6" t="s">
        <v>6105</v>
      </c>
      <c r="D779" s="7" t="str">
        <f>VLOOKUP(B779,Table1[[CIPCode]:[CIPTITLE]],4,FALSE)</f>
        <v>Mathematics and Statistics, Other.</v>
      </c>
    </row>
    <row r="780" spans="1:4" x14ac:dyDescent="0.2">
      <c r="A780" s="7" t="s">
        <v>17224</v>
      </c>
      <c r="B780" s="6" t="s">
        <v>17224</v>
      </c>
      <c r="C780" s="6" t="s">
        <v>21328</v>
      </c>
      <c r="D780" s="7" t="e">
        <f>VLOOKUP(B780,Table1[[CIPCode]:[CIPTITLE]],4,FALSE)</f>
        <v>#N/A</v>
      </c>
    </row>
    <row r="781" spans="1:4" x14ac:dyDescent="0.2">
      <c r="A781" s="7" t="s">
        <v>17224</v>
      </c>
      <c r="B781" s="6" t="s">
        <v>9197</v>
      </c>
      <c r="C781" s="6" t="s">
        <v>17226</v>
      </c>
      <c r="D781" s="7" t="str">
        <f>VLOOKUP(B781,Table1[[CIPCode]:[CIPTITLE]],4,FALSE)</f>
        <v>Military Technologies.</v>
      </c>
    </row>
    <row r="782" spans="1:4" x14ac:dyDescent="0.2">
      <c r="A782" s="7" t="s">
        <v>17224</v>
      </c>
      <c r="B782" s="6" t="s">
        <v>17232</v>
      </c>
      <c r="C782" s="6" t="s">
        <v>17226</v>
      </c>
      <c r="D782" s="7" t="str">
        <f>VLOOKUP(B782,Table1[[CIPCode]:[CIPTITLE]],4,FALSE)</f>
        <v>Military Technologies.</v>
      </c>
    </row>
    <row r="783" spans="1:4" x14ac:dyDescent="0.2">
      <c r="A783" s="7" t="s">
        <v>17235</v>
      </c>
      <c r="B783" s="6" t="s">
        <v>17235</v>
      </c>
      <c r="C783" s="6" t="s">
        <v>21329</v>
      </c>
      <c r="D783" s="7" t="e">
        <f>VLOOKUP(B783,Table1[[CIPCode]:[CIPTITLE]],4,FALSE)</f>
        <v>#N/A</v>
      </c>
    </row>
    <row r="784" spans="1:4" x14ac:dyDescent="0.2">
      <c r="A784" s="7" t="s">
        <v>17235</v>
      </c>
      <c r="B784" s="6" t="s">
        <v>9203</v>
      </c>
      <c r="C784" s="6" t="s">
        <v>6108</v>
      </c>
      <c r="D784" s="7" t="str">
        <f>VLOOKUP(B784,Table1[[CIPCode]:[CIPTITLE]],4,FALSE)</f>
        <v>Biological and Physical Sciences.</v>
      </c>
    </row>
    <row r="785" spans="1:4" x14ac:dyDescent="0.2">
      <c r="A785" s="7" t="s">
        <v>17235</v>
      </c>
      <c r="B785" s="6" t="s">
        <v>17244</v>
      </c>
      <c r="C785" s="6" t="s">
        <v>6108</v>
      </c>
      <c r="D785" s="7" t="str">
        <f>VLOOKUP(B785,Table1[[CIPCode]:[CIPTITLE]],4,FALSE)</f>
        <v>Biological and Physical Sciences.</v>
      </c>
    </row>
    <row r="786" spans="1:4" x14ac:dyDescent="0.2">
      <c r="A786" s="7" t="s">
        <v>17235</v>
      </c>
      <c r="B786" s="6" t="s">
        <v>9206</v>
      </c>
      <c r="C786" s="6" t="s">
        <v>6110</v>
      </c>
      <c r="D786" s="7" t="str">
        <f>VLOOKUP(B786,Table1[[CIPCode]:[CIPTITLE]],4,FALSE)</f>
        <v>Peace Studies and Conflict Resolution.</v>
      </c>
    </row>
    <row r="787" spans="1:4" x14ac:dyDescent="0.2">
      <c r="A787" s="7" t="s">
        <v>17235</v>
      </c>
      <c r="B787" s="6" t="s">
        <v>17251</v>
      </c>
      <c r="C787" s="6" t="s">
        <v>6110</v>
      </c>
      <c r="D787" s="7" t="str">
        <f>VLOOKUP(B787,Table1[[CIPCode]:[CIPTITLE]],4,FALSE)</f>
        <v>Peace Studies and Conflict Resolution.</v>
      </c>
    </row>
    <row r="788" spans="1:4" x14ac:dyDescent="0.2">
      <c r="A788" s="7" t="s">
        <v>17235</v>
      </c>
      <c r="B788" s="6" t="s">
        <v>9211</v>
      </c>
      <c r="C788" s="6" t="s">
        <v>6111</v>
      </c>
      <c r="D788" s="7" t="str">
        <f>VLOOKUP(B788,Table1[[CIPCode]:[CIPTITLE]],4,FALSE)</f>
        <v>Systems Science and Theory.</v>
      </c>
    </row>
    <row r="789" spans="1:4" x14ac:dyDescent="0.2">
      <c r="A789" s="7" t="s">
        <v>17235</v>
      </c>
      <c r="B789" s="6" t="s">
        <v>17258</v>
      </c>
      <c r="C789" s="6" t="s">
        <v>6111</v>
      </c>
      <c r="D789" s="7" t="str">
        <f>VLOOKUP(B789,Table1[[CIPCode]:[CIPTITLE]],4,FALSE)</f>
        <v>Systems Science and Theory.</v>
      </c>
    </row>
    <row r="790" spans="1:4" x14ac:dyDescent="0.2">
      <c r="A790" s="7" t="s">
        <v>17235</v>
      </c>
      <c r="B790" s="6" t="s">
        <v>9214</v>
      </c>
      <c r="C790" s="6" t="s">
        <v>6112</v>
      </c>
      <c r="D790" s="7" t="str">
        <f>VLOOKUP(B790,Table1[[CIPCode]:[CIPTITLE]],4,FALSE)</f>
        <v>Mathematics and Computer Science.</v>
      </c>
    </row>
    <row r="791" spans="1:4" x14ac:dyDescent="0.2">
      <c r="A791" s="7" t="s">
        <v>17235</v>
      </c>
      <c r="B791" s="6" t="s">
        <v>17265</v>
      </c>
      <c r="C791" s="6" t="s">
        <v>6112</v>
      </c>
      <c r="D791" s="7" t="str">
        <f>VLOOKUP(B791,Table1[[CIPCode]:[CIPTITLE]],4,FALSE)</f>
        <v>Mathematics and Computer Science.</v>
      </c>
    </row>
    <row r="792" spans="1:4" x14ac:dyDescent="0.2">
      <c r="A792" s="7" t="s">
        <v>17235</v>
      </c>
      <c r="B792" s="6" t="s">
        <v>9218</v>
      </c>
      <c r="C792" s="6" t="s">
        <v>17269</v>
      </c>
      <c r="D792" s="7" t="str">
        <f>VLOOKUP(B792,Table1[[CIPCode]:[CIPTITLE]],4,FALSE)</f>
        <v>Biopsychology.</v>
      </c>
    </row>
    <row r="793" spans="1:4" x14ac:dyDescent="0.2">
      <c r="A793" s="7" t="s">
        <v>17235</v>
      </c>
      <c r="B793" s="6" t="s">
        <v>17272</v>
      </c>
      <c r="C793" s="6" t="s">
        <v>17269</v>
      </c>
      <c r="D793" s="7" t="str">
        <f>VLOOKUP(B793,Table1[[CIPCode]:[CIPTITLE]],4,FALSE)</f>
        <v>Biopsychology.</v>
      </c>
    </row>
    <row r="794" spans="1:4" x14ac:dyDescent="0.2">
      <c r="A794" s="7" t="s">
        <v>17235</v>
      </c>
      <c r="B794" s="6" t="s">
        <v>9222</v>
      </c>
      <c r="C794" s="6" t="s">
        <v>17276</v>
      </c>
      <c r="D794" s="7" t="str">
        <f>VLOOKUP(B794,Table1[[CIPCode]:[CIPTITLE]],4,FALSE)</f>
        <v>Gerontology.</v>
      </c>
    </row>
    <row r="795" spans="1:4" x14ac:dyDescent="0.2">
      <c r="A795" s="7" t="s">
        <v>17235</v>
      </c>
      <c r="B795" s="6" t="s">
        <v>17279</v>
      </c>
      <c r="C795" s="6" t="s">
        <v>17276</v>
      </c>
      <c r="D795" s="7" t="str">
        <f>VLOOKUP(B795,Table1[[CIPCode]:[CIPTITLE]],4,FALSE)</f>
        <v>Gerontology.</v>
      </c>
    </row>
    <row r="796" spans="1:4" x14ac:dyDescent="0.2">
      <c r="A796" s="7" t="s">
        <v>17235</v>
      </c>
      <c r="B796" s="6" t="s">
        <v>9227</v>
      </c>
      <c r="C796" s="6" t="s">
        <v>6117</v>
      </c>
      <c r="D796" s="7" t="str">
        <f>VLOOKUP(B796,Table1[[CIPCode]:[CIPTITLE]],4,FALSE)</f>
        <v>Historic Preservation and Conservation.</v>
      </c>
    </row>
    <row r="797" spans="1:4" x14ac:dyDescent="0.2">
      <c r="A797" s="7" t="s">
        <v>17235</v>
      </c>
      <c r="B797" s="6" t="s">
        <v>17286</v>
      </c>
      <c r="C797" s="6" t="s">
        <v>6117</v>
      </c>
      <c r="D797" s="7" t="str">
        <f>VLOOKUP(B797,Table1[[CIPCode]:[CIPTITLE]],4,FALSE)</f>
        <v>Historic Preservation and Conservation.</v>
      </c>
    </row>
    <row r="798" spans="1:4" x14ac:dyDescent="0.2">
      <c r="A798" s="7" t="s">
        <v>17235</v>
      </c>
      <c r="B798" s="6" t="s">
        <v>11541</v>
      </c>
      <c r="C798" s="6" t="s">
        <v>21330</v>
      </c>
      <c r="D798" s="7" t="str">
        <f>VLOOKUP(B798,Table1[[CIPCode]:[CIPTITLE]],4,FALSE)</f>
        <v>Cultural Resource Management and Policy Analysis.</v>
      </c>
    </row>
    <row r="799" spans="1:4" x14ac:dyDescent="0.2">
      <c r="A799" s="7" t="s">
        <v>17235</v>
      </c>
      <c r="B799" s="6" t="s">
        <v>9234</v>
      </c>
      <c r="C799" s="6" t="s">
        <v>6115</v>
      </c>
      <c r="D799" s="7" t="str">
        <f>VLOOKUP(B799,Table1[[CIPCode]:[CIPTITLE]],4,FALSE)</f>
        <v>Medieval and Renaissance Studies.</v>
      </c>
    </row>
    <row r="800" spans="1:4" x14ac:dyDescent="0.2">
      <c r="A800" s="7" t="s">
        <v>17235</v>
      </c>
      <c r="B800" s="6" t="s">
        <v>17293</v>
      </c>
      <c r="C800" s="6" t="s">
        <v>6115</v>
      </c>
      <c r="D800" s="7" t="str">
        <f>VLOOKUP(B800,Table1[[CIPCode]:[CIPTITLE]],4,FALSE)</f>
        <v>Medieval and Renaissance Studies.</v>
      </c>
    </row>
    <row r="801" spans="1:4" x14ac:dyDescent="0.2">
      <c r="A801" s="7" t="s">
        <v>17235</v>
      </c>
      <c r="B801" s="6" t="s">
        <v>9237</v>
      </c>
      <c r="C801" s="6" t="s">
        <v>17297</v>
      </c>
      <c r="D801" s="7" t="str">
        <f>VLOOKUP(B801,Table1[[CIPCode]:[CIPTITLE]],4,FALSE)</f>
        <v>Museology/Museum Studies.</v>
      </c>
    </row>
    <row r="802" spans="1:4" x14ac:dyDescent="0.2">
      <c r="A802" s="7" t="s">
        <v>17235</v>
      </c>
      <c r="B802" s="6" t="s">
        <v>17300</v>
      </c>
      <c r="C802" s="6" t="s">
        <v>17297</v>
      </c>
      <c r="D802" s="7" t="str">
        <f>VLOOKUP(B802,Table1[[CIPCode]:[CIPTITLE]],4,FALSE)</f>
        <v>Museology/Museum Studies.</v>
      </c>
    </row>
    <row r="803" spans="1:4" x14ac:dyDescent="0.2">
      <c r="A803" s="7" t="s">
        <v>17235</v>
      </c>
      <c r="B803" s="6" t="s">
        <v>9240</v>
      </c>
      <c r="C803" s="6" t="s">
        <v>6118</v>
      </c>
      <c r="D803" s="7" t="str">
        <f>VLOOKUP(B803,Table1[[CIPCode]:[CIPTITLE]],4,FALSE)</f>
        <v>Science, Technology and Society.</v>
      </c>
    </row>
    <row r="804" spans="1:4" x14ac:dyDescent="0.2">
      <c r="A804" s="7" t="s">
        <v>17235</v>
      </c>
      <c r="B804" s="6" t="s">
        <v>15273</v>
      </c>
      <c r="C804" s="6" t="s">
        <v>6118</v>
      </c>
      <c r="D804" s="7" t="str">
        <f>VLOOKUP(B804,Table1[[CIPCode]:[CIPTITLE]],4,FALSE)</f>
        <v>Science, Technology and Society.</v>
      </c>
    </row>
    <row r="805" spans="1:4" x14ac:dyDescent="0.2">
      <c r="A805" s="7" t="s">
        <v>17235</v>
      </c>
      <c r="B805" s="6" t="s">
        <v>9244</v>
      </c>
      <c r="C805" s="6" t="s">
        <v>21331</v>
      </c>
      <c r="D805" s="7" t="str">
        <f>VLOOKUP(B805,Table1[[CIPCode]:[CIPTITLE]],4,FALSE)</f>
        <v>Accounting and Computer Science.</v>
      </c>
    </row>
    <row r="806" spans="1:4" x14ac:dyDescent="0.2">
      <c r="A806" s="7" t="s">
        <v>17235</v>
      </c>
      <c r="B806" s="6" t="s">
        <v>9247</v>
      </c>
      <c r="C806" s="6" t="s">
        <v>21331</v>
      </c>
      <c r="D806" s="7" t="str">
        <f>VLOOKUP(B806,Table1[[CIPCode]:[CIPTITLE]],4,FALSE)</f>
        <v>Accounting and Computer Science.</v>
      </c>
    </row>
    <row r="807" spans="1:4" x14ac:dyDescent="0.2">
      <c r="A807" s="7" t="s">
        <v>17235</v>
      </c>
      <c r="B807" s="6" t="s">
        <v>9249</v>
      </c>
      <c r="C807" s="6" t="s">
        <v>21332</v>
      </c>
      <c r="D807" s="7" t="str">
        <f>VLOOKUP(B807,Table1[[CIPCode]:[CIPTITLE]],4,FALSE)</f>
        <v>Behavioral Sciences.</v>
      </c>
    </row>
    <row r="808" spans="1:4" x14ac:dyDescent="0.2">
      <c r="A808" s="7" t="s">
        <v>17235</v>
      </c>
      <c r="B808" s="6" t="s">
        <v>9252</v>
      </c>
      <c r="C808" s="6" t="s">
        <v>21332</v>
      </c>
      <c r="D808" s="7" t="str">
        <f>VLOOKUP(B808,Table1[[CIPCode]:[CIPTITLE]],4,FALSE)</f>
        <v>Behavioral Sciences.</v>
      </c>
    </row>
    <row r="809" spans="1:4" x14ac:dyDescent="0.2">
      <c r="A809" s="7" t="s">
        <v>17235</v>
      </c>
      <c r="B809" s="6" t="s">
        <v>9254</v>
      </c>
      <c r="C809" s="6" t="s">
        <v>21333</v>
      </c>
      <c r="D809" s="7" t="str">
        <f>VLOOKUP(B809,Table1[[CIPCode]:[CIPTITLE]],4,FALSE)</f>
        <v>Natural Sciences.</v>
      </c>
    </row>
    <row r="810" spans="1:4" x14ac:dyDescent="0.2">
      <c r="A810" s="7" t="s">
        <v>17235</v>
      </c>
      <c r="B810" s="6" t="s">
        <v>9257</v>
      </c>
      <c r="C810" s="6" t="s">
        <v>21333</v>
      </c>
      <c r="D810" s="7" t="str">
        <f>VLOOKUP(B810,Table1[[CIPCode]:[CIPTITLE]],4,FALSE)</f>
        <v>Natural Sciences.</v>
      </c>
    </row>
    <row r="811" spans="1:4" x14ac:dyDescent="0.2">
      <c r="A811" s="7" t="s">
        <v>17235</v>
      </c>
      <c r="B811" s="6" t="s">
        <v>9259</v>
      </c>
      <c r="C811" s="6" t="s">
        <v>6039</v>
      </c>
      <c r="D811" s="7" t="str">
        <f>VLOOKUP(B811,Table1[[CIPCode]:[CIPTITLE]],4,FALSE)</f>
        <v>Nutrition Sciences.</v>
      </c>
    </row>
    <row r="812" spans="1:4" x14ac:dyDescent="0.2">
      <c r="A812" s="7" t="s">
        <v>17235</v>
      </c>
      <c r="B812" s="6" t="s">
        <v>11743</v>
      </c>
      <c r="C812" s="6" t="s">
        <v>6039</v>
      </c>
      <c r="D812" s="7" t="str">
        <f>VLOOKUP(B812,Table1[[CIPCode]:[CIPTITLE]],4,FALSE)</f>
        <v>Nutrition Sciences.</v>
      </c>
    </row>
    <row r="813" spans="1:4" x14ac:dyDescent="0.2">
      <c r="A813" s="7" t="s">
        <v>17235</v>
      </c>
      <c r="B813" s="6" t="s">
        <v>9262</v>
      </c>
      <c r="C813" s="6" t="s">
        <v>21334</v>
      </c>
      <c r="D813" s="7" t="str">
        <f>VLOOKUP(B813,Table1[[CIPCode]:[CIPTITLE]],4,FALSE)</f>
        <v>International/Global Studies.</v>
      </c>
    </row>
    <row r="814" spans="1:4" x14ac:dyDescent="0.2">
      <c r="A814" s="7" t="s">
        <v>17235</v>
      </c>
      <c r="B814" s="6" t="s">
        <v>9265</v>
      </c>
      <c r="C814" s="6" t="s">
        <v>21334</v>
      </c>
      <c r="D814" s="7" t="str">
        <f>VLOOKUP(B814,Table1[[CIPCode]:[CIPTITLE]],4,FALSE)</f>
        <v>International/Global Studies.</v>
      </c>
    </row>
    <row r="815" spans="1:4" x14ac:dyDescent="0.2">
      <c r="A815" s="7" t="s">
        <v>17235</v>
      </c>
      <c r="B815" s="6" t="s">
        <v>9269</v>
      </c>
      <c r="C815" s="6" t="s">
        <v>21335</v>
      </c>
      <c r="D815" s="7" t="str">
        <f>VLOOKUP(B815,Table1[[CIPCode]:[CIPTITLE]],4,FALSE)</f>
        <v>Classical and Ancient Studies.</v>
      </c>
    </row>
    <row r="816" spans="1:4" x14ac:dyDescent="0.2">
      <c r="A816" s="7" t="s">
        <v>17235</v>
      </c>
      <c r="B816" s="6" t="s">
        <v>9896</v>
      </c>
      <c r="C816" s="6" t="s">
        <v>21336</v>
      </c>
      <c r="D816" s="7" t="str">
        <f>VLOOKUP(B816,Table1[[CIPCode]:[CIPTITLE]],4,FALSE)</f>
        <v>Ancient Studies/Civilization.</v>
      </c>
    </row>
    <row r="817" spans="1:4" x14ac:dyDescent="0.2">
      <c r="A817" s="7" t="s">
        <v>17235</v>
      </c>
      <c r="B817" s="6" t="s">
        <v>9273</v>
      </c>
      <c r="C817" s="6" t="s">
        <v>21337</v>
      </c>
      <c r="D817" s="7" t="str">
        <f>VLOOKUP(B817,Table1[[CIPCode]:[CIPTITLE]],4,FALSE)</f>
        <v>Classical, Ancient Mediterranean and Near Eastern Studies and Archaeology.</v>
      </c>
    </row>
    <row r="818" spans="1:4" x14ac:dyDescent="0.2">
      <c r="A818" s="7" t="s">
        <v>17235</v>
      </c>
      <c r="B818" s="6" t="s">
        <v>9276</v>
      </c>
      <c r="C818" s="6" t="s">
        <v>21338</v>
      </c>
      <c r="D818" s="7" t="str">
        <f>VLOOKUP(B818,Table1[[CIPCode]:[CIPTITLE]],4,FALSE)</f>
        <v>Intercultural/Multicultural and Diversity Studies.</v>
      </c>
    </row>
    <row r="819" spans="1:4" x14ac:dyDescent="0.2">
      <c r="A819" s="7" t="s">
        <v>17235</v>
      </c>
      <c r="B819" s="6" t="s">
        <v>10190</v>
      </c>
      <c r="C819" s="6" t="s">
        <v>21338</v>
      </c>
      <c r="D819" s="7" t="str">
        <f>VLOOKUP(B819,Table1[[CIPCode]:[CIPTITLE]],4,FALSE)</f>
        <v>Intercultural/Multicultural and Diversity Studies.</v>
      </c>
    </row>
    <row r="820" spans="1:4" x14ac:dyDescent="0.2">
      <c r="A820" s="7" t="s">
        <v>17235</v>
      </c>
      <c r="B820" s="6" t="s">
        <v>9280</v>
      </c>
      <c r="C820" s="6" t="s">
        <v>15887</v>
      </c>
      <c r="D820" s="7" t="str">
        <f>VLOOKUP(B820,Table1[[CIPCode]:[CIPTITLE]],4,FALSE)</f>
        <v>Neuroscience.</v>
      </c>
    </row>
    <row r="821" spans="1:4" x14ac:dyDescent="0.2">
      <c r="A821" s="7" t="s">
        <v>17235</v>
      </c>
      <c r="B821" s="6" t="s">
        <v>9502</v>
      </c>
      <c r="C821" s="6" t="s">
        <v>15887</v>
      </c>
      <c r="D821" s="7" t="str">
        <f>VLOOKUP(B821,Table1[[CIPCode]:[CIPTITLE]],4,FALSE)</f>
        <v>Neuroscience.</v>
      </c>
    </row>
    <row r="822" spans="1:4" x14ac:dyDescent="0.2">
      <c r="A822" s="7" t="s">
        <v>17235</v>
      </c>
      <c r="B822" s="6" t="s">
        <v>9283</v>
      </c>
      <c r="C822" s="6" t="s">
        <v>21339</v>
      </c>
      <c r="D822" s="7" t="str">
        <f>VLOOKUP(B822,Table1[[CIPCode]:[CIPTITLE]],4,FALSE)</f>
        <v>Cognitive Science.</v>
      </c>
    </row>
    <row r="823" spans="1:4" x14ac:dyDescent="0.2">
      <c r="A823" s="7" t="s">
        <v>17235</v>
      </c>
      <c r="B823" s="6" t="s">
        <v>11193</v>
      </c>
      <c r="C823" s="6" t="s">
        <v>21339</v>
      </c>
      <c r="D823" s="7" t="str">
        <f>VLOOKUP(B823,Table1[[CIPCode]:[CIPTITLE]],4,FALSE)</f>
        <v>Cognitive Science.</v>
      </c>
    </row>
    <row r="824" spans="1:4" x14ac:dyDescent="0.2">
      <c r="A824" s="7" t="s">
        <v>17235</v>
      </c>
      <c r="B824" s="6" t="s">
        <v>9286</v>
      </c>
      <c r="C824" s="6" t="s">
        <v>15277</v>
      </c>
      <c r="D824" s="7" t="str">
        <f>VLOOKUP(B824,Table1[[CIPCode]:[CIPTITLE]],4,FALSE)</f>
        <v>Multi/Interdisciplinary Studies, Other.</v>
      </c>
    </row>
    <row r="825" spans="1:4" x14ac:dyDescent="0.2">
      <c r="A825" s="7" t="s">
        <v>17235</v>
      </c>
      <c r="B825" s="6" t="s">
        <v>15280</v>
      </c>
      <c r="C825" s="6" t="s">
        <v>6137</v>
      </c>
      <c r="D825" s="7" t="str">
        <f>VLOOKUP(B825,Table1[[CIPCode]:[CIPTITLE]],4,FALSE)</f>
        <v>Multi-/Interdisciplinary Studies, Other.</v>
      </c>
    </row>
    <row r="826" spans="1:4" x14ac:dyDescent="0.2">
      <c r="A826" s="7" t="s">
        <v>15282</v>
      </c>
      <c r="B826" s="6" t="s">
        <v>15282</v>
      </c>
      <c r="C826" s="6" t="s">
        <v>21340</v>
      </c>
      <c r="D826" s="7" t="e">
        <f>VLOOKUP(B826,Table1[[CIPCode]:[CIPTITLE]],4,FALSE)</f>
        <v>#N/A</v>
      </c>
    </row>
    <row r="827" spans="1:4" x14ac:dyDescent="0.2">
      <c r="A827" s="7" t="s">
        <v>15282</v>
      </c>
      <c r="B827" s="6" t="s">
        <v>9292</v>
      </c>
      <c r="C827" s="6" t="s">
        <v>6142</v>
      </c>
      <c r="D827" s="7" t="str">
        <f>VLOOKUP(B827,Table1[[CIPCode]:[CIPTITLE]],4,FALSE)</f>
        <v>Parks, Recreation and Leisure Studies.</v>
      </c>
    </row>
    <row r="828" spans="1:4" x14ac:dyDescent="0.2">
      <c r="A828" s="7" t="s">
        <v>15282</v>
      </c>
      <c r="B828" s="6" t="s">
        <v>15291</v>
      </c>
      <c r="C828" s="6" t="s">
        <v>6142</v>
      </c>
      <c r="D828" s="7" t="str">
        <f>VLOOKUP(B828,Table1[[CIPCode]:[CIPTITLE]],4,FALSE)</f>
        <v>Parks, Recreation and Leisure Studies.</v>
      </c>
    </row>
    <row r="829" spans="1:4" x14ac:dyDescent="0.2">
      <c r="A829" s="7" t="s">
        <v>15282</v>
      </c>
      <c r="B829" s="6" t="s">
        <v>9296</v>
      </c>
      <c r="C829" s="6" t="s">
        <v>6143</v>
      </c>
      <c r="D829" s="7" t="str">
        <f>VLOOKUP(B829,Table1[[CIPCode]:[CIPTITLE]],4,FALSE)</f>
        <v>Parks, Recreation and Leisure Facilities Management.</v>
      </c>
    </row>
    <row r="830" spans="1:4" x14ac:dyDescent="0.2">
      <c r="A830" s="7" t="s">
        <v>15282</v>
      </c>
      <c r="B830" s="6" t="s">
        <v>15298</v>
      </c>
      <c r="C830" s="6" t="s">
        <v>6143</v>
      </c>
      <c r="D830" s="7" t="str">
        <f>VLOOKUP(B830,Table1[[CIPCode]:[CIPTITLE]],4,FALSE)</f>
        <v>Parks, Recreation and Leisure Facilities Management.</v>
      </c>
    </row>
    <row r="831" spans="1:4" x14ac:dyDescent="0.2">
      <c r="A831" s="7" t="s">
        <v>15282</v>
      </c>
      <c r="B831" s="6" t="s">
        <v>9299</v>
      </c>
      <c r="C831" s="6" t="s">
        <v>6144</v>
      </c>
      <c r="D831" s="7" t="str">
        <f>VLOOKUP(B831,Table1[[CIPCode]:[CIPTITLE]],4,FALSE)</f>
        <v>Health and Physical Education/Fitness.</v>
      </c>
    </row>
    <row r="832" spans="1:4" x14ac:dyDescent="0.2">
      <c r="A832" s="7" t="s">
        <v>15282</v>
      </c>
      <c r="B832" s="6" t="s">
        <v>15305</v>
      </c>
      <c r="C832" s="6" t="s">
        <v>6149</v>
      </c>
      <c r="D832" s="7" t="str">
        <f>VLOOKUP(B832,Table1[[CIPCode]:[CIPTITLE]],4,FALSE)</f>
        <v>Health and Physical Education, General.</v>
      </c>
    </row>
    <row r="833" spans="1:4" x14ac:dyDescent="0.2">
      <c r="A833" s="7" t="s">
        <v>15282</v>
      </c>
      <c r="B833" s="6" t="s">
        <v>15317</v>
      </c>
      <c r="C833" s="6" t="s">
        <v>6151</v>
      </c>
      <c r="D833" s="7" t="str">
        <f>VLOOKUP(B833,Table1[[CIPCode]:[CIPTITLE]],4,FALSE)</f>
        <v>Sport and Fitness Administration/Management.</v>
      </c>
    </row>
    <row r="834" spans="1:4" x14ac:dyDescent="0.2">
      <c r="A834" s="7" t="s">
        <v>15282</v>
      </c>
      <c r="B834" s="6" t="s">
        <v>15321</v>
      </c>
      <c r="C834" s="6" t="s">
        <v>6153</v>
      </c>
      <c r="D834" s="7" t="str">
        <f>VLOOKUP(B834,Table1[[CIPCode]:[CIPTITLE]],4,FALSE)</f>
        <v>Kinesiology and Exercise Science.</v>
      </c>
    </row>
    <row r="835" spans="1:4" x14ac:dyDescent="0.2">
      <c r="A835" s="7" t="s">
        <v>15282</v>
      </c>
      <c r="B835" s="6" t="s">
        <v>15329</v>
      </c>
      <c r="C835" s="6" t="s">
        <v>6154</v>
      </c>
      <c r="D835" s="7" t="str">
        <f>VLOOKUP(B835,Table1[[CIPCode]:[CIPTITLE]],4,FALSE)</f>
        <v>Health and Physical Education/Fitness, Other.</v>
      </c>
    </row>
    <row r="836" spans="1:4" x14ac:dyDescent="0.2">
      <c r="A836" s="7" t="s">
        <v>15282</v>
      </c>
      <c r="B836" s="6" t="s">
        <v>9314</v>
      </c>
      <c r="C836" s="6" t="s">
        <v>6155</v>
      </c>
      <c r="D836" s="7" t="str">
        <f>VLOOKUP(B836,Table1[[CIPCode]:[CIPTITLE]],4,FALSE)</f>
        <v>Parks, Recreation, Leisure, and Fitness Studies, Other.</v>
      </c>
    </row>
    <row r="837" spans="1:4" x14ac:dyDescent="0.2">
      <c r="A837" s="7" t="s">
        <v>15282</v>
      </c>
      <c r="B837" s="6" t="s">
        <v>15337</v>
      </c>
      <c r="C837" s="6" t="s">
        <v>21341</v>
      </c>
      <c r="D837" s="7" t="str">
        <f>VLOOKUP(B837,Table1[[CIPCode]:[CIPTITLE]],4,FALSE)</f>
        <v>Parks, Recreation, Leisure, and Fitness Studies, Other.</v>
      </c>
    </row>
    <row r="838" spans="1:4" x14ac:dyDescent="0.2">
      <c r="A838" s="7" t="s">
        <v>15559</v>
      </c>
      <c r="B838" s="6" t="s">
        <v>15559</v>
      </c>
      <c r="C838" s="6" t="s">
        <v>21342</v>
      </c>
      <c r="D838" s="7" t="e">
        <f>VLOOKUP(B838,Table1[[CIPCode]:[CIPTITLE]],4,FALSE)</f>
        <v>#N/A</v>
      </c>
    </row>
    <row r="839" spans="1:4" x14ac:dyDescent="0.2">
      <c r="A839" s="7" t="s">
        <v>15559</v>
      </c>
      <c r="B839" s="6" t="s">
        <v>9326</v>
      </c>
      <c r="C839" s="6" t="s">
        <v>15565</v>
      </c>
      <c r="D839" s="7" t="str">
        <f>VLOOKUP(B839,Table1[[CIPCode]:[CIPTITLE]],4,FALSE)</f>
        <v>Philosophy.</v>
      </c>
    </row>
    <row r="840" spans="1:4" x14ac:dyDescent="0.2">
      <c r="A840" s="7" t="s">
        <v>15559</v>
      </c>
      <c r="B840" s="6" t="s">
        <v>15568</v>
      </c>
      <c r="C840" s="6" t="s">
        <v>15565</v>
      </c>
      <c r="D840" s="7" t="str">
        <f>VLOOKUP(B840,Table1[[CIPCode]:[CIPTITLE]],4,FALSE)</f>
        <v>Philosophy.</v>
      </c>
    </row>
    <row r="841" spans="1:4" x14ac:dyDescent="0.2">
      <c r="A841" s="7" t="s">
        <v>15559</v>
      </c>
      <c r="B841" s="6" t="s">
        <v>9330</v>
      </c>
      <c r="C841" s="6" t="s">
        <v>21343</v>
      </c>
      <c r="D841" s="7" t="str">
        <f>VLOOKUP(B841,Table1[[CIPCode]:[CIPTITLE]],4,FALSE)</f>
        <v>Logic.</v>
      </c>
    </row>
    <row r="842" spans="1:4" x14ac:dyDescent="0.2">
      <c r="A842" s="7" t="s">
        <v>15559</v>
      </c>
      <c r="B842" s="6" t="s">
        <v>9333</v>
      </c>
      <c r="C842" s="6" t="s">
        <v>21344</v>
      </c>
      <c r="D842" s="7" t="str">
        <f>VLOOKUP(B842,Table1[[CIPCode]:[CIPTITLE]],4,FALSE)</f>
        <v>Ethics.</v>
      </c>
    </row>
    <row r="843" spans="1:4" x14ac:dyDescent="0.2">
      <c r="A843" s="7" t="s">
        <v>15559</v>
      </c>
      <c r="B843" s="6" t="s">
        <v>9336</v>
      </c>
      <c r="C843" s="6" t="s">
        <v>21345</v>
      </c>
      <c r="D843" s="7" t="str">
        <f>VLOOKUP(B843,Table1[[CIPCode]:[CIPTITLE]],4,FALSE)</f>
        <v>Philosophy, Other.</v>
      </c>
    </row>
    <row r="844" spans="1:4" x14ac:dyDescent="0.2">
      <c r="A844" s="7" t="s">
        <v>15559</v>
      </c>
      <c r="B844" s="6" t="s">
        <v>9339</v>
      </c>
      <c r="C844" s="6" t="s">
        <v>15572</v>
      </c>
      <c r="D844" s="7" t="str">
        <f>VLOOKUP(B844,Table1[[CIPCode]:[CIPTITLE]],4,FALSE)</f>
        <v>Religion/Religious Studies.</v>
      </c>
    </row>
    <row r="845" spans="1:4" x14ac:dyDescent="0.2">
      <c r="A845" s="7" t="s">
        <v>15559</v>
      </c>
      <c r="B845" s="6" t="s">
        <v>15575</v>
      </c>
      <c r="C845" s="6" t="s">
        <v>15572</v>
      </c>
      <c r="D845" s="7" t="str">
        <f>VLOOKUP(B845,Table1[[CIPCode]:[CIPTITLE]],4,FALSE)</f>
        <v>Religion/Religious Studies.</v>
      </c>
    </row>
    <row r="846" spans="1:4" x14ac:dyDescent="0.2">
      <c r="A846" s="7" t="s">
        <v>15559</v>
      </c>
      <c r="B846" s="6" t="s">
        <v>11322</v>
      </c>
      <c r="C846" s="6" t="s">
        <v>21346</v>
      </c>
      <c r="D846" s="7" t="str">
        <f>VLOOKUP(B846,Table1[[CIPCode]:[CIPTITLE]],4,FALSE)</f>
        <v>Buddhist Studies.</v>
      </c>
    </row>
    <row r="847" spans="1:4" x14ac:dyDescent="0.2">
      <c r="A847" s="7" t="s">
        <v>15559</v>
      </c>
      <c r="B847" s="6" t="s">
        <v>9344</v>
      </c>
      <c r="C847" s="6" t="s">
        <v>21347</v>
      </c>
      <c r="D847" s="7" t="str">
        <f>VLOOKUP(B847,Table1[[CIPCode]:[CIPTITLE]],4,FALSE)</f>
        <v>Christian Studies.</v>
      </c>
    </row>
    <row r="848" spans="1:4" x14ac:dyDescent="0.2">
      <c r="A848" s="7" t="s">
        <v>15559</v>
      </c>
      <c r="B848" s="6" t="s">
        <v>11324</v>
      </c>
      <c r="C848" s="6" t="s">
        <v>17494</v>
      </c>
      <c r="D848" s="7" t="str">
        <f>VLOOKUP(B848,Table1[[CIPCode]:[CIPTITLE]],4,FALSE)</f>
        <v>Islamic Studies.</v>
      </c>
    </row>
    <row r="849" spans="1:4" x14ac:dyDescent="0.2">
      <c r="A849" s="7" t="s">
        <v>15559</v>
      </c>
      <c r="B849" s="6" t="s">
        <v>11326</v>
      </c>
      <c r="C849" s="6" t="s">
        <v>17498</v>
      </c>
      <c r="D849" s="7" t="str">
        <f>VLOOKUP(B849,Table1[[CIPCode]:[CIPTITLE]],4,FALSE)</f>
        <v>Jewish/Judaic Studies.</v>
      </c>
    </row>
    <row r="850" spans="1:4" x14ac:dyDescent="0.2">
      <c r="A850" s="7" t="s">
        <v>15559</v>
      </c>
      <c r="B850" s="6" t="s">
        <v>9350</v>
      </c>
      <c r="C850" s="6" t="s">
        <v>21348</v>
      </c>
      <c r="D850" s="7" t="str">
        <f>VLOOKUP(B850,Table1[[CIPCode]:[CIPTITLE]],4,FALSE)</f>
        <v>Religion/Religious Studies, Other.</v>
      </c>
    </row>
    <row r="851" spans="1:4" x14ac:dyDescent="0.2">
      <c r="A851" s="7" t="s">
        <v>15559</v>
      </c>
      <c r="B851" s="6" t="s">
        <v>9353</v>
      </c>
      <c r="C851" s="6" t="s">
        <v>6161</v>
      </c>
      <c r="D851" s="7" t="str">
        <f>VLOOKUP(B851,Table1[[CIPCode]:[CIPTITLE]],4,FALSE)</f>
        <v>Philosophy and Religious Studies, Other.</v>
      </c>
    </row>
    <row r="852" spans="1:4" x14ac:dyDescent="0.2">
      <c r="A852" s="7" t="s">
        <v>15559</v>
      </c>
      <c r="B852" s="6" t="s">
        <v>14852</v>
      </c>
      <c r="C852" s="6" t="s">
        <v>6161</v>
      </c>
      <c r="D852" s="7" t="str">
        <f>VLOOKUP(B852,Table1[[CIPCode]:[CIPTITLE]],4,FALSE)</f>
        <v>Philosophy and Religious Studies, Other.</v>
      </c>
    </row>
    <row r="853" spans="1:4" x14ac:dyDescent="0.2">
      <c r="A853" s="7" t="s">
        <v>14855</v>
      </c>
      <c r="B853" s="6" t="s">
        <v>14855</v>
      </c>
      <c r="C853" s="6" t="s">
        <v>21349</v>
      </c>
      <c r="D853" s="7" t="e">
        <f>VLOOKUP(B853,Table1[[CIPCode]:[CIPTITLE]],4,FALSE)</f>
        <v>#N/A</v>
      </c>
    </row>
    <row r="854" spans="1:4" x14ac:dyDescent="0.2">
      <c r="A854" s="7" t="s">
        <v>14855</v>
      </c>
      <c r="B854" s="6" t="s">
        <v>9361</v>
      </c>
      <c r="C854" s="6" t="s">
        <v>14868</v>
      </c>
      <c r="D854" s="7" t="str">
        <f>VLOOKUP(B854,Table1[[CIPCode]:[CIPTITLE]],4,FALSE)</f>
        <v>Bible/Biblical Studies.</v>
      </c>
    </row>
    <row r="855" spans="1:4" x14ac:dyDescent="0.2">
      <c r="A855" s="7" t="s">
        <v>14855</v>
      </c>
      <c r="B855" s="6" t="s">
        <v>14871</v>
      </c>
      <c r="C855" s="6" t="s">
        <v>14868</v>
      </c>
      <c r="D855" s="7" t="str">
        <f>VLOOKUP(B855,Table1[[CIPCode]:[CIPTITLE]],4,FALSE)</f>
        <v>Bible/Biblical Studies.</v>
      </c>
    </row>
    <row r="856" spans="1:4" x14ac:dyDescent="0.2">
      <c r="A856" s="7" t="s">
        <v>14855</v>
      </c>
      <c r="B856" s="6" t="s">
        <v>9364</v>
      </c>
      <c r="C856" s="6" t="s">
        <v>6167</v>
      </c>
      <c r="D856" s="7" t="str">
        <f>VLOOKUP(B856,Table1[[CIPCode]:[CIPTITLE]],4,FALSE)</f>
        <v>Missions/Missionary Studies and Missiology.</v>
      </c>
    </row>
    <row r="857" spans="1:4" x14ac:dyDescent="0.2">
      <c r="A857" s="7" t="s">
        <v>14855</v>
      </c>
      <c r="B857" s="6" t="s">
        <v>14878</v>
      </c>
      <c r="C857" s="6" t="s">
        <v>6167</v>
      </c>
      <c r="D857" s="7" t="str">
        <f>VLOOKUP(B857,Table1[[CIPCode]:[CIPTITLE]],4,FALSE)</f>
        <v>Missions/Missionary Studies and Missiology.</v>
      </c>
    </row>
    <row r="858" spans="1:4" x14ac:dyDescent="0.2">
      <c r="A858" s="7" t="s">
        <v>14855</v>
      </c>
      <c r="B858" s="6" t="s">
        <v>9368</v>
      </c>
      <c r="C858" s="6" t="s">
        <v>14882</v>
      </c>
      <c r="D858" s="7" t="str">
        <f>VLOOKUP(B858,Table1[[CIPCode]:[CIPTITLE]],4,FALSE)</f>
        <v>Religious Education.</v>
      </c>
    </row>
    <row r="859" spans="1:4" x14ac:dyDescent="0.2">
      <c r="A859" s="7" t="s">
        <v>14855</v>
      </c>
      <c r="B859" s="6" t="s">
        <v>14885</v>
      </c>
      <c r="C859" s="6" t="s">
        <v>14882</v>
      </c>
      <c r="D859" s="7" t="str">
        <f>VLOOKUP(B859,Table1[[CIPCode]:[CIPTITLE]],4,FALSE)</f>
        <v>Religious Education.</v>
      </c>
    </row>
    <row r="860" spans="1:4" x14ac:dyDescent="0.2">
      <c r="A860" s="7" t="s">
        <v>14855</v>
      </c>
      <c r="B860" s="6" t="s">
        <v>9372</v>
      </c>
      <c r="C860" s="6" t="s">
        <v>14889</v>
      </c>
      <c r="D860" s="7" t="str">
        <f>VLOOKUP(B860,Table1[[CIPCode]:[CIPTITLE]],4,FALSE)</f>
        <v>Religious/Sacred Music.</v>
      </c>
    </row>
    <row r="861" spans="1:4" x14ac:dyDescent="0.2">
      <c r="A861" s="7" t="s">
        <v>14855</v>
      </c>
      <c r="B861" s="6" t="s">
        <v>14892</v>
      </c>
      <c r="C861" s="6" t="s">
        <v>14889</v>
      </c>
      <c r="D861" s="7" t="str">
        <f>VLOOKUP(B861,Table1[[CIPCode]:[CIPTITLE]],4,FALSE)</f>
        <v>Religious/Sacred Music.</v>
      </c>
    </row>
    <row r="862" spans="1:4" x14ac:dyDescent="0.2">
      <c r="A862" s="7" t="s">
        <v>14855</v>
      </c>
      <c r="B862" s="6" t="s">
        <v>9376</v>
      </c>
      <c r="C862" s="6" t="s">
        <v>6168</v>
      </c>
      <c r="D862" s="7" t="str">
        <f>VLOOKUP(B862,Table1[[CIPCode]:[CIPTITLE]],4,FALSE)</f>
        <v>Theological and Ministerial Studies.</v>
      </c>
    </row>
    <row r="863" spans="1:4" x14ac:dyDescent="0.2">
      <c r="A863" s="7" t="s">
        <v>14855</v>
      </c>
      <c r="B863" s="6" t="s">
        <v>14899</v>
      </c>
      <c r="C863" s="6" t="s">
        <v>14900</v>
      </c>
      <c r="D863" s="7" t="str">
        <f>VLOOKUP(B863,Table1[[CIPCode]:[CIPTITLE]],4,FALSE)</f>
        <v>Theology/Theological Studies.</v>
      </c>
    </row>
    <row r="864" spans="1:4" x14ac:dyDescent="0.2">
      <c r="A864" s="7" t="s">
        <v>14855</v>
      </c>
      <c r="B864" s="6" t="s">
        <v>14903</v>
      </c>
      <c r="C864" s="6" t="s">
        <v>21350</v>
      </c>
      <c r="D864" s="7" t="str">
        <f>VLOOKUP(B864,Table1[[CIPCode]:[CIPTITLE]],4,FALSE)</f>
        <v>Divinity/Ministry (BD, MDiv.</v>
      </c>
    </row>
    <row r="865" spans="1:4" x14ac:dyDescent="0.2">
      <c r="A865" s="7" t="s">
        <v>14855</v>
      </c>
      <c r="B865" s="6" t="s">
        <v>14911</v>
      </c>
      <c r="C865" s="6" t="s">
        <v>14912</v>
      </c>
      <c r="D865" s="7" t="str">
        <f>VLOOKUP(B865,Table1[[CIPCode]:[CIPTITLE]],4,FALSE)</f>
        <v>Pre-Theology/Pre-Ministerial Studies.</v>
      </c>
    </row>
    <row r="866" spans="1:4" x14ac:dyDescent="0.2">
      <c r="A866" s="7" t="s">
        <v>14855</v>
      </c>
      <c r="B866" s="6" t="s">
        <v>9881</v>
      </c>
      <c r="C866" s="6" t="s">
        <v>21351</v>
      </c>
      <c r="D866" s="7" t="str">
        <f>VLOOKUP(B866,Table1[[CIPCode]:[CIPTITLE]],4,FALSE)</f>
        <v>Rabbinical Studies (M.</v>
      </c>
    </row>
    <row r="867" spans="1:4" x14ac:dyDescent="0.2">
      <c r="A867" s="7" t="s">
        <v>14855</v>
      </c>
      <c r="B867" s="6" t="s">
        <v>9883</v>
      </c>
      <c r="C867" s="6" t="s">
        <v>21352</v>
      </c>
      <c r="D867" s="7" t="str">
        <f>VLOOKUP(B867,Table1[[CIPCode]:[CIPTITLE]],4,FALSE)</f>
        <v>Talmudic Studies.</v>
      </c>
    </row>
    <row r="868" spans="1:4" x14ac:dyDescent="0.2">
      <c r="A868" s="7" t="s">
        <v>14855</v>
      </c>
      <c r="B868" s="6" t="s">
        <v>14915</v>
      </c>
      <c r="C868" s="6" t="s">
        <v>6178</v>
      </c>
      <c r="D868" s="7" t="str">
        <f>VLOOKUP(B868,Table1[[CIPCode]:[CIPTITLE]],4,FALSE)</f>
        <v>Theological and Ministerial Studies, Other.</v>
      </c>
    </row>
    <row r="869" spans="1:4" x14ac:dyDescent="0.2">
      <c r="A869" s="7" t="s">
        <v>14855</v>
      </c>
      <c r="B869" s="6" t="s">
        <v>11074</v>
      </c>
      <c r="C869" s="6" t="s">
        <v>6174</v>
      </c>
      <c r="D869" s="7" t="str">
        <f>VLOOKUP(B869,Table1[[CIPCode]:[CIPTITLE]],4,FALSE)</f>
        <v>Pastoral Counseling and Specialized Ministries.</v>
      </c>
    </row>
    <row r="870" spans="1:4" x14ac:dyDescent="0.2">
      <c r="A870" s="7" t="s">
        <v>14855</v>
      </c>
      <c r="B870" s="6" t="s">
        <v>14923</v>
      </c>
      <c r="C870" s="6" t="s">
        <v>6175</v>
      </c>
      <c r="D870" s="7" t="str">
        <f>VLOOKUP(B870,Table1[[CIPCode]:[CIPTITLE]],4,FALSE)</f>
        <v>Pastoral Studies/Counseling.</v>
      </c>
    </row>
    <row r="871" spans="1:4" x14ac:dyDescent="0.2">
      <c r="A871" s="7" t="s">
        <v>14855</v>
      </c>
      <c r="B871" s="6" t="s">
        <v>9395</v>
      </c>
      <c r="C871" s="6" t="s">
        <v>21353</v>
      </c>
      <c r="D871" s="7" t="str">
        <f>VLOOKUP(B871,Table1[[CIPCode]:[CIPTITLE]],4,FALSE)</f>
        <v>Youth Ministry.</v>
      </c>
    </row>
    <row r="872" spans="1:4" x14ac:dyDescent="0.2">
      <c r="A872" s="7" t="s">
        <v>14855</v>
      </c>
      <c r="B872" s="6" t="s">
        <v>9398</v>
      </c>
      <c r="C872" s="6" t="s">
        <v>21354</v>
      </c>
      <c r="D872" s="7" t="str">
        <f>VLOOKUP(B872,Table1[[CIPCode]:[CIPTITLE]],4,FALSE)</f>
        <v>Pastoral Counseling and Specialized Ministries, Other.</v>
      </c>
    </row>
    <row r="873" spans="1:4" x14ac:dyDescent="0.2">
      <c r="A873" s="7" t="s">
        <v>14855</v>
      </c>
      <c r="B873" s="6" t="s">
        <v>9401</v>
      </c>
      <c r="C873" s="6" t="s">
        <v>6180</v>
      </c>
      <c r="D873" s="7" t="str">
        <f>VLOOKUP(B873,Table1[[CIPCode]:[CIPTITLE]],4,FALSE)</f>
        <v>Theology and Religious Vocations, Other.</v>
      </c>
    </row>
    <row r="874" spans="1:4" x14ac:dyDescent="0.2">
      <c r="A874" s="7" t="s">
        <v>14855</v>
      </c>
      <c r="B874" s="6" t="s">
        <v>14930</v>
      </c>
      <c r="C874" s="6" t="s">
        <v>6180</v>
      </c>
      <c r="D874" s="7" t="str">
        <f>VLOOKUP(B874,Table1[[CIPCode]:[CIPTITLE]],4,FALSE)</f>
        <v>Theology and Religious Vocations, Other.</v>
      </c>
    </row>
    <row r="875" spans="1:4" x14ac:dyDescent="0.2">
      <c r="A875" s="7" t="s">
        <v>14933</v>
      </c>
      <c r="B875" s="6" t="s">
        <v>14933</v>
      </c>
      <c r="C875" s="6" t="s">
        <v>21355</v>
      </c>
      <c r="D875" s="7" t="e">
        <f>VLOOKUP(B875,Table1[[CIPCode]:[CIPTITLE]],4,FALSE)</f>
        <v>#N/A</v>
      </c>
    </row>
    <row r="876" spans="1:4" x14ac:dyDescent="0.2">
      <c r="A876" s="7" t="s">
        <v>14933</v>
      </c>
      <c r="B876" s="6" t="s">
        <v>9406</v>
      </c>
      <c r="C876" s="6" t="s">
        <v>14935</v>
      </c>
      <c r="D876" s="7" t="str">
        <f>VLOOKUP(B876,Table1[[CIPCode]:[CIPTITLE]],4,FALSE)</f>
        <v>Physical Sciences.</v>
      </c>
    </row>
    <row r="877" spans="1:4" x14ac:dyDescent="0.2">
      <c r="A877" s="7" t="s">
        <v>14933</v>
      </c>
      <c r="B877" s="6" t="s">
        <v>14942</v>
      </c>
      <c r="C877" s="6" t="s">
        <v>14935</v>
      </c>
      <c r="D877" s="7" t="str">
        <f>VLOOKUP(B877,Table1[[CIPCode]:[CIPTITLE]],4,FALSE)</f>
        <v>Physical Sciences.</v>
      </c>
    </row>
    <row r="878" spans="1:4" x14ac:dyDescent="0.2">
      <c r="A878" s="7" t="s">
        <v>14933</v>
      </c>
      <c r="B878" s="6" t="s">
        <v>9410</v>
      </c>
      <c r="C878" s="6" t="s">
        <v>6182</v>
      </c>
      <c r="D878" s="7" t="str">
        <f>VLOOKUP(B878,Table1[[CIPCode]:[CIPTITLE]],4,FALSE)</f>
        <v>Astronomy and Astrophysics.</v>
      </c>
    </row>
    <row r="879" spans="1:4" x14ac:dyDescent="0.2">
      <c r="A879" s="7" t="s">
        <v>14933</v>
      </c>
      <c r="B879" s="6" t="s">
        <v>14949</v>
      </c>
      <c r="C879" s="6" t="s">
        <v>14946</v>
      </c>
      <c r="D879" s="7" t="str">
        <f>VLOOKUP(B879,Table1[[CIPCode]:[CIPTITLE]],4,FALSE)</f>
        <v>Astronomy.</v>
      </c>
    </row>
    <row r="880" spans="1:4" x14ac:dyDescent="0.2">
      <c r="A880" s="7" t="s">
        <v>14933</v>
      </c>
      <c r="B880" s="6" t="s">
        <v>8952</v>
      </c>
      <c r="C880" s="6" t="s">
        <v>14953</v>
      </c>
      <c r="D880" s="7" t="str">
        <f>VLOOKUP(B880,Table1[[CIPCode]:[CIPTITLE]],4,FALSE)</f>
        <v>Astrophysics.</v>
      </c>
    </row>
    <row r="881" spans="1:4" x14ac:dyDescent="0.2">
      <c r="A881" s="7" t="s">
        <v>14933</v>
      </c>
      <c r="B881" s="6" t="s">
        <v>8955</v>
      </c>
      <c r="C881" s="6" t="s">
        <v>21356</v>
      </c>
      <c r="D881" s="7" t="str">
        <f>VLOOKUP(B881,Table1[[CIPCode]:[CIPTITLE]],4,FALSE)</f>
        <v>Planetary Astronomy and Science.</v>
      </c>
    </row>
    <row r="882" spans="1:4" x14ac:dyDescent="0.2">
      <c r="A882" s="7" t="s">
        <v>14933</v>
      </c>
      <c r="B882" s="6" t="s">
        <v>8958</v>
      </c>
      <c r="C882" s="6" t="s">
        <v>2590</v>
      </c>
      <c r="D882" s="7" t="str">
        <f>VLOOKUP(B882,Table1[[CIPCode]:[CIPTITLE]],4,FALSE)</f>
        <v>Astronomy and Astrophysics, Other.</v>
      </c>
    </row>
    <row r="883" spans="1:4" x14ac:dyDescent="0.2">
      <c r="A883" s="7" t="s">
        <v>14933</v>
      </c>
      <c r="B883" s="6" t="s">
        <v>8963</v>
      </c>
      <c r="C883" s="6" t="s">
        <v>6184</v>
      </c>
      <c r="D883" s="7" t="str">
        <f>VLOOKUP(B883,Table1[[CIPCode]:[CIPTITLE]],4,FALSE)</f>
        <v>Atmospheric Sciences and Meteorology.</v>
      </c>
    </row>
    <row r="884" spans="1:4" x14ac:dyDescent="0.2">
      <c r="A884" s="7" t="s">
        <v>14933</v>
      </c>
      <c r="B884" s="6" t="s">
        <v>14963</v>
      </c>
      <c r="C884" s="6" t="s">
        <v>6185</v>
      </c>
      <c r="D884" s="7" t="str">
        <f>VLOOKUP(B884,Table1[[CIPCode]:[CIPTITLE]],4,FALSE)</f>
        <v>Atmospheric Sciences and Meteorology, General.</v>
      </c>
    </row>
    <row r="885" spans="1:4" x14ac:dyDescent="0.2">
      <c r="A885" s="7" t="s">
        <v>14933</v>
      </c>
      <c r="B885" s="6" t="s">
        <v>8974</v>
      </c>
      <c r="C885" s="6" t="s">
        <v>21357</v>
      </c>
      <c r="D885" s="7" t="str">
        <f>VLOOKUP(B885,Table1[[CIPCode]:[CIPTITLE]],4,FALSE)</f>
        <v>Meteorology.</v>
      </c>
    </row>
    <row r="886" spans="1:4" x14ac:dyDescent="0.2">
      <c r="A886" s="7" t="s">
        <v>14933</v>
      </c>
      <c r="B886" s="6" t="s">
        <v>8977</v>
      </c>
      <c r="C886" s="6" t="s">
        <v>21358</v>
      </c>
      <c r="D886" s="7" t="str">
        <f>VLOOKUP(B886,Table1[[CIPCode]:[CIPTITLE]],4,FALSE)</f>
        <v>Atmospheric Sciences and Meteorology, Other.</v>
      </c>
    </row>
    <row r="887" spans="1:4" x14ac:dyDescent="0.2">
      <c r="A887" s="7" t="s">
        <v>14933</v>
      </c>
      <c r="B887" s="6" t="s">
        <v>10318</v>
      </c>
      <c r="C887" s="6" t="s">
        <v>14967</v>
      </c>
      <c r="D887" s="7" t="str">
        <f>VLOOKUP(B887,Table1[[CIPCode]:[CIPTITLE]],4,FALSE)</f>
        <v>Chemistry.</v>
      </c>
    </row>
    <row r="888" spans="1:4" x14ac:dyDescent="0.2">
      <c r="A888" s="7" t="s">
        <v>14933</v>
      </c>
      <c r="B888" s="6" t="s">
        <v>14970</v>
      </c>
      <c r="C888" s="6" t="s">
        <v>14971</v>
      </c>
      <c r="D888" s="7" t="str">
        <f>VLOOKUP(B888,Table1[[CIPCode]:[CIPTITLE]],4,FALSE)</f>
        <v>Chemistry, General.</v>
      </c>
    </row>
    <row r="889" spans="1:4" x14ac:dyDescent="0.2">
      <c r="A889" s="7" t="s">
        <v>14933</v>
      </c>
      <c r="B889" s="6" t="s">
        <v>14974</v>
      </c>
      <c r="C889" s="6" t="s">
        <v>14975</v>
      </c>
      <c r="D889" s="7" t="str">
        <f>VLOOKUP(B889,Table1[[CIPCode]:[CIPTITLE]],4,FALSE)</f>
        <v>Analytical Chemistry.</v>
      </c>
    </row>
    <row r="890" spans="1:4" x14ac:dyDescent="0.2">
      <c r="A890" s="7" t="s">
        <v>14933</v>
      </c>
      <c r="B890" s="6" t="s">
        <v>14978</v>
      </c>
      <c r="C890" s="6" t="s">
        <v>14979</v>
      </c>
      <c r="D890" s="7" t="str">
        <f>VLOOKUP(B890,Table1[[CIPCode]:[CIPTITLE]],4,FALSE)</f>
        <v>Inorganic Chemistry.</v>
      </c>
    </row>
    <row r="891" spans="1:4" x14ac:dyDescent="0.2">
      <c r="A891" s="7" t="s">
        <v>14933</v>
      </c>
      <c r="B891" s="6" t="s">
        <v>14982</v>
      </c>
      <c r="C891" s="6" t="s">
        <v>14983</v>
      </c>
      <c r="D891" s="7" t="str">
        <f>VLOOKUP(B891,Table1[[CIPCode]:[CIPTITLE]],4,FALSE)</f>
        <v>Organic Chemistry.</v>
      </c>
    </row>
    <row r="892" spans="1:4" x14ac:dyDescent="0.2">
      <c r="A892" s="7" t="s">
        <v>14933</v>
      </c>
      <c r="B892" s="6" t="s">
        <v>14990</v>
      </c>
      <c r="C892" s="6" t="s">
        <v>6191</v>
      </c>
      <c r="D892" s="7" t="str">
        <f>VLOOKUP(B892,Table1[[CIPCode]:[CIPTITLE]],4,FALSE)</f>
        <v>Physical and Theoretical Chemistry.</v>
      </c>
    </row>
    <row r="893" spans="1:4" x14ac:dyDescent="0.2">
      <c r="A893" s="7" t="s">
        <v>14933</v>
      </c>
      <c r="B893" s="6" t="s">
        <v>14994</v>
      </c>
      <c r="C893" s="6" t="s">
        <v>14995</v>
      </c>
      <c r="D893" s="7" t="str">
        <f>VLOOKUP(B893,Table1[[CIPCode]:[CIPTITLE]],4,FALSE)</f>
        <v>Polymer Chemistry.</v>
      </c>
    </row>
    <row r="894" spans="1:4" x14ac:dyDescent="0.2">
      <c r="A894" s="7" t="s">
        <v>14933</v>
      </c>
      <c r="B894" s="6" t="s">
        <v>8993</v>
      </c>
      <c r="C894" s="6" t="s">
        <v>21359</v>
      </c>
      <c r="D894" s="7" t="str">
        <f>VLOOKUP(B894,Table1[[CIPCode]:[CIPTITLE]],4,FALSE)</f>
        <v>Chemical Physics.</v>
      </c>
    </row>
    <row r="895" spans="1:4" x14ac:dyDescent="0.2">
      <c r="A895" s="7" t="s">
        <v>14933</v>
      </c>
      <c r="B895" s="6" t="s">
        <v>14998</v>
      </c>
      <c r="C895" s="6" t="s">
        <v>14999</v>
      </c>
      <c r="D895" s="7" t="str">
        <f>VLOOKUP(B895,Table1[[CIPCode]:[CIPTITLE]],4,FALSE)</f>
        <v>Chemistry, Other.</v>
      </c>
    </row>
    <row r="896" spans="1:4" x14ac:dyDescent="0.2">
      <c r="A896" s="7" t="s">
        <v>14933</v>
      </c>
      <c r="B896" s="6" t="s">
        <v>8998</v>
      </c>
      <c r="C896" s="6" t="s">
        <v>6194</v>
      </c>
      <c r="D896" s="7" t="str">
        <f>VLOOKUP(B896,Table1[[CIPCode]:[CIPTITLE]],4,FALSE)</f>
        <v>Geological and Earth Sciences/Geosciences.</v>
      </c>
    </row>
    <row r="897" spans="1:4" x14ac:dyDescent="0.2">
      <c r="A897" s="7" t="s">
        <v>14933</v>
      </c>
      <c r="B897" s="6" t="s">
        <v>15006</v>
      </c>
      <c r="C897" s="6" t="s">
        <v>6195</v>
      </c>
      <c r="D897" s="7" t="str">
        <f>VLOOKUP(B897,Table1[[CIPCode]:[CIPTITLE]],4,FALSE)</f>
        <v>Geology/Earth Science, General.</v>
      </c>
    </row>
    <row r="898" spans="1:4" x14ac:dyDescent="0.2">
      <c r="A898" s="7" t="s">
        <v>14933</v>
      </c>
      <c r="B898" s="6" t="s">
        <v>15010</v>
      </c>
      <c r="C898" s="6" t="s">
        <v>15011</v>
      </c>
      <c r="D898" s="7" t="str">
        <f>VLOOKUP(B898,Table1[[CIPCode]:[CIPTITLE]],4,FALSE)</f>
        <v>Geochemistry.</v>
      </c>
    </row>
    <row r="899" spans="1:4" x14ac:dyDescent="0.2">
      <c r="A899" s="7" t="s">
        <v>14933</v>
      </c>
      <c r="B899" s="6" t="s">
        <v>15014</v>
      </c>
      <c r="C899" s="6" t="s">
        <v>6196</v>
      </c>
      <c r="D899" s="7" t="str">
        <f>VLOOKUP(B899,Table1[[CIPCode]:[CIPTITLE]],4,FALSE)</f>
        <v>Geophysics and Seismology.</v>
      </c>
    </row>
    <row r="900" spans="1:4" x14ac:dyDescent="0.2">
      <c r="A900" s="7" t="s">
        <v>14933</v>
      </c>
      <c r="B900" s="6" t="s">
        <v>15018</v>
      </c>
      <c r="C900" s="6" t="s">
        <v>15019</v>
      </c>
      <c r="D900" s="7" t="str">
        <f>VLOOKUP(B900,Table1[[CIPCode]:[CIPTITLE]],4,FALSE)</f>
        <v>Paleontology.</v>
      </c>
    </row>
    <row r="901" spans="1:4" x14ac:dyDescent="0.2">
      <c r="A901" s="7" t="s">
        <v>14933</v>
      </c>
      <c r="B901" s="6" t="s">
        <v>11258</v>
      </c>
      <c r="C901" s="6" t="s">
        <v>21360</v>
      </c>
      <c r="D901" s="7" t="str">
        <f>VLOOKUP(B901,Table1[[CIPCode]:[CIPTITLE]],4,FALSE)</f>
        <v>Hydrology and Water Resources Science.</v>
      </c>
    </row>
    <row r="902" spans="1:4" x14ac:dyDescent="0.2">
      <c r="A902" s="7" t="s">
        <v>14933</v>
      </c>
      <c r="B902" s="6" t="s">
        <v>9009</v>
      </c>
      <c r="C902" s="6" t="s">
        <v>21361</v>
      </c>
      <c r="D902" s="7" t="str">
        <f>VLOOKUP(B902,Table1[[CIPCode]:[CIPTITLE]],4,FALSE)</f>
        <v>Geochemistry and Petrology.</v>
      </c>
    </row>
    <row r="903" spans="1:4" x14ac:dyDescent="0.2">
      <c r="A903" s="7" t="s">
        <v>14933</v>
      </c>
      <c r="B903" s="6" t="s">
        <v>10408</v>
      </c>
      <c r="C903" s="6" t="s">
        <v>6201</v>
      </c>
      <c r="D903" s="7" t="str">
        <f>VLOOKUP(B903,Table1[[CIPCode]:[CIPTITLE]],4,FALSE)</f>
        <v>Oceanography, Chemical and Physical.</v>
      </c>
    </row>
    <row r="904" spans="1:4" x14ac:dyDescent="0.2">
      <c r="A904" s="7" t="s">
        <v>14933</v>
      </c>
      <c r="B904" s="6" t="s">
        <v>15022</v>
      </c>
      <c r="C904" s="6" t="s">
        <v>6200</v>
      </c>
      <c r="D904" s="7" t="str">
        <f>VLOOKUP(B904,Table1[[CIPCode]:[CIPTITLE]],4,FALSE)</f>
        <v>Geological and Earth Sciences/Geosciences, Other.</v>
      </c>
    </row>
    <row r="905" spans="1:4" x14ac:dyDescent="0.2">
      <c r="A905" s="7" t="s">
        <v>14933</v>
      </c>
      <c r="B905" s="6" t="s">
        <v>10735</v>
      </c>
      <c r="C905" s="6" t="s">
        <v>15043</v>
      </c>
      <c r="D905" s="7" t="str">
        <f>VLOOKUP(B905,Table1[[CIPCode]:[CIPTITLE]],4,FALSE)</f>
        <v>Physics.</v>
      </c>
    </row>
    <row r="906" spans="1:4" x14ac:dyDescent="0.2">
      <c r="A906" s="7" t="s">
        <v>14933</v>
      </c>
      <c r="B906" s="6" t="s">
        <v>15046</v>
      </c>
      <c r="C906" s="6" t="s">
        <v>15047</v>
      </c>
      <c r="D906" s="7" t="str">
        <f>VLOOKUP(B906,Table1[[CIPCode]:[CIPTITLE]],4,FALSE)</f>
        <v>Physics, General.</v>
      </c>
    </row>
    <row r="907" spans="1:4" x14ac:dyDescent="0.2">
      <c r="A907" s="7" t="s">
        <v>14933</v>
      </c>
      <c r="B907" s="6" t="s">
        <v>15050</v>
      </c>
      <c r="C907" s="6" t="s">
        <v>6205</v>
      </c>
      <c r="D907" s="7" t="str">
        <f>VLOOKUP(B907,Table1[[CIPCode]:[CIPTITLE]],4,FALSE)</f>
        <v>Atomic/Molecular Physics.</v>
      </c>
    </row>
    <row r="908" spans="1:4" x14ac:dyDescent="0.2">
      <c r="A908" s="7" t="s">
        <v>14933</v>
      </c>
      <c r="B908" s="6" t="s">
        <v>15054</v>
      </c>
      <c r="C908" s="6" t="s">
        <v>15055</v>
      </c>
      <c r="D908" s="7" t="str">
        <f>VLOOKUP(B908,Table1[[CIPCode]:[CIPTITLE]],4,FALSE)</f>
        <v>Elementary Particle Physics.</v>
      </c>
    </row>
    <row r="909" spans="1:4" x14ac:dyDescent="0.2">
      <c r="A909" s="7" t="s">
        <v>14933</v>
      </c>
      <c r="B909" s="6" t="s">
        <v>15062</v>
      </c>
      <c r="C909" s="6" t="s">
        <v>15063</v>
      </c>
      <c r="D909" s="7" t="str">
        <f>VLOOKUP(B909,Table1[[CIPCode]:[CIPTITLE]],4,FALSE)</f>
        <v>Nuclear Physics.</v>
      </c>
    </row>
    <row r="910" spans="1:4" x14ac:dyDescent="0.2">
      <c r="A910" s="7" t="s">
        <v>14933</v>
      </c>
      <c r="B910" s="6" t="s">
        <v>15066</v>
      </c>
      <c r="C910" s="6" t="s">
        <v>6207</v>
      </c>
      <c r="D910" s="7" t="str">
        <f>VLOOKUP(B910,Table1[[CIPCode]:[CIPTITLE]],4,FALSE)</f>
        <v>Optics/Optical Sciences.</v>
      </c>
    </row>
    <row r="911" spans="1:4" x14ac:dyDescent="0.2">
      <c r="A911" s="7" t="s">
        <v>14933</v>
      </c>
      <c r="B911" s="6" t="s">
        <v>15074</v>
      </c>
      <c r="C911" s="6" t="s">
        <v>15075</v>
      </c>
      <c r="D911" s="7" t="str">
        <f>VLOOKUP(B911,Table1[[CIPCode]:[CIPTITLE]],4,FALSE)</f>
        <v>Acoustics.</v>
      </c>
    </row>
    <row r="912" spans="1:4" x14ac:dyDescent="0.2">
      <c r="A912" s="7" t="s">
        <v>14933</v>
      </c>
      <c r="B912" s="6" t="s">
        <v>15078</v>
      </c>
      <c r="C912" s="6" t="s">
        <v>6209</v>
      </c>
      <c r="D912" s="7" t="str">
        <f>VLOOKUP(B912,Table1[[CIPCode]:[CIPTITLE]],4,FALSE)</f>
        <v>Theoretical and Mathematical Physics.</v>
      </c>
    </row>
    <row r="913" spans="1:4" x14ac:dyDescent="0.2">
      <c r="A913" s="7" t="s">
        <v>14933</v>
      </c>
      <c r="B913" s="6" t="s">
        <v>15082</v>
      </c>
      <c r="C913" s="6" t="s">
        <v>15083</v>
      </c>
      <c r="D913" s="7" t="str">
        <f>VLOOKUP(B913,Table1[[CIPCode]:[CIPTITLE]],4,FALSE)</f>
        <v>Physics, Other.</v>
      </c>
    </row>
    <row r="914" spans="1:4" x14ac:dyDescent="0.2">
      <c r="A914" s="7" t="s">
        <v>14933</v>
      </c>
      <c r="B914" s="6" t="s">
        <v>9045</v>
      </c>
      <c r="C914" s="6" t="s">
        <v>15087</v>
      </c>
      <c r="D914" s="7" t="str">
        <f>VLOOKUP(B914,Table1[[CIPCode]:[CIPTITLE]],4,FALSE)</f>
        <v>Physical Sciences, Other.</v>
      </c>
    </row>
    <row r="915" spans="1:4" x14ac:dyDescent="0.2">
      <c r="A915" s="7" t="s">
        <v>14933</v>
      </c>
      <c r="B915" s="6" t="s">
        <v>15090</v>
      </c>
      <c r="C915" s="6" t="s">
        <v>15087</v>
      </c>
      <c r="D915" s="7" t="str">
        <f>VLOOKUP(B915,Table1[[CIPCode]:[CIPTITLE]],4,FALSE)</f>
        <v>Physical Sciences, Other.</v>
      </c>
    </row>
    <row r="916" spans="1:4" x14ac:dyDescent="0.2">
      <c r="A916" s="7" t="s">
        <v>15092</v>
      </c>
      <c r="B916" s="6" t="s">
        <v>15092</v>
      </c>
      <c r="C916" s="6" t="s">
        <v>21362</v>
      </c>
      <c r="D916" s="7" t="e">
        <f>VLOOKUP(B916,Table1[[CIPCode]:[CIPTITLE]],4,FALSE)</f>
        <v>#N/A</v>
      </c>
    </row>
    <row r="917" spans="1:4" x14ac:dyDescent="0.2">
      <c r="A917" s="7" t="s">
        <v>15092</v>
      </c>
      <c r="B917" s="6" t="s">
        <v>9051</v>
      </c>
      <c r="C917" s="6" t="s">
        <v>6213</v>
      </c>
      <c r="D917" s="7" t="str">
        <f>VLOOKUP(B917,Table1[[CIPCode]:[CIPTITLE]],4,FALSE)</f>
        <v>Biology Technician/Biotechnology Laboratory Technician.</v>
      </c>
    </row>
    <row r="918" spans="1:4" x14ac:dyDescent="0.2">
      <c r="A918" s="7" t="s">
        <v>15092</v>
      </c>
      <c r="B918" s="6" t="s">
        <v>15101</v>
      </c>
      <c r="C918" s="6" t="s">
        <v>6213</v>
      </c>
      <c r="D918" s="7" t="str">
        <f>VLOOKUP(B918,Table1[[CIPCode]:[CIPTITLE]],4,FALSE)</f>
        <v>Biology Technician/Biotechnology Laboratory Technician.</v>
      </c>
    </row>
    <row r="919" spans="1:4" x14ac:dyDescent="0.2">
      <c r="A919" s="7" t="s">
        <v>15092</v>
      </c>
      <c r="B919" s="6" t="s">
        <v>9054</v>
      </c>
      <c r="C919" s="6" t="s">
        <v>6215</v>
      </c>
      <c r="D919" s="7" t="str">
        <f>VLOOKUP(B919,Table1[[CIPCode]:[CIPTITLE]],4,FALSE)</f>
        <v>Nuclear and Industrial Radiologic Technologies/Technicians.</v>
      </c>
    </row>
    <row r="920" spans="1:4" x14ac:dyDescent="0.2">
      <c r="A920" s="7" t="s">
        <v>15092</v>
      </c>
      <c r="B920" s="6" t="s">
        <v>15109</v>
      </c>
      <c r="C920" s="6" t="s">
        <v>15110</v>
      </c>
      <c r="D920" s="7" t="str">
        <f>VLOOKUP(B920,Table1[[CIPCode]:[CIPTITLE]],4,FALSE)</f>
        <v>Industrial Radiologic Technology/Technician.</v>
      </c>
    </row>
    <row r="921" spans="1:4" x14ac:dyDescent="0.2">
      <c r="A921" s="7" t="s">
        <v>15092</v>
      </c>
      <c r="B921" s="6" t="s">
        <v>15113</v>
      </c>
      <c r="C921" s="6" t="s">
        <v>15114</v>
      </c>
      <c r="D921" s="7" t="str">
        <f>VLOOKUP(B921,Table1[[CIPCode]:[CIPTITLE]],4,FALSE)</f>
        <v>Nuclear/Nuclear Power Technology/Technician.</v>
      </c>
    </row>
    <row r="922" spans="1:4" x14ac:dyDescent="0.2">
      <c r="A922" s="7" t="s">
        <v>15092</v>
      </c>
      <c r="B922" s="6" t="s">
        <v>15117</v>
      </c>
      <c r="C922" s="6" t="s">
        <v>6216</v>
      </c>
      <c r="D922" s="7" t="str">
        <f>VLOOKUP(B922,Table1[[CIPCode]:[CIPTITLE]],4,FALSE)</f>
        <v>Nuclear and Industrial Radiologic Technologies/Technicians, Other.</v>
      </c>
    </row>
    <row r="923" spans="1:4" x14ac:dyDescent="0.2">
      <c r="A923" s="7" t="s">
        <v>15092</v>
      </c>
      <c r="B923" s="6" t="s">
        <v>9062</v>
      </c>
      <c r="C923" s="6" t="s">
        <v>6218</v>
      </c>
      <c r="D923" s="7" t="str">
        <f>VLOOKUP(B923,Table1[[CIPCode]:[CIPTITLE]],4,FALSE)</f>
        <v>Physical Science Technologies/Technicians.</v>
      </c>
    </row>
    <row r="924" spans="1:4" x14ac:dyDescent="0.2">
      <c r="A924" s="7" t="s">
        <v>15092</v>
      </c>
      <c r="B924" s="6" t="s">
        <v>15125</v>
      </c>
      <c r="C924" s="6" t="s">
        <v>15126</v>
      </c>
      <c r="D924" s="7" t="str">
        <f>VLOOKUP(B924,Table1[[CIPCode]:[CIPTITLE]],4,FALSE)</f>
        <v>Chemical Technology/Technician.</v>
      </c>
    </row>
    <row r="925" spans="1:4" x14ac:dyDescent="0.2">
      <c r="A925" s="7" t="s">
        <v>15092</v>
      </c>
      <c r="B925" s="6" t="s">
        <v>15129</v>
      </c>
      <c r="C925" s="6" t="s">
        <v>15130</v>
      </c>
      <c r="D925" s="7" t="str">
        <f>VLOOKUP(B925,Table1[[CIPCode]:[CIPTITLE]],4,FALSE)</f>
        <v>Physical Science Technologies/Technicians, Other.</v>
      </c>
    </row>
    <row r="926" spans="1:4" x14ac:dyDescent="0.2">
      <c r="A926" s="7" t="s">
        <v>15092</v>
      </c>
      <c r="B926" s="6" t="s">
        <v>9068</v>
      </c>
      <c r="C926" s="6" t="s">
        <v>15138</v>
      </c>
      <c r="D926" s="7" t="str">
        <f>VLOOKUP(B926,Table1[[CIPCode]:[CIPTITLE]],4,FALSE)</f>
        <v>Science Technologies/Technicians, Other.</v>
      </c>
    </row>
    <row r="927" spans="1:4" x14ac:dyDescent="0.2">
      <c r="A927" s="7" t="s">
        <v>15092</v>
      </c>
      <c r="B927" s="6" t="s">
        <v>15137</v>
      </c>
      <c r="C927" s="6" t="s">
        <v>15138</v>
      </c>
      <c r="D927" s="7" t="str">
        <f>VLOOKUP(B927,Table1[[CIPCode]:[CIPTITLE]],4,FALSE)</f>
        <v>Science Technologies/Technicians, Other.</v>
      </c>
    </row>
    <row r="928" spans="1:4" x14ac:dyDescent="0.2">
      <c r="A928" s="7" t="s">
        <v>17303</v>
      </c>
      <c r="B928" s="6" t="s">
        <v>17303</v>
      </c>
      <c r="C928" s="6" t="s">
        <v>10756</v>
      </c>
      <c r="D928" s="7" t="e">
        <f>VLOOKUP(B928,Table1[[CIPCode]:[CIPTITLE]],4,FALSE)</f>
        <v>#N/A</v>
      </c>
    </row>
    <row r="929" spans="1:4" x14ac:dyDescent="0.2">
      <c r="A929" s="7" t="s">
        <v>17303</v>
      </c>
      <c r="B929" s="6" t="s">
        <v>9073</v>
      </c>
      <c r="C929" s="6" t="s">
        <v>14577</v>
      </c>
      <c r="D929" s="7" t="str">
        <f>VLOOKUP(B929,Table1[[CIPCode]:[CIPTITLE]],4,FALSE)</f>
        <v>Psychology, General.</v>
      </c>
    </row>
    <row r="930" spans="1:4" x14ac:dyDescent="0.2">
      <c r="A930" s="7" t="s">
        <v>17303</v>
      </c>
      <c r="B930" s="6" t="s">
        <v>14580</v>
      </c>
      <c r="C930" s="6" t="s">
        <v>14577</v>
      </c>
      <c r="D930" s="7" t="str">
        <f>VLOOKUP(B930,Table1[[CIPCode]:[CIPTITLE]],4,FALSE)</f>
        <v>Psychology, General.</v>
      </c>
    </row>
    <row r="931" spans="1:4" x14ac:dyDescent="0.2">
      <c r="A931" s="7" t="s">
        <v>17303</v>
      </c>
      <c r="B931" s="6" t="s">
        <v>9076</v>
      </c>
      <c r="C931" s="6" t="s">
        <v>14584</v>
      </c>
      <c r="D931" s="7" t="str">
        <f>VLOOKUP(B931,Table1[[CIPCode]:[CIPTITLE]],4,FALSE)</f>
        <v>Clinical Psychology.</v>
      </c>
    </row>
    <row r="932" spans="1:4" x14ac:dyDescent="0.2">
      <c r="A932" s="7" t="s">
        <v>17303</v>
      </c>
      <c r="B932" s="6" t="s">
        <v>14587</v>
      </c>
      <c r="C932" s="6" t="s">
        <v>14584</v>
      </c>
      <c r="D932" s="7" t="str">
        <f>VLOOKUP(B932,Table1[[CIPCode]:[CIPTITLE]],4,FALSE)</f>
        <v>Clinical Psychology.</v>
      </c>
    </row>
    <row r="933" spans="1:4" x14ac:dyDescent="0.2">
      <c r="A933" s="7" t="s">
        <v>17303</v>
      </c>
      <c r="B933" s="6" t="s">
        <v>9080</v>
      </c>
      <c r="C933" s="6" t="s">
        <v>6220</v>
      </c>
      <c r="D933" s="7" t="str">
        <f>VLOOKUP(B933,Table1[[CIPCode]:[CIPTITLE]],4,FALSE)</f>
        <v>Cognitive Psychology and Psycholinguistics.</v>
      </c>
    </row>
    <row r="934" spans="1:4" x14ac:dyDescent="0.2">
      <c r="A934" s="7" t="s">
        <v>17303</v>
      </c>
      <c r="B934" s="6" t="s">
        <v>17308</v>
      </c>
      <c r="C934" s="6" t="s">
        <v>6220</v>
      </c>
      <c r="D934" s="7" t="str">
        <f>VLOOKUP(B934,Table1[[CIPCode]:[CIPTITLE]],4,FALSE)</f>
        <v>Cognitive Psychology and Psycholinguistics.</v>
      </c>
    </row>
    <row r="935" spans="1:4" x14ac:dyDescent="0.2">
      <c r="A935" s="7" t="s">
        <v>17303</v>
      </c>
      <c r="B935" s="6" t="s">
        <v>10587</v>
      </c>
      <c r="C935" s="6" t="s">
        <v>17312</v>
      </c>
      <c r="D935" s="7" t="str">
        <f>VLOOKUP(B935,Table1[[CIPCode]:[CIPTITLE]],4,FALSE)</f>
        <v>Community Psychology.</v>
      </c>
    </row>
    <row r="936" spans="1:4" x14ac:dyDescent="0.2">
      <c r="A936" s="7" t="s">
        <v>17303</v>
      </c>
      <c r="B936" s="6" t="s">
        <v>17315</v>
      </c>
      <c r="C936" s="6" t="s">
        <v>17312</v>
      </c>
      <c r="D936" s="7" t="str">
        <f>VLOOKUP(B936,Table1[[CIPCode]:[CIPTITLE]],4,FALSE)</f>
        <v>Community Psychology.</v>
      </c>
    </row>
    <row r="937" spans="1:4" x14ac:dyDescent="0.2">
      <c r="A937" s="7" t="s">
        <v>17303</v>
      </c>
      <c r="B937" s="6" t="s">
        <v>10599</v>
      </c>
      <c r="C937" s="6" t="s">
        <v>17319</v>
      </c>
      <c r="D937" s="7" t="str">
        <f>VLOOKUP(B937,Table1[[CIPCode]:[CIPTITLE]],4,FALSE)</f>
        <v>Counseling Psychology.</v>
      </c>
    </row>
    <row r="938" spans="1:4" x14ac:dyDescent="0.2">
      <c r="A938" s="7" t="s">
        <v>17303</v>
      </c>
      <c r="B938" s="6" t="s">
        <v>17322</v>
      </c>
      <c r="C938" s="6" t="s">
        <v>17319</v>
      </c>
      <c r="D938" s="7" t="str">
        <f>VLOOKUP(B938,Table1[[CIPCode]:[CIPTITLE]],4,FALSE)</f>
        <v>Counseling Psychology.</v>
      </c>
    </row>
    <row r="939" spans="1:4" x14ac:dyDescent="0.2">
      <c r="A939" s="7" t="s">
        <v>17303</v>
      </c>
      <c r="B939" s="6" t="s">
        <v>11076</v>
      </c>
      <c r="C939" s="6" t="s">
        <v>6222</v>
      </c>
      <c r="D939" s="7" t="str">
        <f>VLOOKUP(B939,Table1[[CIPCode]:[CIPTITLE]],4,FALSE)</f>
        <v>Developmental and Child Psychology.</v>
      </c>
    </row>
    <row r="940" spans="1:4" x14ac:dyDescent="0.2">
      <c r="A940" s="7" t="s">
        <v>17303</v>
      </c>
      <c r="B940" s="6" t="s">
        <v>17329</v>
      </c>
      <c r="C940" s="6" t="s">
        <v>6222</v>
      </c>
      <c r="D940" s="7" t="str">
        <f>VLOOKUP(B940,Table1[[CIPCode]:[CIPTITLE]],4,FALSE)</f>
        <v>Developmental and Child Psychology.</v>
      </c>
    </row>
    <row r="941" spans="1:4" x14ac:dyDescent="0.2">
      <c r="A941" s="7" t="s">
        <v>17303</v>
      </c>
      <c r="B941" s="6" t="s">
        <v>11082</v>
      </c>
      <c r="C941" s="6" t="s">
        <v>17333</v>
      </c>
      <c r="D941" s="7" t="str">
        <f>VLOOKUP(B941,Table1[[CIPCode]:[CIPTITLE]],4,FALSE)</f>
        <v>Experimental Psychology.</v>
      </c>
    </row>
    <row r="942" spans="1:4" x14ac:dyDescent="0.2">
      <c r="A942" s="7" t="s">
        <v>17303</v>
      </c>
      <c r="B942" s="6" t="s">
        <v>17336</v>
      </c>
      <c r="C942" s="6" t="s">
        <v>17333</v>
      </c>
      <c r="D942" s="7" t="str">
        <f>VLOOKUP(B942,Table1[[CIPCode]:[CIPTITLE]],4,FALSE)</f>
        <v>Experimental Psychology.</v>
      </c>
    </row>
    <row r="943" spans="1:4" x14ac:dyDescent="0.2">
      <c r="A943" s="7" t="s">
        <v>17303</v>
      </c>
      <c r="B943" s="6" t="s">
        <v>11086</v>
      </c>
      <c r="C943" s="6" t="s">
        <v>6223</v>
      </c>
      <c r="D943" s="7" t="str">
        <f>VLOOKUP(B943,Table1[[CIPCode]:[CIPTITLE]],4,FALSE)</f>
        <v>Industrial and Organizational Psychology.</v>
      </c>
    </row>
    <row r="944" spans="1:4" x14ac:dyDescent="0.2">
      <c r="A944" s="7" t="s">
        <v>17303</v>
      </c>
      <c r="B944" s="6" t="s">
        <v>17343</v>
      </c>
      <c r="C944" s="6" t="s">
        <v>6223</v>
      </c>
      <c r="D944" s="7" t="str">
        <f>VLOOKUP(B944,Table1[[CIPCode]:[CIPTITLE]],4,FALSE)</f>
        <v>Industrial and Organizational Psychology.</v>
      </c>
    </row>
    <row r="945" spans="1:4" x14ac:dyDescent="0.2">
      <c r="A945" s="7" t="s">
        <v>17303</v>
      </c>
      <c r="B945" s="6" t="s">
        <v>9084</v>
      </c>
      <c r="C945" s="6" t="s">
        <v>21363</v>
      </c>
      <c r="D945" s="7" t="str">
        <f>VLOOKUP(B945,Table1[[CIPCode]:[CIPTITLE]],4,FALSE)</f>
        <v>Personality Psychology.</v>
      </c>
    </row>
    <row r="946" spans="1:4" x14ac:dyDescent="0.2">
      <c r="A946" s="7" t="s">
        <v>17303</v>
      </c>
      <c r="B946" s="6" t="s">
        <v>9087</v>
      </c>
      <c r="C946" s="6" t="s">
        <v>21363</v>
      </c>
      <c r="D946" s="7" t="str">
        <f>VLOOKUP(B946,Table1[[CIPCode]:[CIPTITLE]],4,FALSE)</f>
        <v>Personality Psychology.</v>
      </c>
    </row>
    <row r="947" spans="1:4" x14ac:dyDescent="0.2">
      <c r="A947" s="7" t="s">
        <v>17303</v>
      </c>
      <c r="B947" s="6" t="s">
        <v>9089</v>
      </c>
      <c r="C947" s="6" t="s">
        <v>17347</v>
      </c>
      <c r="D947" s="7" t="str">
        <f>VLOOKUP(B947,Table1[[CIPCode]:[CIPTITLE]],4,FALSE)</f>
        <v>Physiological Psychology/Psychobiology.</v>
      </c>
    </row>
    <row r="948" spans="1:4" x14ac:dyDescent="0.2">
      <c r="A948" s="7" t="s">
        <v>17303</v>
      </c>
      <c r="B948" s="6" t="s">
        <v>17350</v>
      </c>
      <c r="C948" s="6" t="s">
        <v>17347</v>
      </c>
      <c r="D948" s="7" t="str">
        <f>VLOOKUP(B948,Table1[[CIPCode]:[CIPTITLE]],4,FALSE)</f>
        <v>Physiological Psychology/Psychobiology.</v>
      </c>
    </row>
    <row r="949" spans="1:4" x14ac:dyDescent="0.2">
      <c r="A949" s="7" t="s">
        <v>17303</v>
      </c>
      <c r="B949" s="6" t="s">
        <v>9092</v>
      </c>
      <c r="C949" s="6" t="s">
        <v>17354</v>
      </c>
      <c r="D949" s="7" t="str">
        <f>VLOOKUP(B949,Table1[[CIPCode]:[CIPTITLE]],4,FALSE)</f>
        <v>Social Psychology.</v>
      </c>
    </row>
    <row r="950" spans="1:4" x14ac:dyDescent="0.2">
      <c r="A950" s="7" t="s">
        <v>17303</v>
      </c>
      <c r="B950" s="6" t="s">
        <v>17357</v>
      </c>
      <c r="C950" s="6" t="s">
        <v>17354</v>
      </c>
      <c r="D950" s="7" t="str">
        <f>VLOOKUP(B950,Table1[[CIPCode]:[CIPTITLE]],4,FALSE)</f>
        <v>Social Psychology.</v>
      </c>
    </row>
    <row r="951" spans="1:4" x14ac:dyDescent="0.2">
      <c r="A951" s="7" t="s">
        <v>17303</v>
      </c>
      <c r="B951" s="6" t="s">
        <v>9096</v>
      </c>
      <c r="C951" s="6" t="s">
        <v>17361</v>
      </c>
      <c r="D951" s="7" t="str">
        <f>VLOOKUP(B951,Table1[[CIPCode]:[CIPTITLE]],4,FALSE)</f>
        <v>School Psychology.</v>
      </c>
    </row>
    <row r="952" spans="1:4" x14ac:dyDescent="0.2">
      <c r="A952" s="7" t="s">
        <v>17303</v>
      </c>
      <c r="B952" s="6" t="s">
        <v>17364</v>
      </c>
      <c r="C952" s="6" t="s">
        <v>17361</v>
      </c>
      <c r="D952" s="7" t="str">
        <f>VLOOKUP(B952,Table1[[CIPCode]:[CIPTITLE]],4,FALSE)</f>
        <v>School Psychology.</v>
      </c>
    </row>
    <row r="953" spans="1:4" x14ac:dyDescent="0.2">
      <c r="A953" s="7" t="s">
        <v>17303</v>
      </c>
      <c r="B953" s="6" t="s">
        <v>9100</v>
      </c>
      <c r="C953" s="6" t="s">
        <v>17009</v>
      </c>
      <c r="D953" s="7" t="str">
        <f>VLOOKUP(B953,Table1[[CIPCode]:[CIPTITLE]],4,FALSE)</f>
        <v>Educational Psychology.</v>
      </c>
    </row>
    <row r="954" spans="1:4" x14ac:dyDescent="0.2">
      <c r="A954" s="7" t="s">
        <v>17303</v>
      </c>
      <c r="B954" s="6" t="s">
        <v>9102</v>
      </c>
      <c r="C954" s="6" t="s">
        <v>17009</v>
      </c>
      <c r="D954" s="7" t="str">
        <f>VLOOKUP(B954,Table1[[CIPCode]:[CIPTITLE]],4,FALSE)</f>
        <v>Educational Psychology.</v>
      </c>
    </row>
    <row r="955" spans="1:4" x14ac:dyDescent="0.2">
      <c r="A955" s="7" t="s">
        <v>17303</v>
      </c>
      <c r="B955" s="6" t="s">
        <v>9104</v>
      </c>
      <c r="C955" s="6" t="s">
        <v>21364</v>
      </c>
      <c r="D955" s="7" t="str">
        <f>VLOOKUP(B955,Table1[[CIPCode]:[CIPTITLE]],4,FALSE)</f>
        <v>Psychometrics and Quantitative Psychology.</v>
      </c>
    </row>
    <row r="956" spans="1:4" x14ac:dyDescent="0.2">
      <c r="A956" s="7" t="s">
        <v>17303</v>
      </c>
      <c r="B956" s="6" t="s">
        <v>9178</v>
      </c>
      <c r="C956" s="6" t="s">
        <v>21364</v>
      </c>
      <c r="D956" s="7" t="str">
        <f>VLOOKUP(B956,Table1[[CIPCode]:[CIPTITLE]],4,FALSE)</f>
        <v>Psychometrics and Quantitative Psychology.</v>
      </c>
    </row>
    <row r="957" spans="1:4" x14ac:dyDescent="0.2">
      <c r="A957" s="7" t="s">
        <v>17303</v>
      </c>
      <c r="B957" s="6" t="s">
        <v>9107</v>
      </c>
      <c r="C957" s="6" t="s">
        <v>2650</v>
      </c>
      <c r="D957" s="7" t="str">
        <f>VLOOKUP(B957,Table1[[CIPCode]:[CIPTITLE]],4,FALSE)</f>
        <v>Clinical Child Psychology.</v>
      </c>
    </row>
    <row r="958" spans="1:4" x14ac:dyDescent="0.2">
      <c r="A958" s="7" t="s">
        <v>17303</v>
      </c>
      <c r="B958" s="6" t="s">
        <v>11080</v>
      </c>
      <c r="C958" s="6" t="s">
        <v>2650</v>
      </c>
      <c r="D958" s="7" t="str">
        <f>VLOOKUP(B958,Table1[[CIPCode]:[CIPTITLE]],4,FALSE)</f>
        <v>Clinical Child Psychology.</v>
      </c>
    </row>
    <row r="959" spans="1:4" x14ac:dyDescent="0.2">
      <c r="A959" s="7" t="s">
        <v>17303</v>
      </c>
      <c r="B959" s="6" t="s">
        <v>9110</v>
      </c>
      <c r="C959" s="6" t="s">
        <v>21365</v>
      </c>
      <c r="D959" s="7" t="str">
        <f>VLOOKUP(B959,Table1[[CIPCode]:[CIPTITLE]],4,FALSE)</f>
        <v>Environmental Psychology.</v>
      </c>
    </row>
    <row r="960" spans="1:4" x14ac:dyDescent="0.2">
      <c r="A960" s="7" t="s">
        <v>17303</v>
      </c>
      <c r="B960" s="6" t="s">
        <v>9113</v>
      </c>
      <c r="C960" s="6" t="s">
        <v>21365</v>
      </c>
      <c r="D960" s="7" t="str">
        <f>VLOOKUP(B960,Table1[[CIPCode]:[CIPTITLE]],4,FALSE)</f>
        <v>Environmental Psychology.</v>
      </c>
    </row>
    <row r="961" spans="1:4" x14ac:dyDescent="0.2">
      <c r="A961" s="7" t="s">
        <v>17303</v>
      </c>
      <c r="B961" s="6" t="s">
        <v>9118</v>
      </c>
      <c r="C961" s="6" t="s">
        <v>21366</v>
      </c>
      <c r="D961" s="7" t="str">
        <f>VLOOKUP(B961,Table1[[CIPCode]:[CIPTITLE]],4,FALSE)</f>
        <v>Health Psychology.</v>
      </c>
    </row>
    <row r="962" spans="1:4" x14ac:dyDescent="0.2">
      <c r="A962" s="7" t="s">
        <v>17303</v>
      </c>
      <c r="B962" s="6" t="s">
        <v>9121</v>
      </c>
      <c r="C962" s="6" t="s">
        <v>21367</v>
      </c>
      <c r="D962" s="7" t="str">
        <f>VLOOKUP(B962,Table1[[CIPCode]:[CIPTITLE]],4,FALSE)</f>
        <v>Health/Medical Psychology.</v>
      </c>
    </row>
    <row r="963" spans="1:4" x14ac:dyDescent="0.2">
      <c r="A963" s="7" t="s">
        <v>17303</v>
      </c>
      <c r="B963" s="6" t="s">
        <v>9124</v>
      </c>
      <c r="C963" s="6" t="s">
        <v>21368</v>
      </c>
      <c r="D963" s="7" t="str">
        <f>VLOOKUP(B963,Table1[[CIPCode]:[CIPTITLE]],4,FALSE)</f>
        <v>Psychopharmacology.</v>
      </c>
    </row>
    <row r="964" spans="1:4" x14ac:dyDescent="0.2">
      <c r="A964" s="7" t="s">
        <v>17303</v>
      </c>
      <c r="B964" s="6" t="s">
        <v>9127</v>
      </c>
      <c r="C964" s="6" t="s">
        <v>21368</v>
      </c>
      <c r="D964" s="7" t="str">
        <f>VLOOKUP(B964,Table1[[CIPCode]:[CIPTITLE]],4,FALSE)</f>
        <v>Psychopharmacology.</v>
      </c>
    </row>
    <row r="965" spans="1:4" x14ac:dyDescent="0.2">
      <c r="A965" s="7" t="s">
        <v>17303</v>
      </c>
      <c r="B965" s="6" t="s">
        <v>9129</v>
      </c>
      <c r="C965" s="6" t="s">
        <v>2669</v>
      </c>
      <c r="D965" s="7" t="str">
        <f>VLOOKUP(B965,Table1[[CIPCode]:[CIPTITLE]],4,FALSE)</f>
        <v>Family Psychology.</v>
      </c>
    </row>
    <row r="966" spans="1:4" x14ac:dyDescent="0.2">
      <c r="A966" s="7" t="s">
        <v>17303</v>
      </c>
      <c r="B966" s="6" t="s">
        <v>10061</v>
      </c>
      <c r="C966" s="6" t="s">
        <v>2669</v>
      </c>
      <c r="D966" s="7" t="str">
        <f>VLOOKUP(B966,Table1[[CIPCode]:[CIPTITLE]],4,FALSE)</f>
        <v>Family Psychology.</v>
      </c>
    </row>
    <row r="967" spans="1:4" x14ac:dyDescent="0.2">
      <c r="A967" s="7" t="s">
        <v>17303</v>
      </c>
      <c r="B967" s="6" t="s">
        <v>9132</v>
      </c>
      <c r="C967" s="6" t="s">
        <v>2670</v>
      </c>
      <c r="D967" s="7" t="str">
        <f>VLOOKUP(B967,Table1[[CIPCode]:[CIPTITLE]],4,FALSE)</f>
        <v>Forensic Psychology.</v>
      </c>
    </row>
    <row r="968" spans="1:4" x14ac:dyDescent="0.2">
      <c r="A968" s="7" t="s">
        <v>17303</v>
      </c>
      <c r="B968" s="6" t="s">
        <v>9135</v>
      </c>
      <c r="C968" s="6" t="s">
        <v>2670</v>
      </c>
      <c r="D968" s="7" t="str">
        <f>VLOOKUP(B968,Table1[[CIPCode]:[CIPTITLE]],4,FALSE)</f>
        <v>Forensic Psychology.</v>
      </c>
    </row>
    <row r="969" spans="1:4" x14ac:dyDescent="0.2">
      <c r="A969" s="7" t="s">
        <v>17303</v>
      </c>
      <c r="B969" s="6" t="s">
        <v>9137</v>
      </c>
      <c r="C969" s="6" t="s">
        <v>17368</v>
      </c>
      <c r="D969" s="7" t="str">
        <f>VLOOKUP(B969,Table1[[CIPCode]:[CIPTITLE]],4,FALSE)</f>
        <v>Psychology, Other.</v>
      </c>
    </row>
    <row r="970" spans="1:4" x14ac:dyDescent="0.2">
      <c r="A970" s="7" t="s">
        <v>17303</v>
      </c>
      <c r="B970" s="6" t="s">
        <v>17371</v>
      </c>
      <c r="C970" s="6" t="s">
        <v>17368</v>
      </c>
      <c r="D970" s="7" t="str">
        <f>VLOOKUP(B970,Table1[[CIPCode]:[CIPTITLE]],4,FALSE)</f>
        <v>Psychology, Other.</v>
      </c>
    </row>
    <row r="971" spans="1:4" x14ac:dyDescent="0.2">
      <c r="A971" s="7" t="s">
        <v>17374</v>
      </c>
      <c r="B971" s="6" t="s">
        <v>17374</v>
      </c>
      <c r="C971" s="6" t="s">
        <v>21369</v>
      </c>
      <c r="D971" s="7" t="e">
        <f>VLOOKUP(B971,Table1[[CIPCode]:[CIPTITLE]],4,FALSE)</f>
        <v>#N/A</v>
      </c>
    </row>
    <row r="972" spans="1:4" x14ac:dyDescent="0.2">
      <c r="A972" s="7" t="s">
        <v>17374</v>
      </c>
      <c r="B972" s="6" t="s">
        <v>8743</v>
      </c>
      <c r="C972" s="6" t="s">
        <v>6241</v>
      </c>
      <c r="D972" s="7" t="str">
        <f>VLOOKUP(B972,Table1[[CIPCode]:[CIPTITLE]],4,FALSE)</f>
        <v>Criminal Justice and Corrections.</v>
      </c>
    </row>
    <row r="973" spans="1:4" x14ac:dyDescent="0.2">
      <c r="A973" s="7" t="s">
        <v>17374</v>
      </c>
      <c r="B973" s="6" t="s">
        <v>16842</v>
      </c>
      <c r="C973" s="6" t="s">
        <v>6242</v>
      </c>
      <c r="D973" s="7" t="str">
        <f>VLOOKUP(B973,Table1[[CIPCode]:[CIPTITLE]],4,FALSE)</f>
        <v>Corrections.</v>
      </c>
    </row>
    <row r="974" spans="1:4" x14ac:dyDescent="0.2">
      <c r="A974" s="7" t="s">
        <v>17374</v>
      </c>
      <c r="B974" s="6" t="s">
        <v>14590</v>
      </c>
      <c r="C974" s="6" t="s">
        <v>14591</v>
      </c>
      <c r="D974" s="7" t="str">
        <f>VLOOKUP(B974,Table1[[CIPCode]:[CIPTITLE]],4,FALSE)</f>
        <v>Criminal Justice/Law Enforcement Administration.</v>
      </c>
    </row>
    <row r="975" spans="1:4" x14ac:dyDescent="0.2">
      <c r="A975" s="7" t="s">
        <v>17374</v>
      </c>
      <c r="B975" s="6" t="s">
        <v>14594</v>
      </c>
      <c r="C975" s="6" t="s">
        <v>6243</v>
      </c>
      <c r="D975" s="7" t="str">
        <f>VLOOKUP(B975,Table1[[CIPCode]:[CIPTITLE]],4,FALSE)</f>
        <v>Criminal Justice/Safety Studies.</v>
      </c>
    </row>
    <row r="976" spans="1:4" x14ac:dyDescent="0.2">
      <c r="A976" s="7" t="s">
        <v>17374</v>
      </c>
      <c r="B976" s="6" t="s">
        <v>14598</v>
      </c>
      <c r="C976" s="6" t="s">
        <v>6244</v>
      </c>
      <c r="D976" s="7" t="str">
        <f>VLOOKUP(B976,Table1[[CIPCode]:[CIPTITLE]],4,FALSE)</f>
        <v>Forensic Science and Technology.</v>
      </c>
    </row>
    <row r="977" spans="1:4" x14ac:dyDescent="0.2">
      <c r="A977" s="7" t="s">
        <v>17374</v>
      </c>
      <c r="B977" s="6" t="s">
        <v>14602</v>
      </c>
      <c r="C977" s="6" t="s">
        <v>6245</v>
      </c>
      <c r="D977" s="7" t="str">
        <f>VLOOKUP(B977,Table1[[CIPCode]:[CIPTITLE]],4,FALSE)</f>
        <v>Criminal Justice/Police Science.</v>
      </c>
    </row>
    <row r="978" spans="1:4" x14ac:dyDescent="0.2">
      <c r="A978" s="7" t="s">
        <v>17374</v>
      </c>
      <c r="B978" s="6" t="s">
        <v>14606</v>
      </c>
      <c r="C978" s="6" t="s">
        <v>6246</v>
      </c>
      <c r="D978" s="7" t="str">
        <f>VLOOKUP(B978,Table1[[CIPCode]:[CIPTITLE]],4,FALSE)</f>
        <v>Security and Loss Prevention Services.</v>
      </c>
    </row>
    <row r="979" spans="1:4" x14ac:dyDescent="0.2">
      <c r="A979" s="7" t="s">
        <v>17374</v>
      </c>
      <c r="B979" s="6" t="s">
        <v>8760</v>
      </c>
      <c r="C979" s="6" t="s">
        <v>21370</v>
      </c>
      <c r="D979" s="7" t="str">
        <f>VLOOKUP(B979,Table1[[CIPCode]:[CIPTITLE]],4,FALSE)</f>
        <v>Juvenile Corrections.</v>
      </c>
    </row>
    <row r="980" spans="1:4" x14ac:dyDescent="0.2">
      <c r="A980" s="7" t="s">
        <v>17374</v>
      </c>
      <c r="B980" s="6" t="s">
        <v>8763</v>
      </c>
      <c r="C980" s="6" t="s">
        <v>21371</v>
      </c>
      <c r="D980" s="7" t="str">
        <f>VLOOKUP(B980,Table1[[CIPCode]:[CIPTITLE]],4,FALSE)</f>
        <v>Criminalistics and Criminal Science.</v>
      </c>
    </row>
    <row r="981" spans="1:4" x14ac:dyDescent="0.2">
      <c r="A981" s="7" t="s">
        <v>17374</v>
      </c>
      <c r="B981" s="6" t="s">
        <v>8766</v>
      </c>
      <c r="C981" s="6" t="s">
        <v>21372</v>
      </c>
      <c r="D981" s="7" t="str">
        <f>VLOOKUP(B981,Table1[[CIPCode]:[CIPTITLE]],4,FALSE)</f>
        <v>Securities Services Administration/Management.</v>
      </c>
    </row>
    <row r="982" spans="1:4" x14ac:dyDescent="0.2">
      <c r="A982" s="7" t="s">
        <v>17374</v>
      </c>
      <c r="B982" s="6" t="s">
        <v>8769</v>
      </c>
      <c r="C982" s="6" t="s">
        <v>21373</v>
      </c>
      <c r="D982" s="7" t="str">
        <f>VLOOKUP(B982,Table1[[CIPCode]:[CIPTITLE]],4,FALSE)</f>
        <v>Corrections Administration.</v>
      </c>
    </row>
    <row r="983" spans="1:4" x14ac:dyDescent="0.2">
      <c r="A983" s="7" t="s">
        <v>17374</v>
      </c>
      <c r="B983" s="6" t="s">
        <v>14610</v>
      </c>
      <c r="C983" s="6" t="s">
        <v>6252</v>
      </c>
      <c r="D983" s="7" t="str">
        <f>VLOOKUP(B983,Table1[[CIPCode]:[CIPTITLE]],4,FALSE)</f>
        <v>Corrections and Criminal Justice, Other.</v>
      </c>
    </row>
    <row r="984" spans="1:4" x14ac:dyDescent="0.2">
      <c r="A984" s="7" t="s">
        <v>17374</v>
      </c>
      <c r="B984" s="6" t="s">
        <v>8774</v>
      </c>
      <c r="C984" s="6" t="s">
        <v>14615</v>
      </c>
      <c r="D984" s="7" t="str">
        <f>VLOOKUP(B984,Table1[[CIPCode]:[CIPTITLE]],4,FALSE)</f>
        <v>Fire Protection.</v>
      </c>
    </row>
    <row r="985" spans="1:4" x14ac:dyDescent="0.2">
      <c r="A985" s="7" t="s">
        <v>17374</v>
      </c>
      <c r="B985" s="6" t="s">
        <v>14618</v>
      </c>
      <c r="C985" s="6" t="s">
        <v>6253</v>
      </c>
      <c r="D985" s="7" t="str">
        <f>VLOOKUP(B985,Table1[[CIPCode]:[CIPTITLE]],4,FALSE)</f>
        <v>Fire Protection and Safety Technology/Technician.</v>
      </c>
    </row>
    <row r="986" spans="1:4" x14ac:dyDescent="0.2">
      <c r="A986" s="7" t="s">
        <v>17374</v>
      </c>
      <c r="B986" s="6" t="s">
        <v>14622</v>
      </c>
      <c r="C986" s="6" t="s">
        <v>14623</v>
      </c>
      <c r="D986" s="7" t="str">
        <f>VLOOKUP(B986,Table1[[CIPCode]:[CIPTITLE]],4,FALSE)</f>
        <v>Fire Services Administration.</v>
      </c>
    </row>
    <row r="987" spans="1:4" x14ac:dyDescent="0.2">
      <c r="A987" s="7" t="s">
        <v>17374</v>
      </c>
      <c r="B987" s="6" t="s">
        <v>14626</v>
      </c>
      <c r="C987" s="6" t="s">
        <v>21374</v>
      </c>
      <c r="D987" s="7" t="str">
        <f>VLOOKUP(B987,Table1[[CIPCode]:[CIPTITLE]],4,FALSE)</f>
        <v>Fire Science/Fire-fighting.</v>
      </c>
    </row>
    <row r="988" spans="1:4" x14ac:dyDescent="0.2">
      <c r="A988" s="7" t="s">
        <v>17374</v>
      </c>
      <c r="B988" s="6" t="s">
        <v>14630</v>
      </c>
      <c r="C988" s="6" t="s">
        <v>14631</v>
      </c>
      <c r="D988" s="7" t="str">
        <f>VLOOKUP(B988,Table1[[CIPCode]:[CIPTITLE]],4,FALSE)</f>
        <v>Fire Protection, Other.</v>
      </c>
    </row>
    <row r="989" spans="1:4" x14ac:dyDescent="0.2">
      <c r="A989" s="7" t="s">
        <v>17374</v>
      </c>
      <c r="B989" s="6" t="s">
        <v>8785</v>
      </c>
      <c r="C989" s="6" t="s">
        <v>6254</v>
      </c>
      <c r="D989" s="7" t="str">
        <f>VLOOKUP(B989,Table1[[CIPCode]:[CIPTITLE]],4,FALSE)</f>
        <v>Security and Protective Services, Other.</v>
      </c>
    </row>
    <row r="990" spans="1:4" x14ac:dyDescent="0.2">
      <c r="A990" s="7" t="s">
        <v>17374</v>
      </c>
      <c r="B990" s="6" t="s">
        <v>14638</v>
      </c>
      <c r="C990" s="6" t="s">
        <v>6254</v>
      </c>
      <c r="D990" s="7" t="str">
        <f>VLOOKUP(B990,Table1[[CIPCode]:[CIPTITLE]],4,FALSE)</f>
        <v>Security and Protective Services, Other.</v>
      </c>
    </row>
    <row r="991" spans="1:4" x14ac:dyDescent="0.2">
      <c r="A991" s="7" t="s">
        <v>14641</v>
      </c>
      <c r="B991" s="6" t="s">
        <v>14641</v>
      </c>
      <c r="C991" s="6" t="s">
        <v>21375</v>
      </c>
      <c r="D991" s="7" t="e">
        <f>VLOOKUP(B991,Table1[[CIPCode]:[CIPTITLE]],4,FALSE)</f>
        <v>#N/A</v>
      </c>
    </row>
    <row r="992" spans="1:4" x14ac:dyDescent="0.2">
      <c r="A992" s="7" t="s">
        <v>14641</v>
      </c>
      <c r="B992" s="6" t="s">
        <v>8792</v>
      </c>
      <c r="C992" s="6" t="s">
        <v>21376</v>
      </c>
      <c r="D992" s="7" t="str">
        <f>VLOOKUP(B992,Table1[[CIPCode]:[CIPTITLE]],4,FALSE)</f>
        <v>Human Services, General.</v>
      </c>
    </row>
    <row r="993" spans="1:4" x14ac:dyDescent="0.2">
      <c r="A993" s="7" t="s">
        <v>14641</v>
      </c>
      <c r="B993" s="6" t="s">
        <v>14642</v>
      </c>
      <c r="C993" s="6" t="s">
        <v>21376</v>
      </c>
      <c r="D993" s="7" t="str">
        <f>VLOOKUP(B993,Table1[[CIPCode]:[CIPTITLE]],4,FALSE)</f>
        <v>Human Services, General.</v>
      </c>
    </row>
    <row r="994" spans="1:4" x14ac:dyDescent="0.2">
      <c r="A994" s="7" t="s">
        <v>14641</v>
      </c>
      <c r="B994" s="6" t="s">
        <v>8796</v>
      </c>
      <c r="C994" s="6" t="s">
        <v>6260</v>
      </c>
      <c r="D994" s="7" t="str">
        <f>VLOOKUP(B994,Table1[[CIPCode]:[CIPTITLE]],4,FALSE)</f>
        <v>Community Organization and Advocacy.</v>
      </c>
    </row>
    <row r="995" spans="1:4" x14ac:dyDescent="0.2">
      <c r="A995" s="7" t="s">
        <v>14641</v>
      </c>
      <c r="B995" s="6" t="s">
        <v>14650</v>
      </c>
      <c r="C995" s="6" t="s">
        <v>6260</v>
      </c>
      <c r="D995" s="7" t="str">
        <f>VLOOKUP(B995,Table1[[CIPCode]:[CIPTITLE]],4,FALSE)</f>
        <v>Community Organization and Advocacy.</v>
      </c>
    </row>
    <row r="996" spans="1:4" x14ac:dyDescent="0.2">
      <c r="A996" s="7" t="s">
        <v>14641</v>
      </c>
      <c r="B996" s="6" t="s">
        <v>8800</v>
      </c>
      <c r="C996" s="6" t="s">
        <v>14654</v>
      </c>
      <c r="D996" s="7" t="str">
        <f>VLOOKUP(B996,Table1[[CIPCode]:[CIPTITLE]],4,FALSE)</f>
        <v>Public Administration.</v>
      </c>
    </row>
    <row r="997" spans="1:4" x14ac:dyDescent="0.2">
      <c r="A997" s="7" t="s">
        <v>14641</v>
      </c>
      <c r="B997" s="6" t="s">
        <v>14657</v>
      </c>
      <c r="C997" s="6" t="s">
        <v>14654</v>
      </c>
      <c r="D997" s="7" t="str">
        <f>VLOOKUP(B997,Table1[[CIPCode]:[CIPTITLE]],4,FALSE)</f>
        <v>Public Administration.</v>
      </c>
    </row>
    <row r="998" spans="1:4" x14ac:dyDescent="0.2">
      <c r="A998" s="7" t="s">
        <v>14641</v>
      </c>
      <c r="B998" s="6" t="s">
        <v>8804</v>
      </c>
      <c r="C998" s="6" t="s">
        <v>14661</v>
      </c>
      <c r="D998" s="7" t="str">
        <f>VLOOKUP(B998,Table1[[CIPCode]:[CIPTITLE]],4,FALSE)</f>
        <v>Public Policy Analysis.</v>
      </c>
    </row>
    <row r="999" spans="1:4" x14ac:dyDescent="0.2">
      <c r="A999" s="7" t="s">
        <v>14641</v>
      </c>
      <c r="B999" s="6" t="s">
        <v>14664</v>
      </c>
      <c r="C999" s="6" t="s">
        <v>14661</v>
      </c>
      <c r="D999" s="7" t="str">
        <f>VLOOKUP(B999,Table1[[CIPCode]:[CIPTITLE]],4,FALSE)</f>
        <v>Public Policy Analysis.</v>
      </c>
    </row>
    <row r="1000" spans="1:4" x14ac:dyDescent="0.2">
      <c r="A1000" s="7" t="s">
        <v>14641</v>
      </c>
      <c r="B1000" s="6" t="s">
        <v>10070</v>
      </c>
      <c r="C1000" s="6" t="s">
        <v>14668</v>
      </c>
      <c r="D1000" s="7" t="str">
        <f>VLOOKUP(B1000,Table1[[CIPCode]:[CIPTITLE]],4,FALSE)</f>
        <v>Social Work.</v>
      </c>
    </row>
    <row r="1001" spans="1:4" x14ac:dyDescent="0.2">
      <c r="A1001" s="7" t="s">
        <v>14641</v>
      </c>
      <c r="B1001" s="6" t="s">
        <v>14671</v>
      </c>
      <c r="C1001" s="6" t="s">
        <v>14668</v>
      </c>
      <c r="D1001" s="7" t="str">
        <f>VLOOKUP(B1001,Table1[[CIPCode]:[CIPTITLE]],4,FALSE)</f>
        <v>Social Work.</v>
      </c>
    </row>
    <row r="1002" spans="1:4" x14ac:dyDescent="0.2">
      <c r="A1002" s="7" t="s">
        <v>14641</v>
      </c>
      <c r="B1002" s="6" t="s">
        <v>12515</v>
      </c>
      <c r="C1002" s="6" t="s">
        <v>21377</v>
      </c>
      <c r="D1002" s="7" t="str">
        <f>VLOOKUP(B1002,Table1[[CIPCode]:[CIPTITLE]],4,FALSE)</f>
        <v>Youth Services/Administration.</v>
      </c>
    </row>
    <row r="1003" spans="1:4" x14ac:dyDescent="0.2">
      <c r="A1003" s="7" t="s">
        <v>14641</v>
      </c>
      <c r="B1003" s="6" t="s">
        <v>12518</v>
      </c>
      <c r="C1003" s="6" t="s">
        <v>12519</v>
      </c>
      <c r="D1003" s="7" t="str">
        <f>VLOOKUP(B1003,Table1[[CIPCode]:[CIPTITLE]],4,FALSE)</f>
        <v>Social Work, Other.</v>
      </c>
    </row>
    <row r="1004" spans="1:4" x14ac:dyDescent="0.2">
      <c r="A1004" s="7" t="s">
        <v>14641</v>
      </c>
      <c r="B1004" s="6" t="s">
        <v>8813</v>
      </c>
      <c r="C1004" s="6" t="s">
        <v>6264</v>
      </c>
      <c r="D1004" s="7" t="str">
        <f>VLOOKUP(B1004,Table1[[CIPCode]:[CIPTITLE]],4,FALSE)</f>
        <v>Public Administration and Social Service Professions, Other.</v>
      </c>
    </row>
    <row r="1005" spans="1:4" x14ac:dyDescent="0.2">
      <c r="A1005" s="7" t="s">
        <v>14641</v>
      </c>
      <c r="B1005" s="6" t="s">
        <v>14678</v>
      </c>
      <c r="C1005" s="6" t="s">
        <v>6264</v>
      </c>
      <c r="D1005" s="7" t="str">
        <f>VLOOKUP(B1005,Table1[[CIPCode]:[CIPTITLE]],4,FALSE)</f>
        <v>Public Administration and Social Service Professions, Other.</v>
      </c>
    </row>
    <row r="1006" spans="1:4" x14ac:dyDescent="0.2">
      <c r="A1006" s="7" t="s">
        <v>14681</v>
      </c>
      <c r="B1006" s="6" t="s">
        <v>14681</v>
      </c>
      <c r="C1006" s="6" t="s">
        <v>21378</v>
      </c>
      <c r="D1006" s="7" t="e">
        <f>VLOOKUP(B1006,Table1[[CIPCode]:[CIPTITLE]],4,FALSE)</f>
        <v>#N/A</v>
      </c>
    </row>
    <row r="1007" spans="1:4" x14ac:dyDescent="0.2">
      <c r="A1007" s="7" t="s">
        <v>14681</v>
      </c>
      <c r="B1007" s="6" t="s">
        <v>8818</v>
      </c>
      <c r="C1007" s="6" t="s">
        <v>14687</v>
      </c>
      <c r="D1007" s="7" t="str">
        <f>VLOOKUP(B1007,Table1[[CIPCode]:[CIPTITLE]],4,FALSE)</f>
        <v>Social Sciences, General.</v>
      </c>
    </row>
    <row r="1008" spans="1:4" x14ac:dyDescent="0.2">
      <c r="A1008" s="7" t="s">
        <v>14681</v>
      </c>
      <c r="B1008" s="6" t="s">
        <v>14690</v>
      </c>
      <c r="C1008" s="6" t="s">
        <v>14687</v>
      </c>
      <c r="D1008" s="7" t="str">
        <f>VLOOKUP(B1008,Table1[[CIPCode]:[CIPTITLE]],4,FALSE)</f>
        <v>Social Sciences, General.</v>
      </c>
    </row>
    <row r="1009" spans="1:4" x14ac:dyDescent="0.2">
      <c r="A1009" s="7" t="s">
        <v>14681</v>
      </c>
      <c r="B1009" s="6" t="s">
        <v>8821</v>
      </c>
      <c r="C1009" s="6" t="s">
        <v>14694</v>
      </c>
      <c r="D1009" s="7" t="str">
        <f>VLOOKUP(B1009,Table1[[CIPCode]:[CIPTITLE]],4,FALSE)</f>
        <v>Anthropology.</v>
      </c>
    </row>
    <row r="1010" spans="1:4" x14ac:dyDescent="0.2">
      <c r="A1010" s="7" t="s">
        <v>14681</v>
      </c>
      <c r="B1010" s="6" t="s">
        <v>14697</v>
      </c>
      <c r="C1010" s="6" t="s">
        <v>14694</v>
      </c>
      <c r="D1010" s="7" t="str">
        <f>VLOOKUP(B1010,Table1[[CIPCode]:[CIPTITLE]],4,FALSE)</f>
        <v>Anthropology.</v>
      </c>
    </row>
    <row r="1011" spans="1:4" x14ac:dyDescent="0.2">
      <c r="A1011" s="7" t="s">
        <v>14681</v>
      </c>
      <c r="B1011" s="6" t="s">
        <v>8827</v>
      </c>
      <c r="C1011" s="6" t="s">
        <v>21379</v>
      </c>
      <c r="D1011" s="7" t="str">
        <f>VLOOKUP(B1011,Table1[[CIPCode]:[CIPTITLE]],4,FALSE)</f>
        <v>Anthropology, Other.</v>
      </c>
    </row>
    <row r="1012" spans="1:4" x14ac:dyDescent="0.2">
      <c r="A1012" s="7" t="s">
        <v>14681</v>
      </c>
      <c r="B1012" s="6" t="s">
        <v>8830</v>
      </c>
      <c r="C1012" s="6" t="s">
        <v>14701</v>
      </c>
      <c r="D1012" s="7" t="str">
        <f>VLOOKUP(B1012,Table1[[CIPCode]:[CIPTITLE]],4,FALSE)</f>
        <v>Archeology.</v>
      </c>
    </row>
    <row r="1013" spans="1:4" x14ac:dyDescent="0.2">
      <c r="A1013" s="7" t="s">
        <v>14681</v>
      </c>
      <c r="B1013" s="6" t="s">
        <v>14704</v>
      </c>
      <c r="C1013" s="6" t="s">
        <v>14701</v>
      </c>
      <c r="D1013" s="7" t="str">
        <f>VLOOKUP(B1013,Table1[[CIPCode]:[CIPTITLE]],4,FALSE)</f>
        <v>Archeology.</v>
      </c>
    </row>
    <row r="1014" spans="1:4" x14ac:dyDescent="0.2">
      <c r="A1014" s="7" t="s">
        <v>14681</v>
      </c>
      <c r="B1014" s="6" t="s">
        <v>8746</v>
      </c>
      <c r="C1014" s="6" t="s">
        <v>14708</v>
      </c>
      <c r="D1014" s="7" t="str">
        <f>VLOOKUP(B1014,Table1[[CIPCode]:[CIPTITLE]],4,FALSE)</f>
        <v>Criminology.</v>
      </c>
    </row>
    <row r="1015" spans="1:4" x14ac:dyDescent="0.2">
      <c r="A1015" s="7" t="s">
        <v>14681</v>
      </c>
      <c r="B1015" s="6" t="s">
        <v>14711</v>
      </c>
      <c r="C1015" s="6" t="s">
        <v>14708</v>
      </c>
      <c r="D1015" s="7" t="str">
        <f>VLOOKUP(B1015,Table1[[CIPCode]:[CIPTITLE]],4,FALSE)</f>
        <v>Criminology.</v>
      </c>
    </row>
    <row r="1016" spans="1:4" x14ac:dyDescent="0.2">
      <c r="A1016" s="7" t="s">
        <v>14681</v>
      </c>
      <c r="B1016" s="6" t="s">
        <v>8836</v>
      </c>
      <c r="C1016" s="6" t="s">
        <v>6270</v>
      </c>
      <c r="D1016" s="7" t="str">
        <f>VLOOKUP(B1016,Table1[[CIPCode]:[CIPTITLE]],4,FALSE)</f>
        <v>Demography and Population Studies.</v>
      </c>
    </row>
    <row r="1017" spans="1:4" x14ac:dyDescent="0.2">
      <c r="A1017" s="7" t="s">
        <v>14681</v>
      </c>
      <c r="B1017" s="6" t="s">
        <v>14718</v>
      </c>
      <c r="C1017" s="6" t="s">
        <v>6270</v>
      </c>
      <c r="D1017" s="7" t="str">
        <f>VLOOKUP(B1017,Table1[[CIPCode]:[CIPTITLE]],4,FALSE)</f>
        <v>Demography and Population Studies.</v>
      </c>
    </row>
    <row r="1018" spans="1:4" x14ac:dyDescent="0.2">
      <c r="A1018" s="7" t="s">
        <v>14681</v>
      </c>
      <c r="B1018" s="6" t="s">
        <v>8840</v>
      </c>
      <c r="C1018" s="6" t="s">
        <v>14722</v>
      </c>
      <c r="D1018" s="7" t="str">
        <f>VLOOKUP(B1018,Table1[[CIPCode]:[CIPTITLE]],4,FALSE)</f>
        <v>Economics.</v>
      </c>
    </row>
    <row r="1019" spans="1:4" x14ac:dyDescent="0.2">
      <c r="A1019" s="7" t="s">
        <v>14681</v>
      </c>
      <c r="B1019" s="6" t="s">
        <v>14725</v>
      </c>
      <c r="C1019" s="6" t="s">
        <v>14726</v>
      </c>
      <c r="D1019" s="7" t="str">
        <f>VLOOKUP(B1019,Table1[[CIPCode]:[CIPTITLE]],4,FALSE)</f>
        <v>Economics, General.</v>
      </c>
    </row>
    <row r="1020" spans="1:4" x14ac:dyDescent="0.2">
      <c r="A1020" s="7" t="s">
        <v>14681</v>
      </c>
      <c r="B1020" s="6" t="s">
        <v>14729</v>
      </c>
      <c r="C1020" s="6" t="s">
        <v>6272</v>
      </c>
      <c r="D1020" s="7" t="str">
        <f>VLOOKUP(B1020,Table1[[CIPCode]:[CIPTITLE]],4,FALSE)</f>
        <v>Applied Economics.</v>
      </c>
    </row>
    <row r="1021" spans="1:4" x14ac:dyDescent="0.2">
      <c r="A1021" s="7" t="s">
        <v>14681</v>
      </c>
      <c r="B1021" s="6" t="s">
        <v>14733</v>
      </c>
      <c r="C1021" s="6" t="s">
        <v>6275</v>
      </c>
      <c r="D1021" s="7" t="str">
        <f>VLOOKUP(B1021,Table1[[CIPCode]:[CIPTITLE]],4,FALSE)</f>
        <v>Econometrics and Quantitative Economics.</v>
      </c>
    </row>
    <row r="1022" spans="1:4" x14ac:dyDescent="0.2">
      <c r="A1022" s="7" t="s">
        <v>14681</v>
      </c>
      <c r="B1022" s="6" t="s">
        <v>14737</v>
      </c>
      <c r="C1022" s="6" t="s">
        <v>6276</v>
      </c>
      <c r="D1022" s="7" t="str">
        <f>VLOOKUP(B1022,Table1[[CIPCode]:[CIPTITLE]],4,FALSE)</f>
        <v>Development Economics and International Development.</v>
      </c>
    </row>
    <row r="1023" spans="1:4" x14ac:dyDescent="0.2">
      <c r="A1023" s="7" t="s">
        <v>14681</v>
      </c>
      <c r="B1023" s="6" t="s">
        <v>14741</v>
      </c>
      <c r="C1023" s="6" t="s">
        <v>14742</v>
      </c>
      <c r="D1023" s="7" t="str">
        <f>VLOOKUP(B1023,Table1[[CIPCode]:[CIPTITLE]],4,FALSE)</f>
        <v>International Economics.</v>
      </c>
    </row>
    <row r="1024" spans="1:4" x14ac:dyDescent="0.2">
      <c r="A1024" s="7" t="s">
        <v>14681</v>
      </c>
      <c r="B1024" s="6" t="s">
        <v>14745</v>
      </c>
      <c r="C1024" s="6" t="s">
        <v>14746</v>
      </c>
      <c r="D1024" s="7" t="str">
        <f>VLOOKUP(B1024,Table1[[CIPCode]:[CIPTITLE]],4,FALSE)</f>
        <v>Economics, Other.</v>
      </c>
    </row>
    <row r="1025" spans="1:4" x14ac:dyDescent="0.2">
      <c r="A1025" s="7" t="s">
        <v>14681</v>
      </c>
      <c r="B1025" s="6" t="s">
        <v>8855</v>
      </c>
      <c r="C1025" s="6" t="s">
        <v>6277</v>
      </c>
      <c r="D1025" s="7" t="str">
        <f>VLOOKUP(B1025,Table1[[CIPCode]:[CIPTITLE]],4,FALSE)</f>
        <v>Geography and Cartography.</v>
      </c>
    </row>
    <row r="1026" spans="1:4" x14ac:dyDescent="0.2">
      <c r="A1026" s="7" t="s">
        <v>14681</v>
      </c>
      <c r="B1026" s="6" t="s">
        <v>14753</v>
      </c>
      <c r="C1026" s="6" t="s">
        <v>14750</v>
      </c>
      <c r="D1026" s="7" t="str">
        <f>VLOOKUP(B1026,Table1[[CIPCode]:[CIPTITLE]],4,FALSE)</f>
        <v>Geography.</v>
      </c>
    </row>
    <row r="1027" spans="1:4" x14ac:dyDescent="0.2">
      <c r="A1027" s="7" t="s">
        <v>14681</v>
      </c>
      <c r="B1027" s="6" t="s">
        <v>14756</v>
      </c>
      <c r="C1027" s="6" t="s">
        <v>14757</v>
      </c>
      <c r="D1027" s="7" t="str">
        <f>VLOOKUP(B1027,Table1[[CIPCode]:[CIPTITLE]],4,FALSE)</f>
        <v>Cartography.</v>
      </c>
    </row>
    <row r="1028" spans="1:4" x14ac:dyDescent="0.2">
      <c r="A1028" s="7" t="s">
        <v>14681</v>
      </c>
      <c r="B1028" s="6" t="s">
        <v>8861</v>
      </c>
      <c r="C1028" s="6" t="s">
        <v>21380</v>
      </c>
      <c r="D1028" s="7" t="str">
        <f>VLOOKUP(B1028,Table1[[CIPCode]:[CIPTITLE]],4,FALSE)</f>
        <v>Geography, Other.</v>
      </c>
    </row>
    <row r="1029" spans="1:4" x14ac:dyDescent="0.2">
      <c r="A1029" s="7" t="s">
        <v>14681</v>
      </c>
      <c r="B1029" s="6" t="s">
        <v>8876</v>
      </c>
      <c r="C1029" s="6" t="s">
        <v>6293</v>
      </c>
      <c r="D1029" s="7" t="str">
        <f>VLOOKUP(B1029,Table1[[CIPCode]:[CIPTITLE]],4,FALSE)</f>
        <v>International Relations and Affairs.</v>
      </c>
    </row>
    <row r="1030" spans="1:4" x14ac:dyDescent="0.2">
      <c r="A1030" s="7" t="s">
        <v>14681</v>
      </c>
      <c r="B1030" s="6" t="s">
        <v>14792</v>
      </c>
      <c r="C1030" s="6" t="s">
        <v>6293</v>
      </c>
      <c r="D1030" s="7" t="str">
        <f>VLOOKUP(B1030,Table1[[CIPCode]:[CIPTITLE]],4,FALSE)</f>
        <v>International Relations and Affairs.</v>
      </c>
    </row>
    <row r="1031" spans="1:4" x14ac:dyDescent="0.2">
      <c r="A1031" s="7" t="s">
        <v>14681</v>
      </c>
      <c r="B1031" s="6" t="s">
        <v>8879</v>
      </c>
      <c r="C1031" s="6" t="s">
        <v>6294</v>
      </c>
      <c r="D1031" s="7" t="str">
        <f>VLOOKUP(B1031,Table1[[CIPCode]:[CIPTITLE]],4,FALSE)</f>
        <v>Political Science and Government.</v>
      </c>
    </row>
    <row r="1032" spans="1:4" x14ac:dyDescent="0.2">
      <c r="A1032" s="7" t="s">
        <v>14681</v>
      </c>
      <c r="B1032" s="6" t="s">
        <v>14799</v>
      </c>
      <c r="C1032" s="6" t="s">
        <v>6295</v>
      </c>
      <c r="D1032" s="7" t="str">
        <f>VLOOKUP(B1032,Table1[[CIPCode]:[CIPTITLE]],4,FALSE)</f>
        <v>Political Science and Government, General.</v>
      </c>
    </row>
    <row r="1033" spans="1:4" x14ac:dyDescent="0.2">
      <c r="A1033" s="7" t="s">
        <v>14681</v>
      </c>
      <c r="B1033" s="6" t="s">
        <v>14803</v>
      </c>
      <c r="C1033" s="6" t="s">
        <v>6297</v>
      </c>
      <c r="D1033" s="7" t="str">
        <f>VLOOKUP(B1033,Table1[[CIPCode]:[CIPTITLE]],4,FALSE)</f>
        <v>American Government and Politics (United States).</v>
      </c>
    </row>
    <row r="1034" spans="1:4" x14ac:dyDescent="0.2">
      <c r="A1034" s="7" t="s">
        <v>14681</v>
      </c>
      <c r="B1034" s="6" t="s">
        <v>14807</v>
      </c>
      <c r="C1034" s="6" t="s">
        <v>21381</v>
      </c>
      <c r="D1034" s="7" t="str">
        <f>VLOOKUP(B1034,Table1[[CIPCode]:[CIPTITLE]],4,FALSE)</f>
        <v>Canadian Government and Politics.</v>
      </c>
    </row>
    <row r="1035" spans="1:4" x14ac:dyDescent="0.2">
      <c r="A1035" s="7" t="s">
        <v>14681</v>
      </c>
      <c r="B1035" s="6" t="s">
        <v>8885</v>
      </c>
      <c r="C1035" s="6" t="s">
        <v>6300</v>
      </c>
      <c r="D1035" s="7" t="str">
        <f>VLOOKUP(B1035,Table1[[CIPCode]:[CIPTITLE]],4,FALSE)</f>
        <v>Political Science and Government, Other.</v>
      </c>
    </row>
    <row r="1036" spans="1:4" x14ac:dyDescent="0.2">
      <c r="A1036" s="7" t="s">
        <v>14681</v>
      </c>
      <c r="B1036" s="6" t="s">
        <v>8888</v>
      </c>
      <c r="C1036" s="6" t="s">
        <v>14812</v>
      </c>
      <c r="D1036" s="7" t="str">
        <f>VLOOKUP(B1036,Table1[[CIPCode]:[CIPTITLE]],4,FALSE)</f>
        <v>Sociology.</v>
      </c>
    </row>
    <row r="1037" spans="1:4" x14ac:dyDescent="0.2">
      <c r="A1037" s="7" t="s">
        <v>14681</v>
      </c>
      <c r="B1037" s="6" t="s">
        <v>14815</v>
      </c>
      <c r="C1037" s="6" t="s">
        <v>14812</v>
      </c>
      <c r="D1037" s="7" t="str">
        <f>VLOOKUP(B1037,Table1[[CIPCode]:[CIPTITLE]],4,FALSE)</f>
        <v>Sociology.</v>
      </c>
    </row>
    <row r="1038" spans="1:4" x14ac:dyDescent="0.2">
      <c r="A1038" s="7" t="s">
        <v>14681</v>
      </c>
      <c r="B1038" s="6" t="s">
        <v>8891</v>
      </c>
      <c r="C1038" s="6" t="s">
        <v>14819</v>
      </c>
      <c r="D1038" s="7" t="str">
        <f>VLOOKUP(B1038,Table1[[CIPCode]:[CIPTITLE]],4,FALSE)</f>
        <v>Urban Studies/Affairs.</v>
      </c>
    </row>
    <row r="1039" spans="1:4" x14ac:dyDescent="0.2">
      <c r="A1039" s="7" t="s">
        <v>14681</v>
      </c>
      <c r="B1039" s="6" t="s">
        <v>14822</v>
      </c>
      <c r="C1039" s="6" t="s">
        <v>14819</v>
      </c>
      <c r="D1039" s="7" t="str">
        <f>VLOOKUP(B1039,Table1[[CIPCode]:[CIPTITLE]],4,FALSE)</f>
        <v>Urban Studies/Affairs.</v>
      </c>
    </row>
    <row r="1040" spans="1:4" x14ac:dyDescent="0.2">
      <c r="A1040" s="7" t="s">
        <v>14681</v>
      </c>
      <c r="B1040" s="6" t="s">
        <v>8894</v>
      </c>
      <c r="C1040" s="6" t="s">
        <v>14830</v>
      </c>
      <c r="D1040" s="7" t="str">
        <f>VLOOKUP(B1040,Table1[[CIPCode]:[CIPTITLE]],4,FALSE)</f>
        <v>Social Sciences, Other.</v>
      </c>
    </row>
    <row r="1041" spans="1:4" x14ac:dyDescent="0.2">
      <c r="A1041" s="7" t="s">
        <v>14681</v>
      </c>
      <c r="B1041" s="6" t="s">
        <v>14829</v>
      </c>
      <c r="C1041" s="6" t="s">
        <v>14830</v>
      </c>
      <c r="D1041" s="7" t="str">
        <f>VLOOKUP(B1041,Table1[[CIPCode]:[CIPTITLE]],4,FALSE)</f>
        <v>Social Sciences, Other.</v>
      </c>
    </row>
    <row r="1042" spans="1:4" x14ac:dyDescent="0.2">
      <c r="A1042" s="7" t="s">
        <v>14833</v>
      </c>
      <c r="B1042" s="6" t="s">
        <v>14833</v>
      </c>
      <c r="C1042" s="6" t="s">
        <v>21382</v>
      </c>
      <c r="D1042" s="7" t="e">
        <f>VLOOKUP(B1042,Table1[[CIPCode]:[CIPTITLE]],4,FALSE)</f>
        <v>#N/A</v>
      </c>
    </row>
    <row r="1043" spans="1:4" x14ac:dyDescent="0.2">
      <c r="A1043" s="7" t="s">
        <v>14833</v>
      </c>
      <c r="B1043" s="6" t="s">
        <v>8899</v>
      </c>
      <c r="C1043" s="6" t="s">
        <v>21383</v>
      </c>
      <c r="D1043" s="7" t="str">
        <f>VLOOKUP(B1043,Table1[[CIPCode]:[CIPTITLE]],4,FALSE)</f>
        <v>Construction Trades, General.</v>
      </c>
    </row>
    <row r="1044" spans="1:4" x14ac:dyDescent="0.2">
      <c r="A1044" s="7" t="s">
        <v>14833</v>
      </c>
      <c r="B1044" s="6" t="s">
        <v>14834</v>
      </c>
      <c r="C1044" s="6" t="s">
        <v>21383</v>
      </c>
      <c r="D1044" s="7" t="str">
        <f>VLOOKUP(B1044,Table1[[CIPCode]:[CIPTITLE]],4,FALSE)</f>
        <v>Construction Trades, General.</v>
      </c>
    </row>
    <row r="1045" spans="1:4" x14ac:dyDescent="0.2">
      <c r="A1045" s="7" t="s">
        <v>14833</v>
      </c>
      <c r="B1045" s="6" t="s">
        <v>8903</v>
      </c>
      <c r="C1045" s="6" t="s">
        <v>6303</v>
      </c>
      <c r="D1045" s="7" t="str">
        <f>VLOOKUP(B1045,Table1[[CIPCode]:[CIPTITLE]],4,FALSE)</f>
        <v>Mason/Masonry.</v>
      </c>
    </row>
    <row r="1046" spans="1:4" x14ac:dyDescent="0.2">
      <c r="A1046" s="7" t="s">
        <v>14833</v>
      </c>
      <c r="B1046" s="6" t="s">
        <v>14842</v>
      </c>
      <c r="C1046" s="6" t="s">
        <v>6303</v>
      </c>
      <c r="D1046" s="7" t="str">
        <f>VLOOKUP(B1046,Table1[[CIPCode]:[CIPTITLE]],4,FALSE)</f>
        <v>Mason/Masonry.</v>
      </c>
    </row>
    <row r="1047" spans="1:4" x14ac:dyDescent="0.2">
      <c r="A1047" s="7" t="s">
        <v>14833</v>
      </c>
      <c r="B1047" s="6" t="s">
        <v>8907</v>
      </c>
      <c r="C1047" s="6" t="s">
        <v>14214</v>
      </c>
      <c r="D1047" s="7" t="str">
        <f>VLOOKUP(B1047,Table1[[CIPCode]:[CIPTITLE]],4,FALSE)</f>
        <v>Carpenters.</v>
      </c>
    </row>
    <row r="1048" spans="1:4" x14ac:dyDescent="0.2">
      <c r="A1048" s="7" t="s">
        <v>14833</v>
      </c>
      <c r="B1048" s="6" t="s">
        <v>14217</v>
      </c>
      <c r="C1048" s="6" t="s">
        <v>6305</v>
      </c>
      <c r="D1048" s="7" t="str">
        <f>VLOOKUP(B1048,Table1[[CIPCode]:[CIPTITLE]],4,FALSE)</f>
        <v>Carpentry/Carpenter.</v>
      </c>
    </row>
    <row r="1049" spans="1:4" x14ac:dyDescent="0.2">
      <c r="A1049" s="7" t="s">
        <v>14833</v>
      </c>
      <c r="B1049" s="6" t="s">
        <v>8912</v>
      </c>
      <c r="C1049" s="6" t="s">
        <v>6306</v>
      </c>
      <c r="D1049" s="7" t="str">
        <f>VLOOKUP(B1049,Table1[[CIPCode]:[CIPTITLE]],4,FALSE)</f>
        <v>Electrical and Power Transmission Installers.</v>
      </c>
    </row>
    <row r="1050" spans="1:4" x14ac:dyDescent="0.2">
      <c r="A1050" s="7" t="s">
        <v>14833</v>
      </c>
      <c r="B1050" s="6" t="s">
        <v>14225</v>
      </c>
      <c r="C1050" s="6" t="s">
        <v>6311</v>
      </c>
      <c r="D1050" s="7" t="str">
        <f>VLOOKUP(B1050,Table1[[CIPCode]:[CIPTITLE]],4,FALSE)</f>
        <v>Electrical and Power Transmission Installation/Installer, General.</v>
      </c>
    </row>
    <row r="1051" spans="1:4" x14ac:dyDescent="0.2">
      <c r="A1051" s="7" t="s">
        <v>14833</v>
      </c>
      <c r="B1051" s="6" t="s">
        <v>14229</v>
      </c>
      <c r="C1051" s="6" t="s">
        <v>14230</v>
      </c>
      <c r="D1051" s="7" t="str">
        <f>VLOOKUP(B1051,Table1[[CIPCode]:[CIPTITLE]],4,FALSE)</f>
        <v>Electrician.</v>
      </c>
    </row>
    <row r="1052" spans="1:4" x14ac:dyDescent="0.2">
      <c r="A1052" s="7" t="s">
        <v>14833</v>
      </c>
      <c r="B1052" s="6" t="s">
        <v>14233</v>
      </c>
      <c r="C1052" s="6" t="s">
        <v>14234</v>
      </c>
      <c r="D1052" s="7" t="str">
        <f>VLOOKUP(B1052,Table1[[CIPCode]:[CIPTITLE]],4,FALSE)</f>
        <v>Lineworker.</v>
      </c>
    </row>
    <row r="1053" spans="1:4" x14ac:dyDescent="0.2">
      <c r="A1053" s="7" t="s">
        <v>14833</v>
      </c>
      <c r="B1053" s="6" t="s">
        <v>14237</v>
      </c>
      <c r="C1053" s="6" t="s">
        <v>6313</v>
      </c>
      <c r="D1053" s="7" t="str">
        <f>VLOOKUP(B1053,Table1[[CIPCode]:[CIPTITLE]],4,FALSE)</f>
        <v>Electrical and Power Transmission Installers, Other.</v>
      </c>
    </row>
    <row r="1054" spans="1:4" x14ac:dyDescent="0.2">
      <c r="A1054" s="7" t="s">
        <v>14833</v>
      </c>
      <c r="B1054" s="6" t="s">
        <v>8923</v>
      </c>
      <c r="C1054" s="6" t="s">
        <v>6315</v>
      </c>
      <c r="D1054" s="7" t="str">
        <f>VLOOKUP(B1054,Table1[[CIPCode]:[CIPTITLE]],4,FALSE)</f>
        <v>Building/Construction Finishing, Management, and Inspection.</v>
      </c>
    </row>
    <row r="1055" spans="1:4" x14ac:dyDescent="0.2">
      <c r="A1055" s="7" t="s">
        <v>14833</v>
      </c>
      <c r="B1055" s="6" t="s">
        <v>14245</v>
      </c>
      <c r="C1055" s="6" t="s">
        <v>21384</v>
      </c>
      <c r="D1055" s="7" t="str">
        <f>VLOOKUP(B1055,Table1[[CIPCode]:[CIPTITLE]],4,FALSE)</f>
        <v>Building/Property Maintenance and Management.</v>
      </c>
    </row>
    <row r="1056" spans="1:4" x14ac:dyDescent="0.2">
      <c r="A1056" s="7" t="s">
        <v>14833</v>
      </c>
      <c r="B1056" s="6" t="s">
        <v>8930</v>
      </c>
      <c r="C1056" s="6" t="s">
        <v>21385</v>
      </c>
      <c r="D1056" s="7" t="str">
        <f>VLOOKUP(B1056,Table1[[CIPCode]:[CIPTITLE]],4,FALSE)</f>
        <v>Concrete Finishing/Concrete Finisher.</v>
      </c>
    </row>
    <row r="1057" spans="1:4" x14ac:dyDescent="0.2">
      <c r="A1057" s="7" t="s">
        <v>14833</v>
      </c>
      <c r="B1057" s="6" t="s">
        <v>14249</v>
      </c>
      <c r="C1057" s="6" t="s">
        <v>6308</v>
      </c>
      <c r="D1057" s="7" t="str">
        <f>VLOOKUP(B1057,Table1[[CIPCode]:[CIPTITLE]],4,FALSE)</f>
        <v>Building/Home/Construction Inspection/Inspector.</v>
      </c>
    </row>
    <row r="1058" spans="1:4" x14ac:dyDescent="0.2">
      <c r="A1058" s="7" t="s">
        <v>14833</v>
      </c>
      <c r="B1058" s="6" t="s">
        <v>8935</v>
      </c>
      <c r="C1058" s="6" t="s">
        <v>21386</v>
      </c>
      <c r="D1058" s="7" t="str">
        <f>VLOOKUP(B1058,Table1[[CIPCode]:[CIPTITLE]],4,FALSE)</f>
        <v>Drywall Installation/Drywaller.</v>
      </c>
    </row>
    <row r="1059" spans="1:4" x14ac:dyDescent="0.2">
      <c r="A1059" s="7" t="s">
        <v>14833</v>
      </c>
      <c r="B1059" s="6" t="s">
        <v>8938</v>
      </c>
      <c r="C1059" s="6" t="s">
        <v>21387</v>
      </c>
      <c r="D1059" s="7" t="str">
        <f>VLOOKUP(B1059,Table1[[CIPCode]:[CIPTITLE]],4,FALSE)</f>
        <v>Glazier.</v>
      </c>
    </row>
    <row r="1060" spans="1:4" x14ac:dyDescent="0.2">
      <c r="A1060" s="7" t="s">
        <v>14833</v>
      </c>
      <c r="B1060" s="6" t="s">
        <v>14253</v>
      </c>
      <c r="C1060" s="6" t="s">
        <v>6285</v>
      </c>
      <c r="D1060" s="7" t="str">
        <f>VLOOKUP(B1060,Table1[[CIPCode]:[CIPTITLE]],4,FALSE)</f>
        <v>Painting/Painter and Wall Coverer.</v>
      </c>
    </row>
    <row r="1061" spans="1:4" x14ac:dyDescent="0.2">
      <c r="A1061" s="7" t="s">
        <v>14833</v>
      </c>
      <c r="B1061" s="6" t="s">
        <v>8946</v>
      </c>
      <c r="C1061" s="6" t="s">
        <v>21388</v>
      </c>
      <c r="D1061" s="7" t="str">
        <f>VLOOKUP(B1061,Table1[[CIPCode]:[CIPTITLE]],4,FALSE)</f>
        <v>Metal Building Assembly/Assembler.</v>
      </c>
    </row>
    <row r="1062" spans="1:4" x14ac:dyDescent="0.2">
      <c r="A1062" s="7" t="s">
        <v>14833</v>
      </c>
      <c r="B1062" s="6" t="s">
        <v>8949</v>
      </c>
      <c r="C1062" s="6" t="s">
        <v>2239</v>
      </c>
      <c r="D1062" s="7" t="str">
        <f>VLOOKUP(B1062,Table1[[CIPCode]:[CIPTITLE]],4,FALSE)</f>
        <v>Building/Construction Site Management/Manager.</v>
      </c>
    </row>
    <row r="1063" spans="1:4" x14ac:dyDescent="0.2">
      <c r="A1063" s="7" t="s">
        <v>14833</v>
      </c>
      <c r="B1063" s="6" t="s">
        <v>14257</v>
      </c>
      <c r="C1063" s="6" t="s">
        <v>2246</v>
      </c>
      <c r="D1063" s="7" t="str">
        <f>VLOOKUP(B1063,Table1[[CIPCode]:[CIPTITLE]],4,FALSE)</f>
        <v>Building/Construction Finishing, Management, and Inspection, Other.</v>
      </c>
    </row>
    <row r="1064" spans="1:4" x14ac:dyDescent="0.2">
      <c r="A1064" s="7" t="s">
        <v>14833</v>
      </c>
      <c r="B1064" s="6" t="s">
        <v>8499</v>
      </c>
      <c r="C1064" s="6" t="s">
        <v>6322</v>
      </c>
      <c r="D1064" s="7" t="str">
        <f>VLOOKUP(B1064,Table1[[CIPCode]:[CIPTITLE]],4,FALSE)</f>
        <v>Plumbing and Related Water Supply Services.</v>
      </c>
    </row>
    <row r="1065" spans="1:4" x14ac:dyDescent="0.2">
      <c r="A1065" s="7" t="s">
        <v>14833</v>
      </c>
      <c r="B1065" s="6" t="s">
        <v>8504</v>
      </c>
      <c r="C1065" s="6" t="s">
        <v>21389</v>
      </c>
      <c r="D1065" s="7" t="str">
        <f>VLOOKUP(B1065,Table1[[CIPCode]:[CIPTITLE]],4,FALSE)</f>
        <v>Pipefitting/Pipefitter and Sprinkler Fitter.</v>
      </c>
    </row>
    <row r="1066" spans="1:4" x14ac:dyDescent="0.2">
      <c r="A1066" s="7" t="s">
        <v>14833</v>
      </c>
      <c r="B1066" s="6" t="s">
        <v>8507</v>
      </c>
      <c r="C1066" s="6" t="s">
        <v>21390</v>
      </c>
      <c r="D1066" s="7" t="str">
        <f>VLOOKUP(B1066,Table1[[CIPCode]:[CIPTITLE]],4,FALSE)</f>
        <v>Plumbing Technology/Plumber.</v>
      </c>
    </row>
    <row r="1067" spans="1:4" x14ac:dyDescent="0.2">
      <c r="A1067" s="7" t="s">
        <v>14833</v>
      </c>
      <c r="B1067" s="6" t="s">
        <v>21391</v>
      </c>
      <c r="C1067" s="6" t="s">
        <v>6323</v>
      </c>
      <c r="D1067" s="7" t="str">
        <f>VLOOKUP(B1067,Table1[[CIPCode]:[CIPTITLE]],4,FALSE)</f>
        <v>Plumber and Pipefitter</v>
      </c>
    </row>
    <row r="1068" spans="1:4" x14ac:dyDescent="0.2">
      <c r="A1068" s="7" t="s">
        <v>14833</v>
      </c>
      <c r="B1068" s="6" t="s">
        <v>8516</v>
      </c>
      <c r="C1068" s="6" t="s">
        <v>2368</v>
      </c>
      <c r="D1068" s="7" t="str">
        <f>VLOOKUP(B1068,Table1[[CIPCode]:[CIPTITLE]],4,FALSE)</f>
        <v>Plumbing and Related Water Supply Services, Other.</v>
      </c>
    </row>
    <row r="1069" spans="1:4" x14ac:dyDescent="0.2">
      <c r="A1069" s="7" t="s">
        <v>14833</v>
      </c>
      <c r="B1069" s="6" t="s">
        <v>8519</v>
      </c>
      <c r="C1069" s="6" t="s">
        <v>14270</v>
      </c>
      <c r="D1069" s="7" t="str">
        <f>VLOOKUP(B1069,Table1[[CIPCode]:[CIPTITLE]],4,FALSE)</f>
        <v>Construction Trades, Other.</v>
      </c>
    </row>
    <row r="1070" spans="1:4" x14ac:dyDescent="0.2">
      <c r="A1070" s="7" t="s">
        <v>14833</v>
      </c>
      <c r="B1070" s="6" t="s">
        <v>14273</v>
      </c>
      <c r="C1070" s="6" t="s">
        <v>14270</v>
      </c>
      <c r="D1070" s="7" t="str">
        <f>VLOOKUP(B1070,Table1[[CIPCode]:[CIPTITLE]],4,FALSE)</f>
        <v>Construction Trades, Other.</v>
      </c>
    </row>
    <row r="1071" spans="1:4" x14ac:dyDescent="0.2">
      <c r="A1071" s="7" t="s">
        <v>14275</v>
      </c>
      <c r="B1071" s="6" t="s">
        <v>14275</v>
      </c>
      <c r="C1071" s="6" t="s">
        <v>21392</v>
      </c>
      <c r="D1071" s="7" t="e">
        <f>VLOOKUP(B1071,Table1[[CIPCode]:[CIPTITLE]],4,FALSE)</f>
        <v>#N/A</v>
      </c>
    </row>
    <row r="1072" spans="1:4" x14ac:dyDescent="0.2">
      <c r="A1072" s="7" t="s">
        <v>14275</v>
      </c>
      <c r="B1072" s="6" t="s">
        <v>8525</v>
      </c>
      <c r="C1072" s="6" t="s">
        <v>21393</v>
      </c>
      <c r="D1072" s="7" t="str">
        <f>VLOOKUP(B1072,Table1[[CIPCode]:[CIPTITLE]],4,FALSE)</f>
        <v>Mechanics and Repairers, General.</v>
      </c>
    </row>
    <row r="1073" spans="1:4" x14ac:dyDescent="0.2">
      <c r="A1073" s="7" t="s">
        <v>14275</v>
      </c>
      <c r="B1073" s="6" t="s">
        <v>14276</v>
      </c>
      <c r="C1073" s="6" t="s">
        <v>21393</v>
      </c>
      <c r="D1073" s="7" t="str">
        <f>VLOOKUP(B1073,Table1[[CIPCode]:[CIPTITLE]],4,FALSE)</f>
        <v>Mechanics and Repairers, General.</v>
      </c>
    </row>
    <row r="1074" spans="1:4" x14ac:dyDescent="0.2">
      <c r="A1074" s="7" t="s">
        <v>14275</v>
      </c>
      <c r="B1074" s="6" t="s">
        <v>8529</v>
      </c>
      <c r="C1074" s="6" t="s">
        <v>6334</v>
      </c>
      <c r="D1074" s="7" t="str">
        <f>VLOOKUP(B1074,Table1[[CIPCode]:[CIPTITLE]],4,FALSE)</f>
        <v>Electrical/Electronics Maintenance and Repair Technology.</v>
      </c>
    </row>
    <row r="1075" spans="1:4" x14ac:dyDescent="0.2">
      <c r="A1075" s="7" t="s">
        <v>14275</v>
      </c>
      <c r="B1075" s="6" t="s">
        <v>14284</v>
      </c>
      <c r="C1075" s="6" t="s">
        <v>6344</v>
      </c>
      <c r="D1075" s="7" t="str">
        <f>VLOOKUP(B1075,Table1[[CIPCode]:[CIPTITLE]],4,FALSE)</f>
        <v>Electrical/Electronics Equipment Installation and Repair, General.</v>
      </c>
    </row>
    <row r="1076" spans="1:4" x14ac:dyDescent="0.2">
      <c r="A1076" s="7" t="s">
        <v>14275</v>
      </c>
      <c r="B1076" s="6" t="s">
        <v>14288</v>
      </c>
      <c r="C1076" s="6" t="s">
        <v>40</v>
      </c>
      <c r="D1076" s="7" t="str">
        <f>VLOOKUP(B1076,Table1[[CIPCode]:[CIPTITLE]],4,FALSE)</f>
        <v>Business Machine Repair.</v>
      </c>
    </row>
    <row r="1077" spans="1:4" x14ac:dyDescent="0.2">
      <c r="A1077" s="7" t="s">
        <v>14275</v>
      </c>
      <c r="B1077" s="6" t="s">
        <v>14292</v>
      </c>
      <c r="C1077" s="6" t="s">
        <v>6346</v>
      </c>
      <c r="D1077" s="7" t="str">
        <f>VLOOKUP(B1077,Table1[[CIPCode]:[CIPTITLE]],4,FALSE)</f>
        <v>Communications Systems Installation and Repair Technology.</v>
      </c>
    </row>
    <row r="1078" spans="1:4" x14ac:dyDescent="0.2">
      <c r="A1078" s="7" t="s">
        <v>14275</v>
      </c>
      <c r="B1078" s="6" t="s">
        <v>14296</v>
      </c>
      <c r="C1078" s="6" t="s">
        <v>6348</v>
      </c>
      <c r="D1078" s="7" t="str">
        <f>VLOOKUP(B1078,Table1[[CIPCode]:[CIPTITLE]],4,FALSE)</f>
        <v>Computer Installation and Repair Technology/Technician.</v>
      </c>
    </row>
    <row r="1079" spans="1:4" x14ac:dyDescent="0.2">
      <c r="A1079" s="7" t="s">
        <v>14275</v>
      </c>
      <c r="B1079" s="6" t="s">
        <v>14300</v>
      </c>
      <c r="C1079" s="6" t="s">
        <v>6350</v>
      </c>
      <c r="D1079" s="7" t="str">
        <f>VLOOKUP(B1079,Table1[[CIPCode]:[CIPTITLE]],4,FALSE)</f>
        <v>Industrial Electronics Technology/Technician.</v>
      </c>
    </row>
    <row r="1080" spans="1:4" x14ac:dyDescent="0.2">
      <c r="A1080" s="7" t="s">
        <v>14275</v>
      </c>
      <c r="B1080" s="6" t="s">
        <v>14304</v>
      </c>
      <c r="C1080" s="6" t="s">
        <v>6352</v>
      </c>
      <c r="D1080" s="7" t="str">
        <f>VLOOKUP(B1080,Table1[[CIPCode]:[CIPTITLE]],4,FALSE)</f>
        <v>Appliance Installation and Repair Technology/Technician.</v>
      </c>
    </row>
    <row r="1081" spans="1:4" x14ac:dyDescent="0.2">
      <c r="A1081" s="7" t="s">
        <v>14275</v>
      </c>
      <c r="B1081" s="6" t="s">
        <v>8543</v>
      </c>
      <c r="C1081" s="6" t="s">
        <v>21394</v>
      </c>
      <c r="D1081" s="7" t="str">
        <f>VLOOKUP(B1081,Table1[[CIPCode]:[CIPTITLE]],4,FALSE)</f>
        <v>Security System Installation, Repair, and Inspection Technology/Technician.</v>
      </c>
    </row>
    <row r="1082" spans="1:4" x14ac:dyDescent="0.2">
      <c r="A1082" s="7" t="s">
        <v>14275</v>
      </c>
      <c r="B1082" s="6" t="s">
        <v>14308</v>
      </c>
      <c r="C1082" s="6" t="s">
        <v>6355</v>
      </c>
      <c r="D1082" s="7" t="str">
        <f>VLOOKUP(B1082,Table1[[CIPCode]:[CIPTITLE]],4,FALSE)</f>
        <v>Electrical/Electronics Maintenance and Repair Technology, Other.</v>
      </c>
    </row>
    <row r="1083" spans="1:4" x14ac:dyDescent="0.2">
      <c r="A1083" s="7" t="s">
        <v>14275</v>
      </c>
      <c r="B1083" s="6" t="s">
        <v>8548</v>
      </c>
      <c r="C1083" s="6" t="s">
        <v>21395</v>
      </c>
      <c r="D1083" s="7" t="str">
        <f>VLOOKUP(B1083,Table1[[CIPCode]:[CIPTITLE]],4,FALSE)</f>
        <v>Heating, Air Conditioning, Ventilation and Refrigeration Maintenance Technology/Technician (HAC, HACR, HVAC, HVACR).</v>
      </c>
    </row>
    <row r="1084" spans="1:4" x14ac:dyDescent="0.2">
      <c r="A1084" s="7" t="s">
        <v>14275</v>
      </c>
      <c r="B1084" s="6" t="s">
        <v>14316</v>
      </c>
      <c r="C1084" s="6" t="s">
        <v>21396</v>
      </c>
      <c r="D1084" s="7" t="str">
        <f>VLOOKUP(B1084,Table1[[CIPCode]:[CIPTITLE]],4,FALSE)</f>
        <v>Heating, Air Conditioning, Ventilation and Refrigeration Maintenance Technology/Technician (HAC, HACR, HVAC, HVACR).</v>
      </c>
    </row>
    <row r="1085" spans="1:4" x14ac:dyDescent="0.2">
      <c r="A1085" s="7" t="s">
        <v>14275</v>
      </c>
      <c r="B1085" s="6" t="s">
        <v>8552</v>
      </c>
      <c r="C1085" s="6" t="s">
        <v>6370</v>
      </c>
      <c r="D1085" s="7" t="str">
        <f>VLOOKUP(B1085,Table1[[CIPCode]:[CIPTITLE]],4,FALSE)</f>
        <v>Heavy/Industrial Equipment Maintenance Technologies.</v>
      </c>
    </row>
    <row r="1086" spans="1:4" x14ac:dyDescent="0.2">
      <c r="A1086" s="7" t="s">
        <v>14275</v>
      </c>
      <c r="B1086" s="6" t="s">
        <v>14324</v>
      </c>
      <c r="C1086" s="6" t="s">
        <v>6372</v>
      </c>
      <c r="D1086" s="7" t="str">
        <f>VLOOKUP(B1086,Table1[[CIPCode]:[CIPTITLE]],4,FALSE)</f>
        <v>Heavy Equipment Maintenance Technology/Technician.</v>
      </c>
    </row>
    <row r="1087" spans="1:4" x14ac:dyDescent="0.2">
      <c r="A1087" s="7" t="s">
        <v>14275</v>
      </c>
      <c r="B1087" s="6" t="s">
        <v>14328</v>
      </c>
      <c r="C1087" s="6" t="s">
        <v>6374</v>
      </c>
      <c r="D1087" s="7" t="str">
        <f>VLOOKUP(B1087,Table1[[CIPCode]:[CIPTITLE]],4,FALSE)</f>
        <v>Industrial Mechanics and Maintenance Technology.</v>
      </c>
    </row>
    <row r="1088" spans="1:4" x14ac:dyDescent="0.2">
      <c r="A1088" s="7" t="s">
        <v>14275</v>
      </c>
      <c r="B1088" s="6" t="s">
        <v>14332</v>
      </c>
      <c r="C1088" s="6" t="s">
        <v>6376</v>
      </c>
      <c r="D1088" s="7" t="str">
        <f>VLOOKUP(B1088,Table1[[CIPCode]:[CIPTITLE]],4,FALSE)</f>
        <v>Heavy/Industrial Equipment Maintenance Technologies, Other.</v>
      </c>
    </row>
    <row r="1089" spans="1:4" x14ac:dyDescent="0.2">
      <c r="A1089" s="7" t="s">
        <v>14275</v>
      </c>
      <c r="B1089" s="6" t="s">
        <v>8561</v>
      </c>
      <c r="C1089" s="6" t="s">
        <v>6378</v>
      </c>
      <c r="D1089" s="7" t="str">
        <f>VLOOKUP(B1089,Table1[[CIPCode]:[CIPTITLE]],4,FALSE)</f>
        <v>Precision Systems Maintenance and Repair Technologies.</v>
      </c>
    </row>
    <row r="1090" spans="1:4" x14ac:dyDescent="0.2">
      <c r="A1090" s="7" t="s">
        <v>14275</v>
      </c>
      <c r="B1090" s="6" t="s">
        <v>14344</v>
      </c>
      <c r="C1090" s="6" t="s">
        <v>6357</v>
      </c>
      <c r="D1090" s="7" t="str">
        <f>VLOOKUP(B1090,Table1[[CIPCode]:[CIPTITLE]],4,FALSE)</f>
        <v>Gunsmithing/Gunsmith.</v>
      </c>
    </row>
    <row r="1091" spans="1:4" x14ac:dyDescent="0.2">
      <c r="A1091" s="7" t="s">
        <v>14275</v>
      </c>
      <c r="B1091" s="6" t="s">
        <v>14348</v>
      </c>
      <c r="C1091" s="6" t="s">
        <v>6359</v>
      </c>
      <c r="D1091" s="7" t="str">
        <f>VLOOKUP(B1091,Table1[[CIPCode]:[CIPTITLE]],4,FALSE)</f>
        <v>Locksmithing and Safe Repair.</v>
      </c>
    </row>
    <row r="1092" spans="1:4" x14ac:dyDescent="0.2">
      <c r="A1092" s="7" t="s">
        <v>14275</v>
      </c>
      <c r="B1092" s="6" t="s">
        <v>14352</v>
      </c>
      <c r="C1092" s="6" t="s">
        <v>6360</v>
      </c>
      <c r="D1092" s="7" t="str">
        <f>VLOOKUP(B1092,Table1[[CIPCode]:[CIPTITLE]],4,FALSE)</f>
        <v>Musical Instrument Fabrication and Repair.</v>
      </c>
    </row>
    <row r="1093" spans="1:4" x14ac:dyDescent="0.2">
      <c r="A1093" s="7" t="s">
        <v>14275</v>
      </c>
      <c r="B1093" s="6" t="s">
        <v>14356</v>
      </c>
      <c r="C1093" s="6" t="s">
        <v>6366</v>
      </c>
      <c r="D1093" s="7" t="str">
        <f>VLOOKUP(B1093,Table1[[CIPCode]:[CIPTITLE]],4,FALSE)</f>
        <v>Watchmaking and Jewelrymaking.</v>
      </c>
    </row>
    <row r="1094" spans="1:4" x14ac:dyDescent="0.2">
      <c r="A1094" s="7" t="s">
        <v>14275</v>
      </c>
      <c r="B1094" s="6" t="s">
        <v>14360</v>
      </c>
      <c r="C1094" s="6" t="s">
        <v>6380</v>
      </c>
      <c r="D1094" s="7" t="str">
        <f>VLOOKUP(B1094,Table1[[CIPCode]:[CIPTITLE]],4,FALSE)</f>
        <v>Precision Systems Maintenance and Repair Technologies, Other.</v>
      </c>
    </row>
    <row r="1095" spans="1:4" x14ac:dyDescent="0.2">
      <c r="A1095" s="7" t="s">
        <v>14275</v>
      </c>
      <c r="B1095" s="6" t="s">
        <v>11622</v>
      </c>
      <c r="C1095" s="6" t="s">
        <v>6384</v>
      </c>
      <c r="D1095" s="7" t="str">
        <f>VLOOKUP(B1095,Table1[[CIPCode]:[CIPTITLE]],4,FALSE)</f>
        <v>Vehicle Maintenance and Repair Technologies.</v>
      </c>
    </row>
    <row r="1096" spans="1:4" x14ac:dyDescent="0.2">
      <c r="A1096" s="7" t="s">
        <v>14275</v>
      </c>
      <c r="B1096" s="6" t="s">
        <v>14376</v>
      </c>
      <c r="C1096" s="6" t="s">
        <v>6389</v>
      </c>
      <c r="D1096" s="7" t="str">
        <f>VLOOKUP(B1096,Table1[[CIPCode]:[CIPTITLE]],4,FALSE)</f>
        <v>Autobody/Collision and Repair Technology/Technician.</v>
      </c>
    </row>
    <row r="1097" spans="1:4" x14ac:dyDescent="0.2">
      <c r="A1097" s="7" t="s">
        <v>14275</v>
      </c>
      <c r="B1097" s="6" t="s">
        <v>14380</v>
      </c>
      <c r="C1097" s="6" t="s">
        <v>6390</v>
      </c>
      <c r="D1097" s="7" t="str">
        <f>VLOOKUP(B1097,Table1[[CIPCode]:[CIPTITLE]],4,FALSE)</f>
        <v>Automobile/Automotive Mechanics Technology/Technician.</v>
      </c>
    </row>
    <row r="1098" spans="1:4" x14ac:dyDescent="0.2">
      <c r="A1098" s="7" t="s">
        <v>14275</v>
      </c>
      <c r="B1098" s="6" t="s">
        <v>14384</v>
      </c>
      <c r="C1098" s="6" t="s">
        <v>6392</v>
      </c>
      <c r="D1098" s="7" t="str">
        <f>VLOOKUP(B1098,Table1[[CIPCode]:[CIPTITLE]],4,FALSE)</f>
        <v>Diesel Mechanics Technology/Technician.</v>
      </c>
    </row>
    <row r="1099" spans="1:4" x14ac:dyDescent="0.2">
      <c r="A1099" s="7" t="s">
        <v>14275</v>
      </c>
      <c r="B1099" s="6" t="s">
        <v>14388</v>
      </c>
      <c r="C1099" s="6" t="s">
        <v>6394</v>
      </c>
      <c r="D1099" s="7" t="str">
        <f>VLOOKUP(B1099,Table1[[CIPCode]:[CIPTITLE]],4,FALSE)</f>
        <v>Small Engine Mechanics and Repair Technology/Technician.</v>
      </c>
    </row>
    <row r="1100" spans="1:4" x14ac:dyDescent="0.2">
      <c r="A1100" s="7" t="s">
        <v>14275</v>
      </c>
      <c r="B1100" s="6" t="s">
        <v>14392</v>
      </c>
      <c r="C1100" s="6" t="s">
        <v>6400</v>
      </c>
      <c r="D1100" s="7" t="str">
        <f>VLOOKUP(B1100,Table1[[CIPCode]:[CIPTITLE]],4,FALSE)</f>
        <v>Airframe Mechanics and Aircraft Maintenance Technology/Technician.</v>
      </c>
    </row>
    <row r="1101" spans="1:4" x14ac:dyDescent="0.2">
      <c r="A1101" s="7" t="s">
        <v>14275</v>
      </c>
      <c r="B1101" s="6" t="s">
        <v>14396</v>
      </c>
      <c r="C1101" s="6" t="s">
        <v>6402</v>
      </c>
      <c r="D1101" s="7" t="str">
        <f>VLOOKUP(B1101,Table1[[CIPCode]:[CIPTITLE]],4,FALSE)</f>
        <v>Aircraft Powerplant Technology/Technician.</v>
      </c>
    </row>
    <row r="1102" spans="1:4" x14ac:dyDescent="0.2">
      <c r="A1102" s="7" t="s">
        <v>14275</v>
      </c>
      <c r="B1102" s="6" t="s">
        <v>14400</v>
      </c>
      <c r="C1102" s="6" t="s">
        <v>6404</v>
      </c>
      <c r="D1102" s="7" t="str">
        <f>VLOOKUP(B1102,Table1[[CIPCode]:[CIPTITLE]],4,FALSE)</f>
        <v>Avionics Maintenance Technology/Technician.</v>
      </c>
    </row>
    <row r="1103" spans="1:4" x14ac:dyDescent="0.2">
      <c r="A1103" s="7" t="s">
        <v>14275</v>
      </c>
      <c r="B1103" s="6" t="s">
        <v>14404</v>
      </c>
      <c r="C1103" s="6" t="s">
        <v>6406</v>
      </c>
      <c r="D1103" s="7" t="str">
        <f>VLOOKUP(B1103,Table1[[CIPCode]:[CIPTITLE]],4,FALSE)</f>
        <v>Bicycle Mechanics and Repair Technology/Technician.</v>
      </c>
    </row>
    <row r="1104" spans="1:4" x14ac:dyDescent="0.2">
      <c r="A1104" s="7" t="s">
        <v>14275</v>
      </c>
      <c r="B1104" s="6" t="s">
        <v>14408</v>
      </c>
      <c r="C1104" s="6" t="s">
        <v>21397</v>
      </c>
      <c r="D1104" s="7" t="str">
        <f>VLOOKUP(B1104,Table1[[CIPCode]:[CIPTITLE]],4,FALSE)</f>
        <v>Motorcycle Maintenance and Repair Technology/Technician.</v>
      </c>
    </row>
    <row r="1105" spans="1:4" x14ac:dyDescent="0.2">
      <c r="A1105" s="7" t="s">
        <v>14275</v>
      </c>
      <c r="B1105" s="6" t="s">
        <v>8600</v>
      </c>
      <c r="C1105" s="6" t="s">
        <v>21398</v>
      </c>
      <c r="D1105" s="7" t="str">
        <f>VLOOKUP(B1105,Table1[[CIPCode]:[CIPTITLE]],4,FALSE)</f>
        <v>Vehicle Emissions Inspection and Maintenance Technology/Technician.</v>
      </c>
    </row>
    <row r="1106" spans="1:4" x14ac:dyDescent="0.2">
      <c r="A1106" s="7" t="s">
        <v>14275</v>
      </c>
      <c r="B1106" s="6" t="s">
        <v>8603</v>
      </c>
      <c r="C1106" s="6" t="s">
        <v>21399</v>
      </c>
      <c r="D1106" s="7" t="str">
        <f>VLOOKUP(B1106,Table1[[CIPCode]:[CIPTITLE]],4,FALSE)</f>
        <v>Medium/Heavy Vehicle and Truck Technology/Technician.</v>
      </c>
    </row>
    <row r="1107" spans="1:4" x14ac:dyDescent="0.2">
      <c r="A1107" s="7" t="s">
        <v>14275</v>
      </c>
      <c r="B1107" s="6" t="s">
        <v>8609</v>
      </c>
      <c r="C1107" s="6" t="s">
        <v>21400</v>
      </c>
      <c r="D1107" s="7" t="str">
        <f>VLOOKUP(B1107,Table1[[CIPCode]:[CIPTITLE]],4,FALSE)</f>
        <v>Engine Machinist.</v>
      </c>
    </row>
    <row r="1108" spans="1:4" x14ac:dyDescent="0.2">
      <c r="A1108" s="7" t="s">
        <v>14275</v>
      </c>
      <c r="B1108" s="6" t="s">
        <v>8612</v>
      </c>
      <c r="C1108" s="6" t="s">
        <v>4911</v>
      </c>
      <c r="D1108" s="7" t="str">
        <f>VLOOKUP(B1108,Table1[[CIPCode]:[CIPTITLE]],4,FALSE)</f>
        <v>Marine Maintenance/Fitter and Ship Repair Technology/Technician.</v>
      </c>
    </row>
    <row r="1109" spans="1:4" x14ac:dyDescent="0.2">
      <c r="A1109" s="7" t="s">
        <v>14275</v>
      </c>
      <c r="B1109" s="6" t="s">
        <v>14412</v>
      </c>
      <c r="C1109" s="6" t="s">
        <v>6414</v>
      </c>
      <c r="D1109" s="7" t="str">
        <f>VLOOKUP(B1109,Table1[[CIPCode]:[CIPTITLE]],4,FALSE)</f>
        <v>Vehicle Maintenance and Repair Technologies, Other.</v>
      </c>
    </row>
    <row r="1110" spans="1:4" x14ac:dyDescent="0.2">
      <c r="A1110" s="7" t="s">
        <v>14275</v>
      </c>
      <c r="B1110" s="6" t="s">
        <v>8617</v>
      </c>
      <c r="C1110" s="6" t="s">
        <v>6382</v>
      </c>
      <c r="D1110" s="7" t="str">
        <f>VLOOKUP(B1110,Table1[[CIPCode]:[CIPTITLE]],4,FALSE)</f>
        <v>Mechanic and Repair Technologies/Technicians, Other.</v>
      </c>
    </row>
    <row r="1111" spans="1:4" x14ac:dyDescent="0.2">
      <c r="A1111" s="7" t="s">
        <v>14275</v>
      </c>
      <c r="B1111" s="6" t="s">
        <v>14420</v>
      </c>
      <c r="C1111" s="6" t="s">
        <v>6382</v>
      </c>
      <c r="D1111" s="7" t="str">
        <f>VLOOKUP(B1111,Table1[[CIPCode]:[CIPTITLE]],4,FALSE)</f>
        <v>Mechanic and Repair Technologies/Technicians, Other.</v>
      </c>
    </row>
    <row r="1112" spans="1:4" x14ac:dyDescent="0.2">
      <c r="A1112" s="7" t="s">
        <v>14422</v>
      </c>
      <c r="B1112" s="6" t="s">
        <v>14422</v>
      </c>
      <c r="C1112" s="6" t="s">
        <v>21401</v>
      </c>
      <c r="D1112" s="7" t="e">
        <f>VLOOKUP(B1112,Table1[[CIPCode]:[CIPTITLE]],4,FALSE)</f>
        <v>#N/A</v>
      </c>
    </row>
    <row r="1113" spans="1:4" x14ac:dyDescent="0.2">
      <c r="A1113" s="7" t="s">
        <v>14422</v>
      </c>
      <c r="B1113" s="6" t="s">
        <v>8622</v>
      </c>
      <c r="C1113" s="6" t="s">
        <v>21402</v>
      </c>
      <c r="D1113" s="7" t="str">
        <f>VLOOKUP(B1113,Table1[[CIPCode]:[CIPTITLE]],4,FALSE)</f>
        <v>Precision Production Trades, General.</v>
      </c>
    </row>
    <row r="1114" spans="1:4" x14ac:dyDescent="0.2">
      <c r="A1114" s="7" t="s">
        <v>14422</v>
      </c>
      <c r="B1114" s="6" t="s">
        <v>14423</v>
      </c>
      <c r="C1114" s="6" t="s">
        <v>21402</v>
      </c>
      <c r="D1114" s="7" t="str">
        <f>VLOOKUP(B1114,Table1[[CIPCode]:[CIPTITLE]],4,FALSE)</f>
        <v>Precision Production Trades, General.</v>
      </c>
    </row>
    <row r="1115" spans="1:4" x14ac:dyDescent="0.2">
      <c r="A1115" s="7" t="s">
        <v>14422</v>
      </c>
      <c r="B1115" s="6" t="s">
        <v>8653</v>
      </c>
      <c r="C1115" s="6" t="s">
        <v>6336</v>
      </c>
      <c r="D1115" s="7" t="str">
        <f>VLOOKUP(B1115,Table1[[CIPCode]:[CIPTITLE]],4,FALSE)</f>
        <v>Leatherworking and Upholstery.</v>
      </c>
    </row>
    <row r="1116" spans="1:4" x14ac:dyDescent="0.2">
      <c r="A1116" s="7" t="s">
        <v>14422</v>
      </c>
      <c r="B1116" s="6" t="s">
        <v>14491</v>
      </c>
      <c r="C1116" s="6" t="s">
        <v>6338</v>
      </c>
      <c r="D1116" s="7" t="str">
        <f>VLOOKUP(B1116,Table1[[CIPCode]:[CIPTITLE]],4,FALSE)</f>
        <v>Upholstery/Upholsterer.</v>
      </c>
    </row>
    <row r="1117" spans="1:4" x14ac:dyDescent="0.2">
      <c r="A1117" s="7" t="s">
        <v>14422</v>
      </c>
      <c r="B1117" s="6" t="s">
        <v>14495</v>
      </c>
      <c r="C1117" s="6" t="s">
        <v>6340</v>
      </c>
      <c r="D1117" s="7" t="str">
        <f>VLOOKUP(B1117,Table1[[CIPCode]:[CIPTITLE]],4,FALSE)</f>
        <v>Shoe, Boot and Leather Repair.</v>
      </c>
    </row>
    <row r="1118" spans="1:4" x14ac:dyDescent="0.2">
      <c r="A1118" s="7" t="s">
        <v>14422</v>
      </c>
      <c r="B1118" s="6" t="s">
        <v>14499</v>
      </c>
      <c r="C1118" s="6" t="s">
        <v>6342</v>
      </c>
      <c r="D1118" s="7" t="str">
        <f>VLOOKUP(B1118,Table1[[CIPCode]:[CIPTITLE]],4,FALSE)</f>
        <v>Leatherworking and Upholstery, Other.</v>
      </c>
    </row>
    <row r="1119" spans="1:4" x14ac:dyDescent="0.2">
      <c r="A1119" s="7" t="s">
        <v>14422</v>
      </c>
      <c r="B1119" s="6" t="s">
        <v>8662</v>
      </c>
      <c r="C1119" s="6" t="s">
        <v>4866</v>
      </c>
      <c r="D1119" s="7" t="str">
        <f>VLOOKUP(B1119,Table1[[CIPCode]:[CIPTITLE]],4,FALSE)</f>
        <v>Precision Metal Working.</v>
      </c>
    </row>
    <row r="1120" spans="1:4" x14ac:dyDescent="0.2">
      <c r="A1120" s="7" t="s">
        <v>14422</v>
      </c>
      <c r="B1120" s="6" t="s">
        <v>14507</v>
      </c>
      <c r="C1120" s="6" t="s">
        <v>4867</v>
      </c>
      <c r="D1120" s="7" t="str">
        <f>VLOOKUP(B1120,Table1[[CIPCode]:[CIPTITLE]],4,FALSE)</f>
        <v>Machine Tool Technology/Machinist.</v>
      </c>
    </row>
    <row r="1121" spans="1:4" x14ac:dyDescent="0.2">
      <c r="A1121" s="7" t="s">
        <v>14422</v>
      </c>
      <c r="B1121" s="6" t="s">
        <v>14510</v>
      </c>
      <c r="C1121" s="6" t="s">
        <v>4868</v>
      </c>
      <c r="D1121" s="7" t="str">
        <f>VLOOKUP(B1121,Table1[[CIPCode]:[CIPTITLE]],4,FALSE)</f>
        <v>Machine Shop Technology/Assistant.</v>
      </c>
    </row>
    <row r="1122" spans="1:4" x14ac:dyDescent="0.2">
      <c r="A1122" s="7" t="s">
        <v>14422</v>
      </c>
      <c r="B1122" s="6" t="s">
        <v>14514</v>
      </c>
      <c r="C1122" s="6" t="s">
        <v>4869</v>
      </c>
      <c r="D1122" s="7" t="str">
        <f>VLOOKUP(B1122,Table1[[CIPCode]:[CIPTITLE]],4,FALSE)</f>
        <v>Sheet Metal Technology/Sheetworking.</v>
      </c>
    </row>
    <row r="1123" spans="1:4" x14ac:dyDescent="0.2">
      <c r="A1123" s="7" t="s">
        <v>14422</v>
      </c>
      <c r="B1123" s="6" t="s">
        <v>14518</v>
      </c>
      <c r="C1123" s="6" t="s">
        <v>4871</v>
      </c>
      <c r="D1123" s="7" t="str">
        <f>VLOOKUP(B1123,Table1[[CIPCode]:[CIPTITLE]],4,FALSE)</f>
        <v>Tool and Die Technology/Technician.</v>
      </c>
    </row>
    <row r="1124" spans="1:4" x14ac:dyDescent="0.2">
      <c r="A1124" s="7" t="s">
        <v>14422</v>
      </c>
      <c r="B1124" s="6" t="s">
        <v>14522</v>
      </c>
      <c r="C1124" s="6" t="s">
        <v>4872</v>
      </c>
      <c r="D1124" s="7" t="str">
        <f>VLOOKUP(B1124,Table1[[CIPCode]:[CIPTITLE]],4,FALSE)</f>
        <v>Welding Technology/Welder.</v>
      </c>
    </row>
    <row r="1125" spans="1:4" x14ac:dyDescent="0.2">
      <c r="A1125" s="7" t="s">
        <v>14422</v>
      </c>
      <c r="B1125" s="6" t="s">
        <v>8675</v>
      </c>
      <c r="C1125" s="6" t="s">
        <v>21403</v>
      </c>
      <c r="D1125" s="7" t="str">
        <f>VLOOKUP(B1125,Table1[[CIPCode]:[CIPTITLE]],4,FALSE)</f>
        <v>Ironworking/Ironworker.</v>
      </c>
    </row>
    <row r="1126" spans="1:4" x14ac:dyDescent="0.2">
      <c r="A1126" s="7" t="s">
        <v>14422</v>
      </c>
      <c r="B1126" s="6" t="s">
        <v>14526</v>
      </c>
      <c r="C1126" s="6" t="s">
        <v>6387</v>
      </c>
      <c r="D1126" s="7" t="str">
        <f>VLOOKUP(B1126,Table1[[CIPCode]:[CIPTITLE]],4,FALSE)</f>
        <v>Precision Metal Working, Other.</v>
      </c>
    </row>
    <row r="1127" spans="1:4" x14ac:dyDescent="0.2">
      <c r="A1127" s="7" t="s">
        <v>14422</v>
      </c>
      <c r="B1127" s="6" t="s">
        <v>8680</v>
      </c>
      <c r="C1127" s="6" t="s">
        <v>6388</v>
      </c>
      <c r="D1127" s="7" t="str">
        <f>VLOOKUP(B1127,Table1[[CIPCode]:[CIPTITLE]],4,FALSE)</f>
        <v>Woodworking.</v>
      </c>
    </row>
    <row r="1128" spans="1:4" x14ac:dyDescent="0.2">
      <c r="A1128" s="7" t="s">
        <v>14422</v>
      </c>
      <c r="B1128" s="6" t="s">
        <v>14534</v>
      </c>
      <c r="C1128" s="6" t="s">
        <v>4875</v>
      </c>
      <c r="D1128" s="7" t="str">
        <f>VLOOKUP(B1128,Table1[[CIPCode]:[CIPTITLE]],4,FALSE)</f>
        <v>Woodworking, General.</v>
      </c>
    </row>
    <row r="1129" spans="1:4" x14ac:dyDescent="0.2">
      <c r="A1129" s="7" t="s">
        <v>14422</v>
      </c>
      <c r="B1129" s="6" t="s">
        <v>14538</v>
      </c>
      <c r="C1129" s="6" t="s">
        <v>4877</v>
      </c>
      <c r="D1129" s="7" t="str">
        <f>VLOOKUP(B1129,Table1[[CIPCode]:[CIPTITLE]],4,FALSE)</f>
        <v>Furniture Design and Manufacturing.</v>
      </c>
    </row>
    <row r="1130" spans="1:4" x14ac:dyDescent="0.2">
      <c r="A1130" s="7" t="s">
        <v>14422</v>
      </c>
      <c r="B1130" s="6" t="s">
        <v>14542</v>
      </c>
      <c r="C1130" s="6" t="s">
        <v>4879</v>
      </c>
      <c r="D1130" s="7" t="str">
        <f>VLOOKUP(B1130,Table1[[CIPCode]:[CIPTITLE]],4,FALSE)</f>
        <v>Cabinetmaking and Millwork/Millwright.</v>
      </c>
    </row>
    <row r="1131" spans="1:4" x14ac:dyDescent="0.2">
      <c r="A1131" s="7" t="s">
        <v>14422</v>
      </c>
      <c r="B1131" s="6" t="s">
        <v>14546</v>
      </c>
      <c r="C1131" s="6" t="s">
        <v>4880</v>
      </c>
      <c r="D1131" s="7" t="str">
        <f>VLOOKUP(B1131,Table1[[CIPCode]:[CIPTITLE]],4,FALSE)</f>
        <v>Woodworking, Other.</v>
      </c>
    </row>
    <row r="1132" spans="1:4" x14ac:dyDescent="0.2">
      <c r="A1132" s="7" t="s">
        <v>14422</v>
      </c>
      <c r="B1132" s="6" t="s">
        <v>8691</v>
      </c>
      <c r="C1132" s="6" t="s">
        <v>21404</v>
      </c>
      <c r="D1132" s="7" t="str">
        <f>VLOOKUP(B1132,Table1[[CIPCode]:[CIPTITLE]],4,FALSE)</f>
        <v>Boilermaking/Boilermaker.</v>
      </c>
    </row>
    <row r="1133" spans="1:4" x14ac:dyDescent="0.2">
      <c r="A1133" s="7" t="s">
        <v>14422</v>
      </c>
      <c r="B1133" s="6" t="s">
        <v>8694</v>
      </c>
      <c r="C1133" s="6" t="s">
        <v>21404</v>
      </c>
      <c r="D1133" s="7" t="str">
        <f>VLOOKUP(B1133,Table1[[CIPCode]:[CIPTITLE]],4,FALSE)</f>
        <v>Boilermaking/Boilermaker.</v>
      </c>
    </row>
    <row r="1134" spans="1:4" x14ac:dyDescent="0.2">
      <c r="A1134" s="7" t="s">
        <v>14422</v>
      </c>
      <c r="B1134" s="6" t="s">
        <v>8696</v>
      </c>
      <c r="C1134" s="6" t="s">
        <v>4882</v>
      </c>
      <c r="D1134" s="7" t="str">
        <f>VLOOKUP(B1134,Table1[[CIPCode]:[CIPTITLE]],4,FALSE)</f>
        <v>Precision Production, Other.</v>
      </c>
    </row>
    <row r="1135" spans="1:4" x14ac:dyDescent="0.2">
      <c r="A1135" s="7" t="s">
        <v>14422</v>
      </c>
      <c r="B1135" s="6" t="s">
        <v>14554</v>
      </c>
      <c r="C1135" s="6" t="s">
        <v>4882</v>
      </c>
      <c r="D1135" s="7" t="str">
        <f>VLOOKUP(B1135,Table1[[CIPCode]:[CIPTITLE]],4,FALSE)</f>
        <v>Precision Production, Other.</v>
      </c>
    </row>
    <row r="1136" spans="1:4" x14ac:dyDescent="0.2">
      <c r="A1136" s="7" t="s">
        <v>14556</v>
      </c>
      <c r="B1136" s="6" t="s">
        <v>14556</v>
      </c>
      <c r="C1136" s="6" t="s">
        <v>21405</v>
      </c>
      <c r="D1136" s="7" t="e">
        <f>VLOOKUP(B1136,Table1[[CIPCode]:[CIPTITLE]],4,FALSE)</f>
        <v>#N/A</v>
      </c>
    </row>
    <row r="1137" spans="1:4" x14ac:dyDescent="0.2">
      <c r="A1137" s="7" t="s">
        <v>14556</v>
      </c>
      <c r="B1137" s="6" t="s">
        <v>8701</v>
      </c>
      <c r="C1137" s="6" t="s">
        <v>4885</v>
      </c>
      <c r="D1137" s="7" t="str">
        <f>VLOOKUP(B1137,Table1[[CIPCode]:[CIPTITLE]],4,FALSE)</f>
        <v>Air Transportation.</v>
      </c>
    </row>
    <row r="1138" spans="1:4" x14ac:dyDescent="0.2">
      <c r="A1138" s="7" t="s">
        <v>14556</v>
      </c>
      <c r="B1138" s="6" t="s">
        <v>14565</v>
      </c>
      <c r="C1138" s="6" t="s">
        <v>4892</v>
      </c>
      <c r="D1138" s="7" t="str">
        <f>VLOOKUP(B1138,Table1[[CIPCode]:[CIPTITLE]],4,FALSE)</f>
        <v>Aeronautics/Aviation/Aerospace Science and Technology, General.</v>
      </c>
    </row>
    <row r="1139" spans="1:4" x14ac:dyDescent="0.2">
      <c r="A1139" s="7" t="s">
        <v>14556</v>
      </c>
      <c r="B1139" s="6" t="s">
        <v>14569</v>
      </c>
      <c r="C1139" s="6" t="s">
        <v>4894</v>
      </c>
      <c r="D1139" s="7" t="str">
        <f>VLOOKUP(B1139,Table1[[CIPCode]:[CIPTITLE]],4,FALSE)</f>
        <v>Airline/Commercial/Professional Pilot and Flight Crew.</v>
      </c>
    </row>
    <row r="1140" spans="1:4" x14ac:dyDescent="0.2">
      <c r="A1140" s="7" t="s">
        <v>14556</v>
      </c>
      <c r="B1140" s="6" t="s">
        <v>14573</v>
      </c>
      <c r="C1140" s="6" t="s">
        <v>4895</v>
      </c>
      <c r="D1140" s="7" t="str">
        <f>VLOOKUP(B1140,Table1[[CIPCode]:[CIPTITLE]],4,FALSE)</f>
        <v>Aviation/Airway Management and Operations.</v>
      </c>
    </row>
    <row r="1141" spans="1:4" x14ac:dyDescent="0.2">
      <c r="A1141" s="7" t="s">
        <v>14556</v>
      </c>
      <c r="B1141" s="6" t="s">
        <v>13917</v>
      </c>
      <c r="C1141" s="6" t="s">
        <v>13918</v>
      </c>
      <c r="D1141" s="7" t="str">
        <f>VLOOKUP(B1141,Table1[[CIPCode]:[CIPTITLE]],4,FALSE)</f>
        <v>Air Traffic Controller.</v>
      </c>
    </row>
    <row r="1142" spans="1:4" x14ac:dyDescent="0.2">
      <c r="A1142" s="7" t="s">
        <v>14556</v>
      </c>
      <c r="B1142" s="6" t="s">
        <v>13921</v>
      </c>
      <c r="C1142" s="6" t="s">
        <v>4896</v>
      </c>
      <c r="D1142" s="7" t="str">
        <f>VLOOKUP(B1142,Table1[[CIPCode]:[CIPTITLE]],4,FALSE)</f>
        <v>Airline Flight Attendant.</v>
      </c>
    </row>
    <row r="1143" spans="1:4" x14ac:dyDescent="0.2">
      <c r="A1143" s="7" t="s">
        <v>14556</v>
      </c>
      <c r="B1143" s="6" t="s">
        <v>13929</v>
      </c>
      <c r="C1143" s="6" t="s">
        <v>4898</v>
      </c>
      <c r="D1143" s="7" t="str">
        <f>VLOOKUP(B1143,Table1[[CIPCode]:[CIPTITLE]],4,FALSE)</f>
        <v>Air Transportation, Other.</v>
      </c>
    </row>
    <row r="1144" spans="1:4" x14ac:dyDescent="0.2">
      <c r="A1144" s="7" t="s">
        <v>14556</v>
      </c>
      <c r="B1144" s="6" t="s">
        <v>8721</v>
      </c>
      <c r="C1144" s="6" t="s">
        <v>4900</v>
      </c>
      <c r="D1144" s="7" t="str">
        <f>VLOOKUP(B1144,Table1[[CIPCode]:[CIPTITLE]],4,FALSE)</f>
        <v>Ground Transportation.</v>
      </c>
    </row>
    <row r="1145" spans="1:4" x14ac:dyDescent="0.2">
      <c r="A1145" s="7" t="s">
        <v>14556</v>
      </c>
      <c r="B1145" s="6" t="s">
        <v>13937</v>
      </c>
      <c r="C1145" s="6" t="s">
        <v>4901</v>
      </c>
      <c r="D1145" s="7" t="str">
        <f>VLOOKUP(B1145,Table1[[CIPCode]:[CIPTITLE]],4,FALSE)</f>
        <v>Construction/Heavy Equipment/Earthmoving Equipment Operation.</v>
      </c>
    </row>
    <row r="1146" spans="1:4" x14ac:dyDescent="0.2">
      <c r="A1146" s="7" t="s">
        <v>14556</v>
      </c>
      <c r="B1146" s="6" t="s">
        <v>13941</v>
      </c>
      <c r="C1146" s="6" t="s">
        <v>4903</v>
      </c>
      <c r="D1146" s="7" t="str">
        <f>VLOOKUP(B1146,Table1[[CIPCode]:[CIPTITLE]],4,FALSE)</f>
        <v>Truck and Bus Driver/Commercial Vehicle Operation.</v>
      </c>
    </row>
    <row r="1147" spans="1:4" x14ac:dyDescent="0.2">
      <c r="A1147" s="7" t="s">
        <v>14556</v>
      </c>
      <c r="B1147" s="6" t="s">
        <v>13945</v>
      </c>
      <c r="C1147" s="6" t="s">
        <v>4906</v>
      </c>
      <c r="D1147" s="7" t="str">
        <f>VLOOKUP(B1147,Table1[[CIPCode]:[CIPTITLE]],4,FALSE)</f>
        <v>Ground Transportation, Other.</v>
      </c>
    </row>
    <row r="1148" spans="1:4" x14ac:dyDescent="0.2">
      <c r="A1148" s="7" t="s">
        <v>14556</v>
      </c>
      <c r="B1148" s="6" t="s">
        <v>8733</v>
      </c>
      <c r="C1148" s="6" t="s">
        <v>4907</v>
      </c>
      <c r="D1148" s="7" t="str">
        <f>VLOOKUP(B1148,Table1[[CIPCode]:[CIPTITLE]],4,FALSE)</f>
        <v>Marine Transportation.</v>
      </c>
    </row>
    <row r="1149" spans="1:4" x14ac:dyDescent="0.2">
      <c r="A1149" s="7" t="s">
        <v>14556</v>
      </c>
      <c r="B1149" s="6" t="s">
        <v>13953</v>
      </c>
      <c r="C1149" s="6" t="s">
        <v>4908</v>
      </c>
      <c r="D1149" s="7" t="str">
        <f>VLOOKUP(B1149,Table1[[CIPCode]:[CIPTITLE]],4,FALSE)</f>
        <v>Commercial Fishing.</v>
      </c>
    </row>
    <row r="1150" spans="1:4" x14ac:dyDescent="0.2">
      <c r="A1150" s="7" t="s">
        <v>14556</v>
      </c>
      <c r="B1150" s="6" t="s">
        <v>13957</v>
      </c>
      <c r="C1150" s="6" t="s">
        <v>4909</v>
      </c>
      <c r="D1150" s="7" t="str">
        <f>VLOOKUP(B1150,Table1[[CIPCode]:[CIPTITLE]],4,FALSE)</f>
        <v>Diver, Professional and Instructor.</v>
      </c>
    </row>
    <row r="1151" spans="1:4" x14ac:dyDescent="0.2">
      <c r="A1151" s="7" t="s">
        <v>14556</v>
      </c>
      <c r="B1151" s="6" t="s">
        <v>13965</v>
      </c>
      <c r="C1151" s="6" t="s">
        <v>13966</v>
      </c>
      <c r="D1151" s="7" t="str">
        <f>VLOOKUP(B1151,Table1[[CIPCode]:[CIPTITLE]],4,FALSE)</f>
        <v>Marine Science/Merchant Marine Officer.</v>
      </c>
    </row>
    <row r="1152" spans="1:4" x14ac:dyDescent="0.2">
      <c r="A1152" s="7" t="s">
        <v>14556</v>
      </c>
      <c r="B1152" s="6" t="s">
        <v>13969</v>
      </c>
      <c r="C1152" s="6" t="s">
        <v>4912</v>
      </c>
      <c r="D1152" s="7" t="str">
        <f>VLOOKUP(B1152,Table1[[CIPCode]:[CIPTITLE]],4,FALSE)</f>
        <v>Marine Transportation, Other.</v>
      </c>
    </row>
    <row r="1153" spans="1:4" x14ac:dyDescent="0.2">
      <c r="A1153" s="7" t="s">
        <v>14556</v>
      </c>
      <c r="B1153" s="6" t="s">
        <v>8320</v>
      </c>
      <c r="C1153" s="6" t="s">
        <v>4918</v>
      </c>
      <c r="D1153" s="7" t="str">
        <f>VLOOKUP(B1153,Table1[[CIPCode]:[CIPTITLE]],4,FALSE)</f>
        <v>Transportation and Materials Moving, Other.</v>
      </c>
    </row>
    <row r="1154" spans="1:4" x14ac:dyDescent="0.2">
      <c r="A1154" s="7" t="s">
        <v>14556</v>
      </c>
      <c r="B1154" s="6" t="s">
        <v>13977</v>
      </c>
      <c r="C1154" s="6" t="s">
        <v>4918</v>
      </c>
      <c r="D1154" s="7" t="str">
        <f>VLOOKUP(B1154,Table1[[CIPCode]:[CIPTITLE]],4,FALSE)</f>
        <v>Transportation and Materials Moving, Other.</v>
      </c>
    </row>
    <row r="1155" spans="1:4" x14ac:dyDescent="0.2">
      <c r="A1155" s="7" t="s">
        <v>13980</v>
      </c>
      <c r="B1155" s="6" t="s">
        <v>13980</v>
      </c>
      <c r="C1155" s="6" t="s">
        <v>21406</v>
      </c>
      <c r="D1155" s="7" t="e">
        <f>VLOOKUP(B1155,Table1[[CIPCode]:[CIPTITLE]],4,FALSE)</f>
        <v>#N/A</v>
      </c>
    </row>
    <row r="1156" spans="1:4" x14ac:dyDescent="0.2">
      <c r="A1156" s="7" t="s">
        <v>13980</v>
      </c>
      <c r="B1156" s="6" t="s">
        <v>8326</v>
      </c>
      <c r="C1156" s="6" t="s">
        <v>4914</v>
      </c>
      <c r="D1156" s="7" t="str">
        <f>VLOOKUP(B1156,Table1[[CIPCode]:[CIPTITLE]],4,FALSE)</f>
        <v>Visual and Performing Arts, General.</v>
      </c>
    </row>
    <row r="1157" spans="1:4" x14ac:dyDescent="0.2">
      <c r="A1157" s="7" t="s">
        <v>13980</v>
      </c>
      <c r="B1157" s="6" t="s">
        <v>13989</v>
      </c>
      <c r="C1157" s="6" t="s">
        <v>4914</v>
      </c>
      <c r="D1157" s="7" t="str">
        <f>VLOOKUP(B1157,Table1[[CIPCode]:[CIPTITLE]],4,FALSE)</f>
        <v>Visual and Performing Arts, General.</v>
      </c>
    </row>
    <row r="1158" spans="1:4" x14ac:dyDescent="0.2">
      <c r="A1158" s="7" t="s">
        <v>13980</v>
      </c>
      <c r="B1158" s="6" t="s">
        <v>8330</v>
      </c>
      <c r="C1158" s="6" t="s">
        <v>21407</v>
      </c>
      <c r="D1158" s="7" t="str">
        <f>VLOOKUP(B1158,Table1[[CIPCode]:[CIPTITLE]],4,FALSE)</f>
        <v>Crafts/Craft Design, Folk Art and Artisanry.</v>
      </c>
    </row>
    <row r="1159" spans="1:4" x14ac:dyDescent="0.2">
      <c r="A1159" s="7" t="s">
        <v>13980</v>
      </c>
      <c r="B1159" s="6" t="s">
        <v>13996</v>
      </c>
      <c r="C1159" s="6" t="s">
        <v>21407</v>
      </c>
      <c r="D1159" s="7" t="str">
        <f>VLOOKUP(B1159,Table1[[CIPCode]:[CIPTITLE]],4,FALSE)</f>
        <v>Crafts/Craft Design, Folk Art and Artisanry.</v>
      </c>
    </row>
    <row r="1160" spans="1:4" x14ac:dyDescent="0.2">
      <c r="A1160" s="7" t="s">
        <v>13980</v>
      </c>
      <c r="B1160" s="6" t="s">
        <v>8336</v>
      </c>
      <c r="C1160" s="6" t="s">
        <v>14000</v>
      </c>
      <c r="D1160" s="7" t="str">
        <f>VLOOKUP(B1160,Table1[[CIPCode]:[CIPTITLE]],4,FALSE)</f>
        <v>Dance.</v>
      </c>
    </row>
    <row r="1161" spans="1:4" x14ac:dyDescent="0.2">
      <c r="A1161" s="7" t="s">
        <v>13980</v>
      </c>
      <c r="B1161" s="6" t="s">
        <v>14003</v>
      </c>
      <c r="C1161" s="6" t="s">
        <v>4919</v>
      </c>
      <c r="D1161" s="7" t="str">
        <f>VLOOKUP(B1161,Table1[[CIPCode]:[CIPTITLE]],4,FALSE)</f>
        <v>Dance, General.</v>
      </c>
    </row>
    <row r="1162" spans="1:4" x14ac:dyDescent="0.2">
      <c r="A1162" s="7" t="s">
        <v>13980</v>
      </c>
      <c r="B1162" s="6" t="s">
        <v>8343</v>
      </c>
      <c r="C1162" s="6" t="s">
        <v>21408</v>
      </c>
      <c r="D1162" s="7" t="str">
        <f>VLOOKUP(B1162,Table1[[CIPCode]:[CIPTITLE]],4,FALSE)</f>
        <v>Ballet.</v>
      </c>
    </row>
    <row r="1163" spans="1:4" x14ac:dyDescent="0.2">
      <c r="A1163" s="7" t="s">
        <v>13980</v>
      </c>
      <c r="B1163" s="6" t="s">
        <v>8346</v>
      </c>
      <c r="C1163" s="6" t="s">
        <v>21409</v>
      </c>
      <c r="D1163" s="7" t="str">
        <f>VLOOKUP(B1163,Table1[[CIPCode]:[CIPTITLE]],4,FALSE)</f>
        <v>Dance, Other.</v>
      </c>
    </row>
    <row r="1164" spans="1:4" x14ac:dyDescent="0.2">
      <c r="A1164" s="7" t="s">
        <v>13980</v>
      </c>
      <c r="B1164" s="6" t="s">
        <v>11049</v>
      </c>
      <c r="C1164" s="6" t="s">
        <v>4922</v>
      </c>
      <c r="D1164" s="7" t="str">
        <f>VLOOKUP(B1164,Table1[[CIPCode]:[CIPTITLE]],4,FALSE)</f>
        <v>Design and Applied Arts.</v>
      </c>
    </row>
    <row r="1165" spans="1:4" x14ac:dyDescent="0.2">
      <c r="A1165" s="7" t="s">
        <v>13980</v>
      </c>
      <c r="B1165" s="6" t="s">
        <v>14010</v>
      </c>
      <c r="C1165" s="6" t="s">
        <v>4924</v>
      </c>
      <c r="D1165" s="7" t="str">
        <f>VLOOKUP(B1165,Table1[[CIPCode]:[CIPTITLE]],4,FALSE)</f>
        <v>Design and Visual Communications, General.</v>
      </c>
    </row>
    <row r="1166" spans="1:4" x14ac:dyDescent="0.2">
      <c r="A1166" s="7" t="s">
        <v>13980</v>
      </c>
      <c r="B1166" s="6" t="s">
        <v>14014</v>
      </c>
      <c r="C1166" s="6" t="s">
        <v>4926</v>
      </c>
      <c r="D1166" s="7" t="str">
        <f>VLOOKUP(B1166,Table1[[CIPCode]:[CIPTITLE]],4,FALSE)</f>
        <v>Commercial and Advertising Art.</v>
      </c>
    </row>
    <row r="1167" spans="1:4" x14ac:dyDescent="0.2">
      <c r="A1167" s="7" t="s">
        <v>13980</v>
      </c>
      <c r="B1167" s="6" t="s">
        <v>14018</v>
      </c>
      <c r="C1167" s="6" t="s">
        <v>14019</v>
      </c>
      <c r="D1167" s="7" t="str">
        <f>VLOOKUP(B1167,Table1[[CIPCode]:[CIPTITLE]],4,FALSE)</f>
        <v>Industrial Design.</v>
      </c>
    </row>
    <row r="1168" spans="1:4" x14ac:dyDescent="0.2">
      <c r="A1168" s="7" t="s">
        <v>13980</v>
      </c>
      <c r="B1168" s="6" t="s">
        <v>14022</v>
      </c>
      <c r="C1168" s="6" t="s">
        <v>14023</v>
      </c>
      <c r="D1168" s="7" t="str">
        <f>VLOOKUP(B1168,Table1[[CIPCode]:[CIPTITLE]],4,FALSE)</f>
        <v>Commercial Photography.</v>
      </c>
    </row>
    <row r="1169" spans="1:4" x14ac:dyDescent="0.2">
      <c r="A1169" s="7" t="s">
        <v>13980</v>
      </c>
      <c r="B1169" s="6" t="s">
        <v>14026</v>
      </c>
      <c r="C1169" s="6" t="s">
        <v>4928</v>
      </c>
      <c r="D1169" s="7" t="str">
        <f>VLOOKUP(B1169,Table1[[CIPCode]:[CIPTITLE]],4,FALSE)</f>
        <v>Fashion/Apparel Design.</v>
      </c>
    </row>
    <row r="1170" spans="1:4" x14ac:dyDescent="0.2">
      <c r="A1170" s="7" t="s">
        <v>13980</v>
      </c>
      <c r="B1170" s="6" t="s">
        <v>14030</v>
      </c>
      <c r="C1170" s="6" t="s">
        <v>14031</v>
      </c>
      <c r="D1170" s="7" t="str">
        <f>VLOOKUP(B1170,Table1[[CIPCode]:[CIPTITLE]],4,FALSE)</f>
        <v>Interior Design.</v>
      </c>
    </row>
    <row r="1171" spans="1:4" x14ac:dyDescent="0.2">
      <c r="A1171" s="7" t="s">
        <v>13980</v>
      </c>
      <c r="B1171" s="6" t="s">
        <v>11054</v>
      </c>
      <c r="C1171" s="6" t="s">
        <v>12547</v>
      </c>
      <c r="D1171" s="7" t="str">
        <f>VLOOKUP(B1171,Table1[[CIPCode]:[CIPTITLE]],4,FALSE)</f>
        <v>Graphic Design.</v>
      </c>
    </row>
    <row r="1172" spans="1:4" x14ac:dyDescent="0.2">
      <c r="A1172" s="7" t="s">
        <v>13980</v>
      </c>
      <c r="B1172" s="6" t="s">
        <v>8359</v>
      </c>
      <c r="C1172" s="6" t="s">
        <v>21410</v>
      </c>
      <c r="D1172" s="7" t="str">
        <f>VLOOKUP(B1172,Table1[[CIPCode]:[CIPTITLE]],4,FALSE)</f>
        <v>Illustration.</v>
      </c>
    </row>
    <row r="1173" spans="1:4" x14ac:dyDescent="0.2">
      <c r="A1173" s="7" t="s">
        <v>13980</v>
      </c>
      <c r="B1173" s="6" t="s">
        <v>14034</v>
      </c>
      <c r="C1173" s="6" t="s">
        <v>4931</v>
      </c>
      <c r="D1173" s="7" t="str">
        <f>VLOOKUP(B1173,Table1[[CIPCode]:[CIPTITLE]],4,FALSE)</f>
        <v>Design and Applied Arts, Other.</v>
      </c>
    </row>
    <row r="1174" spans="1:4" x14ac:dyDescent="0.2">
      <c r="A1174" s="7" t="s">
        <v>13980</v>
      </c>
      <c r="B1174" s="6" t="s">
        <v>8340</v>
      </c>
      <c r="C1174" s="6" t="s">
        <v>21411</v>
      </c>
      <c r="D1174" s="7" t="str">
        <f>VLOOKUP(B1174,Table1[[CIPCode]:[CIPTITLE]],4,FALSE)</f>
        <v>Drama/Theatre Arts and Stagecraft.</v>
      </c>
    </row>
    <row r="1175" spans="1:4" x14ac:dyDescent="0.2">
      <c r="A1175" s="7" t="s">
        <v>13980</v>
      </c>
      <c r="B1175" s="6" t="s">
        <v>14042</v>
      </c>
      <c r="C1175" s="6" t="s">
        <v>4934</v>
      </c>
      <c r="D1175" s="7" t="str">
        <f>VLOOKUP(B1175,Table1[[CIPCode]:[CIPTITLE]],4,FALSE)</f>
        <v>Drama and Dramatics/Theatre Arts, General.</v>
      </c>
    </row>
    <row r="1176" spans="1:4" x14ac:dyDescent="0.2">
      <c r="A1176" s="7" t="s">
        <v>13980</v>
      </c>
      <c r="B1176" s="6" t="s">
        <v>14046</v>
      </c>
      <c r="C1176" s="6" t="s">
        <v>4936</v>
      </c>
      <c r="D1176" s="7" t="str">
        <f>VLOOKUP(B1176,Table1[[CIPCode]:[CIPTITLE]],4,FALSE)</f>
        <v>Technical Theatre/Theatre Design and Technology.</v>
      </c>
    </row>
    <row r="1177" spans="1:4" x14ac:dyDescent="0.2">
      <c r="A1177" s="7" t="s">
        <v>13980</v>
      </c>
      <c r="B1177" s="6" t="s">
        <v>14054</v>
      </c>
      <c r="C1177" s="6" t="s">
        <v>4940</v>
      </c>
      <c r="D1177" s="7" t="str">
        <f>VLOOKUP(B1177,Table1[[CIPCode]:[CIPTITLE]],4,FALSE)</f>
        <v>Playwriting and Screenwriting.</v>
      </c>
    </row>
    <row r="1178" spans="1:4" x14ac:dyDescent="0.2">
      <c r="A1178" s="7" t="s">
        <v>13980</v>
      </c>
      <c r="B1178" s="6" t="s">
        <v>14058</v>
      </c>
      <c r="C1178" s="6" t="s">
        <v>4950</v>
      </c>
      <c r="D1178" s="7" t="str">
        <f>VLOOKUP(B1178,Table1[[CIPCode]:[CIPTITLE]],4,FALSE)</f>
        <v>Theatre Literature, History and Criticism.</v>
      </c>
    </row>
    <row r="1179" spans="1:4" x14ac:dyDescent="0.2">
      <c r="A1179" s="7" t="s">
        <v>13980</v>
      </c>
      <c r="B1179" s="6" t="s">
        <v>8376</v>
      </c>
      <c r="C1179" s="6" t="s">
        <v>3359</v>
      </c>
      <c r="D1179" s="7" t="str">
        <f>VLOOKUP(B1179,Table1[[CIPCode]:[CIPTITLE]],4,FALSE)</f>
        <v>Acting.</v>
      </c>
    </row>
    <row r="1180" spans="1:4" x14ac:dyDescent="0.2">
      <c r="A1180" s="7" t="s">
        <v>13980</v>
      </c>
      <c r="B1180" s="6" t="s">
        <v>8379</v>
      </c>
      <c r="C1180" s="6" t="s">
        <v>21412</v>
      </c>
      <c r="D1180" s="7" t="str">
        <f>VLOOKUP(B1180,Table1[[CIPCode]:[CIPTITLE]],4,FALSE)</f>
        <v>Directing and Theatrical Production.</v>
      </c>
    </row>
    <row r="1181" spans="1:4" x14ac:dyDescent="0.2">
      <c r="A1181" s="7" t="s">
        <v>13980</v>
      </c>
      <c r="B1181" s="6" t="s">
        <v>8382</v>
      </c>
      <c r="C1181" s="6" t="s">
        <v>4455</v>
      </c>
      <c r="D1181" s="7" t="str">
        <f>VLOOKUP(B1181,Table1[[CIPCode]:[CIPTITLE]],4,FALSE)</f>
        <v>Theatre/Theatre Arts Management.</v>
      </c>
    </row>
    <row r="1182" spans="1:4" x14ac:dyDescent="0.2">
      <c r="A1182" s="7" t="s">
        <v>13980</v>
      </c>
      <c r="B1182" s="6" t="s">
        <v>21413</v>
      </c>
      <c r="C1182" s="6" t="s">
        <v>4937</v>
      </c>
      <c r="D1182" s="7" t="str">
        <f>VLOOKUP(B1182,Table1[[CIPCode]:[CIPTITLE]],4,FALSE)</f>
        <v>Acting and Directing</v>
      </c>
    </row>
    <row r="1183" spans="1:4" x14ac:dyDescent="0.2">
      <c r="A1183" s="7" t="s">
        <v>13980</v>
      </c>
      <c r="B1183" s="6" t="s">
        <v>14062</v>
      </c>
      <c r="C1183" s="6" t="s">
        <v>21414</v>
      </c>
      <c r="D1183" s="7" t="str">
        <f>VLOOKUP(B1183,Table1[[CIPCode]:[CIPTITLE]],4,FALSE)</f>
        <v>Dramatic/Theatre Arts and Stagecraft, Other.</v>
      </c>
    </row>
    <row r="1184" spans="1:4" x14ac:dyDescent="0.2">
      <c r="A1184" s="7" t="s">
        <v>13980</v>
      </c>
      <c r="B1184" s="6" t="s">
        <v>10973</v>
      </c>
      <c r="C1184" s="6" t="s">
        <v>4954</v>
      </c>
      <c r="D1184" s="7" t="str">
        <f>VLOOKUP(B1184,Table1[[CIPCode]:[CIPTITLE]],4,FALSE)</f>
        <v>Film/Video and Photographic Arts.</v>
      </c>
    </row>
    <row r="1185" spans="1:4" x14ac:dyDescent="0.2">
      <c r="A1185" s="7" t="s">
        <v>13980</v>
      </c>
      <c r="B1185" s="6" t="s">
        <v>14070</v>
      </c>
      <c r="C1185" s="6" t="s">
        <v>14071</v>
      </c>
      <c r="D1185" s="7" t="str">
        <f>VLOOKUP(B1185,Table1[[CIPCode]:[CIPTITLE]],4,FALSE)</f>
        <v>Film/Cinema Studies.</v>
      </c>
    </row>
    <row r="1186" spans="1:4" x14ac:dyDescent="0.2">
      <c r="A1186" s="7" t="s">
        <v>13980</v>
      </c>
      <c r="B1186" s="6" t="s">
        <v>14074</v>
      </c>
      <c r="C1186" s="6" t="s">
        <v>4956</v>
      </c>
      <c r="D1186" s="7" t="str">
        <f>VLOOKUP(B1186,Table1[[CIPCode]:[CIPTITLE]],4,FALSE)</f>
        <v>Cinematography and Film/Video Production.</v>
      </c>
    </row>
    <row r="1187" spans="1:4" x14ac:dyDescent="0.2">
      <c r="A1187" s="7" t="s">
        <v>13980</v>
      </c>
      <c r="B1187" s="6" t="s">
        <v>14078</v>
      </c>
      <c r="C1187" s="6" t="s">
        <v>14079</v>
      </c>
      <c r="D1187" s="7" t="str">
        <f>VLOOKUP(B1187,Table1[[CIPCode]:[CIPTITLE]],4,FALSE)</f>
        <v>Photography.</v>
      </c>
    </row>
    <row r="1188" spans="1:4" x14ac:dyDescent="0.2">
      <c r="A1188" s="7" t="s">
        <v>13980</v>
      </c>
      <c r="B1188" s="6" t="s">
        <v>14082</v>
      </c>
      <c r="C1188" s="6" t="s">
        <v>4957</v>
      </c>
      <c r="D1188" s="7" t="str">
        <f>VLOOKUP(B1188,Table1[[CIPCode]:[CIPTITLE]],4,FALSE)</f>
        <v>Film/Video and Photographic Arts, Other.</v>
      </c>
    </row>
    <row r="1189" spans="1:4" x14ac:dyDescent="0.2">
      <c r="A1189" s="7" t="s">
        <v>13980</v>
      </c>
      <c r="B1189" s="6" t="s">
        <v>8333</v>
      </c>
      <c r="C1189" s="6" t="s">
        <v>4959</v>
      </c>
      <c r="D1189" s="7" t="str">
        <f>VLOOKUP(B1189,Table1[[CIPCode]:[CIPTITLE]],4,FALSE)</f>
        <v>Fine and Studio Art.</v>
      </c>
    </row>
    <row r="1190" spans="1:4" x14ac:dyDescent="0.2">
      <c r="A1190" s="7" t="s">
        <v>13980</v>
      </c>
      <c r="B1190" s="6" t="s">
        <v>14090</v>
      </c>
      <c r="C1190" s="6" t="s">
        <v>4960</v>
      </c>
      <c r="D1190" s="7" t="str">
        <f>VLOOKUP(B1190,Table1[[CIPCode]:[CIPTITLE]],4,FALSE)</f>
        <v>Art/Art Studies, General.</v>
      </c>
    </row>
    <row r="1191" spans="1:4" x14ac:dyDescent="0.2">
      <c r="A1191" s="7" t="s">
        <v>13980</v>
      </c>
      <c r="B1191" s="6" t="s">
        <v>14094</v>
      </c>
      <c r="C1191" s="6" t="s">
        <v>4961</v>
      </c>
      <c r="D1191" s="7" t="str">
        <f>VLOOKUP(B1191,Table1[[CIPCode]:[CIPTITLE]],4,FALSE)</f>
        <v>Fine/Studio Arts, General.</v>
      </c>
    </row>
    <row r="1192" spans="1:4" x14ac:dyDescent="0.2">
      <c r="A1192" s="7" t="s">
        <v>13980</v>
      </c>
      <c r="B1192" s="6" t="s">
        <v>14098</v>
      </c>
      <c r="C1192" s="6" t="s">
        <v>4962</v>
      </c>
      <c r="D1192" s="7" t="str">
        <f>VLOOKUP(B1192,Table1[[CIPCode]:[CIPTITLE]],4,FALSE)</f>
        <v>Art History, Criticism and Conservation.</v>
      </c>
    </row>
    <row r="1193" spans="1:4" x14ac:dyDescent="0.2">
      <c r="A1193" s="7" t="s">
        <v>13980</v>
      </c>
      <c r="B1193" s="6" t="s">
        <v>14102</v>
      </c>
      <c r="C1193" s="6" t="s">
        <v>14103</v>
      </c>
      <c r="D1193" s="7" t="str">
        <f>VLOOKUP(B1193,Table1[[CIPCode]:[CIPTITLE]],4,FALSE)</f>
        <v>Arts Management.</v>
      </c>
    </row>
    <row r="1194" spans="1:4" x14ac:dyDescent="0.2">
      <c r="A1194" s="7" t="s">
        <v>13980</v>
      </c>
      <c r="B1194" s="6" t="s">
        <v>14106</v>
      </c>
      <c r="C1194" s="6" t="s">
        <v>14107</v>
      </c>
      <c r="D1194" s="7" t="str">
        <f>VLOOKUP(B1194,Table1[[CIPCode]:[CIPTITLE]],4,FALSE)</f>
        <v>Drawing.</v>
      </c>
    </row>
    <row r="1195" spans="1:4" x14ac:dyDescent="0.2">
      <c r="A1195" s="7" t="s">
        <v>13980</v>
      </c>
      <c r="B1195" s="6" t="s">
        <v>14110</v>
      </c>
      <c r="C1195" s="6" t="s">
        <v>4963</v>
      </c>
      <c r="D1195" s="7" t="str">
        <f>VLOOKUP(B1195,Table1[[CIPCode]:[CIPTITLE]],4,FALSE)</f>
        <v>Intermedia/Multimedia.</v>
      </c>
    </row>
    <row r="1196" spans="1:4" x14ac:dyDescent="0.2">
      <c r="A1196" s="7" t="s">
        <v>13980</v>
      </c>
      <c r="B1196" s="6" t="s">
        <v>14114</v>
      </c>
      <c r="C1196" s="6" t="s">
        <v>14115</v>
      </c>
      <c r="D1196" s="7" t="str">
        <f>VLOOKUP(B1196,Table1[[CIPCode]:[CIPTITLE]],4,FALSE)</f>
        <v>Painting.</v>
      </c>
    </row>
    <row r="1197" spans="1:4" x14ac:dyDescent="0.2">
      <c r="A1197" s="7" t="s">
        <v>13980</v>
      </c>
      <c r="B1197" s="6" t="s">
        <v>14118</v>
      </c>
      <c r="C1197" s="6" t="s">
        <v>14119</v>
      </c>
      <c r="D1197" s="7" t="str">
        <f>VLOOKUP(B1197,Table1[[CIPCode]:[CIPTITLE]],4,FALSE)</f>
        <v>Sculpture.</v>
      </c>
    </row>
    <row r="1198" spans="1:4" x14ac:dyDescent="0.2">
      <c r="A1198" s="7" t="s">
        <v>13980</v>
      </c>
      <c r="B1198" s="6" t="s">
        <v>14122</v>
      </c>
      <c r="C1198" s="6" t="s">
        <v>14123</v>
      </c>
      <c r="D1198" s="7" t="str">
        <f>VLOOKUP(B1198,Table1[[CIPCode]:[CIPTITLE]],4,FALSE)</f>
        <v>Printmaking.</v>
      </c>
    </row>
    <row r="1199" spans="1:4" x14ac:dyDescent="0.2">
      <c r="A1199" s="7" t="s">
        <v>13980</v>
      </c>
      <c r="B1199" s="6" t="s">
        <v>14126</v>
      </c>
      <c r="C1199" s="6" t="s">
        <v>4965</v>
      </c>
      <c r="D1199" s="7" t="str">
        <f>VLOOKUP(B1199,Table1[[CIPCode]:[CIPTITLE]],4,FALSE)</f>
        <v>Ceramic Arts and Ceramics.</v>
      </c>
    </row>
    <row r="1200" spans="1:4" x14ac:dyDescent="0.2">
      <c r="A1200" s="7" t="s">
        <v>13980</v>
      </c>
      <c r="B1200" s="6" t="s">
        <v>14130</v>
      </c>
      <c r="C1200" s="6" t="s">
        <v>4966</v>
      </c>
      <c r="D1200" s="7" t="str">
        <f>VLOOKUP(B1200,Table1[[CIPCode]:[CIPTITLE]],4,FALSE)</f>
        <v>Fiber, Textile and Weaving Arts.</v>
      </c>
    </row>
    <row r="1201" spans="1:4" x14ac:dyDescent="0.2">
      <c r="A1201" s="7" t="s">
        <v>13980</v>
      </c>
      <c r="B1201" s="6" t="s">
        <v>14134</v>
      </c>
      <c r="C1201" s="6" t="s">
        <v>4967</v>
      </c>
      <c r="D1201" s="7" t="str">
        <f>VLOOKUP(B1201,Table1[[CIPCode]:[CIPTITLE]],4,FALSE)</f>
        <v>Metal and Jewelry Arts.</v>
      </c>
    </row>
    <row r="1202" spans="1:4" x14ac:dyDescent="0.2">
      <c r="A1202" s="7" t="s">
        <v>13980</v>
      </c>
      <c r="B1202" s="6" t="s">
        <v>14138</v>
      </c>
      <c r="C1202" s="6" t="s">
        <v>4968</v>
      </c>
      <c r="D1202" s="7" t="str">
        <f>VLOOKUP(B1202,Table1[[CIPCode]:[CIPTITLE]],4,FALSE)</f>
        <v>Fine Arts and Art Studies, Other.</v>
      </c>
    </row>
    <row r="1203" spans="1:4" x14ac:dyDescent="0.2">
      <c r="A1203" s="7" t="s">
        <v>13980</v>
      </c>
      <c r="B1203" s="6" t="s">
        <v>10670</v>
      </c>
      <c r="C1203" s="6" t="s">
        <v>15511</v>
      </c>
      <c r="D1203" s="7" t="str">
        <f>VLOOKUP(B1203,Table1[[CIPCode]:[CIPTITLE]],4,FALSE)</f>
        <v>Music.</v>
      </c>
    </row>
    <row r="1204" spans="1:4" x14ac:dyDescent="0.2">
      <c r="A1204" s="7" t="s">
        <v>13980</v>
      </c>
      <c r="B1204" s="6" t="s">
        <v>14145</v>
      </c>
      <c r="C1204" s="6" t="s">
        <v>14146</v>
      </c>
      <c r="D1204" s="7" t="str">
        <f>VLOOKUP(B1204,Table1[[CIPCode]:[CIPTITLE]],4,FALSE)</f>
        <v>Music, General.</v>
      </c>
    </row>
    <row r="1205" spans="1:4" x14ac:dyDescent="0.2">
      <c r="A1205" s="7" t="s">
        <v>13980</v>
      </c>
      <c r="B1205" s="6" t="s">
        <v>14149</v>
      </c>
      <c r="C1205" s="6" t="s">
        <v>4970</v>
      </c>
      <c r="D1205" s="7" t="str">
        <f>VLOOKUP(B1205,Table1[[CIPCode]:[CIPTITLE]],4,FALSE)</f>
        <v>Music History, Literature, and Theory.</v>
      </c>
    </row>
    <row r="1206" spans="1:4" x14ac:dyDescent="0.2">
      <c r="A1206" s="7" t="s">
        <v>13980</v>
      </c>
      <c r="B1206" s="6" t="s">
        <v>14153</v>
      </c>
      <c r="C1206" s="6" t="s">
        <v>4972</v>
      </c>
      <c r="D1206" s="7" t="str">
        <f>VLOOKUP(B1206,Table1[[CIPCode]:[CIPTITLE]],4,FALSE)</f>
        <v>Music Performance, General.</v>
      </c>
    </row>
    <row r="1207" spans="1:4" x14ac:dyDescent="0.2">
      <c r="A1207" s="7" t="s">
        <v>13980</v>
      </c>
      <c r="B1207" s="6" t="s">
        <v>14157</v>
      </c>
      <c r="C1207" s="6" t="s">
        <v>4974</v>
      </c>
      <c r="D1207" s="7" t="str">
        <f>VLOOKUP(B1207,Table1[[CIPCode]:[CIPTITLE]],4,FALSE)</f>
        <v>Music Theory and Composition.</v>
      </c>
    </row>
    <row r="1208" spans="1:4" x14ac:dyDescent="0.2">
      <c r="A1208" s="7" t="s">
        <v>13980</v>
      </c>
      <c r="B1208" s="6" t="s">
        <v>14161</v>
      </c>
      <c r="C1208" s="6" t="s">
        <v>4975</v>
      </c>
      <c r="D1208" s="7" t="str">
        <f>VLOOKUP(B1208,Table1[[CIPCode]:[CIPTITLE]],4,FALSE)</f>
        <v>Musicology and Ethnomusicology.</v>
      </c>
    </row>
    <row r="1209" spans="1:4" x14ac:dyDescent="0.2">
      <c r="A1209" s="7" t="s">
        <v>13980</v>
      </c>
      <c r="B1209" s="6" t="s">
        <v>14165</v>
      </c>
      <c r="C1209" s="6" t="s">
        <v>4942</v>
      </c>
      <c r="D1209" s="7" t="str">
        <f>VLOOKUP(B1209,Table1[[CIPCode]:[CIPTITLE]],4,FALSE)</f>
        <v>Conducting.</v>
      </c>
    </row>
    <row r="1210" spans="1:4" x14ac:dyDescent="0.2">
      <c r="A1210" s="7" t="s">
        <v>13980</v>
      </c>
      <c r="B1210" s="6" t="s">
        <v>14169</v>
      </c>
      <c r="C1210" s="6" t="s">
        <v>4944</v>
      </c>
      <c r="D1210" s="7" t="str">
        <f>VLOOKUP(B1210,Table1[[CIPCode]:[CIPTITLE]],4,FALSE)</f>
        <v>Piano and Organ.</v>
      </c>
    </row>
    <row r="1211" spans="1:4" x14ac:dyDescent="0.2">
      <c r="A1211" s="7" t="s">
        <v>13980</v>
      </c>
      <c r="B1211" s="6" t="s">
        <v>14173</v>
      </c>
      <c r="C1211" s="6" t="s">
        <v>4946</v>
      </c>
      <c r="D1211" s="7" t="str">
        <f>VLOOKUP(B1211,Table1[[CIPCode]:[CIPTITLE]],4,FALSE)</f>
        <v>Voice and Opera.</v>
      </c>
    </row>
    <row r="1212" spans="1:4" x14ac:dyDescent="0.2">
      <c r="A1212" s="7" t="s">
        <v>13980</v>
      </c>
      <c r="B1212" s="6" t="s">
        <v>14177</v>
      </c>
      <c r="C1212" s="6" t="s">
        <v>4948</v>
      </c>
      <c r="D1212" s="7" t="str">
        <f>VLOOKUP(B1212,Table1[[CIPCode]:[CIPTITLE]],4,FALSE)</f>
        <v>Music Management and Merchandising.</v>
      </c>
    </row>
    <row r="1213" spans="1:4" x14ac:dyDescent="0.2">
      <c r="A1213" s="7" t="s">
        <v>13980</v>
      </c>
      <c r="B1213" s="6" t="s">
        <v>8439</v>
      </c>
      <c r="C1213" s="6" t="s">
        <v>21415</v>
      </c>
      <c r="D1213" s="7" t="str">
        <f>VLOOKUP(B1213,Table1[[CIPCode]:[CIPTITLE]],4,FALSE)</f>
        <v>Jazz/Jazz Studies.</v>
      </c>
    </row>
    <row r="1214" spans="1:4" x14ac:dyDescent="0.2">
      <c r="A1214" s="7" t="s">
        <v>13980</v>
      </c>
      <c r="B1214" s="6" t="s">
        <v>8442</v>
      </c>
      <c r="C1214" s="6" t="s">
        <v>21416</v>
      </c>
      <c r="D1214" s="7" t="str">
        <f>VLOOKUP(B1214,Table1[[CIPCode]:[CIPTITLE]],4,FALSE)</f>
        <v>Violin, Viola, Guitar and Other Stringed Instruments.</v>
      </c>
    </row>
    <row r="1215" spans="1:4" x14ac:dyDescent="0.2">
      <c r="A1215" s="7" t="s">
        <v>13980</v>
      </c>
      <c r="B1215" s="6" t="s">
        <v>8445</v>
      </c>
      <c r="C1215" s="6" t="s">
        <v>21417</v>
      </c>
      <c r="D1215" s="7" t="str">
        <f>VLOOKUP(B1215,Table1[[CIPCode]:[CIPTITLE]],4,FALSE)</f>
        <v>Music Pedagogy.</v>
      </c>
    </row>
    <row r="1216" spans="1:4" x14ac:dyDescent="0.2">
      <c r="A1216" s="7" t="s">
        <v>13980</v>
      </c>
      <c r="B1216" s="6" t="s">
        <v>14181</v>
      </c>
      <c r="C1216" s="6" t="s">
        <v>14182</v>
      </c>
      <c r="D1216" s="7" t="str">
        <f>VLOOKUP(B1216,Table1[[CIPCode]:[CIPTITLE]],4,FALSE)</f>
        <v>Music, Other.</v>
      </c>
    </row>
    <row r="1217" spans="1:4" x14ac:dyDescent="0.2">
      <c r="A1217" s="7" t="s">
        <v>13980</v>
      </c>
      <c r="B1217" s="6" t="s">
        <v>8450</v>
      </c>
      <c r="C1217" s="6" t="s">
        <v>4889</v>
      </c>
      <c r="D1217" s="7" t="str">
        <f>VLOOKUP(B1217,Table1[[CIPCode]:[CIPTITLE]],4,FALSE)</f>
        <v>Visual and Performing Arts, Other.</v>
      </c>
    </row>
    <row r="1218" spans="1:4" x14ac:dyDescent="0.2">
      <c r="A1218" s="7" t="s">
        <v>13980</v>
      </c>
      <c r="B1218" s="6" t="s">
        <v>14189</v>
      </c>
      <c r="C1218" s="6" t="s">
        <v>4889</v>
      </c>
      <c r="D1218" s="7" t="str">
        <f>VLOOKUP(B1218,Table1[[CIPCode]:[CIPTITLE]],4,FALSE)</f>
        <v>Visual and Performing Arts, Other.</v>
      </c>
    </row>
    <row r="1219" spans="1:4" x14ac:dyDescent="0.2">
      <c r="A1219" s="7" t="s">
        <v>14191</v>
      </c>
      <c r="B1219" s="6" t="s">
        <v>14191</v>
      </c>
      <c r="C1219" s="6" t="s">
        <v>21418</v>
      </c>
      <c r="D1219" s="7" t="e">
        <f>VLOOKUP(B1219,Table1[[CIPCode]:[CIPTITLE]],4,FALSE)</f>
        <v>#N/A</v>
      </c>
    </row>
    <row r="1220" spans="1:4" x14ac:dyDescent="0.2">
      <c r="A1220" s="7" t="s">
        <v>14191</v>
      </c>
      <c r="B1220" s="6" t="s">
        <v>8455</v>
      </c>
      <c r="C1220" s="6" t="s">
        <v>21419</v>
      </c>
      <c r="D1220" s="7" t="str">
        <f>VLOOKUP(B1220,Table1[[CIPCode]:[CIPTITLE]],4,FALSE)</f>
        <v>Health Services/Allied Health/Health Sciences, General.</v>
      </c>
    </row>
    <row r="1221" spans="1:4" x14ac:dyDescent="0.2">
      <c r="A1221" s="7" t="s">
        <v>14191</v>
      </c>
      <c r="B1221" s="6" t="s">
        <v>14192</v>
      </c>
      <c r="C1221" s="6" t="s">
        <v>21419</v>
      </c>
      <c r="D1221" s="7" t="str">
        <f>VLOOKUP(B1221,Table1[[CIPCode]:[CIPTITLE]],4,FALSE)</f>
        <v>Health Services/Allied Health/Health Sciences, General.</v>
      </c>
    </row>
    <row r="1222" spans="1:4" x14ac:dyDescent="0.2">
      <c r="A1222" s="7" t="s">
        <v>14191</v>
      </c>
      <c r="B1222" s="6" t="s">
        <v>8459</v>
      </c>
      <c r="C1222" s="6" t="s">
        <v>4980</v>
      </c>
      <c r="D1222" s="7" t="str">
        <f>VLOOKUP(B1222,Table1[[CIPCode]:[CIPTITLE]],4,FALSE)</f>
        <v>Chiropractic (DC).</v>
      </c>
    </row>
    <row r="1223" spans="1:4" x14ac:dyDescent="0.2">
      <c r="A1223" s="7" t="s">
        <v>14191</v>
      </c>
      <c r="B1223" s="6" t="s">
        <v>14200</v>
      </c>
      <c r="C1223" s="6" t="s">
        <v>4980</v>
      </c>
      <c r="D1223" s="7" t="str">
        <f>VLOOKUP(B1223,Table1[[CIPCode]:[CIPTITLE]],4,FALSE)</f>
        <v>Chiropractic (DC).</v>
      </c>
    </row>
    <row r="1224" spans="1:4" x14ac:dyDescent="0.2">
      <c r="A1224" s="7" t="s">
        <v>14191</v>
      </c>
      <c r="B1224" s="6" t="s">
        <v>8463</v>
      </c>
      <c r="C1224" s="6" t="s">
        <v>4981</v>
      </c>
      <c r="D1224" s="7" t="str">
        <f>VLOOKUP(B1224,Table1[[CIPCode]:[CIPTITLE]],4,FALSE)</f>
        <v>Communication Disorders Sciences and Services.</v>
      </c>
    </row>
    <row r="1225" spans="1:4" x14ac:dyDescent="0.2">
      <c r="A1225" s="7" t="s">
        <v>14191</v>
      </c>
      <c r="B1225" s="6" t="s">
        <v>14207</v>
      </c>
      <c r="C1225" s="6" t="s">
        <v>14208</v>
      </c>
      <c r="D1225" s="7" t="str">
        <f>VLOOKUP(B1225,Table1[[CIPCode]:[CIPTITLE]],4,FALSE)</f>
        <v>Communication Disorders, General.</v>
      </c>
    </row>
    <row r="1226" spans="1:4" x14ac:dyDescent="0.2">
      <c r="A1226" s="7" t="s">
        <v>14191</v>
      </c>
      <c r="B1226" s="6" t="s">
        <v>14211</v>
      </c>
      <c r="C1226" s="6" t="s">
        <v>4982</v>
      </c>
      <c r="D1226" s="7" t="str">
        <f>VLOOKUP(B1226,Table1[[CIPCode]:[CIPTITLE]],4,FALSE)</f>
        <v>Audiology/Audiologist and Hearing Sciences.</v>
      </c>
    </row>
    <row r="1227" spans="1:4" x14ac:dyDescent="0.2">
      <c r="A1227" s="7" t="s">
        <v>14191</v>
      </c>
      <c r="B1227" s="6" t="s">
        <v>13600</v>
      </c>
      <c r="C1227" s="6" t="s">
        <v>4983</v>
      </c>
      <c r="D1227" s="7" t="str">
        <f>VLOOKUP(B1227,Table1[[CIPCode]:[CIPTITLE]],4,FALSE)</f>
        <v>Speech-Language Pathology/Pathologist.</v>
      </c>
    </row>
    <row r="1228" spans="1:4" x14ac:dyDescent="0.2">
      <c r="A1228" s="7" t="s">
        <v>14191</v>
      </c>
      <c r="B1228" s="6" t="s">
        <v>13604</v>
      </c>
      <c r="C1228" s="6" t="s">
        <v>4986</v>
      </c>
      <c r="D1228" s="7" t="str">
        <f>VLOOKUP(B1228,Table1[[CIPCode]:[CIPTITLE]],4,FALSE)</f>
        <v>Audiology/Audiologist and Speech-Language Pathology/Pathologist.</v>
      </c>
    </row>
    <row r="1229" spans="1:4" x14ac:dyDescent="0.2">
      <c r="A1229" s="7" t="s">
        <v>14191</v>
      </c>
      <c r="B1229" s="6" t="s">
        <v>13612</v>
      </c>
      <c r="C1229" s="6" t="s">
        <v>4987</v>
      </c>
      <c r="D1229" s="7" t="str">
        <f>VLOOKUP(B1229,Table1[[CIPCode]:[CIPTITLE]],4,FALSE)</f>
        <v>Communication Disorders Sciences and Services, Other.</v>
      </c>
    </row>
    <row r="1230" spans="1:4" x14ac:dyDescent="0.2">
      <c r="A1230" s="7" t="s">
        <v>14191</v>
      </c>
      <c r="B1230" s="6" t="s">
        <v>8481</v>
      </c>
      <c r="C1230" s="6" t="s">
        <v>4990</v>
      </c>
      <c r="D1230" s="7" t="str">
        <f>VLOOKUP(B1230,Table1[[CIPCode]:[CIPTITLE]],4,FALSE)</f>
        <v>Dentistry (DDS, DMD).</v>
      </c>
    </row>
    <row r="1231" spans="1:4" x14ac:dyDescent="0.2">
      <c r="A1231" s="7" t="s">
        <v>14191</v>
      </c>
      <c r="B1231" s="6" t="s">
        <v>13628</v>
      </c>
      <c r="C1231" s="6" t="s">
        <v>4990</v>
      </c>
      <c r="D1231" s="7" t="str">
        <f>VLOOKUP(B1231,Table1[[CIPCode]:[CIPTITLE]],4,FALSE)</f>
        <v>Dentistry (DDS, DMD).</v>
      </c>
    </row>
    <row r="1232" spans="1:4" x14ac:dyDescent="0.2">
      <c r="A1232" s="7" t="s">
        <v>14191</v>
      </c>
      <c r="B1232" s="6" t="s">
        <v>8485</v>
      </c>
      <c r="C1232" s="6" t="s">
        <v>21420</v>
      </c>
      <c r="D1232" s="7" t="str">
        <f>VLOOKUP(B1232,Table1[[CIPCode]:[CIPTITLE]],4,FALSE)</f>
        <v>Advanced/Graduate Dentistry and Oral Sciences (Cert.</v>
      </c>
    </row>
    <row r="1233" spans="1:4" x14ac:dyDescent="0.2">
      <c r="A1233" s="7" t="s">
        <v>14191</v>
      </c>
      <c r="B1233" s="6" t="s">
        <v>13635</v>
      </c>
      <c r="C1233" s="6" t="s">
        <v>4992</v>
      </c>
      <c r="D1233" s="7" t="str">
        <f>VLOOKUP(B1233,Table1[[CIPCode]:[CIPTITLE]],4,FALSE)</f>
        <v>Dental Clinical Sciences, General (MS, PhD).</v>
      </c>
    </row>
    <row r="1234" spans="1:4" x14ac:dyDescent="0.2">
      <c r="A1234" s="7" t="s">
        <v>14191</v>
      </c>
      <c r="B1234" s="6" t="s">
        <v>8490</v>
      </c>
      <c r="C1234" s="6" t="s">
        <v>21421</v>
      </c>
      <c r="D1234" s="7" t="str">
        <f>VLOOKUP(B1234,Table1[[CIPCode]:[CIPTITLE]],4,FALSE)</f>
        <v>Advanced General Dentistry (Cert.</v>
      </c>
    </row>
    <row r="1235" spans="1:4" x14ac:dyDescent="0.2">
      <c r="A1235" s="7" t="s">
        <v>14191</v>
      </c>
      <c r="B1235" s="6" t="s">
        <v>8493</v>
      </c>
      <c r="C1235" s="6" t="s">
        <v>21422</v>
      </c>
      <c r="D1235" s="7" t="str">
        <f>VLOOKUP(B1235,Table1[[CIPCode]:[CIPTITLE]],4,FALSE)</f>
        <v>Oral Biology and Oral Pathology (MS, PhD).</v>
      </c>
    </row>
    <row r="1236" spans="1:4" x14ac:dyDescent="0.2">
      <c r="A1236" s="7" t="s">
        <v>14191</v>
      </c>
      <c r="B1236" s="6" t="s">
        <v>8185</v>
      </c>
      <c r="C1236" s="6" t="s">
        <v>21423</v>
      </c>
      <c r="D1236" s="7" t="str">
        <f>VLOOKUP(B1236,Table1[[CIPCode]:[CIPTITLE]],4,FALSE)</f>
        <v>Dental Public Health and Education (Cert.</v>
      </c>
    </row>
    <row r="1237" spans="1:4" x14ac:dyDescent="0.2">
      <c r="A1237" s="7" t="s">
        <v>14191</v>
      </c>
      <c r="B1237" s="6" t="s">
        <v>8191</v>
      </c>
      <c r="C1237" s="6" t="s">
        <v>21424</v>
      </c>
      <c r="D1237" s="7" t="str">
        <f>VLOOKUP(B1237,Table1[[CIPCode]:[CIPTITLE]],4,FALSE)</f>
        <v>Endodontics/Endodontology (Cert.</v>
      </c>
    </row>
    <row r="1238" spans="1:4" x14ac:dyDescent="0.2">
      <c r="A1238" s="7" t="s">
        <v>14191</v>
      </c>
      <c r="B1238" s="6" t="s">
        <v>8194</v>
      </c>
      <c r="C1238" s="6" t="s">
        <v>21425</v>
      </c>
      <c r="D1238" s="7" t="str">
        <f>VLOOKUP(B1238,Table1[[CIPCode]:[CIPTITLE]],4,FALSE)</f>
        <v>Oral/Maxillofacial Surgery (Cert.</v>
      </c>
    </row>
    <row r="1239" spans="1:4" x14ac:dyDescent="0.2">
      <c r="A1239" s="7" t="s">
        <v>14191</v>
      </c>
      <c r="B1239" s="6" t="s">
        <v>8197</v>
      </c>
      <c r="C1239" s="6" t="s">
        <v>21426</v>
      </c>
      <c r="D1239" s="7" t="str">
        <f>VLOOKUP(B1239,Table1[[CIPCode]:[CIPTITLE]],4,FALSE)</f>
        <v>Orthodontics/Orthodontology (Cert.</v>
      </c>
    </row>
    <row r="1240" spans="1:4" x14ac:dyDescent="0.2">
      <c r="A1240" s="7" t="s">
        <v>14191</v>
      </c>
      <c r="B1240" s="6" t="s">
        <v>8200</v>
      </c>
      <c r="C1240" s="6" t="s">
        <v>21427</v>
      </c>
      <c r="D1240" s="7" t="str">
        <f>VLOOKUP(B1240,Table1[[CIPCode]:[CIPTITLE]],4,FALSE)</f>
        <v>Pediatric Dentistry/Pedodontics (Cert.</v>
      </c>
    </row>
    <row r="1241" spans="1:4" x14ac:dyDescent="0.2">
      <c r="A1241" s="7" t="s">
        <v>14191</v>
      </c>
      <c r="B1241" s="6" t="s">
        <v>8203</v>
      </c>
      <c r="C1241" s="6" t="s">
        <v>21428</v>
      </c>
      <c r="D1241" s="7" t="str">
        <f>VLOOKUP(B1241,Table1[[CIPCode]:[CIPTITLE]],4,FALSE)</f>
        <v>Periodontics/Periodontology (Cert.</v>
      </c>
    </row>
    <row r="1242" spans="1:4" x14ac:dyDescent="0.2">
      <c r="A1242" s="7" t="s">
        <v>14191</v>
      </c>
      <c r="B1242" s="6" t="s">
        <v>8206</v>
      </c>
      <c r="C1242" s="6" t="s">
        <v>21429</v>
      </c>
      <c r="D1242" s="7" t="str">
        <f>VLOOKUP(B1242,Table1[[CIPCode]:[CIPTITLE]],4,FALSE)</f>
        <v>Prosthodontics/Prosthodontology (Cert.</v>
      </c>
    </row>
    <row r="1243" spans="1:4" x14ac:dyDescent="0.2">
      <c r="A1243" s="7" t="s">
        <v>14191</v>
      </c>
      <c r="B1243" s="6" t="s">
        <v>8209</v>
      </c>
      <c r="C1243" s="6" t="s">
        <v>21430</v>
      </c>
      <c r="D1243" s="7" t="str">
        <f>VLOOKUP(B1243,Table1[[CIPCode]:[CIPTITLE]],4,FALSE)</f>
        <v>Advanced/Graduate Dentistry and Oral Sciences, Other.</v>
      </c>
    </row>
    <row r="1244" spans="1:4" x14ac:dyDescent="0.2">
      <c r="A1244" s="7" t="s">
        <v>14191</v>
      </c>
      <c r="B1244" s="6" t="s">
        <v>10721</v>
      </c>
      <c r="C1244" s="6" t="s">
        <v>5004</v>
      </c>
      <c r="D1244" s="7" t="str">
        <f>VLOOKUP(B1244,Table1[[CIPCode]:[CIPTITLE]],4,FALSE)</f>
        <v>Dental Support Services and Allied Professions.</v>
      </c>
    </row>
    <row r="1245" spans="1:4" x14ac:dyDescent="0.2">
      <c r="A1245" s="7" t="s">
        <v>14191</v>
      </c>
      <c r="B1245" s="6" t="s">
        <v>13642</v>
      </c>
      <c r="C1245" s="6" t="s">
        <v>5005</v>
      </c>
      <c r="D1245" s="7" t="str">
        <f>VLOOKUP(B1245,Table1[[CIPCode]:[CIPTITLE]],4,FALSE)</f>
        <v>Dental Assisting/Assistant.</v>
      </c>
    </row>
    <row r="1246" spans="1:4" x14ac:dyDescent="0.2">
      <c r="A1246" s="7" t="s">
        <v>14191</v>
      </c>
      <c r="B1246" s="6" t="s">
        <v>13646</v>
      </c>
      <c r="C1246" s="6" t="s">
        <v>5006</v>
      </c>
      <c r="D1246" s="7" t="str">
        <f>VLOOKUP(B1246,Table1[[CIPCode]:[CIPTITLE]],4,FALSE)</f>
        <v>Dental Hygiene/Hygienist.</v>
      </c>
    </row>
    <row r="1247" spans="1:4" x14ac:dyDescent="0.2">
      <c r="A1247" s="7" t="s">
        <v>14191</v>
      </c>
      <c r="B1247" s="6" t="s">
        <v>13650</v>
      </c>
      <c r="C1247" s="6" t="s">
        <v>5007</v>
      </c>
      <c r="D1247" s="7" t="str">
        <f>VLOOKUP(B1247,Table1[[CIPCode]:[CIPTITLE]],4,FALSE)</f>
        <v>Dental Laboratory Technology/Technician.</v>
      </c>
    </row>
    <row r="1248" spans="1:4" x14ac:dyDescent="0.2">
      <c r="A1248" s="7" t="s">
        <v>14191</v>
      </c>
      <c r="B1248" s="6" t="s">
        <v>13654</v>
      </c>
      <c r="C1248" s="6" t="s">
        <v>5008</v>
      </c>
      <c r="D1248" s="7" t="str">
        <f>VLOOKUP(B1248,Table1[[CIPCode]:[CIPTITLE]],4,FALSE)</f>
        <v>Dental Services and Allied Professions, Other.</v>
      </c>
    </row>
    <row r="1249" spans="1:4" x14ac:dyDescent="0.2">
      <c r="A1249" s="7" t="s">
        <v>14191</v>
      </c>
      <c r="B1249" s="6" t="s">
        <v>10722</v>
      </c>
      <c r="C1249" s="6" t="s">
        <v>5009</v>
      </c>
      <c r="D1249" s="7" t="str">
        <f>VLOOKUP(B1249,Table1[[CIPCode]:[CIPTITLE]],4,FALSE)</f>
        <v>Health and Medical Administrative Services.</v>
      </c>
    </row>
    <row r="1250" spans="1:4" x14ac:dyDescent="0.2">
      <c r="A1250" s="7" t="s">
        <v>14191</v>
      </c>
      <c r="B1250" s="6" t="s">
        <v>13662</v>
      </c>
      <c r="C1250" s="6" t="s">
        <v>5011</v>
      </c>
      <c r="D1250" s="7" t="str">
        <f>VLOOKUP(B1250,Table1[[CIPCode]:[CIPTITLE]],4,FALSE)</f>
        <v>Health/Health Care Administration/Management.</v>
      </c>
    </row>
    <row r="1251" spans="1:4" x14ac:dyDescent="0.2">
      <c r="A1251" s="7" t="s">
        <v>14191</v>
      </c>
      <c r="B1251" s="6" t="s">
        <v>13666</v>
      </c>
      <c r="C1251" s="6" t="s">
        <v>5012</v>
      </c>
      <c r="D1251" s="7" t="str">
        <f>VLOOKUP(B1251,Table1[[CIPCode]:[CIPTITLE]],4,FALSE)</f>
        <v>Hospital and Health Care Facilities Administration/Management.</v>
      </c>
    </row>
    <row r="1252" spans="1:4" x14ac:dyDescent="0.2">
      <c r="A1252" s="7" t="s">
        <v>14191</v>
      </c>
      <c r="B1252" s="6" t="s">
        <v>13670</v>
      </c>
      <c r="C1252" s="6" t="s">
        <v>13671</v>
      </c>
      <c r="D1252" s="7" t="str">
        <f>VLOOKUP(B1252,Table1[[CIPCode]:[CIPTITLE]],4,FALSE)</f>
        <v>Health Unit Coordinator/Ward Clerk.</v>
      </c>
    </row>
    <row r="1253" spans="1:4" x14ac:dyDescent="0.2">
      <c r="A1253" s="7" t="s">
        <v>14191</v>
      </c>
      <c r="B1253" s="6" t="s">
        <v>13674</v>
      </c>
      <c r="C1253" s="6" t="s">
        <v>13675</v>
      </c>
      <c r="D1253" s="7" t="str">
        <f>VLOOKUP(B1253,Table1[[CIPCode]:[CIPTITLE]],4,FALSE)</f>
        <v>Health Unit Manager/Ward Supervisor.</v>
      </c>
    </row>
    <row r="1254" spans="1:4" x14ac:dyDescent="0.2">
      <c r="A1254" s="7" t="s">
        <v>14191</v>
      </c>
      <c r="B1254" s="6" t="s">
        <v>13678</v>
      </c>
      <c r="C1254" s="6" t="s">
        <v>5013</v>
      </c>
      <c r="D1254" s="7" t="str">
        <f>VLOOKUP(B1254,Table1[[CIPCode]:[CIPTITLE]],4,FALSE)</f>
        <v>Medical Office Management/Administration.</v>
      </c>
    </row>
    <row r="1255" spans="1:4" x14ac:dyDescent="0.2">
      <c r="A1255" s="7" t="s">
        <v>14191</v>
      </c>
      <c r="B1255" s="6" t="s">
        <v>13682</v>
      </c>
      <c r="C1255" s="6" t="s">
        <v>5014</v>
      </c>
      <c r="D1255" s="7" t="str">
        <f>VLOOKUP(B1255,Table1[[CIPCode]:[CIPTITLE]],4,FALSE)</f>
        <v>Health Information/Medical Records Administration/Administrator.</v>
      </c>
    </row>
    <row r="1256" spans="1:4" x14ac:dyDescent="0.2">
      <c r="A1256" s="7" t="s">
        <v>14191</v>
      </c>
      <c r="B1256" s="6" t="s">
        <v>13686</v>
      </c>
      <c r="C1256" s="6" t="s">
        <v>5015</v>
      </c>
      <c r="D1256" s="7" t="str">
        <f>VLOOKUP(B1256,Table1[[CIPCode]:[CIPTITLE]],4,FALSE)</f>
        <v>Health Information/Medical Records Technology/Technician.</v>
      </c>
    </row>
    <row r="1257" spans="1:4" x14ac:dyDescent="0.2">
      <c r="A1257" s="7" t="s">
        <v>14191</v>
      </c>
      <c r="B1257" s="6" t="s">
        <v>13690</v>
      </c>
      <c r="C1257" s="6" t="s">
        <v>5016</v>
      </c>
      <c r="D1257" s="7" t="str">
        <f>VLOOKUP(B1257,Table1[[CIPCode]:[CIPTITLE]],4,FALSE)</f>
        <v>Medical Transcription/Transcriptionist.</v>
      </c>
    </row>
    <row r="1258" spans="1:4" x14ac:dyDescent="0.2">
      <c r="A1258" s="7" t="s">
        <v>14191</v>
      </c>
      <c r="B1258" s="6" t="s">
        <v>11174</v>
      </c>
      <c r="C1258" s="6" t="s">
        <v>21431</v>
      </c>
      <c r="D1258" s="7" t="str">
        <f>VLOOKUP(B1258,Table1[[CIPCode]:[CIPTITLE]],4,FALSE)</f>
        <v>Medical Office Computer Specialist/Assistant.</v>
      </c>
    </row>
    <row r="1259" spans="1:4" x14ac:dyDescent="0.2">
      <c r="A1259" s="7" t="s">
        <v>14191</v>
      </c>
      <c r="B1259" s="6" t="s">
        <v>8240</v>
      </c>
      <c r="C1259" s="6" t="s">
        <v>21432</v>
      </c>
      <c r="D1259" s="7" t="str">
        <f>VLOOKUP(B1259,Table1[[CIPCode]:[CIPTITLE]],4,FALSE)</f>
        <v>Medical Office Assistant/Specialist.</v>
      </c>
    </row>
    <row r="1260" spans="1:4" x14ac:dyDescent="0.2">
      <c r="A1260" s="7" t="s">
        <v>14191</v>
      </c>
      <c r="B1260" s="6" t="s">
        <v>8243</v>
      </c>
      <c r="C1260" s="6" t="s">
        <v>21433</v>
      </c>
      <c r="D1260" s="7" t="str">
        <f>VLOOKUP(B1260,Table1[[CIPCode]:[CIPTITLE]],4,FALSE)</f>
        <v>Medical/Health Management and Clinical Assistant/Specialist.</v>
      </c>
    </row>
    <row r="1261" spans="1:4" x14ac:dyDescent="0.2">
      <c r="A1261" s="7" t="s">
        <v>14191</v>
      </c>
      <c r="B1261" s="6" t="s">
        <v>8246</v>
      </c>
      <c r="C1261" s="6" t="s">
        <v>21434</v>
      </c>
      <c r="D1261" s="7" t="str">
        <f>VLOOKUP(B1261,Table1[[CIPCode]:[CIPTITLE]],4,FALSE)</f>
        <v>Medical Reception/Receptionist.</v>
      </c>
    </row>
    <row r="1262" spans="1:4" x14ac:dyDescent="0.2">
      <c r="A1262" s="7" t="s">
        <v>14191</v>
      </c>
      <c r="B1262" s="6" t="s">
        <v>11207</v>
      </c>
      <c r="C1262" s="6" t="s">
        <v>21435</v>
      </c>
      <c r="D1262" s="7" t="str">
        <f>VLOOKUP(B1262,Table1[[CIPCode]:[CIPTITLE]],4,FALSE)</f>
        <v>Medical Insurance Coding Specialist/Coder.</v>
      </c>
    </row>
    <row r="1263" spans="1:4" x14ac:dyDescent="0.2">
      <c r="A1263" s="7" t="s">
        <v>14191</v>
      </c>
      <c r="B1263" s="6" t="s">
        <v>8250</v>
      </c>
      <c r="C1263" s="6" t="s">
        <v>21436</v>
      </c>
      <c r="D1263" s="7" t="str">
        <f>VLOOKUP(B1263,Table1[[CIPCode]:[CIPTITLE]],4,FALSE)</f>
        <v>Medical Insurance Specialist/Medical Biller.</v>
      </c>
    </row>
    <row r="1264" spans="1:4" x14ac:dyDescent="0.2">
      <c r="A1264" s="7" t="s">
        <v>14191</v>
      </c>
      <c r="B1264" s="6" t="s">
        <v>8253</v>
      </c>
      <c r="C1264" s="6" t="s">
        <v>21437</v>
      </c>
      <c r="D1264" s="7" t="str">
        <f>VLOOKUP(B1264,Table1[[CIPCode]:[CIPTITLE]],4,FALSE)</f>
        <v>Health/Medical Claims Examiner.</v>
      </c>
    </row>
    <row r="1265" spans="1:4" x14ac:dyDescent="0.2">
      <c r="A1265" s="7" t="s">
        <v>14191</v>
      </c>
      <c r="B1265" s="6" t="s">
        <v>8256</v>
      </c>
      <c r="C1265" s="6" t="s">
        <v>5257</v>
      </c>
      <c r="D1265" s="7" t="str">
        <f>VLOOKUP(B1265,Table1[[CIPCode]:[CIPTITLE]],4,FALSE)</f>
        <v>Medical Administrative/Executive Assistant and Medical Secretary.</v>
      </c>
    </row>
    <row r="1266" spans="1:4" x14ac:dyDescent="0.2">
      <c r="A1266" s="7" t="s">
        <v>14191</v>
      </c>
      <c r="B1266" s="6" t="s">
        <v>8259</v>
      </c>
      <c r="C1266" s="6" t="s">
        <v>21438</v>
      </c>
      <c r="D1266" s="7" t="str">
        <f>VLOOKUP(B1266,Table1[[CIPCode]:[CIPTITLE]],4,FALSE)</f>
        <v>Medical Staff Services Technology/Technician.</v>
      </c>
    </row>
    <row r="1267" spans="1:4" x14ac:dyDescent="0.2">
      <c r="A1267" s="7" t="s">
        <v>14191</v>
      </c>
      <c r="B1267" s="6" t="s">
        <v>13694</v>
      </c>
      <c r="C1267" s="6" t="s">
        <v>5025</v>
      </c>
      <c r="D1267" s="7" t="str">
        <f>VLOOKUP(B1267,Table1[[CIPCode]:[CIPTITLE]],4,FALSE)</f>
        <v>Health and Medical Administrative Services, Other.</v>
      </c>
    </row>
    <row r="1268" spans="1:4" x14ac:dyDescent="0.2">
      <c r="A1268" s="7" t="s">
        <v>14191</v>
      </c>
      <c r="B1268" s="6" t="s">
        <v>10724</v>
      </c>
      <c r="C1268" s="6" t="s">
        <v>5027</v>
      </c>
      <c r="D1268" s="7" t="str">
        <f>VLOOKUP(B1268,Table1[[CIPCode]:[CIPTITLE]],4,FALSE)</f>
        <v>Allied Health and Medical Assisting Services.</v>
      </c>
    </row>
    <row r="1269" spans="1:4" x14ac:dyDescent="0.2">
      <c r="A1269" s="7" t="s">
        <v>14191</v>
      </c>
      <c r="B1269" s="6" t="s">
        <v>13702</v>
      </c>
      <c r="C1269" s="6" t="s">
        <v>5028</v>
      </c>
      <c r="D1269" s="7" t="str">
        <f>VLOOKUP(B1269,Table1[[CIPCode]:[CIPTITLE]],4,FALSE)</f>
        <v>Medical/Clinical Assistant.</v>
      </c>
    </row>
    <row r="1270" spans="1:4" x14ac:dyDescent="0.2">
      <c r="A1270" s="7" t="s">
        <v>14191</v>
      </c>
      <c r="B1270" s="6" t="s">
        <v>13706</v>
      </c>
      <c r="C1270" s="6" t="s">
        <v>5029</v>
      </c>
      <c r="D1270" s="7" t="str">
        <f>VLOOKUP(B1270,Table1[[CIPCode]:[CIPTITLE]],4,FALSE)</f>
        <v>Clinical/Medical Laboratory Assistant.</v>
      </c>
    </row>
    <row r="1271" spans="1:4" x14ac:dyDescent="0.2">
      <c r="A1271" s="7" t="s">
        <v>14191</v>
      </c>
      <c r="B1271" s="6" t="s">
        <v>13710</v>
      </c>
      <c r="C1271" s="6" t="s">
        <v>5030</v>
      </c>
      <c r="D1271" s="7" t="str">
        <f>VLOOKUP(B1271,Table1[[CIPCode]:[CIPTITLE]],4,FALSE)</f>
        <v>Occupational Therapist Assistant.</v>
      </c>
    </row>
    <row r="1272" spans="1:4" x14ac:dyDescent="0.2">
      <c r="A1272" s="7" t="s">
        <v>14191</v>
      </c>
      <c r="B1272" s="6" t="s">
        <v>13718</v>
      </c>
      <c r="C1272" s="6" t="s">
        <v>13719</v>
      </c>
      <c r="D1272" s="7" t="str">
        <f>VLOOKUP(B1272,Table1[[CIPCode]:[CIPTITLE]],4,FALSE)</f>
        <v>Pharmacy Technician/Assistant.</v>
      </c>
    </row>
    <row r="1273" spans="1:4" x14ac:dyDescent="0.2">
      <c r="A1273" s="7" t="s">
        <v>14191</v>
      </c>
      <c r="B1273" s="6" t="s">
        <v>13722</v>
      </c>
      <c r="C1273" s="6" t="s">
        <v>5032</v>
      </c>
      <c r="D1273" s="7" t="str">
        <f>VLOOKUP(B1273,Table1[[CIPCode]:[CIPTITLE]],4,FALSE)</f>
        <v>Physical Therapist Assistant.</v>
      </c>
    </row>
    <row r="1274" spans="1:4" x14ac:dyDescent="0.2">
      <c r="A1274" s="7" t="s">
        <v>14191</v>
      </c>
      <c r="B1274" s="6" t="s">
        <v>13730</v>
      </c>
      <c r="C1274" s="6" t="s">
        <v>21439</v>
      </c>
      <c r="D1274" s="7" t="str">
        <f>VLOOKUP(B1274,Table1[[CIPCode]:[CIPTITLE]],4,FALSE)</f>
        <v>Veterinary/Animal Health Technology/Technician and Veterinary Assistant.</v>
      </c>
    </row>
    <row r="1275" spans="1:4" x14ac:dyDescent="0.2">
      <c r="A1275" s="7" t="s">
        <v>14191</v>
      </c>
      <c r="B1275" s="6" t="s">
        <v>8284</v>
      </c>
      <c r="C1275" s="6" t="s">
        <v>21440</v>
      </c>
      <c r="D1275" s="7" t="str">
        <f>VLOOKUP(B1275,Table1[[CIPCode]:[CIPTITLE]],4,FALSE)</f>
        <v>Emergency Care Attendant (EMT Ambulance).</v>
      </c>
    </row>
    <row r="1276" spans="1:4" x14ac:dyDescent="0.2">
      <c r="A1276" s="7" t="s">
        <v>14191</v>
      </c>
      <c r="B1276" s="6" t="s">
        <v>8287</v>
      </c>
      <c r="C1276" s="6" t="s">
        <v>21441</v>
      </c>
      <c r="D1276" s="7" t="str">
        <f>VLOOKUP(B1276,Table1[[CIPCode]:[CIPTITLE]],4,FALSE)</f>
        <v>Pathology/Pathologist Assistant.</v>
      </c>
    </row>
    <row r="1277" spans="1:4" x14ac:dyDescent="0.2">
      <c r="A1277" s="7" t="s">
        <v>14191</v>
      </c>
      <c r="B1277" s="6" t="s">
        <v>8290</v>
      </c>
      <c r="C1277" s="6" t="s">
        <v>21442</v>
      </c>
      <c r="D1277" s="7" t="str">
        <f>VLOOKUP(B1277,Table1[[CIPCode]:[CIPTITLE]],4,FALSE)</f>
        <v>Respiratory Therapy Technician/Assistant.</v>
      </c>
    </row>
    <row r="1278" spans="1:4" x14ac:dyDescent="0.2">
      <c r="A1278" s="7" t="s">
        <v>14191</v>
      </c>
      <c r="B1278" s="6" t="s">
        <v>8293</v>
      </c>
      <c r="C1278" s="6" t="s">
        <v>21443</v>
      </c>
      <c r="D1278" s="7" t="str">
        <f>VLOOKUP(B1278,Table1[[CIPCode]:[CIPTITLE]],4,FALSE)</f>
        <v>Chiropractic Assistant/Technician.</v>
      </c>
    </row>
    <row r="1279" spans="1:4" x14ac:dyDescent="0.2">
      <c r="A1279" s="7" t="s">
        <v>14191</v>
      </c>
      <c r="B1279" s="6" t="s">
        <v>13734</v>
      </c>
      <c r="C1279" s="6" t="s">
        <v>21444</v>
      </c>
      <c r="D1279" s="7" t="str">
        <f>VLOOKUP(B1279,Table1[[CIPCode]:[CIPTITLE]],4,FALSE)</f>
        <v>Allied Health and Medical Assisting Services, Other.</v>
      </c>
    </row>
    <row r="1280" spans="1:4" x14ac:dyDescent="0.2">
      <c r="A1280" s="7" t="s">
        <v>14191</v>
      </c>
      <c r="B1280" s="6" t="s">
        <v>10726</v>
      </c>
      <c r="C1280" s="6" t="s">
        <v>5042</v>
      </c>
      <c r="D1280" s="7" t="str">
        <f>VLOOKUP(B1280,Table1[[CIPCode]:[CIPTITLE]],4,FALSE)</f>
        <v>Allied Health Diagnostic, Intervention, and Treatment Professions.</v>
      </c>
    </row>
    <row r="1281" spans="1:4" x14ac:dyDescent="0.2">
      <c r="A1281" s="7" t="s">
        <v>14191</v>
      </c>
      <c r="B1281" s="6" t="s">
        <v>13742</v>
      </c>
      <c r="C1281" s="6" t="s">
        <v>5043</v>
      </c>
      <c r="D1281" s="7" t="str">
        <f>VLOOKUP(B1281,Table1[[CIPCode]:[CIPTITLE]],4,FALSE)</f>
        <v>Cardiovascular Technology/Technologist.</v>
      </c>
    </row>
    <row r="1282" spans="1:4" x14ac:dyDescent="0.2">
      <c r="A1282" s="7" t="s">
        <v>14191</v>
      </c>
      <c r="B1282" s="6" t="s">
        <v>13746</v>
      </c>
      <c r="C1282" s="6" t="s">
        <v>13747</v>
      </c>
      <c r="D1282" s="7" t="str">
        <f>VLOOKUP(B1282,Table1[[CIPCode]:[CIPTITLE]],4,FALSE)</f>
        <v>Electrocardiograph Technology/Technician.</v>
      </c>
    </row>
    <row r="1283" spans="1:4" x14ac:dyDescent="0.2">
      <c r="A1283" s="7" t="s">
        <v>14191</v>
      </c>
      <c r="B1283" s="6" t="s">
        <v>13750</v>
      </c>
      <c r="C1283" s="6" t="s">
        <v>21445</v>
      </c>
      <c r="D1283" s="7" t="str">
        <f>VLOOKUP(B1283,Table1[[CIPCode]:[CIPTITLE]],4,FALSE)</f>
        <v>Electroneurodiagnostic/Electroencephalographic Technology/Technologist.</v>
      </c>
    </row>
    <row r="1284" spans="1:4" x14ac:dyDescent="0.2">
      <c r="A1284" s="7" t="s">
        <v>14191</v>
      </c>
      <c r="B1284" s="6" t="s">
        <v>13754</v>
      </c>
      <c r="C1284" s="6" t="s">
        <v>5046</v>
      </c>
      <c r="D1284" s="7" t="str">
        <f>VLOOKUP(B1284,Table1[[CIPCode]:[CIPTITLE]],4,FALSE)</f>
        <v>Emergency Medical Technology/Technician (EMT Paramedic).</v>
      </c>
    </row>
    <row r="1285" spans="1:4" x14ac:dyDescent="0.2">
      <c r="A1285" s="7" t="s">
        <v>14191</v>
      </c>
      <c r="B1285" s="6" t="s">
        <v>13758</v>
      </c>
      <c r="C1285" s="6" t="s">
        <v>5044</v>
      </c>
      <c r="D1285" s="7" t="str">
        <f>VLOOKUP(B1285,Table1[[CIPCode]:[CIPTITLE]],4,FALSE)</f>
        <v>Nuclear Medical Technology/Technologist.</v>
      </c>
    </row>
    <row r="1286" spans="1:4" x14ac:dyDescent="0.2">
      <c r="A1286" s="7" t="s">
        <v>14191</v>
      </c>
      <c r="B1286" s="6" t="s">
        <v>13762</v>
      </c>
      <c r="C1286" s="6" t="s">
        <v>5047</v>
      </c>
      <c r="D1286" s="7" t="str">
        <f>VLOOKUP(B1286,Table1[[CIPCode]:[CIPTITLE]],4,FALSE)</f>
        <v>Perfusion Technology/Perfusionist.</v>
      </c>
    </row>
    <row r="1287" spans="1:4" x14ac:dyDescent="0.2">
      <c r="A1287" s="7" t="s">
        <v>14191</v>
      </c>
      <c r="B1287" s="6" t="s">
        <v>13766</v>
      </c>
      <c r="C1287" s="6" t="s">
        <v>21446</v>
      </c>
      <c r="D1287" s="7" t="str">
        <f>VLOOKUP(B1287,Table1[[CIPCode]:[CIPTITLE]],4,FALSE)</f>
        <v>Medical Radiologic Technology/Science - Radiation Therapist.</v>
      </c>
    </row>
    <row r="1288" spans="1:4" x14ac:dyDescent="0.2">
      <c r="A1288" s="7" t="s">
        <v>14191</v>
      </c>
      <c r="B1288" s="6" t="s">
        <v>13770</v>
      </c>
      <c r="C1288" s="6" t="s">
        <v>5049</v>
      </c>
      <c r="D1288" s="7" t="str">
        <f>VLOOKUP(B1288,Table1[[CIPCode]:[CIPTITLE]],4,FALSE)</f>
        <v>Respiratory Care Therapy/Therapist.</v>
      </c>
    </row>
    <row r="1289" spans="1:4" x14ac:dyDescent="0.2">
      <c r="A1289" s="7" t="s">
        <v>14191</v>
      </c>
      <c r="B1289" s="6" t="s">
        <v>13774</v>
      </c>
      <c r="C1289" s="6" t="s">
        <v>5050</v>
      </c>
      <c r="D1289" s="7" t="str">
        <f>VLOOKUP(B1289,Table1[[CIPCode]:[CIPTITLE]],4,FALSE)</f>
        <v>Surgical Technology/Technologist.</v>
      </c>
    </row>
    <row r="1290" spans="1:4" x14ac:dyDescent="0.2">
      <c r="A1290" s="7" t="s">
        <v>14191</v>
      </c>
      <c r="B1290" s="6" t="s">
        <v>13778</v>
      </c>
      <c r="C1290" s="6" t="s">
        <v>2997</v>
      </c>
      <c r="D1290" s="7" t="str">
        <f>VLOOKUP(B1290,Table1[[CIPCode]:[CIPTITLE]],4,FALSE)</f>
        <v>Diagnostic Medical Sonography/Sonographer and Ultrasound Technician.</v>
      </c>
    </row>
    <row r="1291" spans="1:4" x14ac:dyDescent="0.2">
      <c r="A1291" s="7" t="s">
        <v>14191</v>
      </c>
      <c r="B1291" s="6" t="s">
        <v>8012</v>
      </c>
      <c r="C1291" s="6" t="s">
        <v>21447</v>
      </c>
      <c r="D1291" s="7" t="str">
        <f>VLOOKUP(B1291,Table1[[CIPCode]:[CIPTITLE]],4,FALSE)</f>
        <v>Radiologic Technology/Science - Radiographer.</v>
      </c>
    </row>
    <row r="1292" spans="1:4" x14ac:dyDescent="0.2">
      <c r="A1292" s="7" t="s">
        <v>14191</v>
      </c>
      <c r="B1292" s="6" t="s">
        <v>8015</v>
      </c>
      <c r="C1292" s="6" t="s">
        <v>13727</v>
      </c>
      <c r="D1292" s="7" t="str">
        <f>VLOOKUP(B1292,Table1[[CIPCode]:[CIPTITLE]],4,FALSE)</f>
        <v>Physician Assistant.</v>
      </c>
    </row>
    <row r="1293" spans="1:4" x14ac:dyDescent="0.2">
      <c r="A1293" s="7" t="s">
        <v>14191</v>
      </c>
      <c r="B1293" s="6" t="s">
        <v>8017</v>
      </c>
      <c r="C1293" s="6" t="s">
        <v>6146</v>
      </c>
      <c r="D1293" s="7" t="str">
        <f>VLOOKUP(B1293,Table1[[CIPCode]:[CIPTITLE]],4,FALSE)</f>
        <v>Athletic Training/Trainer.</v>
      </c>
    </row>
    <row r="1294" spans="1:4" x14ac:dyDescent="0.2">
      <c r="A1294" s="7" t="s">
        <v>14191</v>
      </c>
      <c r="B1294" s="6" t="s">
        <v>13782</v>
      </c>
      <c r="C1294" s="6" t="s">
        <v>21448</v>
      </c>
      <c r="D1294" s="7" t="str">
        <f>VLOOKUP(B1294,Table1[[CIPCode]:[CIPTITLE]],4,FALSE)</f>
        <v>Allied Health Diagnostic, Intervention, and Treatment Professions, Other.</v>
      </c>
    </row>
    <row r="1295" spans="1:4" x14ac:dyDescent="0.2">
      <c r="A1295" s="7" t="s">
        <v>14191</v>
      </c>
      <c r="B1295" s="6" t="s">
        <v>10727</v>
      </c>
      <c r="C1295" s="6" t="s">
        <v>5060</v>
      </c>
      <c r="D1295" s="7" t="str">
        <f>VLOOKUP(B1295,Table1[[CIPCode]:[CIPTITLE]],4,FALSE)</f>
        <v>Clinical/Medical Laboratory Science and Allied Professions.</v>
      </c>
    </row>
    <row r="1296" spans="1:4" x14ac:dyDescent="0.2">
      <c r="A1296" s="7" t="s">
        <v>14191</v>
      </c>
      <c r="B1296" s="6" t="s">
        <v>13790</v>
      </c>
      <c r="C1296" s="6" t="s">
        <v>5061</v>
      </c>
      <c r="D1296" s="7" t="str">
        <f>VLOOKUP(B1296,Table1[[CIPCode]:[CIPTITLE]],4,FALSE)</f>
        <v>Blood Bank Technology Specialist.</v>
      </c>
    </row>
    <row r="1297" spans="1:4" x14ac:dyDescent="0.2">
      <c r="A1297" s="7" t="s">
        <v>14191</v>
      </c>
      <c r="B1297" s="6" t="s">
        <v>13794</v>
      </c>
      <c r="C1297" s="6" t="s">
        <v>5062</v>
      </c>
      <c r="D1297" s="7" t="str">
        <f>VLOOKUP(B1297,Table1[[CIPCode]:[CIPTITLE]],4,FALSE)</f>
        <v>Cytotechnology/Cytotechnologist.</v>
      </c>
    </row>
    <row r="1298" spans="1:4" x14ac:dyDescent="0.2">
      <c r="A1298" s="7" t="s">
        <v>14191</v>
      </c>
      <c r="B1298" s="6" t="s">
        <v>13798</v>
      </c>
      <c r="C1298" s="6" t="s">
        <v>13799</v>
      </c>
      <c r="D1298" s="7" t="str">
        <f>VLOOKUP(B1298,Table1[[CIPCode]:[CIPTITLE]],4,FALSE)</f>
        <v>Hematology Technology/Technician.</v>
      </c>
    </row>
    <row r="1299" spans="1:4" x14ac:dyDescent="0.2">
      <c r="A1299" s="7" t="s">
        <v>14191</v>
      </c>
      <c r="B1299" s="6" t="s">
        <v>13802</v>
      </c>
      <c r="C1299" s="6" t="s">
        <v>5063</v>
      </c>
      <c r="D1299" s="7" t="str">
        <f>VLOOKUP(B1299,Table1[[CIPCode]:[CIPTITLE]],4,FALSE)</f>
        <v>Clinical/Medical Laboratory Technician.</v>
      </c>
    </row>
    <row r="1300" spans="1:4" x14ac:dyDescent="0.2">
      <c r="A1300" s="7" t="s">
        <v>14191</v>
      </c>
      <c r="B1300" s="6" t="s">
        <v>13806</v>
      </c>
      <c r="C1300" s="6" t="s">
        <v>5064</v>
      </c>
      <c r="D1300" s="7" t="str">
        <f>VLOOKUP(B1300,Table1[[CIPCode]:[CIPTITLE]],4,FALSE)</f>
        <v>Clinical Laboratory Science/Medical Technology/Technologist.</v>
      </c>
    </row>
    <row r="1301" spans="1:4" x14ac:dyDescent="0.2">
      <c r="A1301" s="7" t="s">
        <v>14191</v>
      </c>
      <c r="B1301" s="6" t="s">
        <v>13810</v>
      </c>
      <c r="C1301" s="6" t="s">
        <v>5066</v>
      </c>
      <c r="D1301" s="7" t="str">
        <f>VLOOKUP(B1301,Table1[[CIPCode]:[CIPTITLE]],4,FALSE)</f>
        <v>Ophthalmic Laboratory Technology/Technician.</v>
      </c>
    </row>
    <row r="1302" spans="1:4" x14ac:dyDescent="0.2">
      <c r="A1302" s="7" t="s">
        <v>14191</v>
      </c>
      <c r="B1302" s="6" t="s">
        <v>8043</v>
      </c>
      <c r="C1302" s="6" t="s">
        <v>21449</v>
      </c>
      <c r="D1302" s="7" t="str">
        <f>VLOOKUP(B1302,Table1[[CIPCode]:[CIPTITLE]],4,FALSE)</f>
        <v>Histologic Technology/Histotechnologist.</v>
      </c>
    </row>
    <row r="1303" spans="1:4" x14ac:dyDescent="0.2">
      <c r="A1303" s="7" t="s">
        <v>14191</v>
      </c>
      <c r="B1303" s="6" t="s">
        <v>8046</v>
      </c>
      <c r="C1303" s="6" t="s">
        <v>21450</v>
      </c>
      <c r="D1303" s="7" t="str">
        <f>VLOOKUP(B1303,Table1[[CIPCode]:[CIPTITLE]],4,FALSE)</f>
        <v>Histologic Technician.</v>
      </c>
    </row>
    <row r="1304" spans="1:4" x14ac:dyDescent="0.2">
      <c r="A1304" s="7" t="s">
        <v>14191</v>
      </c>
      <c r="B1304" s="6" t="s">
        <v>8049</v>
      </c>
      <c r="C1304" s="6" t="s">
        <v>21451</v>
      </c>
      <c r="D1304" s="7" t="str">
        <f>VLOOKUP(B1304,Table1[[CIPCode]:[CIPTITLE]],4,FALSE)</f>
        <v>Phlebotomy/Phlebotomist.</v>
      </c>
    </row>
    <row r="1305" spans="1:4" x14ac:dyDescent="0.2">
      <c r="A1305" s="7" t="s">
        <v>14191</v>
      </c>
      <c r="B1305" s="6" t="s">
        <v>8052</v>
      </c>
      <c r="C1305" s="6" t="s">
        <v>21452</v>
      </c>
      <c r="D1305" s="7" t="str">
        <f>VLOOKUP(B1305,Table1[[CIPCode]:[CIPTITLE]],4,FALSE)</f>
        <v>Cytogenetics/Genetics/Clinical Genetics Technology/Technologist.</v>
      </c>
    </row>
    <row r="1306" spans="1:4" x14ac:dyDescent="0.2">
      <c r="A1306" s="7" t="s">
        <v>14191</v>
      </c>
      <c r="B1306" s="6" t="s">
        <v>8055</v>
      </c>
      <c r="C1306" s="6" t="s">
        <v>21453</v>
      </c>
      <c r="D1306" s="7" t="str">
        <f>VLOOKUP(B1306,Table1[[CIPCode]:[CIPTITLE]],4,FALSE)</f>
        <v>Renal/Dialysis Technologist/Technician.</v>
      </c>
    </row>
    <row r="1307" spans="1:4" x14ac:dyDescent="0.2">
      <c r="A1307" s="7" t="s">
        <v>14191</v>
      </c>
      <c r="B1307" s="6" t="s">
        <v>13814</v>
      </c>
      <c r="C1307" s="6" t="s">
        <v>5073</v>
      </c>
      <c r="D1307" s="7" t="str">
        <f>VLOOKUP(B1307,Table1[[CIPCode]:[CIPTITLE]],4,FALSE)</f>
        <v>Clinical/Medical Laboratory Science and Allied Professions, Other.</v>
      </c>
    </row>
    <row r="1308" spans="1:4" x14ac:dyDescent="0.2">
      <c r="A1308" s="7" t="s">
        <v>14191</v>
      </c>
      <c r="B1308" s="6" t="s">
        <v>8060</v>
      </c>
      <c r="C1308" s="6" t="s">
        <v>5075</v>
      </c>
      <c r="D1308" s="7" t="str">
        <f>VLOOKUP(B1308,Table1[[CIPCode]:[CIPTITLE]],4,FALSE)</f>
        <v>Health/Medical Preparatory Programs.</v>
      </c>
    </row>
    <row r="1309" spans="1:4" x14ac:dyDescent="0.2">
      <c r="A1309" s="7" t="s">
        <v>14191</v>
      </c>
      <c r="B1309" s="6" t="s">
        <v>13822</v>
      </c>
      <c r="C1309" s="6" t="s">
        <v>13823</v>
      </c>
      <c r="D1309" s="7" t="str">
        <f>VLOOKUP(B1309,Table1[[CIPCode]:[CIPTITLE]],4,FALSE)</f>
        <v>Pre-Dentistry Studies.</v>
      </c>
    </row>
    <row r="1310" spans="1:4" x14ac:dyDescent="0.2">
      <c r="A1310" s="7" t="s">
        <v>14191</v>
      </c>
      <c r="B1310" s="6" t="s">
        <v>13826</v>
      </c>
      <c r="C1310" s="6" t="s">
        <v>5076</v>
      </c>
      <c r="D1310" s="7" t="str">
        <f>VLOOKUP(B1310,Table1[[CIPCode]:[CIPTITLE]],4,FALSE)</f>
        <v>Pre-Medicine/Pre-Medical Studies.</v>
      </c>
    </row>
    <row r="1311" spans="1:4" x14ac:dyDescent="0.2">
      <c r="A1311" s="7" t="s">
        <v>14191</v>
      </c>
      <c r="B1311" s="6" t="s">
        <v>13830</v>
      </c>
      <c r="C1311" s="6" t="s">
        <v>13831</v>
      </c>
      <c r="D1311" s="7" t="str">
        <f>VLOOKUP(B1311,Table1[[CIPCode]:[CIPTITLE]],4,FALSE)</f>
        <v>Pre-Pharmacy Studies.</v>
      </c>
    </row>
    <row r="1312" spans="1:4" x14ac:dyDescent="0.2">
      <c r="A1312" s="7" t="s">
        <v>14191</v>
      </c>
      <c r="B1312" s="6" t="s">
        <v>13834</v>
      </c>
      <c r="C1312" s="6" t="s">
        <v>13835</v>
      </c>
      <c r="D1312" s="7" t="str">
        <f>VLOOKUP(B1312,Table1[[CIPCode]:[CIPTITLE]],4,FALSE)</f>
        <v>Pre-Veterinary Studies.</v>
      </c>
    </row>
    <row r="1313" spans="1:4" x14ac:dyDescent="0.2">
      <c r="A1313" s="7" t="s">
        <v>14191</v>
      </c>
      <c r="B1313" s="6" t="s">
        <v>8071</v>
      </c>
      <c r="C1313" s="6" t="s">
        <v>21454</v>
      </c>
      <c r="D1313" s="7" t="str">
        <f>VLOOKUP(B1313,Table1[[CIPCode]:[CIPTITLE]],4,FALSE)</f>
        <v>Pre-Nursing Studies.</v>
      </c>
    </row>
    <row r="1314" spans="1:4" x14ac:dyDescent="0.2">
      <c r="A1314" s="7" t="s">
        <v>14191</v>
      </c>
      <c r="B1314" s="6" t="s">
        <v>13838</v>
      </c>
      <c r="C1314" s="6" t="s">
        <v>5081</v>
      </c>
      <c r="D1314" s="7" t="str">
        <f>VLOOKUP(B1314,Table1[[CIPCode]:[CIPTITLE]],4,FALSE)</f>
        <v>Health/Medical Preparatory Programs, Other.</v>
      </c>
    </row>
    <row r="1315" spans="1:4" x14ac:dyDescent="0.2">
      <c r="A1315" s="7" t="s">
        <v>14191</v>
      </c>
      <c r="B1315" s="6" t="s">
        <v>8076</v>
      </c>
      <c r="C1315" s="6" t="s">
        <v>5082</v>
      </c>
      <c r="D1315" s="7" t="str">
        <f>VLOOKUP(B1315,Table1[[CIPCode]:[CIPTITLE]],4,FALSE)</f>
        <v>Medicine (MD).</v>
      </c>
    </row>
    <row r="1316" spans="1:4" x14ac:dyDescent="0.2">
      <c r="A1316" s="7" t="s">
        <v>14191</v>
      </c>
      <c r="B1316" s="6" t="s">
        <v>13846</v>
      </c>
      <c r="C1316" s="6" t="s">
        <v>5082</v>
      </c>
      <c r="D1316" s="7" t="str">
        <f>VLOOKUP(B1316,Table1[[CIPCode]:[CIPTITLE]],4,FALSE)</f>
        <v>Medicine (MD).</v>
      </c>
    </row>
    <row r="1317" spans="1:4" x14ac:dyDescent="0.2">
      <c r="A1317" s="7" t="s">
        <v>14191</v>
      </c>
      <c r="B1317" s="6" t="s">
        <v>8108</v>
      </c>
      <c r="C1317" s="6" t="s">
        <v>5090</v>
      </c>
      <c r="D1317" s="7" t="str">
        <f>VLOOKUP(B1317,Table1[[CIPCode]:[CIPTITLE]],4,FALSE)</f>
        <v>Medical Clinical Sciences/Graduate Medical Studies.</v>
      </c>
    </row>
    <row r="1318" spans="1:4" x14ac:dyDescent="0.2">
      <c r="A1318" s="7" t="s">
        <v>14191</v>
      </c>
      <c r="B1318" s="6" t="s">
        <v>13293</v>
      </c>
      <c r="C1318" s="6" t="s">
        <v>5091</v>
      </c>
      <c r="D1318" s="7" t="str">
        <f>VLOOKUP(B1318,Table1[[CIPCode]:[CIPTITLE]],4,FALSE)</f>
        <v>Medical Scientist (MS, PhD).</v>
      </c>
    </row>
    <row r="1319" spans="1:4" x14ac:dyDescent="0.2">
      <c r="A1319" s="7" t="s">
        <v>14191</v>
      </c>
      <c r="B1319" s="6" t="s">
        <v>10720</v>
      </c>
      <c r="C1319" s="6" t="s">
        <v>5092</v>
      </c>
      <c r="D1319" s="7" t="str">
        <f>VLOOKUP(B1319,Table1[[CIPCode]:[CIPTITLE]],4,FALSE)</f>
        <v>Mental and Social Health Services and Allied Professions.</v>
      </c>
    </row>
    <row r="1320" spans="1:4" x14ac:dyDescent="0.2">
      <c r="A1320" s="7" t="s">
        <v>14191</v>
      </c>
      <c r="B1320" s="6" t="s">
        <v>13300</v>
      </c>
      <c r="C1320" s="6" t="s">
        <v>5093</v>
      </c>
      <c r="D1320" s="7" t="str">
        <f>VLOOKUP(B1320,Table1[[CIPCode]:[CIPTITLE]],4,FALSE)</f>
        <v>Substance Abuse/Addiction Counseling.</v>
      </c>
    </row>
    <row r="1321" spans="1:4" x14ac:dyDescent="0.2">
      <c r="A1321" s="7" t="s">
        <v>14191</v>
      </c>
      <c r="B1321" s="6" t="s">
        <v>13304</v>
      </c>
      <c r="C1321" s="6" t="s">
        <v>13305</v>
      </c>
      <c r="D1321" s="7" t="str">
        <f>VLOOKUP(B1321,Table1[[CIPCode]:[CIPTITLE]],4,FALSE)</f>
        <v>Psychiatric/Mental Health Services Technician.</v>
      </c>
    </row>
    <row r="1322" spans="1:4" x14ac:dyDescent="0.2">
      <c r="A1322" s="7" t="s">
        <v>14191</v>
      </c>
      <c r="B1322" s="6" t="s">
        <v>13308</v>
      </c>
      <c r="C1322" s="6" t="s">
        <v>5095</v>
      </c>
      <c r="D1322" s="7" t="str">
        <f>VLOOKUP(B1322,Table1[[CIPCode]:[CIPTITLE]],4,FALSE)</f>
        <v>Clinical/Medical Social Work.</v>
      </c>
    </row>
    <row r="1323" spans="1:4" x14ac:dyDescent="0.2">
      <c r="A1323" s="7" t="s">
        <v>14191</v>
      </c>
      <c r="B1323" s="6" t="s">
        <v>10592</v>
      </c>
      <c r="C1323" s="6" t="s">
        <v>4988</v>
      </c>
      <c r="D1323" s="7" t="str">
        <f>VLOOKUP(B1323,Table1[[CIPCode]:[CIPTITLE]],4,FALSE)</f>
        <v>Community Health Services/Liaison/Counseling.</v>
      </c>
    </row>
    <row r="1324" spans="1:4" x14ac:dyDescent="0.2">
      <c r="A1324" s="7" t="s">
        <v>14191</v>
      </c>
      <c r="B1324" s="6" t="s">
        <v>11072</v>
      </c>
      <c r="C1324" s="6" t="s">
        <v>5919</v>
      </c>
      <c r="D1324" s="7" t="str">
        <f>VLOOKUP(B1324,Table1[[CIPCode]:[CIPTITLE]],4,FALSE)</f>
        <v>Marriage and Family Therapy/Counseling.</v>
      </c>
    </row>
    <row r="1325" spans="1:4" x14ac:dyDescent="0.2">
      <c r="A1325" s="7" t="s">
        <v>14191</v>
      </c>
      <c r="B1325" s="6" t="s">
        <v>9393</v>
      </c>
      <c r="C1325" s="6" t="s">
        <v>21455</v>
      </c>
      <c r="D1325" s="7" t="str">
        <f>VLOOKUP(B1325,Table1[[CIPCode]:[CIPTITLE]],4,FALSE)</f>
        <v>Clinical Pastoral Counseling/Patient Counseling.</v>
      </c>
    </row>
    <row r="1326" spans="1:4" x14ac:dyDescent="0.2">
      <c r="A1326" s="7" t="s">
        <v>14191</v>
      </c>
      <c r="B1326" s="6" t="s">
        <v>8123</v>
      </c>
      <c r="C1326" s="6" t="s">
        <v>5193</v>
      </c>
      <c r="D1326" s="7" t="str">
        <f>VLOOKUP(B1326,Table1[[CIPCode]:[CIPTITLE]],4,FALSE)</f>
        <v>Psychoanalysis and Psychotherapy.</v>
      </c>
    </row>
    <row r="1327" spans="1:4" x14ac:dyDescent="0.2">
      <c r="A1327" s="7" t="s">
        <v>14191</v>
      </c>
      <c r="B1327" s="6" t="s">
        <v>8126</v>
      </c>
      <c r="C1327" s="6" t="s">
        <v>21456</v>
      </c>
      <c r="D1327" s="7" t="str">
        <f>VLOOKUP(B1327,Table1[[CIPCode]:[CIPTITLE]],4,FALSE)</f>
        <v>Mental Health Counseling/Counselor.</v>
      </c>
    </row>
    <row r="1328" spans="1:4" x14ac:dyDescent="0.2">
      <c r="A1328" s="7" t="s">
        <v>14191</v>
      </c>
      <c r="B1328" s="6" t="s">
        <v>9481</v>
      </c>
      <c r="C1328" s="6" t="s">
        <v>21457</v>
      </c>
      <c r="D1328" s="7" t="str">
        <f>VLOOKUP(B1328,Table1[[CIPCode]:[CIPTITLE]],4,FALSE)</f>
        <v>Genetic Counseling/Counselor.</v>
      </c>
    </row>
    <row r="1329" spans="1:4" x14ac:dyDescent="0.2">
      <c r="A1329" s="7" t="s">
        <v>14191</v>
      </c>
      <c r="B1329" s="6" t="s">
        <v>13312</v>
      </c>
      <c r="C1329" s="6" t="s">
        <v>5098</v>
      </c>
      <c r="D1329" s="7" t="str">
        <f>VLOOKUP(B1329,Table1[[CIPCode]:[CIPTITLE]],4,FALSE)</f>
        <v>Mental and Social Health Services and Allied Professions, Other.</v>
      </c>
    </row>
    <row r="1330" spans="1:4" x14ac:dyDescent="0.2">
      <c r="A1330" s="7" t="s">
        <v>14191</v>
      </c>
      <c r="B1330" s="6" t="s">
        <v>10728</v>
      </c>
      <c r="C1330" s="6" t="s">
        <v>13317</v>
      </c>
      <c r="D1330" s="7" t="str">
        <f>VLOOKUP(B1330,Table1[[CIPCode]:[CIPTITLE]],4,FALSE)</f>
        <v>Nursing.</v>
      </c>
    </row>
    <row r="1331" spans="1:4" x14ac:dyDescent="0.2">
      <c r="A1331" s="7" t="s">
        <v>14191</v>
      </c>
      <c r="B1331" s="6" t="s">
        <v>13320</v>
      </c>
      <c r="C1331" s="6" t="s">
        <v>21458</v>
      </c>
      <c r="D1331" s="7" t="str">
        <f>VLOOKUP(B1331,Table1[[CIPCode]:[CIPTITLE]],4,FALSE)</f>
        <v>Nursing/Registered Nurse (RN, ASN, BSN, MSN).</v>
      </c>
    </row>
    <row r="1332" spans="1:4" x14ac:dyDescent="0.2">
      <c r="A1332" s="7" t="s">
        <v>14191</v>
      </c>
      <c r="B1332" s="6" t="s">
        <v>13324</v>
      </c>
      <c r="C1332" s="6" t="s">
        <v>5079</v>
      </c>
      <c r="D1332" s="7" t="str">
        <f>VLOOKUP(B1332,Table1[[CIPCode]:[CIPTITLE]],4,FALSE)</f>
        <v>Nursing Administration (MSN, MS, PhD).</v>
      </c>
    </row>
    <row r="1333" spans="1:4" x14ac:dyDescent="0.2">
      <c r="A1333" s="7" t="s">
        <v>14191</v>
      </c>
      <c r="B1333" s="6" t="s">
        <v>13328</v>
      </c>
      <c r="C1333" s="6" t="s">
        <v>5101</v>
      </c>
      <c r="D1333" s="7" t="str">
        <f>VLOOKUP(B1333,Table1[[CIPCode]:[CIPTITLE]],4,FALSE)</f>
        <v>Adult Health Nurse/Nursing.</v>
      </c>
    </row>
    <row r="1334" spans="1:4" x14ac:dyDescent="0.2">
      <c r="A1334" s="7" t="s">
        <v>14191</v>
      </c>
      <c r="B1334" s="6" t="s">
        <v>13332</v>
      </c>
      <c r="C1334" s="6" t="s">
        <v>5102</v>
      </c>
      <c r="D1334" s="7" t="str">
        <f>VLOOKUP(B1334,Table1[[CIPCode]:[CIPTITLE]],4,FALSE)</f>
        <v>Nurse Anesthetist.</v>
      </c>
    </row>
    <row r="1335" spans="1:4" x14ac:dyDescent="0.2">
      <c r="A1335" s="7" t="s">
        <v>14191</v>
      </c>
      <c r="B1335" s="6" t="s">
        <v>13336</v>
      </c>
      <c r="C1335" s="6" t="s">
        <v>5104</v>
      </c>
      <c r="D1335" s="7" t="str">
        <f>VLOOKUP(B1335,Table1[[CIPCode]:[CIPTITLE]],4,FALSE)</f>
        <v>Family Practice Nurse/Nurse Practitioner.</v>
      </c>
    </row>
    <row r="1336" spans="1:4" x14ac:dyDescent="0.2">
      <c r="A1336" s="7" t="s">
        <v>14191</v>
      </c>
      <c r="B1336" s="6" t="s">
        <v>13340</v>
      </c>
      <c r="C1336" s="6" t="s">
        <v>5105</v>
      </c>
      <c r="D1336" s="7" t="str">
        <f>VLOOKUP(B1336,Table1[[CIPCode]:[CIPTITLE]],4,FALSE)</f>
        <v>Maternal/Child Health and Neonatal Nurse/Nursing.</v>
      </c>
    </row>
    <row r="1337" spans="1:4" x14ac:dyDescent="0.2">
      <c r="A1337" s="7" t="s">
        <v>14191</v>
      </c>
      <c r="B1337" s="6" t="s">
        <v>13344</v>
      </c>
      <c r="C1337" s="6" t="s">
        <v>5106</v>
      </c>
      <c r="D1337" s="7" t="str">
        <f>VLOOKUP(B1337,Table1[[CIPCode]:[CIPTITLE]],4,FALSE)</f>
        <v>Nurse Midwife/Nursing Midwifery.</v>
      </c>
    </row>
    <row r="1338" spans="1:4" x14ac:dyDescent="0.2">
      <c r="A1338" s="7" t="s">
        <v>14191</v>
      </c>
      <c r="B1338" s="6" t="s">
        <v>13348</v>
      </c>
      <c r="C1338" s="6" t="s">
        <v>5108</v>
      </c>
      <c r="D1338" s="7" t="str">
        <f>VLOOKUP(B1338,Table1[[CIPCode]:[CIPTITLE]],4,FALSE)</f>
        <v>Nursing Science (MS, PhD).</v>
      </c>
    </row>
    <row r="1339" spans="1:4" x14ac:dyDescent="0.2">
      <c r="A1339" s="7" t="s">
        <v>14191</v>
      </c>
      <c r="B1339" s="6" t="s">
        <v>13352</v>
      </c>
      <c r="C1339" s="6" t="s">
        <v>5109</v>
      </c>
      <c r="D1339" s="7" t="str">
        <f>VLOOKUP(B1339,Table1[[CIPCode]:[CIPTITLE]],4,FALSE)</f>
        <v>Pediatric Nurse/Nursing.</v>
      </c>
    </row>
    <row r="1340" spans="1:4" x14ac:dyDescent="0.2">
      <c r="A1340" s="7" t="s">
        <v>14191</v>
      </c>
      <c r="B1340" s="6" t="s">
        <v>13356</v>
      </c>
      <c r="C1340" s="6" t="s">
        <v>5112</v>
      </c>
      <c r="D1340" s="7" t="str">
        <f>VLOOKUP(B1340,Table1[[CIPCode]:[CIPTITLE]],4,FALSE)</f>
        <v>Psychiatric/Mental Health Nurse/Nursing.</v>
      </c>
    </row>
    <row r="1341" spans="1:4" x14ac:dyDescent="0.2">
      <c r="A1341" s="7" t="s">
        <v>14191</v>
      </c>
      <c r="B1341" s="6" t="s">
        <v>13360</v>
      </c>
      <c r="C1341" s="6" t="s">
        <v>5111</v>
      </c>
      <c r="D1341" s="7" t="str">
        <f>VLOOKUP(B1341,Table1[[CIPCode]:[CIPTITLE]],4,FALSE)</f>
        <v>Public Health/Community Nurse/Nursing.</v>
      </c>
    </row>
    <row r="1342" spans="1:4" x14ac:dyDescent="0.2">
      <c r="A1342" s="7" t="s">
        <v>14191</v>
      </c>
      <c r="B1342" s="6" t="s">
        <v>13364</v>
      </c>
      <c r="C1342" s="6" t="s">
        <v>5113</v>
      </c>
      <c r="D1342" s="7" t="str">
        <f>VLOOKUP(B1342,Table1[[CIPCode]:[CIPTITLE]],4,FALSE)</f>
        <v>Perioperative/Operating Room and Surgical Nurse/Nursing.</v>
      </c>
    </row>
    <row r="1343" spans="1:4" x14ac:dyDescent="0.2">
      <c r="A1343" s="7" t="s">
        <v>14191</v>
      </c>
      <c r="B1343" s="6" t="s">
        <v>13368</v>
      </c>
      <c r="C1343" s="6" t="s">
        <v>21459</v>
      </c>
      <c r="D1343" s="7" t="str">
        <f>VLOOKUP(B1343,Table1[[CIPCode]:[CIPTITLE]],4,FALSE)</f>
        <v>Licensed Practical/Vocational Nurse Training (LPN, LVN, Cert.</v>
      </c>
    </row>
    <row r="1344" spans="1:4" x14ac:dyDescent="0.2">
      <c r="A1344" s="7" t="s">
        <v>14191</v>
      </c>
      <c r="B1344" s="6" t="s">
        <v>13372</v>
      </c>
      <c r="C1344" s="6" t="s">
        <v>5117</v>
      </c>
      <c r="D1344" s="7" t="str">
        <f>VLOOKUP(B1344,Table1[[CIPCode]:[CIPTITLE]],4,FALSE)</f>
        <v>Nurse/Nursing Assistant/Aide and Patient Care Assistant.</v>
      </c>
    </row>
    <row r="1345" spans="1:4" x14ac:dyDescent="0.2">
      <c r="A1345" s="7" t="s">
        <v>14191</v>
      </c>
      <c r="B1345" s="6" t="s">
        <v>8163</v>
      </c>
      <c r="C1345" s="6" t="s">
        <v>21460</v>
      </c>
      <c r="D1345" s="7" t="str">
        <f>VLOOKUP(B1345,Table1[[CIPCode]:[CIPTITLE]],4,FALSE)</f>
        <v>Clinical Nurse Specialist.</v>
      </c>
    </row>
    <row r="1346" spans="1:4" x14ac:dyDescent="0.2">
      <c r="A1346" s="7" t="s">
        <v>14191</v>
      </c>
      <c r="B1346" s="6" t="s">
        <v>8166</v>
      </c>
      <c r="C1346" s="6" t="s">
        <v>1247</v>
      </c>
      <c r="D1346" s="7" t="str">
        <f>VLOOKUP(B1346,Table1[[CIPCode]:[CIPTITLE]],4,FALSE)</f>
        <v>Critical Care Nursing.</v>
      </c>
    </row>
    <row r="1347" spans="1:4" x14ac:dyDescent="0.2">
      <c r="A1347" s="7" t="s">
        <v>14191</v>
      </c>
      <c r="B1347" s="6" t="s">
        <v>13380</v>
      </c>
      <c r="C1347" s="6" t="s">
        <v>13381</v>
      </c>
      <c r="D1347" s="7" t="str">
        <f>VLOOKUP(B1347,Table1[[CIPCode]:[CIPTITLE]],4,FALSE)</f>
        <v>Nursing, Other.</v>
      </c>
    </row>
    <row r="1348" spans="1:4" x14ac:dyDescent="0.2">
      <c r="A1348" s="7" t="s">
        <v>14191</v>
      </c>
      <c r="B1348" s="6" t="s">
        <v>8174</v>
      </c>
      <c r="C1348" s="6" t="s">
        <v>5122</v>
      </c>
      <c r="D1348" s="7" t="str">
        <f>VLOOKUP(B1348,Table1[[CIPCode]:[CIPTITLE]],4,FALSE)</f>
        <v>Optometry (OD).</v>
      </c>
    </row>
    <row r="1349" spans="1:4" x14ac:dyDescent="0.2">
      <c r="A1349" s="7" t="s">
        <v>14191</v>
      </c>
      <c r="B1349" s="6" t="s">
        <v>13388</v>
      </c>
      <c r="C1349" s="6" t="s">
        <v>5122</v>
      </c>
      <c r="D1349" s="7" t="str">
        <f>VLOOKUP(B1349,Table1[[CIPCode]:[CIPTITLE]],4,FALSE)</f>
        <v>Optometry (OD).</v>
      </c>
    </row>
    <row r="1350" spans="1:4" x14ac:dyDescent="0.2">
      <c r="A1350" s="7" t="s">
        <v>14191</v>
      </c>
      <c r="B1350" s="6" t="s">
        <v>8178</v>
      </c>
      <c r="C1350" s="6" t="s">
        <v>5123</v>
      </c>
      <c r="D1350" s="7" t="str">
        <f>VLOOKUP(B1350,Table1[[CIPCode]:[CIPTITLE]],4,FALSE)</f>
        <v>Ophthalmic and Optometric Support Services and Allied Professions.</v>
      </c>
    </row>
    <row r="1351" spans="1:4" x14ac:dyDescent="0.2">
      <c r="A1351" s="7" t="s">
        <v>14191</v>
      </c>
      <c r="B1351" s="6" t="s">
        <v>13396</v>
      </c>
      <c r="C1351" s="6" t="s">
        <v>5124</v>
      </c>
      <c r="D1351" s="7" t="str">
        <f>VLOOKUP(B1351,Table1[[CIPCode]:[CIPTITLE]],4,FALSE)</f>
        <v>Opticianry/Ophthalmic Dispensing Optician.</v>
      </c>
    </row>
    <row r="1352" spans="1:4" x14ac:dyDescent="0.2">
      <c r="A1352" s="7" t="s">
        <v>14191</v>
      </c>
      <c r="B1352" s="6" t="s">
        <v>13400</v>
      </c>
      <c r="C1352" s="6" t="s">
        <v>1455</v>
      </c>
      <c r="D1352" s="7" t="str">
        <f>VLOOKUP(B1352,Table1[[CIPCode]:[CIPTITLE]],4,FALSE)</f>
        <v>Optometric Technician/Assistant.</v>
      </c>
    </row>
    <row r="1353" spans="1:4" x14ac:dyDescent="0.2">
      <c r="A1353" s="7" t="s">
        <v>14191</v>
      </c>
      <c r="B1353" s="6" t="s">
        <v>13404</v>
      </c>
      <c r="C1353" s="6" t="s">
        <v>5031</v>
      </c>
      <c r="D1353" s="7" t="str">
        <f>VLOOKUP(B1353,Table1[[CIPCode]:[CIPTITLE]],4,FALSE)</f>
        <v>Ophthalmic Technician/Technologist.</v>
      </c>
    </row>
    <row r="1354" spans="1:4" x14ac:dyDescent="0.2">
      <c r="A1354" s="7" t="s">
        <v>14191</v>
      </c>
      <c r="B1354" s="6" t="s">
        <v>13408</v>
      </c>
      <c r="C1354" s="6" t="s">
        <v>5127</v>
      </c>
      <c r="D1354" s="7" t="str">
        <f>VLOOKUP(B1354,Table1[[CIPCode]:[CIPTITLE]],4,FALSE)</f>
        <v>Orthoptics/Orthoptist.</v>
      </c>
    </row>
    <row r="1355" spans="1:4" x14ac:dyDescent="0.2">
      <c r="A1355" s="7" t="s">
        <v>14191</v>
      </c>
      <c r="B1355" s="6" t="s">
        <v>13412</v>
      </c>
      <c r="C1355" s="6" t="s">
        <v>21461</v>
      </c>
      <c r="D1355" s="7" t="str">
        <f>VLOOKUP(B1355,Table1[[CIPCode]:[CIPTITLE]],4,FALSE)</f>
        <v>Ophthalmic and Optometric Support Services and Allied Professions, Other.</v>
      </c>
    </row>
    <row r="1356" spans="1:4" x14ac:dyDescent="0.2">
      <c r="A1356" s="7" t="s">
        <v>14191</v>
      </c>
      <c r="B1356" s="6" t="s">
        <v>7878</v>
      </c>
      <c r="C1356" s="6" t="s">
        <v>5129</v>
      </c>
      <c r="D1356" s="7" t="str">
        <f>VLOOKUP(B1356,Table1[[CIPCode]:[CIPTITLE]],4,FALSE)</f>
        <v>Osteopathic Medicine/Osteopathy (DO).</v>
      </c>
    </row>
    <row r="1357" spans="1:4" x14ac:dyDescent="0.2">
      <c r="A1357" s="7" t="s">
        <v>14191</v>
      </c>
      <c r="B1357" s="6" t="s">
        <v>13420</v>
      </c>
      <c r="C1357" s="6" t="s">
        <v>5129</v>
      </c>
      <c r="D1357" s="7" t="str">
        <f>VLOOKUP(B1357,Table1[[CIPCode]:[CIPTITLE]],4,FALSE)</f>
        <v>Osteopathic Medicine/Osteopathy (DO).</v>
      </c>
    </row>
    <row r="1358" spans="1:4" x14ac:dyDescent="0.2">
      <c r="A1358" s="7" t="s">
        <v>14191</v>
      </c>
      <c r="B1358" s="6" t="s">
        <v>7882</v>
      </c>
      <c r="C1358" s="6" t="s">
        <v>5130</v>
      </c>
      <c r="D1358" s="7" t="str">
        <f>VLOOKUP(B1358,Table1[[CIPCode]:[CIPTITLE]],4,FALSE)</f>
        <v>Pharmacy, Pharmaceutical Sciences, and Administration.</v>
      </c>
    </row>
    <row r="1359" spans="1:4" x14ac:dyDescent="0.2">
      <c r="A1359" s="7" t="s">
        <v>14191</v>
      </c>
      <c r="B1359" s="6" t="s">
        <v>13427</v>
      </c>
      <c r="C1359" s="6" t="s">
        <v>21462</v>
      </c>
      <c r="D1359" s="7" t="str">
        <f>VLOOKUP(B1359,Table1[[CIPCode]:[CIPTITLE]],4,FALSE)</f>
        <v>Pharmacy (PharmD [USA], PharmD or BS/BPharm [Canada]).</v>
      </c>
    </row>
    <row r="1360" spans="1:4" x14ac:dyDescent="0.2">
      <c r="A1360" s="7" t="s">
        <v>14191</v>
      </c>
      <c r="B1360" s="6" t="s">
        <v>13431</v>
      </c>
      <c r="C1360" s="6" t="s">
        <v>21463</v>
      </c>
      <c r="D1360" s="7" t="str">
        <f>VLOOKUP(B1360,Table1[[CIPCode]:[CIPTITLE]],4,FALSE)</f>
        <v>Pharmacy Administration and Pharmacy Policy and Regulatory Affairs (MS, PhD).</v>
      </c>
    </row>
    <row r="1361" spans="1:4" x14ac:dyDescent="0.2">
      <c r="A1361" s="7" t="s">
        <v>14191</v>
      </c>
      <c r="B1361" s="6" t="s">
        <v>13435</v>
      </c>
      <c r="C1361" s="6" t="s">
        <v>5140</v>
      </c>
      <c r="D1361" s="7" t="str">
        <f>VLOOKUP(B1361,Table1[[CIPCode]:[CIPTITLE]],4,FALSE)</f>
        <v>Pharmaceutics and Drug Design (MS, PhD).</v>
      </c>
    </row>
    <row r="1362" spans="1:4" x14ac:dyDescent="0.2">
      <c r="A1362" s="7" t="s">
        <v>14191</v>
      </c>
      <c r="B1362" s="6" t="s">
        <v>7891</v>
      </c>
      <c r="C1362" s="6" t="s">
        <v>21464</v>
      </c>
      <c r="D1362" s="7" t="str">
        <f>VLOOKUP(B1362,Table1[[CIPCode]:[CIPTITLE]],4,FALSE)</f>
        <v>Medicinal and Pharmaceutical Chemistry (MS, PhD).</v>
      </c>
    </row>
    <row r="1363" spans="1:4" x14ac:dyDescent="0.2">
      <c r="A1363" s="7" t="s">
        <v>14191</v>
      </c>
      <c r="B1363" s="6" t="s">
        <v>7894</v>
      </c>
      <c r="C1363" s="6" t="s">
        <v>21465</v>
      </c>
      <c r="D1363" s="7" t="str">
        <f>VLOOKUP(B1363,Table1[[CIPCode]:[CIPTITLE]],4,FALSE)</f>
        <v>Natural Products Chemistry and Pharmacognosy (MS, PhD).</v>
      </c>
    </row>
    <row r="1364" spans="1:4" x14ac:dyDescent="0.2">
      <c r="A1364" s="7" t="s">
        <v>14191</v>
      </c>
      <c r="B1364" s="6" t="s">
        <v>7900</v>
      </c>
      <c r="C1364" s="6" t="s">
        <v>21466</v>
      </c>
      <c r="D1364" s="7" t="str">
        <f>VLOOKUP(B1364,Table1[[CIPCode]:[CIPTITLE]],4,FALSE)</f>
        <v>Pharmacoeconomics/Pharmaceutical Economics (MS, PhD).</v>
      </c>
    </row>
    <row r="1365" spans="1:4" x14ac:dyDescent="0.2">
      <c r="A1365" s="7" t="s">
        <v>14191</v>
      </c>
      <c r="B1365" s="6" t="s">
        <v>7903</v>
      </c>
      <c r="C1365" s="6" t="s">
        <v>21467</v>
      </c>
      <c r="D1365" s="7" t="str">
        <f>VLOOKUP(B1365,Table1[[CIPCode]:[CIPTITLE]],4,FALSE)</f>
        <v>Clinical, Hospital, and Managed Care Pharmacy (MS, PhD).</v>
      </c>
    </row>
    <row r="1366" spans="1:4" x14ac:dyDescent="0.2">
      <c r="A1366" s="7" t="s">
        <v>14191</v>
      </c>
      <c r="B1366" s="6" t="s">
        <v>7906</v>
      </c>
      <c r="C1366" s="6" t="s">
        <v>21468</v>
      </c>
      <c r="D1366" s="7" t="str">
        <f>VLOOKUP(B1366,Table1[[CIPCode]:[CIPTITLE]],4,FALSE)</f>
        <v>Industrial and Physical Pharmacy and Cosmetic Sciences (MS, PhD).</v>
      </c>
    </row>
    <row r="1367" spans="1:4" x14ac:dyDescent="0.2">
      <c r="A1367" s="7" t="s">
        <v>14191</v>
      </c>
      <c r="B1367" s="6" t="s">
        <v>13439</v>
      </c>
      <c r="C1367" s="6" t="s">
        <v>5146</v>
      </c>
      <c r="D1367" s="7" t="str">
        <f>VLOOKUP(B1367,Table1[[CIPCode]:[CIPTITLE]],4,FALSE)</f>
        <v>Pharmacy, Pharmaceutical Sciences, and Administration, Other.</v>
      </c>
    </row>
    <row r="1368" spans="1:4" x14ac:dyDescent="0.2">
      <c r="A1368" s="7" t="s">
        <v>14191</v>
      </c>
      <c r="B1368" s="6" t="s">
        <v>7911</v>
      </c>
      <c r="C1368" s="6" t="s">
        <v>5147</v>
      </c>
      <c r="D1368" s="7" t="str">
        <f>VLOOKUP(B1368,Table1[[CIPCode]:[CIPTITLE]],4,FALSE)</f>
        <v>Podiatric Medicine/Podiatry (DPM).</v>
      </c>
    </row>
    <row r="1369" spans="1:4" x14ac:dyDescent="0.2">
      <c r="A1369" s="7" t="s">
        <v>14191</v>
      </c>
      <c r="B1369" s="6" t="s">
        <v>13447</v>
      </c>
      <c r="C1369" s="6" t="s">
        <v>5147</v>
      </c>
      <c r="D1369" s="7" t="str">
        <f>VLOOKUP(B1369,Table1[[CIPCode]:[CIPTITLE]],4,FALSE)</f>
        <v>Podiatric Medicine/Podiatry (DPM).</v>
      </c>
    </row>
    <row r="1370" spans="1:4" x14ac:dyDescent="0.2">
      <c r="A1370" s="7" t="s">
        <v>14191</v>
      </c>
      <c r="B1370" s="6" t="s">
        <v>7915</v>
      </c>
      <c r="C1370" s="6" t="s">
        <v>13451</v>
      </c>
      <c r="D1370" s="7" t="str">
        <f>VLOOKUP(B1370,Table1[[CIPCode]:[CIPTITLE]],4,FALSE)</f>
        <v>Public Health.</v>
      </c>
    </row>
    <row r="1371" spans="1:4" x14ac:dyDescent="0.2">
      <c r="A1371" s="7" t="s">
        <v>14191</v>
      </c>
      <c r="B1371" s="6" t="s">
        <v>13454</v>
      </c>
      <c r="C1371" s="6" t="s">
        <v>5148</v>
      </c>
      <c r="D1371" s="7" t="str">
        <f>VLOOKUP(B1371,Table1[[CIPCode]:[CIPTITLE]],4,FALSE)</f>
        <v>Public Health, General (MPH, DPH).</v>
      </c>
    </row>
    <row r="1372" spans="1:4" x14ac:dyDescent="0.2">
      <c r="A1372" s="7" t="s">
        <v>14191</v>
      </c>
      <c r="B1372" s="6" t="s">
        <v>13458</v>
      </c>
      <c r="C1372" s="6" t="s">
        <v>13459</v>
      </c>
      <c r="D1372" s="7" t="str">
        <f>VLOOKUP(B1372,Table1[[CIPCode]:[CIPTITLE]],4,FALSE)</f>
        <v>Environmental Health.</v>
      </c>
    </row>
    <row r="1373" spans="1:4" x14ac:dyDescent="0.2">
      <c r="A1373" s="7" t="s">
        <v>14191</v>
      </c>
      <c r="B1373" s="6" t="s">
        <v>13470</v>
      </c>
      <c r="C1373" s="6" t="s">
        <v>21469</v>
      </c>
      <c r="D1373" s="7" t="str">
        <f>VLOOKUP(B1373,Table1[[CIPCode]:[CIPTITLE]],4,FALSE)</f>
        <v>Health/Medical  Physics.</v>
      </c>
    </row>
    <row r="1374" spans="1:4" x14ac:dyDescent="0.2">
      <c r="A1374" s="7" t="s">
        <v>14191</v>
      </c>
      <c r="B1374" s="6" t="s">
        <v>13474</v>
      </c>
      <c r="C1374" s="6" t="s">
        <v>5151</v>
      </c>
      <c r="D1374" s="7" t="str">
        <f>VLOOKUP(B1374,Table1[[CIPCode]:[CIPTITLE]],4,FALSE)</f>
        <v>Occupational Health and Industrial Hygiene.</v>
      </c>
    </row>
    <row r="1375" spans="1:4" x14ac:dyDescent="0.2">
      <c r="A1375" s="7" t="s">
        <v>14191</v>
      </c>
      <c r="B1375" s="6" t="s">
        <v>13478</v>
      </c>
      <c r="C1375" s="6" t="s">
        <v>5152</v>
      </c>
      <c r="D1375" s="7" t="str">
        <f>VLOOKUP(B1375,Table1[[CIPCode]:[CIPTITLE]],4,FALSE)</f>
        <v>Public Health Education and Promotion.</v>
      </c>
    </row>
    <row r="1376" spans="1:4" x14ac:dyDescent="0.2">
      <c r="A1376" s="7" t="s">
        <v>14191</v>
      </c>
      <c r="B1376" s="6" t="s">
        <v>7930</v>
      </c>
      <c r="C1376" s="6" t="s">
        <v>21470</v>
      </c>
      <c r="D1376" s="7" t="str">
        <f>VLOOKUP(B1376,Table1[[CIPCode]:[CIPTITLE]],4,FALSE)</f>
        <v>Community Health and Preventive Medicine.</v>
      </c>
    </row>
    <row r="1377" spans="1:4" x14ac:dyDescent="0.2">
      <c r="A1377" s="7" t="s">
        <v>14191</v>
      </c>
      <c r="B1377" s="6" t="s">
        <v>7933</v>
      </c>
      <c r="C1377" s="6" t="s">
        <v>21471</v>
      </c>
      <c r="D1377" s="7" t="str">
        <f>VLOOKUP(B1377,Table1[[CIPCode]:[CIPTITLE]],4,FALSE)</f>
        <v>Maternal and Child Health.</v>
      </c>
    </row>
    <row r="1378" spans="1:4" x14ac:dyDescent="0.2">
      <c r="A1378" s="7" t="s">
        <v>14191</v>
      </c>
      <c r="B1378" s="6" t="s">
        <v>7939</v>
      </c>
      <c r="C1378" s="6" t="s">
        <v>21472</v>
      </c>
      <c r="D1378" s="7" t="str">
        <f>VLOOKUP(B1378,Table1[[CIPCode]:[CIPTITLE]],4,FALSE)</f>
        <v>Health Services Administration.</v>
      </c>
    </row>
    <row r="1379" spans="1:4" x14ac:dyDescent="0.2">
      <c r="A1379" s="7" t="s">
        <v>14191</v>
      </c>
      <c r="B1379" s="6" t="s">
        <v>13482</v>
      </c>
      <c r="C1379" s="6" t="s">
        <v>13483</v>
      </c>
      <c r="D1379" s="7" t="str">
        <f>VLOOKUP(B1379,Table1[[CIPCode]:[CIPTITLE]],4,FALSE)</f>
        <v>Public Health, Other.</v>
      </c>
    </row>
    <row r="1380" spans="1:4" x14ac:dyDescent="0.2">
      <c r="A1380" s="7" t="s">
        <v>14191</v>
      </c>
      <c r="B1380" s="6" t="s">
        <v>7944</v>
      </c>
      <c r="C1380" s="6" t="s">
        <v>5159</v>
      </c>
      <c r="D1380" s="7" t="str">
        <f>VLOOKUP(B1380,Table1[[CIPCode]:[CIPTITLE]],4,FALSE)</f>
        <v>Rehabilitation and Therapeutic Professions.</v>
      </c>
    </row>
    <row r="1381" spans="1:4" x14ac:dyDescent="0.2">
      <c r="A1381" s="7" t="s">
        <v>14191</v>
      </c>
      <c r="B1381" s="6" t="s">
        <v>13490</v>
      </c>
      <c r="C1381" s="6" t="s">
        <v>5157</v>
      </c>
      <c r="D1381" s="7" t="str">
        <f>VLOOKUP(B1381,Table1[[CIPCode]:[CIPTITLE]],4,FALSE)</f>
        <v>Art Therapy/Therapist.</v>
      </c>
    </row>
    <row r="1382" spans="1:4" x14ac:dyDescent="0.2">
      <c r="A1382" s="7" t="s">
        <v>14191</v>
      </c>
      <c r="B1382" s="6" t="s">
        <v>13494</v>
      </c>
      <c r="C1382" s="6" t="s">
        <v>5158</v>
      </c>
      <c r="D1382" s="7" t="str">
        <f>VLOOKUP(B1382,Table1[[CIPCode]:[CIPTITLE]],4,FALSE)</f>
        <v>Dance Therapy/Therapist.</v>
      </c>
    </row>
    <row r="1383" spans="1:4" x14ac:dyDescent="0.2">
      <c r="A1383" s="7" t="s">
        <v>14191</v>
      </c>
      <c r="B1383" s="6" t="s">
        <v>13506</v>
      </c>
      <c r="C1383" s="6" t="s">
        <v>5133</v>
      </c>
      <c r="D1383" s="7" t="str">
        <f>VLOOKUP(B1383,Table1[[CIPCode]:[CIPTITLE]],4,FALSE)</f>
        <v>Music Therapy/Therapist.</v>
      </c>
    </row>
    <row r="1384" spans="1:4" x14ac:dyDescent="0.2">
      <c r="A1384" s="7" t="s">
        <v>14191</v>
      </c>
      <c r="B1384" s="6" t="s">
        <v>13510</v>
      </c>
      <c r="C1384" s="6" t="s">
        <v>5134</v>
      </c>
      <c r="D1384" s="7" t="str">
        <f>VLOOKUP(B1384,Table1[[CIPCode]:[CIPTITLE]],4,FALSE)</f>
        <v>Occupational Therapy/Therapist.</v>
      </c>
    </row>
    <row r="1385" spans="1:4" x14ac:dyDescent="0.2">
      <c r="A1385" s="7" t="s">
        <v>14191</v>
      </c>
      <c r="B1385" s="6" t="s">
        <v>13514</v>
      </c>
      <c r="C1385" s="6" t="s">
        <v>5160</v>
      </c>
      <c r="D1385" s="7" t="str">
        <f>VLOOKUP(B1385,Table1[[CIPCode]:[CIPTITLE]],4,FALSE)</f>
        <v>Orthotist/Prosthetist.</v>
      </c>
    </row>
    <row r="1386" spans="1:4" x14ac:dyDescent="0.2">
      <c r="A1386" s="7" t="s">
        <v>14191</v>
      </c>
      <c r="B1386" s="6" t="s">
        <v>13518</v>
      </c>
      <c r="C1386" s="6" t="s">
        <v>5161</v>
      </c>
      <c r="D1386" s="7" t="str">
        <f>VLOOKUP(B1386,Table1[[CIPCode]:[CIPTITLE]],4,FALSE)</f>
        <v>Physical Therapy/Therapist.</v>
      </c>
    </row>
    <row r="1387" spans="1:4" x14ac:dyDescent="0.2">
      <c r="A1387" s="7" t="s">
        <v>14191</v>
      </c>
      <c r="B1387" s="6" t="s">
        <v>13522</v>
      </c>
      <c r="C1387" s="6" t="s">
        <v>5162</v>
      </c>
      <c r="D1387" s="7" t="str">
        <f>VLOOKUP(B1387,Table1[[CIPCode]:[CIPTITLE]],4,FALSE)</f>
        <v>Therapeutic Recreation/Recreational Therapy.</v>
      </c>
    </row>
    <row r="1388" spans="1:4" x14ac:dyDescent="0.2">
      <c r="A1388" s="7" t="s">
        <v>14191</v>
      </c>
      <c r="B1388" s="6" t="s">
        <v>13526</v>
      </c>
      <c r="C1388" s="6" t="s">
        <v>5163</v>
      </c>
      <c r="D1388" s="7" t="str">
        <f>VLOOKUP(B1388,Table1[[CIPCode]:[CIPTITLE]],4,FALSE)</f>
        <v>Vocational Rehabilitation Counseling/Counselor.</v>
      </c>
    </row>
    <row r="1389" spans="1:4" x14ac:dyDescent="0.2">
      <c r="A1389" s="7" t="s">
        <v>14191</v>
      </c>
      <c r="B1389" s="6" t="s">
        <v>7970</v>
      </c>
      <c r="C1389" s="6" t="s">
        <v>21473</v>
      </c>
      <c r="D1389" s="7" t="str">
        <f>VLOOKUP(B1389,Table1[[CIPCode]:[CIPTITLE]],4,FALSE)</f>
        <v>Kinesiotherapy/Kinesiotherapist.</v>
      </c>
    </row>
    <row r="1390" spans="1:4" x14ac:dyDescent="0.2">
      <c r="A1390" s="7" t="s">
        <v>14191</v>
      </c>
      <c r="B1390" s="6" t="s">
        <v>13530</v>
      </c>
      <c r="C1390" s="6" t="s">
        <v>5169</v>
      </c>
      <c r="D1390" s="7" t="str">
        <f>VLOOKUP(B1390,Table1[[CIPCode]:[CIPTITLE]],4,FALSE)</f>
        <v>Rehabilitation and Therapeutic Professions, Other.</v>
      </c>
    </row>
    <row r="1391" spans="1:4" x14ac:dyDescent="0.2">
      <c r="A1391" s="7" t="s">
        <v>14191</v>
      </c>
      <c r="B1391" s="6" t="s">
        <v>11651</v>
      </c>
      <c r="C1391" s="6" t="s">
        <v>5166</v>
      </c>
      <c r="D1391" s="7" t="str">
        <f>VLOOKUP(B1391,Table1[[CIPCode]:[CIPTITLE]],4,FALSE)</f>
        <v>Veterinary Medicine (DVM).</v>
      </c>
    </row>
    <row r="1392" spans="1:4" x14ac:dyDescent="0.2">
      <c r="A1392" s="7" t="s">
        <v>14191</v>
      </c>
      <c r="B1392" s="6" t="s">
        <v>13538</v>
      </c>
      <c r="C1392" s="6" t="s">
        <v>5166</v>
      </c>
      <c r="D1392" s="7" t="str">
        <f>VLOOKUP(B1392,Table1[[CIPCode]:[CIPTITLE]],4,FALSE)</f>
        <v>Veterinary Medicine (DVM).</v>
      </c>
    </row>
    <row r="1393" spans="1:4" x14ac:dyDescent="0.2">
      <c r="A1393" s="7" t="s">
        <v>14191</v>
      </c>
      <c r="B1393" s="6" t="s">
        <v>11738</v>
      </c>
      <c r="C1393" s="6" t="s">
        <v>21474</v>
      </c>
      <c r="D1393" s="7" t="str">
        <f>VLOOKUP(B1393,Table1[[CIPCode]:[CIPTITLE]],4,FALSE)</f>
        <v>Veterinary Biomedical and Clinical Sciences (Cert.</v>
      </c>
    </row>
    <row r="1394" spans="1:4" x14ac:dyDescent="0.2">
      <c r="A1394" s="7" t="s">
        <v>14191</v>
      </c>
      <c r="B1394" s="6" t="s">
        <v>13545</v>
      </c>
      <c r="C1394" s="6" t="s">
        <v>21475</v>
      </c>
      <c r="D1394" s="7" t="str">
        <f>VLOOKUP(B1394,Table1[[CIPCode]:[CIPTITLE]],4,FALSE)</f>
        <v>Veterinary Sciences/Veterinary Clinical Sciences, General (Cert.</v>
      </c>
    </row>
    <row r="1395" spans="1:4" x14ac:dyDescent="0.2">
      <c r="A1395" s="7" t="s">
        <v>14191</v>
      </c>
      <c r="B1395" s="6" t="s">
        <v>7984</v>
      </c>
      <c r="C1395" s="6" t="s">
        <v>21476</v>
      </c>
      <c r="D1395" s="7" t="str">
        <f>VLOOKUP(B1395,Table1[[CIPCode]:[CIPTITLE]],4,FALSE)</f>
        <v>Veterinary Anatomy (Cert.</v>
      </c>
    </row>
    <row r="1396" spans="1:4" x14ac:dyDescent="0.2">
      <c r="A1396" s="7" t="s">
        <v>14191</v>
      </c>
      <c r="B1396" s="6" t="s">
        <v>7987</v>
      </c>
      <c r="C1396" s="6" t="s">
        <v>21477</v>
      </c>
      <c r="D1396" s="7" t="str">
        <f>VLOOKUP(B1396,Table1[[CIPCode]:[CIPTITLE]],4,FALSE)</f>
        <v>Veterinary Physiology (Cert.</v>
      </c>
    </row>
    <row r="1397" spans="1:4" x14ac:dyDescent="0.2">
      <c r="A1397" s="7" t="s">
        <v>14191</v>
      </c>
      <c r="B1397" s="6" t="s">
        <v>7990</v>
      </c>
      <c r="C1397" s="6" t="s">
        <v>21478</v>
      </c>
      <c r="D1397" s="7" t="str">
        <f>VLOOKUP(B1397,Table1[[CIPCode]:[CIPTITLE]],4,FALSE)</f>
        <v>Veterinary Microbiology and Immunobiology (Cert.</v>
      </c>
    </row>
    <row r="1398" spans="1:4" x14ac:dyDescent="0.2">
      <c r="A1398" s="7" t="s">
        <v>14191</v>
      </c>
      <c r="B1398" s="6" t="s">
        <v>7993</v>
      </c>
      <c r="C1398" s="6" t="s">
        <v>21479</v>
      </c>
      <c r="D1398" s="7" t="str">
        <f>VLOOKUP(B1398,Table1[[CIPCode]:[CIPTITLE]],4,FALSE)</f>
        <v>Veterinary Pathology and Pathobiology (Cert.</v>
      </c>
    </row>
    <row r="1399" spans="1:4" x14ac:dyDescent="0.2">
      <c r="A1399" s="7" t="s">
        <v>14191</v>
      </c>
      <c r="B1399" s="6" t="s">
        <v>7998</v>
      </c>
      <c r="C1399" s="6" t="s">
        <v>21480</v>
      </c>
      <c r="D1399" s="7" t="str">
        <f>VLOOKUP(B1399,Table1[[CIPCode]:[CIPTITLE]],4,FALSE)</f>
        <v>Large Animal/Food Animal and Equine Surgery and Medicine (Cert.</v>
      </c>
    </row>
    <row r="1400" spans="1:4" x14ac:dyDescent="0.2">
      <c r="A1400" s="7" t="s">
        <v>14191</v>
      </c>
      <c r="B1400" s="6" t="s">
        <v>8001</v>
      </c>
      <c r="C1400" s="6" t="s">
        <v>21481</v>
      </c>
      <c r="D1400" s="7" t="str">
        <f>VLOOKUP(B1400,Table1[[CIPCode]:[CIPTITLE]],4,FALSE)</f>
        <v>Small/Companion Animal Surgery and Medicine (Cert.</v>
      </c>
    </row>
    <row r="1401" spans="1:4" x14ac:dyDescent="0.2">
      <c r="A1401" s="7" t="s">
        <v>14191</v>
      </c>
      <c r="B1401" s="6" t="s">
        <v>8004</v>
      </c>
      <c r="C1401" s="6" t="s">
        <v>21482</v>
      </c>
      <c r="D1401" s="7" t="str">
        <f>VLOOKUP(B1401,Table1[[CIPCode]:[CIPTITLE]],4,FALSE)</f>
        <v>Comparative and Laboratory Animal Medicine (Cert.</v>
      </c>
    </row>
    <row r="1402" spans="1:4" x14ac:dyDescent="0.2">
      <c r="A1402" s="7" t="s">
        <v>14191</v>
      </c>
      <c r="B1402" s="6" t="s">
        <v>8007</v>
      </c>
      <c r="C1402" s="6" t="s">
        <v>21483</v>
      </c>
      <c r="D1402" s="7" t="str">
        <f>VLOOKUP(B1402,Table1[[CIPCode]:[CIPTITLE]],4,FALSE)</f>
        <v>Veterinary Preventive Medicine Epidemiology, and Public Health (Cert.</v>
      </c>
    </row>
    <row r="1403" spans="1:4" x14ac:dyDescent="0.2">
      <c r="A1403" s="7" t="s">
        <v>14191</v>
      </c>
      <c r="B1403" s="6" t="s">
        <v>7701</v>
      </c>
      <c r="C1403" s="6" t="s">
        <v>21484</v>
      </c>
      <c r="D1403" s="7" t="str">
        <f>VLOOKUP(B1403,Table1[[CIPCode]:[CIPTITLE]],4,FALSE)</f>
        <v>Veterinary Infectious Diseases (Cert.</v>
      </c>
    </row>
    <row r="1404" spans="1:4" x14ac:dyDescent="0.2">
      <c r="A1404" s="7" t="s">
        <v>14191</v>
      </c>
      <c r="B1404" s="6" t="s">
        <v>7704</v>
      </c>
      <c r="C1404" s="6" t="s">
        <v>21485</v>
      </c>
      <c r="D1404" s="7" t="str">
        <f>VLOOKUP(B1404,Table1[[CIPCode]:[CIPTITLE]],4,FALSE)</f>
        <v>Veterinary Biomedical and Clinical Sciences, Other (Cert.</v>
      </c>
    </row>
    <row r="1405" spans="1:4" x14ac:dyDescent="0.2">
      <c r="A1405" s="7" t="s">
        <v>14191</v>
      </c>
      <c r="B1405" s="6" t="s">
        <v>7707</v>
      </c>
      <c r="C1405" s="6" t="s">
        <v>5181</v>
      </c>
      <c r="D1405" s="7" t="str">
        <f>VLOOKUP(B1405,Table1[[CIPCode]:[CIPTITLE]],4,FALSE)</f>
        <v>Health Aides/Attendants/Orderlies.</v>
      </c>
    </row>
    <row r="1406" spans="1:4" x14ac:dyDescent="0.2">
      <c r="A1406" s="7" t="s">
        <v>14191</v>
      </c>
      <c r="B1406" s="6" t="s">
        <v>13552</v>
      </c>
      <c r="C1406" s="6" t="s">
        <v>13553</v>
      </c>
      <c r="D1406" s="7" t="str">
        <f>VLOOKUP(B1406,Table1[[CIPCode]:[CIPTITLE]],4,FALSE)</f>
        <v>Health Aide.</v>
      </c>
    </row>
    <row r="1407" spans="1:4" x14ac:dyDescent="0.2">
      <c r="A1407" s="7" t="s">
        <v>14191</v>
      </c>
      <c r="B1407" s="6" t="s">
        <v>7711</v>
      </c>
      <c r="C1407" s="6" t="s">
        <v>5118</v>
      </c>
      <c r="D1407" s="7" t="str">
        <f>VLOOKUP(B1407,Table1[[CIPCode]:[CIPTITLE]],4,FALSE)</f>
        <v>Home Health Aide/Home Attendant.</v>
      </c>
    </row>
    <row r="1408" spans="1:4" x14ac:dyDescent="0.2">
      <c r="A1408" s="7" t="s">
        <v>14191</v>
      </c>
      <c r="B1408" s="6" t="s">
        <v>7714</v>
      </c>
      <c r="C1408" s="6" t="s">
        <v>21486</v>
      </c>
      <c r="D1408" s="7" t="str">
        <f>VLOOKUP(B1408,Table1[[CIPCode]:[CIPTITLE]],4,FALSE)</f>
        <v>Medication Aide.</v>
      </c>
    </row>
    <row r="1409" spans="1:4" x14ac:dyDescent="0.2">
      <c r="A1409" s="7" t="s">
        <v>14191</v>
      </c>
      <c r="B1409" s="6" t="s">
        <v>7717</v>
      </c>
      <c r="C1409" s="6" t="s">
        <v>21487</v>
      </c>
      <c r="D1409" s="7" t="str">
        <f>VLOOKUP(B1409,Table1[[CIPCode]:[CIPTITLE]],4,FALSE)</f>
        <v>Health Aides/Attendants/Orderlies, Other.</v>
      </c>
    </row>
    <row r="1410" spans="1:4" x14ac:dyDescent="0.2">
      <c r="A1410" s="7" t="s">
        <v>14191</v>
      </c>
      <c r="B1410" s="6" t="s">
        <v>7720</v>
      </c>
      <c r="C1410" s="6" t="s">
        <v>5185</v>
      </c>
      <c r="D1410" s="7" t="str">
        <f>VLOOKUP(B1410,Table1[[CIPCode]:[CIPTITLE]],4,FALSE)</f>
        <v>Medical Illustration and Informatics.</v>
      </c>
    </row>
    <row r="1411" spans="1:4" x14ac:dyDescent="0.2">
      <c r="A1411" s="7" t="s">
        <v>14191</v>
      </c>
      <c r="B1411" s="6" t="s">
        <v>13568</v>
      </c>
      <c r="C1411" s="6" t="s">
        <v>5191</v>
      </c>
      <c r="D1411" s="7" t="str">
        <f>VLOOKUP(B1411,Table1[[CIPCode]:[CIPTITLE]],4,FALSE)</f>
        <v>Medical Illustration/Medical Illustrator.</v>
      </c>
    </row>
    <row r="1412" spans="1:4" x14ac:dyDescent="0.2">
      <c r="A1412" s="7" t="s">
        <v>14191</v>
      </c>
      <c r="B1412" s="6" t="s">
        <v>11160</v>
      </c>
      <c r="C1412" s="6" t="s">
        <v>21488</v>
      </c>
      <c r="D1412" s="7" t="str">
        <f>VLOOKUP(B1412,Table1[[CIPCode]:[CIPTITLE]],4,FALSE)</f>
        <v>Medical Informatics.</v>
      </c>
    </row>
    <row r="1413" spans="1:4" x14ac:dyDescent="0.2">
      <c r="A1413" s="7" t="s">
        <v>14191</v>
      </c>
      <c r="B1413" s="6" t="s">
        <v>10028</v>
      </c>
      <c r="C1413" s="6" t="s">
        <v>21489</v>
      </c>
      <c r="D1413" s="7" t="str">
        <f>VLOOKUP(B1413,Table1[[CIPCode]:[CIPTITLE]],4,FALSE)</f>
        <v>Dietetics and Clinical Nutrition Services.</v>
      </c>
    </row>
    <row r="1414" spans="1:4" x14ac:dyDescent="0.2">
      <c r="A1414" s="7" t="s">
        <v>14191</v>
      </c>
      <c r="B1414" s="6" t="s">
        <v>7739</v>
      </c>
      <c r="C1414" s="6" t="s">
        <v>21490</v>
      </c>
      <c r="D1414" s="7" t="str">
        <f>VLOOKUP(B1414,Table1[[CIPCode]:[CIPTITLE]],4,FALSE)</f>
        <v>Dietetics/Dietitian (RD).</v>
      </c>
    </row>
    <row r="1415" spans="1:4" x14ac:dyDescent="0.2">
      <c r="A1415" s="7" t="s">
        <v>14191</v>
      </c>
      <c r="B1415" s="6" t="s">
        <v>7742</v>
      </c>
      <c r="C1415" s="6" t="s">
        <v>21491</v>
      </c>
      <c r="D1415" s="7" t="str">
        <f>VLOOKUP(B1415,Table1[[CIPCode]:[CIPTITLE]],4,FALSE)</f>
        <v>Clinical Nutrition/Nutritionist.</v>
      </c>
    </row>
    <row r="1416" spans="1:4" x14ac:dyDescent="0.2">
      <c r="A1416" s="7" t="s">
        <v>14191</v>
      </c>
      <c r="B1416" s="6" t="s">
        <v>7745</v>
      </c>
      <c r="C1416" s="6" t="s">
        <v>21492</v>
      </c>
      <c r="D1416" s="7" t="str">
        <f>VLOOKUP(B1416,Table1[[CIPCode]:[CIPTITLE]],4,FALSE)</f>
        <v>Dietetic Technician (DTR).</v>
      </c>
    </row>
    <row r="1417" spans="1:4" x14ac:dyDescent="0.2">
      <c r="A1417" s="7" t="s">
        <v>14191</v>
      </c>
      <c r="B1417" s="6" t="s">
        <v>7748</v>
      </c>
      <c r="C1417" s="6" t="s">
        <v>5959</v>
      </c>
      <c r="D1417" s="7" t="str">
        <f>VLOOKUP(B1417,Table1[[CIPCode]:[CIPTITLE]],4,FALSE)</f>
        <v>Dietitian Assistant.</v>
      </c>
    </row>
    <row r="1418" spans="1:4" x14ac:dyDescent="0.2">
      <c r="A1418" s="7" t="s">
        <v>14191</v>
      </c>
      <c r="B1418" s="6" t="s">
        <v>21055</v>
      </c>
      <c r="C1418" s="6" t="s">
        <v>17189</v>
      </c>
      <c r="D1418" s="7" t="str">
        <f>VLOOKUP(B1418,Table1[[CIPCode]:[CIPTITLE]],4,FALSE)</f>
        <v>Dietetics/Human Nutritional Services</v>
      </c>
    </row>
    <row r="1419" spans="1:4" x14ac:dyDescent="0.2">
      <c r="A1419" s="7" t="s">
        <v>14191</v>
      </c>
      <c r="B1419" s="6" t="s">
        <v>7751</v>
      </c>
      <c r="C1419" s="6" t="s">
        <v>21493</v>
      </c>
      <c r="D1419" s="7" t="str">
        <f>VLOOKUP(B1419,Table1[[CIPCode]:[CIPTITLE]],4,FALSE)</f>
        <v>Dietetics and Clinical Nutrition Services, Other.</v>
      </c>
    </row>
    <row r="1420" spans="1:4" x14ac:dyDescent="0.2">
      <c r="A1420" s="7" t="s">
        <v>14191</v>
      </c>
      <c r="B1420" s="6" t="s">
        <v>7754</v>
      </c>
      <c r="C1420" s="6" t="s">
        <v>21494</v>
      </c>
      <c r="D1420" s="7" t="str">
        <f>VLOOKUP(B1420,Table1[[CIPCode]:[CIPTITLE]],4,FALSE)</f>
        <v>Bioethics/Medical Ethics.</v>
      </c>
    </row>
    <row r="1421" spans="1:4" x14ac:dyDescent="0.2">
      <c r="A1421" s="7" t="s">
        <v>14191</v>
      </c>
      <c r="B1421" s="6" t="s">
        <v>7760</v>
      </c>
      <c r="C1421" s="6" t="s">
        <v>21494</v>
      </c>
      <c r="D1421" s="7" t="str">
        <f>VLOOKUP(B1421,Table1[[CIPCode]:[CIPTITLE]],4,FALSE)</f>
        <v>Bioethics/Medical Ethics.</v>
      </c>
    </row>
    <row r="1422" spans="1:4" x14ac:dyDescent="0.2">
      <c r="A1422" s="7" t="s">
        <v>14191</v>
      </c>
      <c r="B1422" s="6" t="s">
        <v>7762</v>
      </c>
      <c r="C1422" s="6" t="s">
        <v>21495</v>
      </c>
      <c r="D1422" s="7" t="str">
        <f>VLOOKUP(B1422,Table1[[CIPCode]:[CIPTITLE]],4,FALSE)</f>
        <v>Alternative and Complementary Medicine and Medical Systems.</v>
      </c>
    </row>
    <row r="1423" spans="1:4" x14ac:dyDescent="0.2">
      <c r="A1423" s="7" t="s">
        <v>14191</v>
      </c>
      <c r="B1423" s="6" t="s">
        <v>7765</v>
      </c>
      <c r="C1423" s="6" t="s">
        <v>21496</v>
      </c>
      <c r="D1423" s="7" t="str">
        <f>VLOOKUP(B1423,Table1[[CIPCode]:[CIPTITLE]],4,FALSE)</f>
        <v>Acupuncture.</v>
      </c>
    </row>
    <row r="1424" spans="1:4" x14ac:dyDescent="0.2">
      <c r="A1424" s="7" t="s">
        <v>14191</v>
      </c>
      <c r="B1424" s="6" t="s">
        <v>7768</v>
      </c>
      <c r="C1424" s="6" t="s">
        <v>21497</v>
      </c>
      <c r="D1424" s="7" t="str">
        <f>VLOOKUP(B1424,Table1[[CIPCode]:[CIPTITLE]],4,FALSE)</f>
        <v>Traditional Chinese/Asian Medicine and Chinese Herbology.</v>
      </c>
    </row>
    <row r="1425" spans="1:4" x14ac:dyDescent="0.2">
      <c r="A1425" s="7" t="s">
        <v>14191</v>
      </c>
      <c r="B1425" s="6" t="s">
        <v>7771</v>
      </c>
      <c r="C1425" s="6" t="s">
        <v>5192</v>
      </c>
      <c r="D1425" s="7" t="str">
        <f>VLOOKUP(B1425,Table1[[CIPCode]:[CIPTITLE]],4,FALSE)</f>
        <v>Naturopathic Medicine/Naturopathy (ND).</v>
      </c>
    </row>
    <row r="1426" spans="1:4" x14ac:dyDescent="0.2">
      <c r="A1426" s="7" t="s">
        <v>14191</v>
      </c>
      <c r="B1426" s="6" t="s">
        <v>7777</v>
      </c>
      <c r="C1426" s="6" t="s">
        <v>21498</v>
      </c>
      <c r="D1426" s="7" t="str">
        <f>VLOOKUP(B1426,Table1[[CIPCode]:[CIPTITLE]],4,FALSE)</f>
        <v>Ayurvedic Medicine/Ayurveda.</v>
      </c>
    </row>
    <row r="1427" spans="1:4" x14ac:dyDescent="0.2">
      <c r="A1427" s="7" t="s">
        <v>14191</v>
      </c>
      <c r="B1427" s="6" t="s">
        <v>21499</v>
      </c>
      <c r="C1427" s="6" t="s">
        <v>5186</v>
      </c>
      <c r="D1427" s="7" t="str">
        <f>VLOOKUP(B1427,Table1[[CIPCode]:[CIPTITLE]],4,FALSE)</f>
        <v>Acupuncture and Oriental Medicine</v>
      </c>
    </row>
    <row r="1428" spans="1:4" x14ac:dyDescent="0.2">
      <c r="A1428" s="7" t="s">
        <v>14191</v>
      </c>
      <c r="B1428" s="6" t="s">
        <v>7780</v>
      </c>
      <c r="C1428" s="6" t="s">
        <v>21500</v>
      </c>
      <c r="D1428" s="7" t="str">
        <f>VLOOKUP(B1428,Table1[[CIPCode]:[CIPTITLE]],4,FALSE)</f>
        <v>Alternative and Complementary Medicine and Medical Systems, Other.</v>
      </c>
    </row>
    <row r="1429" spans="1:4" x14ac:dyDescent="0.2">
      <c r="A1429" s="7" t="s">
        <v>14191</v>
      </c>
      <c r="B1429" s="6" t="s">
        <v>7783</v>
      </c>
      <c r="C1429" s="6" t="s">
        <v>21501</v>
      </c>
      <c r="D1429" s="7" t="str">
        <f>VLOOKUP(B1429,Table1[[CIPCode]:[CIPTITLE]],4,FALSE)</f>
        <v>Alternative and Complementary Medical Support Services.</v>
      </c>
    </row>
    <row r="1430" spans="1:4" x14ac:dyDescent="0.2">
      <c r="A1430" s="7" t="s">
        <v>14191</v>
      </c>
      <c r="B1430" s="6" t="s">
        <v>7786</v>
      </c>
      <c r="C1430" s="6" t="s">
        <v>21502</v>
      </c>
      <c r="D1430" s="7" t="str">
        <f>VLOOKUP(B1430,Table1[[CIPCode]:[CIPTITLE]],4,FALSE)</f>
        <v>Direct Entry Midwifery (LM, CPM).</v>
      </c>
    </row>
    <row r="1431" spans="1:4" x14ac:dyDescent="0.2">
      <c r="A1431" s="7" t="s">
        <v>14191</v>
      </c>
      <c r="B1431" s="6" t="s">
        <v>7789</v>
      </c>
      <c r="C1431" s="6" t="s">
        <v>21503</v>
      </c>
      <c r="D1431" s="7" t="str">
        <f>VLOOKUP(B1431,Table1[[CIPCode]:[CIPTITLE]],4,FALSE)</f>
        <v>Alternative and Complementary Medical Support Services, Other.</v>
      </c>
    </row>
    <row r="1432" spans="1:4" x14ac:dyDescent="0.2">
      <c r="A1432" s="7" t="s">
        <v>14191</v>
      </c>
      <c r="B1432" s="6" t="s">
        <v>7947</v>
      </c>
      <c r="C1432" s="6" t="s">
        <v>21504</v>
      </c>
      <c r="D1432" s="7" t="str">
        <f>VLOOKUP(B1432,Table1[[CIPCode]:[CIPTITLE]],4,FALSE)</f>
        <v>Somatic Bodywork and Related Therapeutic Services.</v>
      </c>
    </row>
    <row r="1433" spans="1:4" x14ac:dyDescent="0.2">
      <c r="A1433" s="7" t="s">
        <v>14191</v>
      </c>
      <c r="B1433" s="6" t="s">
        <v>7793</v>
      </c>
      <c r="C1433" s="6" t="s">
        <v>6840</v>
      </c>
      <c r="D1433" s="7" t="str">
        <f>VLOOKUP(B1433,Table1[[CIPCode]:[CIPTITLE]],4,FALSE)</f>
        <v>Massage Therapy/Therapeutic Massage.</v>
      </c>
    </row>
    <row r="1434" spans="1:4" x14ac:dyDescent="0.2">
      <c r="A1434" s="7" t="s">
        <v>14191</v>
      </c>
      <c r="B1434" s="6" t="s">
        <v>7796</v>
      </c>
      <c r="C1434" s="6" t="s">
        <v>21505</v>
      </c>
      <c r="D1434" s="7" t="str">
        <f>VLOOKUP(B1434,Table1[[CIPCode]:[CIPTITLE]],4,FALSE)</f>
        <v>Asian Bodywork Therapy.</v>
      </c>
    </row>
    <row r="1435" spans="1:4" x14ac:dyDescent="0.2">
      <c r="A1435" s="7" t="s">
        <v>14191</v>
      </c>
      <c r="B1435" s="6" t="s">
        <v>7802</v>
      </c>
      <c r="C1435" s="6" t="s">
        <v>21506</v>
      </c>
      <c r="D1435" s="7" t="str">
        <f>VLOOKUP(B1435,Table1[[CIPCode]:[CIPTITLE]],4,FALSE)</f>
        <v>Somatic Bodywork and Related Therapeutic Services, Other.</v>
      </c>
    </row>
    <row r="1436" spans="1:4" x14ac:dyDescent="0.2">
      <c r="A1436" s="7" t="s">
        <v>14191</v>
      </c>
      <c r="B1436" s="6" t="s">
        <v>7949</v>
      </c>
      <c r="C1436" s="6" t="s">
        <v>21507</v>
      </c>
      <c r="D1436" s="7" t="str">
        <f>VLOOKUP(B1436,Table1[[CIPCode]:[CIPTITLE]],4,FALSE)</f>
        <v>Movement and Mind-Body Therapies and Education.</v>
      </c>
    </row>
    <row r="1437" spans="1:4" x14ac:dyDescent="0.2">
      <c r="A1437" s="7" t="s">
        <v>14191</v>
      </c>
      <c r="B1437" s="6" t="s">
        <v>7806</v>
      </c>
      <c r="C1437" s="6" t="s">
        <v>5132</v>
      </c>
      <c r="D1437" s="7" t="str">
        <f>VLOOKUP(B1437,Table1[[CIPCode]:[CIPTITLE]],4,FALSE)</f>
        <v>Movement Therapy and Movement Education.</v>
      </c>
    </row>
    <row r="1438" spans="1:4" x14ac:dyDescent="0.2">
      <c r="A1438" s="7" t="s">
        <v>14191</v>
      </c>
      <c r="B1438" s="6" t="s">
        <v>7812</v>
      </c>
      <c r="C1438" s="6" t="s">
        <v>5131</v>
      </c>
      <c r="D1438" s="7" t="str">
        <f>VLOOKUP(B1438,Table1[[CIPCode]:[CIPTITLE]],4,FALSE)</f>
        <v>Hypnotherapy/Hypnotherapist.</v>
      </c>
    </row>
    <row r="1439" spans="1:4" x14ac:dyDescent="0.2">
      <c r="A1439" s="7" t="s">
        <v>14191</v>
      </c>
      <c r="B1439" s="6" t="s">
        <v>7951</v>
      </c>
      <c r="C1439" s="6" t="s">
        <v>21508</v>
      </c>
      <c r="D1439" s="7" t="str">
        <f>VLOOKUP(B1439,Table1[[CIPCode]:[CIPTITLE]],4,FALSE)</f>
        <v>Energy and Biologically Based Therapies.</v>
      </c>
    </row>
    <row r="1440" spans="1:4" x14ac:dyDescent="0.2">
      <c r="A1440" s="7" t="s">
        <v>14191</v>
      </c>
      <c r="B1440" s="6" t="s">
        <v>7822</v>
      </c>
      <c r="C1440" s="6" t="s">
        <v>21509</v>
      </c>
      <c r="D1440" s="7" t="str">
        <f>VLOOKUP(B1440,Table1[[CIPCode]:[CIPTITLE]],4,FALSE)</f>
        <v>Herbalism/Herbalist.</v>
      </c>
    </row>
    <row r="1441" spans="1:4" x14ac:dyDescent="0.2">
      <c r="A1441" s="7" t="s">
        <v>14191</v>
      </c>
      <c r="B1441" s="6" t="s">
        <v>7834</v>
      </c>
      <c r="C1441" s="6" t="s">
        <v>5224</v>
      </c>
      <c r="D1441" s="7" t="str">
        <f>VLOOKUP(B1441,Table1[[CIPCode]:[CIPTITLE]],4,FALSE)</f>
        <v>Health Professions and Related Clinical Sciences, Other.</v>
      </c>
    </row>
    <row r="1442" spans="1:4" x14ac:dyDescent="0.2">
      <c r="A1442" s="7" t="s">
        <v>14191</v>
      </c>
      <c r="B1442" s="6" t="s">
        <v>12709</v>
      </c>
      <c r="C1442" s="6" t="s">
        <v>5224</v>
      </c>
      <c r="D1442" s="7" t="str">
        <f>VLOOKUP(B1442,Table1[[CIPCode]:[CIPTITLE]],4,FALSE)</f>
        <v>Health Professions and Related Clinical Sciences, Other.</v>
      </c>
    </row>
    <row r="1443" spans="1:4" x14ac:dyDescent="0.2">
      <c r="A1443" s="7" t="s">
        <v>12713</v>
      </c>
      <c r="B1443" s="6" t="s">
        <v>12713</v>
      </c>
      <c r="C1443" s="6" t="s">
        <v>21510</v>
      </c>
      <c r="D1443" s="7" t="e">
        <f>VLOOKUP(B1443,Table1[[CIPCode]:[CIPTITLE]],4,FALSE)</f>
        <v>#N/A</v>
      </c>
    </row>
    <row r="1444" spans="1:4" x14ac:dyDescent="0.2">
      <c r="A1444" s="7" t="s">
        <v>12713</v>
      </c>
      <c r="B1444" s="6" t="s">
        <v>7840</v>
      </c>
      <c r="C1444" s="6" t="s">
        <v>5225</v>
      </c>
      <c r="D1444" s="7" t="str">
        <f>VLOOKUP(B1444,Table1[[CIPCode]:[CIPTITLE]],4,FALSE)</f>
        <v>Business/Commerce, General.</v>
      </c>
    </row>
    <row r="1445" spans="1:4" x14ac:dyDescent="0.2">
      <c r="A1445" s="7" t="s">
        <v>12713</v>
      </c>
      <c r="B1445" s="6" t="s">
        <v>12722</v>
      </c>
      <c r="C1445" s="6" t="s">
        <v>5225</v>
      </c>
      <c r="D1445" s="7" t="str">
        <f>VLOOKUP(B1445,Table1[[CIPCode]:[CIPTITLE]],4,FALSE)</f>
        <v>Business/Commerce, General.</v>
      </c>
    </row>
    <row r="1446" spans="1:4" x14ac:dyDescent="0.2">
      <c r="A1446" s="7" t="s">
        <v>12713</v>
      </c>
      <c r="B1446" s="6" t="s">
        <v>7844</v>
      </c>
      <c r="C1446" s="6" t="s">
        <v>5232</v>
      </c>
      <c r="D1446" s="7" t="str">
        <f>VLOOKUP(B1446,Table1[[CIPCode]:[CIPTITLE]],4,FALSE)</f>
        <v>Business Administration, Management and Operations.</v>
      </c>
    </row>
    <row r="1447" spans="1:4" x14ac:dyDescent="0.2">
      <c r="A1447" s="7" t="s">
        <v>12713</v>
      </c>
      <c r="B1447" s="6" t="s">
        <v>12730</v>
      </c>
      <c r="C1447" s="6" t="s">
        <v>5233</v>
      </c>
      <c r="D1447" s="7" t="str">
        <f>VLOOKUP(B1447,Table1[[CIPCode]:[CIPTITLE]],4,FALSE)</f>
        <v>Business Administration and Management, General.</v>
      </c>
    </row>
    <row r="1448" spans="1:4" x14ac:dyDescent="0.2">
      <c r="A1448" s="7" t="s">
        <v>12713</v>
      </c>
      <c r="B1448" s="6" t="s">
        <v>12734</v>
      </c>
      <c r="C1448" s="6" t="s">
        <v>5235</v>
      </c>
      <c r="D1448" s="7" t="str">
        <f>VLOOKUP(B1448,Table1[[CIPCode]:[CIPTITLE]],4,FALSE)</f>
        <v>Purchasing, Procurement/Acquisitions and Contracts Management.</v>
      </c>
    </row>
    <row r="1449" spans="1:4" x14ac:dyDescent="0.2">
      <c r="A1449" s="7" t="s">
        <v>12713</v>
      </c>
      <c r="B1449" s="6" t="s">
        <v>12738</v>
      </c>
      <c r="C1449" s="6" t="s">
        <v>5226</v>
      </c>
      <c r="D1449" s="7" t="str">
        <f>VLOOKUP(B1449,Table1[[CIPCode]:[CIPTITLE]],4,FALSE)</f>
        <v>Logistics and Materials Management.</v>
      </c>
    </row>
    <row r="1450" spans="1:4" x14ac:dyDescent="0.2">
      <c r="A1450" s="7" t="s">
        <v>12713</v>
      </c>
      <c r="B1450" s="6" t="s">
        <v>12742</v>
      </c>
      <c r="C1450" s="6" t="s">
        <v>5228</v>
      </c>
      <c r="D1450" s="7" t="str">
        <f>VLOOKUP(B1450,Table1[[CIPCode]:[CIPTITLE]],4,FALSE)</f>
        <v>Office Management and Supervision.</v>
      </c>
    </row>
    <row r="1451" spans="1:4" x14ac:dyDescent="0.2">
      <c r="A1451" s="7" t="s">
        <v>12713</v>
      </c>
      <c r="B1451" s="6" t="s">
        <v>12746</v>
      </c>
      <c r="C1451" s="6" t="s">
        <v>5236</v>
      </c>
      <c r="D1451" s="7" t="str">
        <f>VLOOKUP(B1451,Table1[[CIPCode]:[CIPTITLE]],4,FALSE)</f>
        <v>Operations Management and Supervision.</v>
      </c>
    </row>
    <row r="1452" spans="1:4" x14ac:dyDescent="0.2">
      <c r="A1452" s="7" t="s">
        <v>12713</v>
      </c>
      <c r="B1452" s="6" t="s">
        <v>12750</v>
      </c>
      <c r="C1452" s="6" t="s">
        <v>5238</v>
      </c>
      <c r="D1452" s="7" t="str">
        <f>VLOOKUP(B1452,Table1[[CIPCode]:[CIPTITLE]],4,FALSE)</f>
        <v>Non-Profit/Public/Organizational Management.</v>
      </c>
    </row>
    <row r="1453" spans="1:4" x14ac:dyDescent="0.2">
      <c r="A1453" s="7" t="s">
        <v>12713</v>
      </c>
      <c r="B1453" s="6" t="s">
        <v>10806</v>
      </c>
      <c r="C1453" s="6" t="s">
        <v>21511</v>
      </c>
      <c r="D1453" s="7" t="str">
        <f>VLOOKUP(B1453,Table1[[CIPCode]:[CIPTITLE]],4,FALSE)</f>
        <v>Customer Service Management.</v>
      </c>
    </row>
    <row r="1454" spans="1:4" x14ac:dyDescent="0.2">
      <c r="A1454" s="7" t="s">
        <v>12713</v>
      </c>
      <c r="B1454" s="6" t="s">
        <v>7858</v>
      </c>
      <c r="C1454" s="6" t="s">
        <v>21512</v>
      </c>
      <c r="D1454" s="7" t="str">
        <f>VLOOKUP(B1454,Table1[[CIPCode]:[CIPTITLE]],4,FALSE)</f>
        <v>E-Commerce/Electronic Commerce.</v>
      </c>
    </row>
    <row r="1455" spans="1:4" x14ac:dyDescent="0.2">
      <c r="A1455" s="7" t="s">
        <v>12713</v>
      </c>
      <c r="B1455" s="6" t="s">
        <v>7861</v>
      </c>
      <c r="C1455" s="6" t="s">
        <v>21513</v>
      </c>
      <c r="D1455" s="7" t="str">
        <f>VLOOKUP(B1455,Table1[[CIPCode]:[CIPTITLE]],4,FALSE)</f>
        <v>Transportation/Transportation Management.</v>
      </c>
    </row>
    <row r="1456" spans="1:4" x14ac:dyDescent="0.2">
      <c r="A1456" s="7" t="s">
        <v>12713</v>
      </c>
      <c r="B1456" s="6" t="s">
        <v>12754</v>
      </c>
      <c r="C1456" s="6" t="s">
        <v>21514</v>
      </c>
      <c r="D1456" s="7" t="str">
        <f>VLOOKUP(B1456,Table1[[CIPCode]:[CIPTITLE]],4,FALSE)</f>
        <v>Business Administration, Management and Operations, Other.</v>
      </c>
    </row>
    <row r="1457" spans="1:4" x14ac:dyDescent="0.2">
      <c r="A1457" s="7" t="s">
        <v>12713</v>
      </c>
      <c r="B1457" s="6" t="s">
        <v>7866</v>
      </c>
      <c r="C1457" s="6" t="s">
        <v>5242</v>
      </c>
      <c r="D1457" s="7" t="str">
        <f>VLOOKUP(B1457,Table1[[CIPCode]:[CIPTITLE]],4,FALSE)</f>
        <v>Accounting and Related Services.</v>
      </c>
    </row>
    <row r="1458" spans="1:4" x14ac:dyDescent="0.2">
      <c r="A1458" s="7" t="s">
        <v>12713</v>
      </c>
      <c r="B1458" s="6" t="s">
        <v>12762</v>
      </c>
      <c r="C1458" s="6" t="s">
        <v>12759</v>
      </c>
      <c r="D1458" s="7" t="str">
        <f>VLOOKUP(B1458,Table1[[CIPCode]:[CIPTITLE]],4,FALSE)</f>
        <v>Accounting.</v>
      </c>
    </row>
    <row r="1459" spans="1:4" x14ac:dyDescent="0.2">
      <c r="A1459" s="7" t="s">
        <v>12713</v>
      </c>
      <c r="B1459" s="6" t="s">
        <v>12765</v>
      </c>
      <c r="C1459" s="6" t="s">
        <v>5243</v>
      </c>
      <c r="D1459" s="7" t="str">
        <f>VLOOKUP(B1459,Table1[[CIPCode]:[CIPTITLE]],4,FALSE)</f>
        <v>Accounting Technology/Technician and Bookkeeping.</v>
      </c>
    </row>
    <row r="1460" spans="1:4" x14ac:dyDescent="0.2">
      <c r="A1460" s="7" t="s">
        <v>12713</v>
      </c>
      <c r="B1460" s="6" t="s">
        <v>7510</v>
      </c>
      <c r="C1460" s="6" t="s">
        <v>21515</v>
      </c>
      <c r="D1460" s="7" t="str">
        <f>VLOOKUP(B1460,Table1[[CIPCode]:[CIPTITLE]],4,FALSE)</f>
        <v>Accounting and Finance.</v>
      </c>
    </row>
    <row r="1461" spans="1:4" x14ac:dyDescent="0.2">
      <c r="A1461" s="7" t="s">
        <v>12713</v>
      </c>
      <c r="B1461" s="6" t="s">
        <v>7513</v>
      </c>
      <c r="C1461" s="6" t="s">
        <v>21516</v>
      </c>
      <c r="D1461" s="7" t="str">
        <f>VLOOKUP(B1461,Table1[[CIPCode]:[CIPTITLE]],4,FALSE)</f>
        <v>Accounting and Business/Management.</v>
      </c>
    </row>
    <row r="1462" spans="1:4" x14ac:dyDescent="0.2">
      <c r="A1462" s="7" t="s">
        <v>12713</v>
      </c>
      <c r="B1462" s="6" t="s">
        <v>12769</v>
      </c>
      <c r="C1462" s="6" t="s">
        <v>5249</v>
      </c>
      <c r="D1462" s="7" t="str">
        <f>VLOOKUP(B1462,Table1[[CIPCode]:[CIPTITLE]],4,FALSE)</f>
        <v>Accounting and Related Services, Other.</v>
      </c>
    </row>
    <row r="1463" spans="1:4" x14ac:dyDescent="0.2">
      <c r="A1463" s="7" t="s">
        <v>12713</v>
      </c>
      <c r="B1463" s="6" t="s">
        <v>7518</v>
      </c>
      <c r="C1463" s="6" t="s">
        <v>5251</v>
      </c>
      <c r="D1463" s="7" t="str">
        <f>VLOOKUP(B1463,Table1[[CIPCode]:[CIPTITLE]],4,FALSE)</f>
        <v>Business Operations Support and Assistant Services.</v>
      </c>
    </row>
    <row r="1464" spans="1:4" x14ac:dyDescent="0.2">
      <c r="A1464" s="7" t="s">
        <v>12713</v>
      </c>
      <c r="B1464" s="6" t="s">
        <v>12777</v>
      </c>
      <c r="C1464" s="6" t="s">
        <v>5252</v>
      </c>
      <c r="D1464" s="7" t="str">
        <f>VLOOKUP(B1464,Table1[[CIPCode]:[CIPTITLE]],4,FALSE)</f>
        <v>Administrative Assistant and Secretarial Science, General.</v>
      </c>
    </row>
    <row r="1465" spans="1:4" x14ac:dyDescent="0.2">
      <c r="A1465" s="7" t="s">
        <v>12713</v>
      </c>
      <c r="B1465" s="6" t="s">
        <v>12781</v>
      </c>
      <c r="C1465" s="6" t="s">
        <v>5253</v>
      </c>
      <c r="D1465" s="7" t="str">
        <f>VLOOKUP(B1465,Table1[[CIPCode]:[CIPTITLE]],4,FALSE)</f>
        <v>Executive Assistant/Executive Secretary.</v>
      </c>
    </row>
    <row r="1466" spans="1:4" x14ac:dyDescent="0.2">
      <c r="A1466" s="7" t="s">
        <v>12713</v>
      </c>
      <c r="B1466" s="6" t="s">
        <v>12797</v>
      </c>
      <c r="C1466" s="6" t="s">
        <v>12798</v>
      </c>
      <c r="D1466" s="7" t="str">
        <f>VLOOKUP(B1466,Table1[[CIPCode]:[CIPTITLE]],4,FALSE)</f>
        <v>Receptionist.</v>
      </c>
    </row>
    <row r="1467" spans="1:4" x14ac:dyDescent="0.2">
      <c r="A1467" s="7" t="s">
        <v>12713</v>
      </c>
      <c r="B1467" s="6" t="s">
        <v>12801</v>
      </c>
      <c r="C1467" s="6" t="s">
        <v>5259</v>
      </c>
      <c r="D1467" s="7" t="str">
        <f>VLOOKUP(B1467,Table1[[CIPCode]:[CIPTITLE]],4,FALSE)</f>
        <v>Business/Office Automation/Technology/Data Entry.</v>
      </c>
    </row>
    <row r="1468" spans="1:4" x14ac:dyDescent="0.2">
      <c r="A1468" s="7" t="s">
        <v>12713</v>
      </c>
      <c r="B1468" s="6" t="s">
        <v>12805</v>
      </c>
      <c r="C1468" s="6" t="s">
        <v>5261</v>
      </c>
      <c r="D1468" s="7" t="str">
        <f>VLOOKUP(B1468,Table1[[CIPCode]:[CIPTITLE]],4,FALSE)</f>
        <v>General Office Occupations and Clerical Services.</v>
      </c>
    </row>
    <row r="1469" spans="1:4" x14ac:dyDescent="0.2">
      <c r="A1469" s="7" t="s">
        <v>12713</v>
      </c>
      <c r="B1469" s="6" t="s">
        <v>7535</v>
      </c>
      <c r="C1469" s="6" t="s">
        <v>21517</v>
      </c>
      <c r="D1469" s="7" t="str">
        <f>VLOOKUP(B1469,Table1[[CIPCode]:[CIPTITLE]],4,FALSE)</f>
        <v>Parts, Warehousing, and Inventory Management Operations.</v>
      </c>
    </row>
    <row r="1470" spans="1:4" x14ac:dyDescent="0.2">
      <c r="A1470" s="7" t="s">
        <v>12713</v>
      </c>
      <c r="B1470" s="6" t="s">
        <v>7541</v>
      </c>
      <c r="C1470" s="6" t="s">
        <v>21518</v>
      </c>
      <c r="D1470" s="7" t="str">
        <f>VLOOKUP(B1470,Table1[[CIPCode]:[CIPTITLE]],4,FALSE)</f>
        <v>Customer Service Support/Call Center/Teleservice Operation.</v>
      </c>
    </row>
    <row r="1471" spans="1:4" x14ac:dyDescent="0.2">
      <c r="A1471" s="7" t="s">
        <v>12713</v>
      </c>
      <c r="B1471" s="6" t="s">
        <v>12809</v>
      </c>
      <c r="C1471" s="6" t="s">
        <v>5266</v>
      </c>
      <c r="D1471" s="7" t="str">
        <f>VLOOKUP(B1471,Table1[[CIPCode]:[CIPTITLE]],4,FALSE)</f>
        <v>Business Operations Support and Secretarial Services, Other.</v>
      </c>
    </row>
    <row r="1472" spans="1:4" x14ac:dyDescent="0.2">
      <c r="A1472" s="7" t="s">
        <v>12713</v>
      </c>
      <c r="B1472" s="6" t="s">
        <v>7546</v>
      </c>
      <c r="C1472" s="6" t="s">
        <v>5267</v>
      </c>
      <c r="D1472" s="7" t="str">
        <f>VLOOKUP(B1472,Table1[[CIPCode]:[CIPTITLE]],4,FALSE)</f>
        <v>Business/Corporate Communications.</v>
      </c>
    </row>
    <row r="1473" spans="1:4" x14ac:dyDescent="0.2">
      <c r="A1473" s="7" t="s">
        <v>12713</v>
      </c>
      <c r="B1473" s="6" t="s">
        <v>12817</v>
      </c>
      <c r="C1473" s="6" t="s">
        <v>5267</v>
      </c>
      <c r="D1473" s="7" t="str">
        <f>VLOOKUP(B1473,Table1[[CIPCode]:[CIPTITLE]],4,FALSE)</f>
        <v>Business/Corporate Communications.</v>
      </c>
    </row>
    <row r="1474" spans="1:4" x14ac:dyDescent="0.2">
      <c r="A1474" s="7" t="s">
        <v>12713</v>
      </c>
      <c r="B1474" s="6" t="s">
        <v>7550</v>
      </c>
      <c r="C1474" s="6" t="s">
        <v>12821</v>
      </c>
      <c r="D1474" s="7" t="str">
        <f>VLOOKUP(B1474,Table1[[CIPCode]:[CIPTITLE]],4,FALSE)</f>
        <v>Business/Managerial Economics.</v>
      </c>
    </row>
    <row r="1475" spans="1:4" x14ac:dyDescent="0.2">
      <c r="A1475" s="7" t="s">
        <v>12713</v>
      </c>
      <c r="B1475" s="6" t="s">
        <v>12824</v>
      </c>
      <c r="C1475" s="6" t="s">
        <v>12821</v>
      </c>
      <c r="D1475" s="7" t="str">
        <f>VLOOKUP(B1475,Table1[[CIPCode]:[CIPTITLE]],4,FALSE)</f>
        <v>Business/Managerial Economics.</v>
      </c>
    </row>
    <row r="1476" spans="1:4" x14ac:dyDescent="0.2">
      <c r="A1476" s="7" t="s">
        <v>12713</v>
      </c>
      <c r="B1476" s="6" t="s">
        <v>7553</v>
      </c>
      <c r="C1476" s="6" t="s">
        <v>5269</v>
      </c>
      <c r="D1476" s="7" t="str">
        <f>VLOOKUP(B1476,Table1[[CIPCode]:[CIPTITLE]],4,FALSE)</f>
        <v>Entrepreneurial and Small Business Operations.</v>
      </c>
    </row>
    <row r="1477" spans="1:4" x14ac:dyDescent="0.2">
      <c r="A1477" s="7" t="s">
        <v>12713</v>
      </c>
      <c r="B1477" s="6" t="s">
        <v>12831</v>
      </c>
      <c r="C1477" s="6" t="s">
        <v>5271</v>
      </c>
      <c r="D1477" s="7" t="str">
        <f>VLOOKUP(B1477,Table1[[CIPCode]:[CIPTITLE]],4,FALSE)</f>
        <v>Entrepreneurship/Entrepreneurial Studies.</v>
      </c>
    </row>
    <row r="1478" spans="1:4" x14ac:dyDescent="0.2">
      <c r="A1478" s="7" t="s">
        <v>12713</v>
      </c>
      <c r="B1478" s="6" t="s">
        <v>12835</v>
      </c>
      <c r="C1478" s="6" t="s">
        <v>5272</v>
      </c>
      <c r="D1478" s="7" t="str">
        <f>VLOOKUP(B1478,Table1[[CIPCode]:[CIPTITLE]],4,FALSE)</f>
        <v>Franchising and Franchise Operations.</v>
      </c>
    </row>
    <row r="1479" spans="1:4" x14ac:dyDescent="0.2">
      <c r="A1479" s="7" t="s">
        <v>12713</v>
      </c>
      <c r="B1479" s="6" t="s">
        <v>11601</v>
      </c>
      <c r="C1479" s="6" t="s">
        <v>21519</v>
      </c>
      <c r="D1479" s="7" t="str">
        <f>VLOOKUP(B1479,Table1[[CIPCode]:[CIPTITLE]],4,FALSE)</f>
        <v>Small Business Administration/Management.</v>
      </c>
    </row>
    <row r="1480" spans="1:4" x14ac:dyDescent="0.2">
      <c r="A1480" s="7" t="s">
        <v>12713</v>
      </c>
      <c r="B1480" s="6" t="s">
        <v>12839</v>
      </c>
      <c r="C1480" s="6" t="s">
        <v>5278</v>
      </c>
      <c r="D1480" s="7" t="str">
        <f>VLOOKUP(B1480,Table1[[CIPCode]:[CIPTITLE]],4,FALSE)</f>
        <v>Entrepreneurial and Small Business Operations, Other.</v>
      </c>
    </row>
    <row r="1481" spans="1:4" x14ac:dyDescent="0.2">
      <c r="A1481" s="7" t="s">
        <v>12713</v>
      </c>
      <c r="B1481" s="6" t="s">
        <v>7563</v>
      </c>
      <c r="C1481" s="6" t="s">
        <v>5275</v>
      </c>
      <c r="D1481" s="7" t="str">
        <f>VLOOKUP(B1481,Table1[[CIPCode]:[CIPTITLE]],4,FALSE)</f>
        <v>Finance and Financial Management Services.</v>
      </c>
    </row>
    <row r="1482" spans="1:4" x14ac:dyDescent="0.2">
      <c r="A1482" s="7" t="s">
        <v>12713</v>
      </c>
      <c r="B1482" s="6" t="s">
        <v>12847</v>
      </c>
      <c r="C1482" s="6" t="s">
        <v>12848</v>
      </c>
      <c r="D1482" s="7" t="str">
        <f>VLOOKUP(B1482,Table1[[CIPCode]:[CIPTITLE]],4,FALSE)</f>
        <v>Finance, General.</v>
      </c>
    </row>
    <row r="1483" spans="1:4" x14ac:dyDescent="0.2">
      <c r="A1483" s="7" t="s">
        <v>12713</v>
      </c>
      <c r="B1483" s="6" t="s">
        <v>12855</v>
      </c>
      <c r="C1483" s="6" t="s">
        <v>5276</v>
      </c>
      <c r="D1483" s="7" t="str">
        <f>VLOOKUP(B1483,Table1[[CIPCode]:[CIPTITLE]],4,FALSE)</f>
        <v>Banking and Financial Support Services.</v>
      </c>
    </row>
    <row r="1484" spans="1:4" x14ac:dyDescent="0.2">
      <c r="A1484" s="7" t="s">
        <v>12713</v>
      </c>
      <c r="B1484" s="6" t="s">
        <v>12859</v>
      </c>
      <c r="C1484" s="6" t="s">
        <v>5254</v>
      </c>
      <c r="D1484" s="7" t="str">
        <f>VLOOKUP(B1484,Table1[[CIPCode]:[CIPTITLE]],4,FALSE)</f>
        <v>Financial Planning and Services.</v>
      </c>
    </row>
    <row r="1485" spans="1:4" x14ac:dyDescent="0.2">
      <c r="A1485" s="7" t="s">
        <v>12713</v>
      </c>
      <c r="B1485" s="6" t="s">
        <v>12867</v>
      </c>
      <c r="C1485" s="6" t="s">
        <v>12868</v>
      </c>
      <c r="D1485" s="7" t="str">
        <f>VLOOKUP(B1485,Table1[[CIPCode]:[CIPTITLE]],4,FALSE)</f>
        <v>International Finance.</v>
      </c>
    </row>
    <row r="1486" spans="1:4" x14ac:dyDescent="0.2">
      <c r="A1486" s="7" t="s">
        <v>12713</v>
      </c>
      <c r="B1486" s="6" t="s">
        <v>12871</v>
      </c>
      <c r="C1486" s="6" t="s">
        <v>5279</v>
      </c>
      <c r="D1486" s="7" t="str">
        <f>VLOOKUP(B1486,Table1[[CIPCode]:[CIPTITLE]],4,FALSE)</f>
        <v>Investments and Securities.</v>
      </c>
    </row>
    <row r="1487" spans="1:4" x14ac:dyDescent="0.2">
      <c r="A1487" s="7" t="s">
        <v>12713</v>
      </c>
      <c r="B1487" s="6" t="s">
        <v>12875</v>
      </c>
      <c r="C1487" s="6" t="s">
        <v>12876</v>
      </c>
      <c r="D1487" s="7" t="str">
        <f>VLOOKUP(B1487,Table1[[CIPCode]:[CIPTITLE]],4,FALSE)</f>
        <v>Public Finance.</v>
      </c>
    </row>
    <row r="1488" spans="1:4" x14ac:dyDescent="0.2">
      <c r="A1488" s="7" t="s">
        <v>12713</v>
      </c>
      <c r="B1488" s="6" t="s">
        <v>7579</v>
      </c>
      <c r="C1488" s="6" t="s">
        <v>21520</v>
      </c>
      <c r="D1488" s="7" t="str">
        <f>VLOOKUP(B1488,Table1[[CIPCode]:[CIPTITLE]],4,FALSE)</f>
        <v>Credit Management.</v>
      </c>
    </row>
    <row r="1489" spans="1:4" x14ac:dyDescent="0.2">
      <c r="A1489" s="7" t="s">
        <v>12713</v>
      </c>
      <c r="B1489" s="6" t="s">
        <v>12879</v>
      </c>
      <c r="C1489" s="6" t="s">
        <v>5282</v>
      </c>
      <c r="D1489" s="7" t="str">
        <f>VLOOKUP(B1489,Table1[[CIPCode]:[CIPTITLE]],4,FALSE)</f>
        <v>Finance and Financial Management Services, Other.</v>
      </c>
    </row>
    <row r="1490" spans="1:4" x14ac:dyDescent="0.2">
      <c r="A1490" s="7" t="s">
        <v>12713</v>
      </c>
      <c r="B1490" s="6" t="s">
        <v>7584</v>
      </c>
      <c r="C1490" s="6" t="s">
        <v>12888</v>
      </c>
      <c r="D1490" s="7" t="str">
        <f>VLOOKUP(B1490,Table1[[CIPCode]:[CIPTITLE]],4,FALSE)</f>
        <v>Hospitality Administration/Management.</v>
      </c>
    </row>
    <row r="1491" spans="1:4" x14ac:dyDescent="0.2">
      <c r="A1491" s="7" t="s">
        <v>12713</v>
      </c>
      <c r="B1491" s="6" t="s">
        <v>12887</v>
      </c>
      <c r="C1491" s="6" t="s">
        <v>5284</v>
      </c>
      <c r="D1491" s="7" t="str">
        <f>VLOOKUP(B1491,Table1[[CIPCode]:[CIPTITLE]],4,FALSE)</f>
        <v>Hospitality Administration/Management, General.</v>
      </c>
    </row>
    <row r="1492" spans="1:4" x14ac:dyDescent="0.2">
      <c r="A1492" s="7" t="s">
        <v>12713</v>
      </c>
      <c r="B1492" s="6" t="s">
        <v>12895</v>
      </c>
      <c r="C1492" s="6" t="s">
        <v>5288</v>
      </c>
      <c r="D1492" s="7" t="str">
        <f>VLOOKUP(B1492,Table1[[CIPCode]:[CIPTITLE]],4,FALSE)</f>
        <v>Tourism and Travel Services Management.</v>
      </c>
    </row>
    <row r="1493" spans="1:4" x14ac:dyDescent="0.2">
      <c r="A1493" s="7" t="s">
        <v>12713</v>
      </c>
      <c r="B1493" s="6" t="s">
        <v>7592</v>
      </c>
      <c r="C1493" s="6" t="s">
        <v>21521</v>
      </c>
      <c r="D1493" s="7" t="str">
        <f>VLOOKUP(B1493,Table1[[CIPCode]:[CIPTITLE]],4,FALSE)</f>
        <v>Hotel/Motel Administration/Management.</v>
      </c>
    </row>
    <row r="1494" spans="1:4" x14ac:dyDescent="0.2">
      <c r="A1494" s="7" t="s">
        <v>12713</v>
      </c>
      <c r="B1494" s="6" t="s">
        <v>7595</v>
      </c>
      <c r="C1494" s="6" t="s">
        <v>21522</v>
      </c>
      <c r="D1494" s="7" t="str">
        <f>VLOOKUP(B1494,Table1[[CIPCode]:[CIPTITLE]],4,FALSE)</f>
        <v>Restaurant/Food Services Management.</v>
      </c>
    </row>
    <row r="1495" spans="1:4" x14ac:dyDescent="0.2">
      <c r="A1495" s="7" t="s">
        <v>12713</v>
      </c>
      <c r="B1495" s="6" t="s">
        <v>7597</v>
      </c>
      <c r="C1495" s="6" t="s">
        <v>21523</v>
      </c>
      <c r="D1495" s="7" t="str">
        <f>VLOOKUP(B1495,Table1[[CIPCode]:[CIPTITLE]],4,FALSE)</f>
        <v>Resort Management.</v>
      </c>
    </row>
    <row r="1496" spans="1:4" x14ac:dyDescent="0.2">
      <c r="A1496" s="7" t="s">
        <v>12713</v>
      </c>
      <c r="B1496" s="6" t="s">
        <v>21524</v>
      </c>
      <c r="C1496" s="6" t="s">
        <v>5285</v>
      </c>
      <c r="D1496" s="7" t="str">
        <f>VLOOKUP(B1496,Table1[[CIPCode]:[CIPTITLE]],4,FALSE)</f>
        <v>Hotel/Motel and Restaurant Management</v>
      </c>
    </row>
    <row r="1497" spans="1:4" x14ac:dyDescent="0.2">
      <c r="A1497" s="7" t="s">
        <v>12713</v>
      </c>
      <c r="B1497" s="6" t="s">
        <v>12899</v>
      </c>
      <c r="C1497" s="6" t="s">
        <v>5293</v>
      </c>
      <c r="D1497" s="7" t="str">
        <f>VLOOKUP(B1497,Table1[[CIPCode]:[CIPTITLE]],4,FALSE)</f>
        <v>Hospitality Administration/Management, Other.</v>
      </c>
    </row>
    <row r="1498" spans="1:4" x14ac:dyDescent="0.2">
      <c r="A1498" s="7" t="s">
        <v>12713</v>
      </c>
      <c r="B1498" s="6" t="s">
        <v>7602</v>
      </c>
      <c r="C1498" s="6" t="s">
        <v>5290</v>
      </c>
      <c r="D1498" s="7" t="str">
        <f>VLOOKUP(B1498,Table1[[CIPCode]:[CIPTITLE]],4,FALSE)</f>
        <v>Human Resources Management and Services.</v>
      </c>
    </row>
    <row r="1499" spans="1:4" x14ac:dyDescent="0.2">
      <c r="A1499" s="7" t="s">
        <v>12713</v>
      </c>
      <c r="B1499" s="6" t="s">
        <v>12907</v>
      </c>
      <c r="C1499" s="6" t="s">
        <v>5294</v>
      </c>
      <c r="D1499" s="7" t="str">
        <f>VLOOKUP(B1499,Table1[[CIPCode]:[CIPTITLE]],4,FALSE)</f>
        <v>Human Resources Management/Personnel Administration, General.</v>
      </c>
    </row>
    <row r="1500" spans="1:4" x14ac:dyDescent="0.2">
      <c r="A1500" s="7" t="s">
        <v>12713</v>
      </c>
      <c r="B1500" s="6" t="s">
        <v>12910</v>
      </c>
      <c r="C1500" s="6" t="s">
        <v>5292</v>
      </c>
      <c r="D1500" s="7" t="str">
        <f>VLOOKUP(B1500,Table1[[CIPCode]:[CIPTITLE]],4,FALSE)</f>
        <v>Labor and Industrial Relations.</v>
      </c>
    </row>
    <row r="1501" spans="1:4" x14ac:dyDescent="0.2">
      <c r="A1501" s="7" t="s">
        <v>12713</v>
      </c>
      <c r="B1501" s="6" t="s">
        <v>12914</v>
      </c>
      <c r="C1501" s="6" t="s">
        <v>12915</v>
      </c>
      <c r="D1501" s="7" t="str">
        <f>VLOOKUP(B1501,Table1[[CIPCode]:[CIPTITLE]],4,FALSE)</f>
        <v>Organizational Behavior Studies.</v>
      </c>
    </row>
    <row r="1502" spans="1:4" x14ac:dyDescent="0.2">
      <c r="A1502" s="7" t="s">
        <v>12713</v>
      </c>
      <c r="B1502" s="6" t="s">
        <v>7610</v>
      </c>
      <c r="C1502" s="6" t="s">
        <v>21525</v>
      </c>
      <c r="D1502" s="7" t="str">
        <f>VLOOKUP(B1502,Table1[[CIPCode]:[CIPTITLE]],4,FALSE)</f>
        <v>Labor Studies.</v>
      </c>
    </row>
    <row r="1503" spans="1:4" x14ac:dyDescent="0.2">
      <c r="A1503" s="7" t="s">
        <v>12713</v>
      </c>
      <c r="B1503" s="6" t="s">
        <v>7613</v>
      </c>
      <c r="C1503" s="6" t="s">
        <v>21526</v>
      </c>
      <c r="D1503" s="7" t="str">
        <f>VLOOKUP(B1503,Table1[[CIPCode]:[CIPTITLE]],4,FALSE)</f>
        <v>Human Resources Development.</v>
      </c>
    </row>
    <row r="1504" spans="1:4" x14ac:dyDescent="0.2">
      <c r="A1504" s="7" t="s">
        <v>12713</v>
      </c>
      <c r="B1504" s="6" t="s">
        <v>12918</v>
      </c>
      <c r="C1504" s="6" t="s">
        <v>5297</v>
      </c>
      <c r="D1504" s="7" t="str">
        <f>VLOOKUP(B1504,Table1[[CIPCode]:[CIPTITLE]],4,FALSE)</f>
        <v>Human Resources Management and Services, Other.</v>
      </c>
    </row>
    <row r="1505" spans="1:4" x14ac:dyDescent="0.2">
      <c r="A1505" s="7" t="s">
        <v>12713</v>
      </c>
      <c r="B1505" s="6" t="s">
        <v>7618</v>
      </c>
      <c r="C1505" s="6" t="s">
        <v>12923</v>
      </c>
      <c r="D1505" s="7" t="str">
        <f>VLOOKUP(B1505,Table1[[CIPCode]:[CIPTITLE]],4,FALSE)</f>
        <v>International Business.</v>
      </c>
    </row>
    <row r="1506" spans="1:4" x14ac:dyDescent="0.2">
      <c r="A1506" s="7" t="s">
        <v>12713</v>
      </c>
      <c r="B1506" s="6" t="s">
        <v>12926</v>
      </c>
      <c r="C1506" s="6" t="s">
        <v>5298</v>
      </c>
      <c r="D1506" s="7" t="str">
        <f>VLOOKUP(B1506,Table1[[CIPCode]:[CIPTITLE]],4,FALSE)</f>
        <v>International Business/Trade/Commerce.</v>
      </c>
    </row>
    <row r="1507" spans="1:4" x14ac:dyDescent="0.2">
      <c r="A1507" s="7" t="s">
        <v>12713</v>
      </c>
      <c r="B1507" s="6" t="s">
        <v>10984</v>
      </c>
      <c r="C1507" s="6" t="s">
        <v>5302</v>
      </c>
      <c r="D1507" s="7" t="str">
        <f>VLOOKUP(B1507,Table1[[CIPCode]:[CIPTITLE]],4,FALSE)</f>
        <v>Management Information Systems and Services.</v>
      </c>
    </row>
    <row r="1508" spans="1:4" x14ac:dyDescent="0.2">
      <c r="A1508" s="7" t="s">
        <v>12713</v>
      </c>
      <c r="B1508" s="6" t="s">
        <v>12933</v>
      </c>
      <c r="C1508" s="6" t="s">
        <v>5304</v>
      </c>
      <c r="D1508" s="7" t="str">
        <f>VLOOKUP(B1508,Table1[[CIPCode]:[CIPTITLE]],4,FALSE)</f>
        <v>Management Information Systems, General.</v>
      </c>
    </row>
    <row r="1509" spans="1:4" x14ac:dyDescent="0.2">
      <c r="A1509" s="7" t="s">
        <v>12713</v>
      </c>
      <c r="B1509" s="6" t="s">
        <v>10808</v>
      </c>
      <c r="C1509" s="6" t="s">
        <v>21527</v>
      </c>
      <c r="D1509" s="7" t="str">
        <f>VLOOKUP(B1509,Table1[[CIPCode]:[CIPTITLE]],4,FALSE)</f>
        <v>Information Resources Management/CIO Training.</v>
      </c>
    </row>
    <row r="1510" spans="1:4" x14ac:dyDescent="0.2">
      <c r="A1510" s="7" t="s">
        <v>12713</v>
      </c>
      <c r="B1510" s="6" t="s">
        <v>7636</v>
      </c>
      <c r="C1510" s="6" t="s">
        <v>21528</v>
      </c>
      <c r="D1510" s="7" t="str">
        <f>VLOOKUP(B1510,Table1[[CIPCode]:[CIPTITLE]],4,FALSE)</f>
        <v>Knowledge Management.</v>
      </c>
    </row>
    <row r="1511" spans="1:4" x14ac:dyDescent="0.2">
      <c r="A1511" s="7" t="s">
        <v>12713</v>
      </c>
      <c r="B1511" s="6" t="s">
        <v>12953</v>
      </c>
      <c r="C1511" s="6" t="s">
        <v>5313</v>
      </c>
      <c r="D1511" s="7" t="str">
        <f>VLOOKUP(B1511,Table1[[CIPCode]:[CIPTITLE]],4,FALSE)</f>
        <v>Management Information Systems and Services, Other.</v>
      </c>
    </row>
    <row r="1512" spans="1:4" x14ac:dyDescent="0.2">
      <c r="A1512" s="7" t="s">
        <v>12713</v>
      </c>
      <c r="B1512" s="6" t="s">
        <v>7641</v>
      </c>
      <c r="C1512" s="6" t="s">
        <v>5317</v>
      </c>
      <c r="D1512" s="7" t="str">
        <f>VLOOKUP(B1512,Table1[[CIPCode]:[CIPTITLE]],4,FALSE)</f>
        <v>Management Sciences and Quantitative Methods.</v>
      </c>
    </row>
    <row r="1513" spans="1:4" x14ac:dyDescent="0.2">
      <c r="A1513" s="7" t="s">
        <v>12713</v>
      </c>
      <c r="B1513" s="6" t="s">
        <v>11777</v>
      </c>
      <c r="C1513" s="6" t="s">
        <v>5318</v>
      </c>
      <c r="D1513" s="7" t="str">
        <f>VLOOKUP(B1513,Table1[[CIPCode]:[CIPTITLE]],4,FALSE)</f>
        <v>Management Science, General.</v>
      </c>
    </row>
    <row r="1514" spans="1:4" x14ac:dyDescent="0.2">
      <c r="A1514" s="7" t="s">
        <v>12713</v>
      </c>
      <c r="B1514" s="6" t="s">
        <v>11781</v>
      </c>
      <c r="C1514" s="6" t="s">
        <v>11782</v>
      </c>
      <c r="D1514" s="7" t="str">
        <f>VLOOKUP(B1514,Table1[[CIPCode]:[CIPTITLE]],4,FALSE)</f>
        <v>Business Statistics.</v>
      </c>
    </row>
    <row r="1515" spans="1:4" x14ac:dyDescent="0.2">
      <c r="A1515" s="7" t="s">
        <v>12713</v>
      </c>
      <c r="B1515" s="6" t="s">
        <v>9180</v>
      </c>
      <c r="C1515" s="6" t="s">
        <v>12852</v>
      </c>
      <c r="D1515" s="7" t="str">
        <f>VLOOKUP(B1515,Table1[[CIPCode]:[CIPTITLE]],4,FALSE)</f>
        <v>Actuarial Science.</v>
      </c>
    </row>
    <row r="1516" spans="1:4" x14ac:dyDescent="0.2">
      <c r="A1516" s="7" t="s">
        <v>12713</v>
      </c>
      <c r="B1516" s="6" t="s">
        <v>11785</v>
      </c>
      <c r="C1516" s="6" t="s">
        <v>5320</v>
      </c>
      <c r="D1516" s="7" t="str">
        <f>VLOOKUP(B1516,Table1[[CIPCode]:[CIPTITLE]],4,FALSE)</f>
        <v>Management Sciences and Quantitative Methods, Other.</v>
      </c>
    </row>
    <row r="1517" spans="1:4" x14ac:dyDescent="0.2">
      <c r="A1517" s="7" t="s">
        <v>12713</v>
      </c>
      <c r="B1517" s="6" t="s">
        <v>7651</v>
      </c>
      <c r="C1517" s="6" t="s">
        <v>5322</v>
      </c>
      <c r="D1517" s="7" t="str">
        <f>VLOOKUP(B1517,Table1[[CIPCode]:[CIPTITLE]],4,FALSE)</f>
        <v>Marketing.</v>
      </c>
    </row>
    <row r="1518" spans="1:4" x14ac:dyDescent="0.2">
      <c r="A1518" s="7" t="s">
        <v>12713</v>
      </c>
      <c r="B1518" s="6" t="s">
        <v>11793</v>
      </c>
      <c r="C1518" s="6" t="s">
        <v>5324</v>
      </c>
      <c r="D1518" s="7" t="str">
        <f>VLOOKUP(B1518,Table1[[CIPCode]:[CIPTITLE]],4,FALSE)</f>
        <v>Marketing/Marketing Management, General.</v>
      </c>
    </row>
    <row r="1519" spans="1:4" x14ac:dyDescent="0.2">
      <c r="A1519" s="7" t="s">
        <v>12713</v>
      </c>
      <c r="B1519" s="6" t="s">
        <v>11797</v>
      </c>
      <c r="C1519" s="6" t="s">
        <v>11798</v>
      </c>
      <c r="D1519" s="7" t="str">
        <f>VLOOKUP(B1519,Table1[[CIPCode]:[CIPTITLE]],4,FALSE)</f>
        <v>Marketing Research.</v>
      </c>
    </row>
    <row r="1520" spans="1:4" x14ac:dyDescent="0.2">
      <c r="A1520" s="7" t="s">
        <v>12713</v>
      </c>
      <c r="B1520" s="6" t="s">
        <v>11801</v>
      </c>
      <c r="C1520" s="6" t="s">
        <v>5325</v>
      </c>
      <c r="D1520" s="7" t="str">
        <f>VLOOKUP(B1520,Table1[[CIPCode]:[CIPTITLE]],4,FALSE)</f>
        <v>International Marketing.</v>
      </c>
    </row>
    <row r="1521" spans="1:4" x14ac:dyDescent="0.2">
      <c r="A1521" s="7" t="s">
        <v>12713</v>
      </c>
      <c r="B1521" s="6" t="s">
        <v>11805</v>
      </c>
      <c r="C1521" s="6" t="s">
        <v>5327</v>
      </c>
      <c r="D1521" s="7" t="str">
        <f>VLOOKUP(B1521,Table1[[CIPCode]:[CIPTITLE]],4,FALSE)</f>
        <v>Marketing, Other.</v>
      </c>
    </row>
    <row r="1522" spans="1:4" x14ac:dyDescent="0.2">
      <c r="A1522" s="7" t="s">
        <v>12713</v>
      </c>
      <c r="B1522" s="6" t="s">
        <v>8799</v>
      </c>
      <c r="C1522" s="6" t="s">
        <v>11810</v>
      </c>
      <c r="D1522" s="7" t="str">
        <f>VLOOKUP(B1522,Table1[[CIPCode]:[CIPTITLE]],4,FALSE)</f>
        <v>Real Estate.</v>
      </c>
    </row>
    <row r="1523" spans="1:4" x14ac:dyDescent="0.2">
      <c r="A1523" s="7" t="s">
        <v>12713</v>
      </c>
      <c r="B1523" s="6" t="s">
        <v>11813</v>
      </c>
      <c r="C1523" s="6" t="s">
        <v>11810</v>
      </c>
      <c r="D1523" s="7" t="str">
        <f>VLOOKUP(B1523,Table1[[CIPCode]:[CIPTITLE]],4,FALSE)</f>
        <v>Real Estate.</v>
      </c>
    </row>
    <row r="1524" spans="1:4" x14ac:dyDescent="0.2">
      <c r="A1524" s="7" t="s">
        <v>12713</v>
      </c>
      <c r="B1524" s="6" t="s">
        <v>7662</v>
      </c>
      <c r="C1524" s="6" t="s">
        <v>11817</v>
      </c>
      <c r="D1524" s="7" t="str">
        <f>VLOOKUP(B1524,Table1[[CIPCode]:[CIPTITLE]],4,FALSE)</f>
        <v>Taxation.</v>
      </c>
    </row>
    <row r="1525" spans="1:4" x14ac:dyDescent="0.2">
      <c r="A1525" s="7" t="s">
        <v>12713</v>
      </c>
      <c r="B1525" s="6" t="s">
        <v>11820</v>
      </c>
      <c r="C1525" s="6" t="s">
        <v>11817</v>
      </c>
      <c r="D1525" s="7" t="str">
        <f>VLOOKUP(B1525,Table1[[CIPCode]:[CIPTITLE]],4,FALSE)</f>
        <v>Taxation.</v>
      </c>
    </row>
    <row r="1526" spans="1:4" x14ac:dyDescent="0.2">
      <c r="A1526" s="7" t="s">
        <v>12713</v>
      </c>
      <c r="B1526" s="6" t="s">
        <v>7666</v>
      </c>
      <c r="C1526" s="6" t="s">
        <v>5256</v>
      </c>
      <c r="D1526" s="7" t="str">
        <f>VLOOKUP(B1526,Table1[[CIPCode]:[CIPTITLE]],4,FALSE)</f>
        <v>Insurance.</v>
      </c>
    </row>
    <row r="1527" spans="1:4" x14ac:dyDescent="0.2">
      <c r="A1527" s="7" t="s">
        <v>12713</v>
      </c>
      <c r="B1527" s="6" t="s">
        <v>7669</v>
      </c>
      <c r="C1527" s="6" t="s">
        <v>5256</v>
      </c>
      <c r="D1527" s="7" t="str">
        <f>VLOOKUP(B1527,Table1[[CIPCode]:[CIPTITLE]],4,FALSE)</f>
        <v>Insurance.</v>
      </c>
    </row>
    <row r="1528" spans="1:4" x14ac:dyDescent="0.2">
      <c r="A1528" s="7" t="s">
        <v>12713</v>
      </c>
      <c r="B1528" s="6" t="s">
        <v>7671</v>
      </c>
      <c r="C1528" s="6" t="s">
        <v>21529</v>
      </c>
      <c r="D1528" s="7" t="str">
        <f>VLOOKUP(B1528,Table1[[CIPCode]:[CIPTITLE]],4,FALSE)</f>
        <v>General Sales, Merchandising and Related Marketing Operations.</v>
      </c>
    </row>
    <row r="1529" spans="1:4" x14ac:dyDescent="0.2">
      <c r="A1529" s="7" t="s">
        <v>12713</v>
      </c>
      <c r="B1529" s="6" t="s">
        <v>9994</v>
      </c>
      <c r="C1529" s="6" t="s">
        <v>4472</v>
      </c>
      <c r="D1529" s="7" t="str">
        <f>VLOOKUP(B1529,Table1[[CIPCode]:[CIPTITLE]],4,FALSE)</f>
        <v>Sales, Distribution, and Marketing Operations, General.</v>
      </c>
    </row>
    <row r="1530" spans="1:4" x14ac:dyDescent="0.2">
      <c r="A1530" s="7" t="s">
        <v>12713</v>
      </c>
      <c r="B1530" s="6" t="s">
        <v>7676</v>
      </c>
      <c r="C1530" s="6" t="s">
        <v>6723</v>
      </c>
      <c r="D1530" s="7" t="str">
        <f>VLOOKUP(B1530,Table1[[CIPCode]:[CIPTITLE]],4,FALSE)</f>
        <v>Merchandising and Buying Operations.</v>
      </c>
    </row>
    <row r="1531" spans="1:4" x14ac:dyDescent="0.2">
      <c r="A1531" s="7" t="s">
        <v>12713</v>
      </c>
      <c r="B1531" s="6" t="s">
        <v>9995</v>
      </c>
      <c r="C1531" s="6" t="s">
        <v>6724</v>
      </c>
      <c r="D1531" s="7" t="str">
        <f>VLOOKUP(B1531,Table1[[CIPCode]:[CIPTITLE]],4,FALSE)</f>
        <v>Retailing and Retail Operations.</v>
      </c>
    </row>
    <row r="1532" spans="1:4" x14ac:dyDescent="0.2">
      <c r="A1532" s="7" t="s">
        <v>12713</v>
      </c>
      <c r="B1532" s="6" t="s">
        <v>7680</v>
      </c>
      <c r="C1532" s="6" t="s">
        <v>6726</v>
      </c>
      <c r="D1532" s="7" t="str">
        <f>VLOOKUP(B1532,Table1[[CIPCode]:[CIPTITLE]],4,FALSE)</f>
        <v>Selling Skills and Sales Operations.</v>
      </c>
    </row>
    <row r="1533" spans="1:4" x14ac:dyDescent="0.2">
      <c r="A1533" s="7" t="s">
        <v>12713</v>
      </c>
      <c r="B1533" s="6" t="s">
        <v>7683</v>
      </c>
      <c r="C1533" s="6" t="s">
        <v>21530</v>
      </c>
      <c r="D1533" s="7" t="str">
        <f>VLOOKUP(B1533,Table1[[CIPCode]:[CIPTITLE]],4,FALSE)</f>
        <v>General Merchandising, Sales, and Related Marketing Operations, Other.</v>
      </c>
    </row>
    <row r="1534" spans="1:4" x14ac:dyDescent="0.2">
      <c r="A1534" s="7" t="s">
        <v>12713</v>
      </c>
      <c r="B1534" s="6" t="s">
        <v>7686</v>
      </c>
      <c r="C1534" s="6" t="s">
        <v>21531</v>
      </c>
      <c r="D1534" s="7" t="str">
        <f>VLOOKUP(B1534,Table1[[CIPCode]:[CIPTITLE]],4,FALSE)</f>
        <v>Specialized Sales, Merchandising and  Marketing Operations.</v>
      </c>
    </row>
    <row r="1535" spans="1:4" x14ac:dyDescent="0.2">
      <c r="A1535" s="7" t="s">
        <v>12713</v>
      </c>
      <c r="B1535" s="6" t="s">
        <v>7689</v>
      </c>
      <c r="C1535" s="6" t="s">
        <v>17593</v>
      </c>
      <c r="D1535" s="7" t="str">
        <f>VLOOKUP(B1535,Table1[[CIPCode]:[CIPTITLE]],4,FALSE)</f>
        <v>Auctioneering.</v>
      </c>
    </row>
    <row r="1536" spans="1:4" x14ac:dyDescent="0.2">
      <c r="A1536" s="7" t="s">
        <v>12713</v>
      </c>
      <c r="B1536" s="6" t="s">
        <v>9589</v>
      </c>
      <c r="C1536" s="6" t="s">
        <v>17533</v>
      </c>
      <c r="D1536" s="7" t="str">
        <f>VLOOKUP(B1536,Table1[[CIPCode]:[CIPTITLE]],4,FALSE)</f>
        <v>Fashion Merchandising.</v>
      </c>
    </row>
    <row r="1537" spans="1:4" x14ac:dyDescent="0.2">
      <c r="A1537" s="7" t="s">
        <v>12713</v>
      </c>
      <c r="B1537" s="6" t="s">
        <v>7693</v>
      </c>
      <c r="C1537" s="6" t="s">
        <v>17537</v>
      </c>
      <c r="D1537" s="7" t="str">
        <f>VLOOKUP(B1537,Table1[[CIPCode]:[CIPTITLE]],4,FALSE)</f>
        <v>Fashion Modeling.</v>
      </c>
    </row>
    <row r="1538" spans="1:4" x14ac:dyDescent="0.2">
      <c r="A1538" s="7" t="s">
        <v>12713</v>
      </c>
      <c r="B1538" s="6" t="s">
        <v>7696</v>
      </c>
      <c r="C1538" s="6" t="s">
        <v>6710</v>
      </c>
      <c r="D1538" s="7" t="str">
        <f>VLOOKUP(B1538,Table1[[CIPCode]:[CIPTITLE]],4,FALSE)</f>
        <v>Apparel and Accessories Marketing Operations.</v>
      </c>
    </row>
    <row r="1539" spans="1:4" x14ac:dyDescent="0.2">
      <c r="A1539" s="7" t="s">
        <v>12713</v>
      </c>
      <c r="B1539" s="6" t="s">
        <v>7698</v>
      </c>
      <c r="C1539" s="6" t="s">
        <v>6740</v>
      </c>
      <c r="D1539" s="7" t="str">
        <f>VLOOKUP(B1539,Table1[[CIPCode]:[CIPTITLE]],4,FALSE)</f>
        <v>Tourism and Travel Services Marketing Operations.</v>
      </c>
    </row>
    <row r="1540" spans="1:4" x14ac:dyDescent="0.2">
      <c r="A1540" s="7" t="s">
        <v>12713</v>
      </c>
      <c r="B1540" s="6" t="s">
        <v>7284</v>
      </c>
      <c r="C1540" s="6" t="s">
        <v>17672</v>
      </c>
      <c r="D1540" s="7" t="str">
        <f>VLOOKUP(B1540,Table1[[CIPCode]:[CIPTITLE]],4,FALSE)</f>
        <v>Tourism Promotion Operations.</v>
      </c>
    </row>
    <row r="1541" spans="1:4" x14ac:dyDescent="0.2">
      <c r="A1541" s="7" t="s">
        <v>12713</v>
      </c>
      <c r="B1541" s="6" t="s">
        <v>7287</v>
      </c>
      <c r="C1541" s="6" t="s">
        <v>21532</v>
      </c>
      <c r="D1541" s="7" t="str">
        <f>VLOOKUP(B1541,Table1[[CIPCode]:[CIPTITLE]],4,FALSE)</f>
        <v>Vehicle and Vehicle Parts and Accessories Marketing Operations.</v>
      </c>
    </row>
    <row r="1542" spans="1:4" x14ac:dyDescent="0.2">
      <c r="A1542" s="7" t="s">
        <v>12713</v>
      </c>
      <c r="B1542" s="6" t="s">
        <v>7290</v>
      </c>
      <c r="C1542" s="6" t="s">
        <v>21533</v>
      </c>
      <c r="D1542" s="7" t="str">
        <f>VLOOKUP(B1542,Table1[[CIPCode]:[CIPTITLE]],4,FALSE)</f>
        <v>Business and Personal/Financial Services Marketing Operations.</v>
      </c>
    </row>
    <row r="1543" spans="1:4" x14ac:dyDescent="0.2">
      <c r="A1543" s="7" t="s">
        <v>12713</v>
      </c>
      <c r="B1543" s="6" t="s">
        <v>7293</v>
      </c>
      <c r="C1543" s="6" t="s">
        <v>1832</v>
      </c>
      <c r="D1543" s="7" t="str">
        <f>VLOOKUP(B1543,Table1[[CIPCode]:[CIPTITLE]],4,FALSE)</f>
        <v>Special Products Marketing Operations.</v>
      </c>
    </row>
    <row r="1544" spans="1:4" x14ac:dyDescent="0.2">
      <c r="A1544" s="7" t="s">
        <v>12713</v>
      </c>
      <c r="B1544" s="6" t="s">
        <v>7296</v>
      </c>
      <c r="C1544" s="6" t="s">
        <v>6733</v>
      </c>
      <c r="D1544" s="7" t="str">
        <f>VLOOKUP(B1544,Table1[[CIPCode]:[CIPTITLE]],4,FALSE)</f>
        <v>Hospitality and Recreation Marketing Operations.</v>
      </c>
    </row>
    <row r="1545" spans="1:4" x14ac:dyDescent="0.2">
      <c r="A1545" s="7" t="s">
        <v>12713</v>
      </c>
      <c r="B1545" s="6" t="s">
        <v>7299</v>
      </c>
      <c r="C1545" s="6" t="s">
        <v>21534</v>
      </c>
      <c r="D1545" s="7" t="str">
        <f>VLOOKUP(B1545,Table1[[CIPCode]:[CIPTITLE]],4,FALSE)</f>
        <v>Specialized Merchandising, Sales, and Marketing Operations, Other.</v>
      </c>
    </row>
    <row r="1546" spans="1:4" x14ac:dyDescent="0.2">
      <c r="A1546" s="7" t="s">
        <v>12713</v>
      </c>
      <c r="B1546" s="6" t="s">
        <v>8926</v>
      </c>
      <c r="C1546" s="6" t="s">
        <v>21535</v>
      </c>
      <c r="D1546" s="7" t="str">
        <f>VLOOKUP(B1546,Table1[[CIPCode]:[CIPTITLE]],4,FALSE)</f>
        <v>Construction Management.</v>
      </c>
    </row>
    <row r="1547" spans="1:4" x14ac:dyDescent="0.2">
      <c r="A1547" s="7" t="s">
        <v>12713</v>
      </c>
      <c r="B1547" s="6" t="s">
        <v>8496</v>
      </c>
      <c r="C1547" s="6" t="s">
        <v>21535</v>
      </c>
      <c r="D1547" s="7" t="str">
        <f>VLOOKUP(B1547,Table1[[CIPCode]:[CIPTITLE]],4,FALSE)</f>
        <v>Construction Management.</v>
      </c>
    </row>
    <row r="1548" spans="1:4" x14ac:dyDescent="0.2">
      <c r="A1548" s="7" t="s">
        <v>12713</v>
      </c>
      <c r="B1548" s="6" t="s">
        <v>7304</v>
      </c>
      <c r="C1548" s="6" t="s">
        <v>5333</v>
      </c>
      <c r="D1548" s="7" t="str">
        <f>VLOOKUP(B1548,Table1[[CIPCode]:[CIPTITLE]],4,FALSE)</f>
        <v>Business, Management, Marketing, and Related Support Services, Other.</v>
      </c>
    </row>
    <row r="1549" spans="1:4" x14ac:dyDescent="0.2">
      <c r="A1549" s="7" t="s">
        <v>12713</v>
      </c>
      <c r="B1549" s="6" t="s">
        <v>11827</v>
      </c>
      <c r="C1549" s="6" t="s">
        <v>21536</v>
      </c>
      <c r="D1549" s="7" t="str">
        <f>VLOOKUP(B1549,Table1[[CIPCode]:[CIPTITLE]],4,FALSE)</f>
        <v>Business, Management, Marketing, and Related Support Services, Other.</v>
      </c>
    </row>
    <row r="1550" spans="1:4" x14ac:dyDescent="0.2">
      <c r="A1550" s="7" t="s">
        <v>7310</v>
      </c>
      <c r="B1550" s="6" t="s">
        <v>7310</v>
      </c>
      <c r="C1550" s="6" t="s">
        <v>21537</v>
      </c>
      <c r="D1550" s="7" t="e">
        <f>VLOOKUP(B1550,Table1[[CIPCode]:[CIPTITLE]],4,FALSE)</f>
        <v>#N/A</v>
      </c>
    </row>
    <row r="1551" spans="1:4" x14ac:dyDescent="0.2">
      <c r="A1551" s="7" t="s">
        <v>7310</v>
      </c>
      <c r="B1551" s="6" t="s">
        <v>7312</v>
      </c>
      <c r="C1551" s="6" t="s">
        <v>14761</v>
      </c>
      <c r="D1551" s="7" t="str">
        <f>VLOOKUP(B1551,Table1[[CIPCode]:[CIPTITLE]],4,FALSE)</f>
        <v>History.</v>
      </c>
    </row>
    <row r="1552" spans="1:4" x14ac:dyDescent="0.2">
      <c r="A1552" s="7" t="s">
        <v>7310</v>
      </c>
      <c r="B1552" s="6" t="s">
        <v>7314</v>
      </c>
      <c r="C1552" s="6" t="s">
        <v>14765</v>
      </c>
      <c r="D1552" s="7" t="str">
        <f>VLOOKUP(B1552,Table1[[CIPCode]:[CIPTITLE]],4,FALSE)</f>
        <v>History, General.</v>
      </c>
    </row>
    <row r="1553" spans="1:4" x14ac:dyDescent="0.2">
      <c r="A1553" s="7" t="s">
        <v>7310</v>
      </c>
      <c r="B1553" s="6" t="s">
        <v>11571</v>
      </c>
      <c r="C1553" s="6" t="s">
        <v>21538</v>
      </c>
      <c r="D1553" s="7" t="str">
        <f>VLOOKUP(B1553,Table1[[CIPCode]:[CIPTITLE]],4,FALSE)</f>
        <v>American  History (United States).</v>
      </c>
    </row>
    <row r="1554" spans="1:4" x14ac:dyDescent="0.2">
      <c r="A1554" s="7" t="s">
        <v>7310</v>
      </c>
      <c r="B1554" s="6" t="s">
        <v>11352</v>
      </c>
      <c r="C1554" s="6" t="s">
        <v>14773</v>
      </c>
      <c r="D1554" s="7" t="str">
        <f>VLOOKUP(B1554,Table1[[CIPCode]:[CIPTITLE]],4,FALSE)</f>
        <v>European History.</v>
      </c>
    </row>
    <row r="1555" spans="1:4" x14ac:dyDescent="0.2">
      <c r="A1555" s="7" t="s">
        <v>7310</v>
      </c>
      <c r="B1555" s="6" t="s">
        <v>11543</v>
      </c>
      <c r="C1555" s="6" t="s">
        <v>6287</v>
      </c>
      <c r="D1555" s="7" t="str">
        <f>VLOOKUP(B1555,Table1[[CIPCode]:[CIPTITLE]],4,FALSE)</f>
        <v>History and Philosophy of Science and Technology.</v>
      </c>
    </row>
    <row r="1556" spans="1:4" x14ac:dyDescent="0.2">
      <c r="A1556" s="7" t="s">
        <v>7310</v>
      </c>
      <c r="B1556" s="6" t="s">
        <v>9740</v>
      </c>
      <c r="C1556" s="6" t="s">
        <v>6289</v>
      </c>
      <c r="D1556" s="7" t="str">
        <f>VLOOKUP(B1556,Table1[[CIPCode]:[CIPTITLE]],4,FALSE)</f>
        <v>Public/Applied History and Archival Administration.</v>
      </c>
    </row>
    <row r="1557" spans="1:4" x14ac:dyDescent="0.2">
      <c r="A1557" s="7" t="s">
        <v>7310</v>
      </c>
      <c r="B1557" s="6" t="s">
        <v>11328</v>
      </c>
      <c r="C1557" s="6" t="s">
        <v>21539</v>
      </c>
      <c r="D1557" s="7" t="str">
        <f>VLOOKUP(B1557,Table1[[CIPCode]:[CIPTITLE]],4,FALSE)</f>
        <v>Asian History.</v>
      </c>
    </row>
    <row r="1558" spans="1:4" x14ac:dyDescent="0.2">
      <c r="A1558" s="7" t="s">
        <v>7310</v>
      </c>
      <c r="B1558" s="6" t="s">
        <v>7323</v>
      </c>
      <c r="C1558" s="6" t="s">
        <v>14785</v>
      </c>
      <c r="D1558" s="7" t="str">
        <f>VLOOKUP(B1558,Table1[[CIPCode]:[CIPTITLE]],4,FALSE)</f>
        <v>History, Other.</v>
      </c>
    </row>
    <row r="1559" spans="1:4" x14ac:dyDescent="0.2">
      <c r="A1559" s="7" t="s">
        <v>21044</v>
      </c>
      <c r="B1559" s="6" t="s">
        <v>21044</v>
      </c>
      <c r="C1559" s="6" t="s">
        <v>21540</v>
      </c>
      <c r="D1559" s="7" t="str">
        <f>VLOOKUP(B1559,Table1[[CIPCode]:[CIPTITLE]],4,FALSE)</f>
        <v>Undesignated field of study</v>
      </c>
    </row>
    <row r="1560" spans="1:4" x14ac:dyDescent="0.2">
      <c r="A1560" s="7" t="s">
        <v>21044</v>
      </c>
      <c r="B1560" s="6" t="s">
        <v>21541</v>
      </c>
      <c r="C1560" s="6" t="s">
        <v>21540</v>
      </c>
      <c r="D1560" s="7" t="str">
        <f>VLOOKUP(B1560,Table1[[CIPCode]:[CIPTITLE]],4,FALSE)</f>
        <v>Undesignated field of study</v>
      </c>
    </row>
    <row r="1561" spans="1:4" x14ac:dyDescent="0.2">
      <c r="A1561" s="7" t="s">
        <v>21044</v>
      </c>
      <c r="B1561" s="6" t="s">
        <v>21045</v>
      </c>
      <c r="C1561" s="6" t="s">
        <v>21540</v>
      </c>
      <c r="D1561" s="7" t="str">
        <f>VLOOKUP(B1561,Table1[[CIPCode]:[CIPTITLE]],4,FALSE)</f>
        <v>Undesignated field of study</v>
      </c>
    </row>
    <row r="1562" spans="1:4" x14ac:dyDescent="0.2">
      <c r="A1562" s="7" t="s">
        <v>11879</v>
      </c>
      <c r="B1562" s="6" t="s">
        <v>11879</v>
      </c>
      <c r="C1562" s="6" t="s">
        <v>21542</v>
      </c>
      <c r="D1562" s="7" t="e">
        <f>VLOOKUP(B1562,Table1[[CIPCode]:[CIPTITLE]],4,FALSE)</f>
        <v>#N/A</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1C74-185B-6946-B156-397D51CF83A6}">
  <dimension ref="A1:H2319"/>
  <sheetViews>
    <sheetView workbookViewId="0">
      <selection sqref="A1:B1"/>
    </sheetView>
  </sheetViews>
  <sheetFormatPr baseColWidth="10" defaultRowHeight="16" x14ac:dyDescent="0.2"/>
  <cols>
    <col min="1" max="16384" width="10.83203125" style="4"/>
  </cols>
  <sheetData>
    <row r="1" spans="1:8" x14ac:dyDescent="0.2">
      <c r="A1" s="4" t="s">
        <v>18231</v>
      </c>
      <c r="B1" s="4" t="s">
        <v>12579</v>
      </c>
      <c r="C1" s="4" t="s">
        <v>18232</v>
      </c>
      <c r="D1" s="4" t="s">
        <v>18233</v>
      </c>
      <c r="E1" s="4" t="s">
        <v>18234</v>
      </c>
      <c r="F1" s="4" t="s">
        <v>18235</v>
      </c>
      <c r="G1" s="4" t="s">
        <v>18236</v>
      </c>
      <c r="H1" s="4" t="s">
        <v>18237</v>
      </c>
    </row>
    <row r="2" spans="1:8" x14ac:dyDescent="0.2">
      <c r="A2" s="4" t="str">
        <f>"01"</f>
        <v>01</v>
      </c>
      <c r="B2" s="4" t="str">
        <f>"01"</f>
        <v>01</v>
      </c>
      <c r="C2" s="4" t="s">
        <v>18238</v>
      </c>
      <c r="D2" s="4" t="s">
        <v>18239</v>
      </c>
      <c r="E2" s="4" t="s">
        <v>11573</v>
      </c>
      <c r="F2" s="4" t="s">
        <v>11574</v>
      </c>
    </row>
    <row r="3" spans="1:8" x14ac:dyDescent="0.2">
      <c r="A3" s="4" t="str">
        <f t="shared" ref="A3:A66" si="0">"01"</f>
        <v>01</v>
      </c>
      <c r="B3" s="4" t="str">
        <f>"01.00"</f>
        <v>01.00</v>
      </c>
      <c r="C3" s="4" t="s">
        <v>18238</v>
      </c>
      <c r="D3" s="4" t="s">
        <v>18239</v>
      </c>
      <c r="E3" s="4" t="s">
        <v>11580</v>
      </c>
      <c r="F3" s="4" t="s">
        <v>18240</v>
      </c>
    </row>
    <row r="4" spans="1:8" x14ac:dyDescent="0.2">
      <c r="A4" s="4" t="str">
        <f t="shared" si="0"/>
        <v>01</v>
      </c>
      <c r="B4" s="4" t="str">
        <f>"01.0000"</f>
        <v>01.0000</v>
      </c>
      <c r="C4" s="4" t="s">
        <v>18238</v>
      </c>
      <c r="D4" s="4" t="s">
        <v>18239</v>
      </c>
      <c r="E4" s="4" t="s">
        <v>11580</v>
      </c>
      <c r="F4" s="4" t="s">
        <v>18241</v>
      </c>
      <c r="G4" s="4" t="s">
        <v>18242</v>
      </c>
    </row>
    <row r="5" spans="1:8" x14ac:dyDescent="0.2">
      <c r="A5" s="4" t="str">
        <f t="shared" si="0"/>
        <v>01</v>
      </c>
      <c r="B5" s="4" t="str">
        <f>"01.01"</f>
        <v>01.01</v>
      </c>
      <c r="C5" s="4" t="s">
        <v>18238</v>
      </c>
      <c r="D5" s="4" t="s">
        <v>18239</v>
      </c>
      <c r="E5" s="4" t="s">
        <v>11585</v>
      </c>
      <c r="F5" s="4" t="s">
        <v>18243</v>
      </c>
    </row>
    <row r="6" spans="1:8" x14ac:dyDescent="0.2">
      <c r="A6" s="4" t="str">
        <f t="shared" si="0"/>
        <v>01</v>
      </c>
      <c r="B6" s="4" t="str">
        <f>"01.0101"</f>
        <v>01.0101</v>
      </c>
      <c r="C6" s="4" t="s">
        <v>18238</v>
      </c>
      <c r="D6" s="4" t="s">
        <v>18239</v>
      </c>
      <c r="E6" s="4" t="s">
        <v>11587</v>
      </c>
      <c r="F6" s="4" t="s">
        <v>11588</v>
      </c>
    </row>
    <row r="7" spans="1:8" x14ac:dyDescent="0.2">
      <c r="A7" s="4" t="str">
        <f t="shared" si="0"/>
        <v>01</v>
      </c>
      <c r="B7" s="4" t="str">
        <f>"01.0102"</f>
        <v>01.0102</v>
      </c>
      <c r="C7" s="4" t="s">
        <v>18238</v>
      </c>
      <c r="D7" s="4" t="s">
        <v>18239</v>
      </c>
      <c r="E7" s="4" t="s">
        <v>11590</v>
      </c>
      <c r="F7" s="4" t="s">
        <v>11591</v>
      </c>
      <c r="H7" s="4" t="s">
        <v>18244</v>
      </c>
    </row>
    <row r="8" spans="1:8" x14ac:dyDescent="0.2">
      <c r="A8" s="4" t="str">
        <f t="shared" si="0"/>
        <v>01</v>
      </c>
      <c r="B8" s="4" t="str">
        <f>"01.0103"</f>
        <v>01.0103</v>
      </c>
      <c r="C8" s="4" t="s">
        <v>18238</v>
      </c>
      <c r="D8" s="4" t="s">
        <v>18239</v>
      </c>
      <c r="E8" s="4" t="s">
        <v>11593</v>
      </c>
      <c r="F8" s="4" t="s">
        <v>11594</v>
      </c>
      <c r="G8" s="4" t="s">
        <v>18245</v>
      </c>
      <c r="H8" s="4" t="s">
        <v>18244</v>
      </c>
    </row>
    <row r="9" spans="1:8" x14ac:dyDescent="0.2">
      <c r="A9" s="4" t="str">
        <f t="shared" si="0"/>
        <v>01</v>
      </c>
      <c r="B9" s="4" t="str">
        <f>"01.0104"</f>
        <v>01.0104</v>
      </c>
      <c r="C9" s="4" t="s">
        <v>18238</v>
      </c>
      <c r="D9" s="4" t="s">
        <v>18239</v>
      </c>
      <c r="E9" s="4" t="s">
        <v>11598</v>
      </c>
      <c r="F9" s="4" t="s">
        <v>11599</v>
      </c>
      <c r="H9" s="4" t="s">
        <v>18244</v>
      </c>
    </row>
    <row r="10" spans="1:8" x14ac:dyDescent="0.2">
      <c r="A10" s="4" t="str">
        <f t="shared" si="0"/>
        <v>01</v>
      </c>
      <c r="B10" s="4" t="str">
        <f>"01.0105"</f>
        <v>01.0105</v>
      </c>
      <c r="C10" s="4" t="s">
        <v>18238</v>
      </c>
      <c r="D10" s="4" t="s">
        <v>18239</v>
      </c>
      <c r="E10" s="4" t="s">
        <v>11603</v>
      </c>
      <c r="F10" s="4" t="s">
        <v>18246</v>
      </c>
      <c r="H10" s="4" t="s">
        <v>18244</v>
      </c>
    </row>
    <row r="11" spans="1:8" x14ac:dyDescent="0.2">
      <c r="A11" s="4" t="str">
        <f t="shared" si="0"/>
        <v>01</v>
      </c>
      <c r="B11" s="4" t="str">
        <f>"01.0106"</f>
        <v>01.0106</v>
      </c>
      <c r="C11" s="4" t="s">
        <v>18238</v>
      </c>
      <c r="D11" s="4" t="s">
        <v>18239</v>
      </c>
      <c r="E11" s="4" t="s">
        <v>11606</v>
      </c>
      <c r="F11" s="4" t="s">
        <v>18247</v>
      </c>
      <c r="H11" s="4" t="s">
        <v>18244</v>
      </c>
    </row>
    <row r="12" spans="1:8" x14ac:dyDescent="0.2">
      <c r="A12" s="4" t="str">
        <f t="shared" si="0"/>
        <v>01</v>
      </c>
      <c r="B12" s="4" t="str">
        <f>"01.0199"</f>
        <v>01.0199</v>
      </c>
      <c r="C12" s="4" t="s">
        <v>18238</v>
      </c>
      <c r="D12" s="4" t="s">
        <v>18239</v>
      </c>
      <c r="E12" s="4" t="s">
        <v>11608</v>
      </c>
      <c r="F12" s="4" t="s">
        <v>11609</v>
      </c>
      <c r="H12" s="4" t="s">
        <v>18244</v>
      </c>
    </row>
    <row r="13" spans="1:8" x14ac:dyDescent="0.2">
      <c r="A13" s="4" t="str">
        <f t="shared" si="0"/>
        <v>01</v>
      </c>
      <c r="B13" s="4" t="str">
        <f>"01.02"</f>
        <v>01.02</v>
      </c>
      <c r="C13" s="4" t="s">
        <v>18238</v>
      </c>
      <c r="D13" s="4" t="s">
        <v>18239</v>
      </c>
      <c r="E13" s="4" t="s">
        <v>11611</v>
      </c>
      <c r="F13" s="4" t="s">
        <v>18248</v>
      </c>
      <c r="H13" s="4" t="s">
        <v>18244</v>
      </c>
    </row>
    <row r="14" spans="1:8" x14ac:dyDescent="0.2">
      <c r="A14" s="4" t="str">
        <f t="shared" si="0"/>
        <v>01</v>
      </c>
      <c r="B14" s="4" t="str">
        <f>"01.0201"</f>
        <v>01.0201</v>
      </c>
      <c r="C14" s="4" t="s">
        <v>18238</v>
      </c>
      <c r="D14" s="4" t="s">
        <v>18239</v>
      </c>
      <c r="E14" s="4" t="s">
        <v>11613</v>
      </c>
      <c r="F14" s="4" t="s">
        <v>18249</v>
      </c>
      <c r="H14" s="4" t="s">
        <v>18244</v>
      </c>
    </row>
    <row r="15" spans="1:8" x14ac:dyDescent="0.2">
      <c r="A15" s="4" t="str">
        <f t="shared" si="0"/>
        <v>01</v>
      </c>
      <c r="B15" s="4" t="str">
        <f>"01.0204"</f>
        <v>01.0204</v>
      </c>
      <c r="C15" s="4" t="s">
        <v>18238</v>
      </c>
      <c r="D15" s="4" t="s">
        <v>18239</v>
      </c>
      <c r="E15" s="4" t="s">
        <v>11616</v>
      </c>
      <c r="F15" s="4" t="s">
        <v>18250</v>
      </c>
      <c r="G15" s="4" t="s">
        <v>18251</v>
      </c>
      <c r="H15" s="4" t="s">
        <v>18244</v>
      </c>
    </row>
    <row r="16" spans="1:8" x14ac:dyDescent="0.2">
      <c r="A16" s="4" t="str">
        <f t="shared" si="0"/>
        <v>01</v>
      </c>
      <c r="B16" s="4" t="str">
        <f>"01.0205"</f>
        <v>01.0205</v>
      </c>
      <c r="C16" s="4" t="s">
        <v>18238</v>
      </c>
      <c r="D16" s="4" t="s">
        <v>18239</v>
      </c>
      <c r="E16" s="4" t="s">
        <v>11620</v>
      </c>
      <c r="F16" s="4" t="s">
        <v>18252</v>
      </c>
      <c r="H16" s="4" t="s">
        <v>18253</v>
      </c>
    </row>
    <row r="17" spans="1:8" x14ac:dyDescent="0.2">
      <c r="A17" s="4" t="str">
        <f t="shared" si="0"/>
        <v>01</v>
      </c>
      <c r="B17" s="4" t="str">
        <f>"01.0299"</f>
        <v>01.0299</v>
      </c>
      <c r="C17" s="4" t="s">
        <v>18238</v>
      </c>
      <c r="D17" s="4" t="s">
        <v>18239</v>
      </c>
      <c r="E17" s="4" t="s">
        <v>11624</v>
      </c>
      <c r="F17" s="4" t="s">
        <v>11625</v>
      </c>
      <c r="H17" s="4" t="s">
        <v>18254</v>
      </c>
    </row>
    <row r="18" spans="1:8" x14ac:dyDescent="0.2">
      <c r="A18" s="4" t="str">
        <f t="shared" si="0"/>
        <v>01</v>
      </c>
      <c r="B18" s="4" t="str">
        <f>"01.03"</f>
        <v>01.03</v>
      </c>
      <c r="C18" s="4" t="s">
        <v>18238</v>
      </c>
      <c r="D18" s="4" t="s">
        <v>18239</v>
      </c>
      <c r="E18" s="4" t="s">
        <v>11627</v>
      </c>
      <c r="F18" s="4" t="s">
        <v>18255</v>
      </c>
      <c r="H18" s="4" t="s">
        <v>18254</v>
      </c>
    </row>
    <row r="19" spans="1:8" x14ac:dyDescent="0.2">
      <c r="A19" s="4" t="str">
        <f t="shared" si="0"/>
        <v>01</v>
      </c>
      <c r="B19" s="4" t="str">
        <f>"01.0301"</f>
        <v>01.0301</v>
      </c>
      <c r="C19" s="4" t="s">
        <v>18238</v>
      </c>
      <c r="D19" s="4" t="s">
        <v>18239</v>
      </c>
      <c r="E19" s="4" t="s">
        <v>11629</v>
      </c>
      <c r="F19" s="4" t="s">
        <v>11630</v>
      </c>
      <c r="H19" s="4" t="s">
        <v>18254</v>
      </c>
    </row>
    <row r="20" spans="1:8" x14ac:dyDescent="0.2">
      <c r="A20" s="4" t="str">
        <f t="shared" si="0"/>
        <v>01</v>
      </c>
      <c r="B20" s="4" t="str">
        <f>"01.0302"</f>
        <v>01.0302</v>
      </c>
      <c r="C20" s="4" t="s">
        <v>18238</v>
      </c>
      <c r="D20" s="4" t="s">
        <v>18239</v>
      </c>
      <c r="E20" s="4" t="s">
        <v>11631</v>
      </c>
      <c r="F20" s="4" t="s">
        <v>11632</v>
      </c>
      <c r="H20" s="4" t="s">
        <v>18254</v>
      </c>
    </row>
    <row r="21" spans="1:8" x14ac:dyDescent="0.2">
      <c r="A21" s="4" t="str">
        <f t="shared" si="0"/>
        <v>01</v>
      </c>
      <c r="B21" s="4" t="str">
        <f>"01.0303"</f>
        <v>01.0303</v>
      </c>
      <c r="C21" s="4" t="s">
        <v>18238</v>
      </c>
      <c r="D21" s="4" t="s">
        <v>18239</v>
      </c>
      <c r="E21" s="4" t="s">
        <v>12586</v>
      </c>
      <c r="F21" s="4" t="s">
        <v>11633</v>
      </c>
      <c r="H21" s="4" t="s">
        <v>18254</v>
      </c>
    </row>
    <row r="22" spans="1:8" x14ac:dyDescent="0.2">
      <c r="A22" s="4" t="str">
        <f t="shared" si="0"/>
        <v>01</v>
      </c>
      <c r="B22" s="4" t="str">
        <f>"01.0304"</f>
        <v>01.0304</v>
      </c>
      <c r="C22" s="4" t="s">
        <v>18238</v>
      </c>
      <c r="D22" s="4" t="s">
        <v>18239</v>
      </c>
      <c r="E22" s="4" t="s">
        <v>11634</v>
      </c>
      <c r="F22" s="4" t="s">
        <v>11635</v>
      </c>
      <c r="H22" s="4" t="s">
        <v>18254</v>
      </c>
    </row>
    <row r="23" spans="1:8" x14ac:dyDescent="0.2">
      <c r="A23" s="4" t="str">
        <f t="shared" si="0"/>
        <v>01</v>
      </c>
      <c r="B23" s="4" t="str">
        <f>"01.0306"</f>
        <v>01.0306</v>
      </c>
      <c r="C23" s="4" t="s">
        <v>18238</v>
      </c>
      <c r="D23" s="4" t="s">
        <v>18239</v>
      </c>
      <c r="E23" s="4" t="s">
        <v>11637</v>
      </c>
      <c r="F23" s="4" t="s">
        <v>18256</v>
      </c>
      <c r="H23" s="4" t="s">
        <v>18254</v>
      </c>
    </row>
    <row r="24" spans="1:8" x14ac:dyDescent="0.2">
      <c r="A24" s="4" t="str">
        <f t="shared" si="0"/>
        <v>01</v>
      </c>
      <c r="B24" s="4" t="str">
        <f>"01.0307"</f>
        <v>01.0307</v>
      </c>
      <c r="C24" s="4" t="s">
        <v>18238</v>
      </c>
      <c r="D24" s="4" t="s">
        <v>18239</v>
      </c>
      <c r="E24" s="4" t="s">
        <v>11640</v>
      </c>
      <c r="F24" s="4" t="s">
        <v>18257</v>
      </c>
      <c r="H24" s="4" t="s">
        <v>18254</v>
      </c>
    </row>
    <row r="25" spans="1:8" x14ac:dyDescent="0.2">
      <c r="A25" s="4" t="str">
        <f t="shared" si="0"/>
        <v>01</v>
      </c>
      <c r="B25" s="4" t="str">
        <f>"01.0308"</f>
        <v>01.0308</v>
      </c>
      <c r="C25" s="4" t="s">
        <v>18258</v>
      </c>
      <c r="D25" s="4" t="s">
        <v>18239</v>
      </c>
      <c r="E25" s="4" t="s">
        <v>18259</v>
      </c>
      <c r="F25" s="4" t="s">
        <v>18260</v>
      </c>
      <c r="G25" s="4" t="s">
        <v>18261</v>
      </c>
      <c r="H25" s="4" t="s">
        <v>18262</v>
      </c>
    </row>
    <row r="26" spans="1:8" x14ac:dyDescent="0.2">
      <c r="A26" s="4" t="str">
        <f t="shared" si="0"/>
        <v>01</v>
      </c>
      <c r="B26" s="4" t="str">
        <f>"01.0309"</f>
        <v>01.0309</v>
      </c>
      <c r="C26" s="4" t="s">
        <v>18258</v>
      </c>
      <c r="D26" s="4" t="s">
        <v>18239</v>
      </c>
      <c r="E26" s="4" t="s">
        <v>18263</v>
      </c>
      <c r="F26" s="4" t="s">
        <v>18264</v>
      </c>
      <c r="H26" s="4" t="s">
        <v>18265</v>
      </c>
    </row>
    <row r="27" spans="1:8" x14ac:dyDescent="0.2">
      <c r="A27" s="4" t="str">
        <f t="shared" si="0"/>
        <v>01</v>
      </c>
      <c r="B27" s="4" t="str">
        <f>"01.0399"</f>
        <v>01.0399</v>
      </c>
      <c r="C27" s="4" t="s">
        <v>18238</v>
      </c>
      <c r="D27" s="4" t="s">
        <v>18239</v>
      </c>
      <c r="E27" s="4" t="s">
        <v>11642</v>
      </c>
      <c r="F27" s="4" t="s">
        <v>11643</v>
      </c>
      <c r="H27" s="4" t="s">
        <v>18265</v>
      </c>
    </row>
    <row r="28" spans="1:8" x14ac:dyDescent="0.2">
      <c r="A28" s="4" t="str">
        <f t="shared" si="0"/>
        <v>01</v>
      </c>
      <c r="B28" s="4" t="str">
        <f>"01.04"</f>
        <v>01.04</v>
      </c>
      <c r="C28" s="4" t="s">
        <v>18238</v>
      </c>
      <c r="D28" s="4" t="s">
        <v>18239</v>
      </c>
      <c r="E28" s="4" t="s">
        <v>11645</v>
      </c>
      <c r="F28" s="4" t="s">
        <v>11646</v>
      </c>
      <c r="H28" s="4" t="s">
        <v>18265</v>
      </c>
    </row>
    <row r="29" spans="1:8" x14ac:dyDescent="0.2">
      <c r="A29" s="4" t="str">
        <f t="shared" si="0"/>
        <v>01</v>
      </c>
      <c r="B29" s="4" t="str">
        <f>"01.0401"</f>
        <v>01.0401</v>
      </c>
      <c r="C29" s="4" t="s">
        <v>18238</v>
      </c>
      <c r="D29" s="4" t="s">
        <v>18239</v>
      </c>
      <c r="E29" s="4" t="s">
        <v>11645</v>
      </c>
      <c r="F29" s="4" t="s">
        <v>11647</v>
      </c>
      <c r="H29" s="4" t="s">
        <v>18265</v>
      </c>
    </row>
    <row r="30" spans="1:8" x14ac:dyDescent="0.2">
      <c r="A30" s="4" t="str">
        <f t="shared" si="0"/>
        <v>01</v>
      </c>
      <c r="B30" s="4" t="str">
        <f>"01.05"</f>
        <v>01.05</v>
      </c>
      <c r="C30" s="4" t="s">
        <v>18238</v>
      </c>
      <c r="D30" s="4" t="s">
        <v>18239</v>
      </c>
      <c r="E30" s="4" t="s">
        <v>11649</v>
      </c>
      <c r="F30" s="4" t="s">
        <v>18266</v>
      </c>
      <c r="H30" s="4" t="s">
        <v>18265</v>
      </c>
    </row>
    <row r="31" spans="1:8" x14ac:dyDescent="0.2">
      <c r="A31" s="4" t="str">
        <f t="shared" si="0"/>
        <v>01</v>
      </c>
      <c r="B31" s="4" t="str">
        <f>"01.0504"</f>
        <v>01.0504</v>
      </c>
      <c r="C31" s="4" t="s">
        <v>18238</v>
      </c>
      <c r="D31" s="4" t="s">
        <v>18239</v>
      </c>
      <c r="E31" s="4" t="s">
        <v>11655</v>
      </c>
      <c r="F31" s="4" t="s">
        <v>18267</v>
      </c>
      <c r="H31" s="4" t="s">
        <v>18265</v>
      </c>
    </row>
    <row r="32" spans="1:8" x14ac:dyDescent="0.2">
      <c r="A32" s="4" t="str">
        <f t="shared" si="0"/>
        <v>01</v>
      </c>
      <c r="B32" s="4" t="str">
        <f>"01.0505"</f>
        <v>01.0505</v>
      </c>
      <c r="C32" s="4" t="s">
        <v>18238</v>
      </c>
      <c r="D32" s="4" t="s">
        <v>18239</v>
      </c>
      <c r="E32" s="4" t="s">
        <v>11659</v>
      </c>
      <c r="F32" s="4" t="s">
        <v>11660</v>
      </c>
      <c r="H32" s="4" t="s">
        <v>18265</v>
      </c>
    </row>
    <row r="33" spans="1:8" x14ac:dyDescent="0.2">
      <c r="A33" s="4" t="str">
        <f t="shared" si="0"/>
        <v>01</v>
      </c>
      <c r="B33" s="4" t="str">
        <f>"01.0507"</f>
        <v>01.0507</v>
      </c>
      <c r="C33" s="4" t="s">
        <v>18238</v>
      </c>
      <c r="D33" s="4" t="s">
        <v>18239</v>
      </c>
      <c r="E33" s="4" t="s">
        <v>11661</v>
      </c>
      <c r="F33" s="4" t="s">
        <v>11662</v>
      </c>
      <c r="H33" s="4" t="s">
        <v>18265</v>
      </c>
    </row>
    <row r="34" spans="1:8" x14ac:dyDescent="0.2">
      <c r="A34" s="4" t="str">
        <f t="shared" si="0"/>
        <v>01</v>
      </c>
      <c r="B34" s="4" t="str">
        <f>"01.0508"</f>
        <v>01.0508</v>
      </c>
      <c r="C34" s="4" t="s">
        <v>18238</v>
      </c>
      <c r="D34" s="4" t="s">
        <v>18239</v>
      </c>
      <c r="E34" s="4" t="s">
        <v>11664</v>
      </c>
      <c r="F34" s="4" t="s">
        <v>18268</v>
      </c>
      <c r="H34" s="4" t="s">
        <v>18265</v>
      </c>
    </row>
    <row r="35" spans="1:8" x14ac:dyDescent="0.2">
      <c r="A35" s="4" t="str">
        <f t="shared" si="0"/>
        <v>01</v>
      </c>
      <c r="B35" s="4" t="str">
        <f>"01.0599"</f>
        <v>01.0599</v>
      </c>
      <c r="C35" s="4" t="s">
        <v>18238</v>
      </c>
      <c r="D35" s="4" t="s">
        <v>18239</v>
      </c>
      <c r="E35" s="4" t="s">
        <v>11666</v>
      </c>
      <c r="F35" s="4" t="s">
        <v>11667</v>
      </c>
      <c r="H35" s="4" t="s">
        <v>18265</v>
      </c>
    </row>
    <row r="36" spans="1:8" x14ac:dyDescent="0.2">
      <c r="A36" s="4" t="str">
        <f t="shared" si="0"/>
        <v>01</v>
      </c>
      <c r="B36" s="4" t="str">
        <f>"01.06"</f>
        <v>01.06</v>
      </c>
      <c r="C36" s="4" t="s">
        <v>18238</v>
      </c>
      <c r="D36" s="4" t="s">
        <v>18239</v>
      </c>
      <c r="E36" s="4" t="s">
        <v>11669</v>
      </c>
      <c r="F36" s="4" t="s">
        <v>18269</v>
      </c>
      <c r="H36" s="4" t="s">
        <v>18265</v>
      </c>
    </row>
    <row r="37" spans="1:8" x14ac:dyDescent="0.2">
      <c r="A37" s="4" t="str">
        <f t="shared" si="0"/>
        <v>01</v>
      </c>
      <c r="B37" s="4" t="str">
        <f>"01.0601"</f>
        <v>01.0601</v>
      </c>
      <c r="C37" s="4" t="s">
        <v>18238</v>
      </c>
      <c r="D37" s="4" t="s">
        <v>18239</v>
      </c>
      <c r="E37" s="4" t="s">
        <v>11671</v>
      </c>
      <c r="F37" s="4" t="s">
        <v>11672</v>
      </c>
      <c r="H37" s="4" t="s">
        <v>18265</v>
      </c>
    </row>
    <row r="38" spans="1:8" x14ac:dyDescent="0.2">
      <c r="A38" s="4" t="str">
        <f t="shared" si="0"/>
        <v>01</v>
      </c>
      <c r="B38" s="4" t="str">
        <f>"01.0603"</f>
        <v>01.0603</v>
      </c>
      <c r="C38" s="4" t="s">
        <v>18238</v>
      </c>
      <c r="D38" s="4" t="s">
        <v>18239</v>
      </c>
      <c r="E38" s="4" t="s">
        <v>11673</v>
      </c>
      <c r="F38" s="4" t="s">
        <v>11674</v>
      </c>
      <c r="H38" s="4" t="s">
        <v>18265</v>
      </c>
    </row>
    <row r="39" spans="1:8" x14ac:dyDescent="0.2">
      <c r="A39" s="4" t="str">
        <f t="shared" si="0"/>
        <v>01</v>
      </c>
      <c r="B39" s="4" t="str">
        <f>"01.0604"</f>
        <v>01.0604</v>
      </c>
      <c r="C39" s="4" t="s">
        <v>18238</v>
      </c>
      <c r="D39" s="4" t="s">
        <v>18239</v>
      </c>
      <c r="E39" s="4" t="s">
        <v>11675</v>
      </c>
      <c r="F39" s="4" t="s">
        <v>11676</v>
      </c>
      <c r="H39" s="4" t="s">
        <v>18265</v>
      </c>
    </row>
    <row r="40" spans="1:8" x14ac:dyDescent="0.2">
      <c r="A40" s="4" t="str">
        <f t="shared" si="0"/>
        <v>01</v>
      </c>
      <c r="B40" s="4" t="str">
        <f>"01.0605"</f>
        <v>01.0605</v>
      </c>
      <c r="C40" s="4" t="s">
        <v>18238</v>
      </c>
      <c r="D40" s="4" t="s">
        <v>18239</v>
      </c>
      <c r="E40" s="4" t="s">
        <v>11530</v>
      </c>
      <c r="F40" s="4" t="s">
        <v>11677</v>
      </c>
      <c r="G40" s="4" t="s">
        <v>18270</v>
      </c>
      <c r="H40" s="4" t="s">
        <v>18271</v>
      </c>
    </row>
    <row r="41" spans="1:8" x14ac:dyDescent="0.2">
      <c r="A41" s="4" t="str">
        <f t="shared" si="0"/>
        <v>01</v>
      </c>
      <c r="B41" s="4" t="str">
        <f>"01.0606"</f>
        <v>01.0606</v>
      </c>
      <c r="C41" s="4" t="s">
        <v>18238</v>
      </c>
      <c r="D41" s="4" t="s">
        <v>18239</v>
      </c>
      <c r="E41" s="4" t="s">
        <v>11678</v>
      </c>
      <c r="F41" s="4" t="s">
        <v>18272</v>
      </c>
      <c r="H41" s="4" t="s">
        <v>18271</v>
      </c>
    </row>
    <row r="42" spans="1:8" x14ac:dyDescent="0.2">
      <c r="A42" s="4" t="str">
        <f t="shared" si="0"/>
        <v>01</v>
      </c>
      <c r="B42" s="4" t="str">
        <f>"01.0607"</f>
        <v>01.0607</v>
      </c>
      <c r="C42" s="4" t="s">
        <v>18238</v>
      </c>
      <c r="D42" s="4" t="s">
        <v>18239</v>
      </c>
      <c r="E42" s="4" t="s">
        <v>11680</v>
      </c>
      <c r="F42" s="4" t="s">
        <v>11681</v>
      </c>
      <c r="H42" s="4" t="s">
        <v>18273</v>
      </c>
    </row>
    <row r="43" spans="1:8" x14ac:dyDescent="0.2">
      <c r="A43" s="4" t="str">
        <f t="shared" si="0"/>
        <v>01</v>
      </c>
      <c r="B43" s="4" t="str">
        <f>"01.0608"</f>
        <v>01.0608</v>
      </c>
      <c r="C43" s="4" t="s">
        <v>18238</v>
      </c>
      <c r="D43" s="4" t="s">
        <v>18239</v>
      </c>
      <c r="E43" s="4" t="s">
        <v>11683</v>
      </c>
      <c r="F43" s="4" t="s">
        <v>18274</v>
      </c>
      <c r="H43" s="4" t="s">
        <v>18273</v>
      </c>
    </row>
    <row r="44" spans="1:8" x14ac:dyDescent="0.2">
      <c r="A44" s="4" t="str">
        <f t="shared" si="0"/>
        <v>01</v>
      </c>
      <c r="B44" s="4" t="str">
        <f>"01.0699"</f>
        <v>01.0699</v>
      </c>
      <c r="C44" s="4" t="s">
        <v>18238</v>
      </c>
      <c r="D44" s="4" t="s">
        <v>18239</v>
      </c>
      <c r="E44" s="4" t="s">
        <v>11685</v>
      </c>
      <c r="F44" s="4" t="s">
        <v>11686</v>
      </c>
      <c r="H44" s="4" t="s">
        <v>18275</v>
      </c>
    </row>
    <row r="45" spans="1:8" x14ac:dyDescent="0.2">
      <c r="A45" s="4" t="str">
        <f t="shared" si="0"/>
        <v>01</v>
      </c>
      <c r="B45" s="4" t="str">
        <f>"01.07"</f>
        <v>01.07</v>
      </c>
      <c r="C45" s="4" t="s">
        <v>18238</v>
      </c>
      <c r="D45" s="4" t="s">
        <v>18239</v>
      </c>
      <c r="E45" s="4" t="s">
        <v>11688</v>
      </c>
      <c r="F45" s="4" t="s">
        <v>11689</v>
      </c>
      <c r="H45" s="4" t="s">
        <v>18275</v>
      </c>
    </row>
    <row r="46" spans="1:8" x14ac:dyDescent="0.2">
      <c r="A46" s="4" t="str">
        <f t="shared" si="0"/>
        <v>01</v>
      </c>
      <c r="B46" s="4" t="str">
        <f>"01.0701"</f>
        <v>01.0701</v>
      </c>
      <c r="C46" s="4" t="s">
        <v>18238</v>
      </c>
      <c r="D46" s="4" t="s">
        <v>18239</v>
      </c>
      <c r="E46" s="4" t="s">
        <v>11688</v>
      </c>
      <c r="F46" s="4" t="s">
        <v>11690</v>
      </c>
      <c r="G46" s="4" t="s">
        <v>18276</v>
      </c>
      <c r="H46" s="4" t="s">
        <v>18275</v>
      </c>
    </row>
    <row r="47" spans="1:8" x14ac:dyDescent="0.2">
      <c r="A47" s="4" t="str">
        <f t="shared" si="0"/>
        <v>01</v>
      </c>
      <c r="B47" s="4" t="str">
        <f>"01.08"</f>
        <v>01.08</v>
      </c>
      <c r="C47" s="4" t="s">
        <v>18238</v>
      </c>
      <c r="D47" s="4" t="s">
        <v>18239</v>
      </c>
      <c r="E47" s="4" t="s">
        <v>11692</v>
      </c>
      <c r="F47" s="4" t="s">
        <v>18277</v>
      </c>
      <c r="H47" s="4" t="s">
        <v>18275</v>
      </c>
    </row>
    <row r="48" spans="1:8" x14ac:dyDescent="0.2">
      <c r="A48" s="4" t="str">
        <f t="shared" si="0"/>
        <v>01</v>
      </c>
      <c r="B48" s="4" t="str">
        <f>"01.0801"</f>
        <v>01.0801</v>
      </c>
      <c r="C48" s="4" t="s">
        <v>18238</v>
      </c>
      <c r="D48" s="4" t="s">
        <v>18239</v>
      </c>
      <c r="E48" s="4" t="s">
        <v>11695</v>
      </c>
      <c r="F48" s="4" t="s">
        <v>18278</v>
      </c>
      <c r="G48" s="4" t="s">
        <v>18279</v>
      </c>
      <c r="H48" s="4" t="s">
        <v>18275</v>
      </c>
    </row>
    <row r="49" spans="1:8" x14ac:dyDescent="0.2">
      <c r="A49" s="4" t="str">
        <f t="shared" si="0"/>
        <v>01</v>
      </c>
      <c r="B49" s="4" t="str">
        <f>"01.0802"</f>
        <v>01.0802</v>
      </c>
      <c r="C49" s="4" t="s">
        <v>18238</v>
      </c>
      <c r="D49" s="4" t="s">
        <v>18239</v>
      </c>
      <c r="E49" s="4" t="s">
        <v>11699</v>
      </c>
      <c r="F49" s="4" t="s">
        <v>18280</v>
      </c>
      <c r="H49" s="4" t="s">
        <v>18275</v>
      </c>
    </row>
    <row r="50" spans="1:8" x14ac:dyDescent="0.2">
      <c r="A50" s="4" t="str">
        <f t="shared" si="0"/>
        <v>01</v>
      </c>
      <c r="B50" s="4" t="str">
        <f>"01.0899"</f>
        <v>01.0899</v>
      </c>
      <c r="C50" s="4" t="s">
        <v>18238</v>
      </c>
      <c r="D50" s="4" t="s">
        <v>18239</v>
      </c>
      <c r="E50" s="4" t="s">
        <v>11705</v>
      </c>
      <c r="F50" s="4" t="s">
        <v>18281</v>
      </c>
      <c r="H50" s="4" t="s">
        <v>18275</v>
      </c>
    </row>
    <row r="51" spans="1:8" x14ac:dyDescent="0.2">
      <c r="A51" s="4" t="str">
        <f t="shared" si="0"/>
        <v>01</v>
      </c>
      <c r="B51" s="4" t="str">
        <f>"01.09"</f>
        <v>01.09</v>
      </c>
      <c r="C51" s="4" t="s">
        <v>18238</v>
      </c>
      <c r="D51" s="4" t="s">
        <v>18239</v>
      </c>
      <c r="E51" s="4" t="s">
        <v>11708</v>
      </c>
      <c r="F51" s="4" t="s">
        <v>18282</v>
      </c>
      <c r="H51" s="4" t="s">
        <v>18275</v>
      </c>
    </row>
    <row r="52" spans="1:8" x14ac:dyDescent="0.2">
      <c r="A52" s="4" t="str">
        <f t="shared" si="0"/>
        <v>01</v>
      </c>
      <c r="B52" s="4" t="str">
        <f>"01.0901"</f>
        <v>01.0901</v>
      </c>
      <c r="C52" s="4" t="s">
        <v>18238</v>
      </c>
      <c r="D52" s="4" t="s">
        <v>18239</v>
      </c>
      <c r="E52" s="4" t="s">
        <v>11711</v>
      </c>
      <c r="F52" s="4" t="s">
        <v>18283</v>
      </c>
      <c r="G52" s="4" t="s">
        <v>18284</v>
      </c>
      <c r="H52" s="4" t="s">
        <v>18275</v>
      </c>
    </row>
    <row r="53" spans="1:8" x14ac:dyDescent="0.2">
      <c r="A53" s="4" t="str">
        <f t="shared" si="0"/>
        <v>01</v>
      </c>
      <c r="B53" s="4" t="str">
        <f>"01.0902"</f>
        <v>01.0902</v>
      </c>
      <c r="C53" s="4" t="s">
        <v>18238</v>
      </c>
      <c r="D53" s="4" t="s">
        <v>18239</v>
      </c>
      <c r="E53" s="4" t="s">
        <v>11723</v>
      </c>
      <c r="F53" s="4" t="s">
        <v>18285</v>
      </c>
      <c r="G53" s="4" t="s">
        <v>18286</v>
      </c>
      <c r="H53" s="4" t="s">
        <v>18275</v>
      </c>
    </row>
    <row r="54" spans="1:8" x14ac:dyDescent="0.2">
      <c r="A54" s="4" t="str">
        <f t="shared" si="0"/>
        <v>01</v>
      </c>
      <c r="B54" s="4" t="str">
        <f>"01.0903"</f>
        <v>01.0903</v>
      </c>
      <c r="C54" s="4" t="s">
        <v>18238</v>
      </c>
      <c r="D54" s="4" t="s">
        <v>18239</v>
      </c>
      <c r="E54" s="4" t="s">
        <v>11730</v>
      </c>
      <c r="F54" s="4" t="s">
        <v>18287</v>
      </c>
      <c r="H54" s="4" t="s">
        <v>18275</v>
      </c>
    </row>
    <row r="55" spans="1:8" x14ac:dyDescent="0.2">
      <c r="A55" s="4" t="str">
        <f t="shared" si="0"/>
        <v>01</v>
      </c>
      <c r="B55" s="4" t="str">
        <f>"01.0904"</f>
        <v>01.0904</v>
      </c>
      <c r="C55" s="4" t="s">
        <v>18238</v>
      </c>
      <c r="D55" s="4" t="s">
        <v>18239</v>
      </c>
      <c r="E55" s="4" t="s">
        <v>11740</v>
      </c>
      <c r="F55" s="4" t="s">
        <v>18288</v>
      </c>
      <c r="H55" s="4" t="s">
        <v>18275</v>
      </c>
    </row>
    <row r="56" spans="1:8" x14ac:dyDescent="0.2">
      <c r="A56" s="4" t="str">
        <f t="shared" si="0"/>
        <v>01</v>
      </c>
      <c r="B56" s="4" t="str">
        <f>"01.0905"</f>
        <v>01.0905</v>
      </c>
      <c r="C56" s="4" t="s">
        <v>18238</v>
      </c>
      <c r="D56" s="4" t="s">
        <v>18239</v>
      </c>
      <c r="E56" s="4" t="s">
        <v>11749</v>
      </c>
      <c r="F56" s="4" t="s">
        <v>18289</v>
      </c>
      <c r="H56" s="4" t="s">
        <v>18275</v>
      </c>
    </row>
    <row r="57" spans="1:8" x14ac:dyDescent="0.2">
      <c r="A57" s="4" t="str">
        <f t="shared" si="0"/>
        <v>01</v>
      </c>
      <c r="B57" s="4" t="str">
        <f>"01.0906"</f>
        <v>01.0906</v>
      </c>
      <c r="C57" s="4" t="s">
        <v>18238</v>
      </c>
      <c r="D57" s="4" t="s">
        <v>18239</v>
      </c>
      <c r="E57" s="4" t="s">
        <v>11752</v>
      </c>
      <c r="F57" s="4" t="s">
        <v>18290</v>
      </c>
      <c r="H57" s="4" t="s">
        <v>18291</v>
      </c>
    </row>
    <row r="58" spans="1:8" x14ac:dyDescent="0.2">
      <c r="A58" s="4" t="str">
        <f t="shared" si="0"/>
        <v>01</v>
      </c>
      <c r="B58" s="4" t="str">
        <f>"01.0907"</f>
        <v>01.0907</v>
      </c>
      <c r="C58" s="4" t="s">
        <v>18238</v>
      </c>
      <c r="D58" s="4" t="s">
        <v>18239</v>
      </c>
      <c r="E58" s="4" t="s">
        <v>11755</v>
      </c>
      <c r="F58" s="4" t="s">
        <v>18292</v>
      </c>
      <c r="H58" s="4" t="s">
        <v>18291</v>
      </c>
    </row>
    <row r="59" spans="1:8" x14ac:dyDescent="0.2">
      <c r="A59" s="4" t="str">
        <f t="shared" si="0"/>
        <v>01</v>
      </c>
      <c r="B59" s="4" t="str">
        <f>"01.0999"</f>
        <v>01.0999</v>
      </c>
      <c r="C59" s="4" t="s">
        <v>18238</v>
      </c>
      <c r="D59" s="4" t="s">
        <v>18239</v>
      </c>
      <c r="E59" s="4" t="s">
        <v>11759</v>
      </c>
      <c r="F59" s="4" t="s">
        <v>18293</v>
      </c>
      <c r="H59" s="4" t="s">
        <v>18291</v>
      </c>
    </row>
    <row r="60" spans="1:8" x14ac:dyDescent="0.2">
      <c r="A60" s="4" t="str">
        <f t="shared" si="0"/>
        <v>01</v>
      </c>
      <c r="B60" s="4" t="str">
        <f>"01.10"</f>
        <v>01.10</v>
      </c>
      <c r="C60" s="4" t="s">
        <v>18238</v>
      </c>
      <c r="D60" s="4" t="s">
        <v>18239</v>
      </c>
      <c r="E60" s="4" t="s">
        <v>11761</v>
      </c>
      <c r="F60" s="4" t="s">
        <v>18294</v>
      </c>
      <c r="H60" s="4" t="s">
        <v>18291</v>
      </c>
    </row>
    <row r="61" spans="1:8" x14ac:dyDescent="0.2">
      <c r="A61" s="4" t="str">
        <f t="shared" si="0"/>
        <v>01</v>
      </c>
      <c r="B61" s="4" t="str">
        <f>"01.1001"</f>
        <v>01.1001</v>
      </c>
      <c r="C61" s="4" t="s">
        <v>18238</v>
      </c>
      <c r="D61" s="4" t="s">
        <v>18239</v>
      </c>
      <c r="E61" s="4" t="s">
        <v>11764</v>
      </c>
      <c r="F61" s="4" t="s">
        <v>18295</v>
      </c>
      <c r="G61" s="4" t="s">
        <v>18296</v>
      </c>
      <c r="H61" s="4" t="s">
        <v>18297</v>
      </c>
    </row>
    <row r="62" spans="1:8" x14ac:dyDescent="0.2">
      <c r="A62" s="4" t="str">
        <f t="shared" si="0"/>
        <v>01</v>
      </c>
      <c r="B62" s="4" t="str">
        <f>"01.1002"</f>
        <v>01.1002</v>
      </c>
      <c r="C62" s="4" t="s">
        <v>18238</v>
      </c>
      <c r="D62" s="4" t="s">
        <v>18239</v>
      </c>
      <c r="E62" s="4" t="s">
        <v>11767</v>
      </c>
      <c r="F62" s="4" t="s">
        <v>18298</v>
      </c>
      <c r="H62" s="4" t="s">
        <v>18297</v>
      </c>
    </row>
    <row r="63" spans="1:8" x14ac:dyDescent="0.2">
      <c r="A63" s="4" t="str">
        <f t="shared" si="0"/>
        <v>01</v>
      </c>
      <c r="B63" s="4" t="str">
        <f>"01.1099"</f>
        <v>01.1099</v>
      </c>
      <c r="C63" s="4" t="s">
        <v>18238</v>
      </c>
      <c r="D63" s="4" t="s">
        <v>18239</v>
      </c>
      <c r="E63" s="4" t="s">
        <v>11770</v>
      </c>
      <c r="F63" s="4" t="s">
        <v>18299</v>
      </c>
      <c r="H63" s="4" t="s">
        <v>18297</v>
      </c>
    </row>
    <row r="64" spans="1:8" x14ac:dyDescent="0.2">
      <c r="A64" s="4" t="str">
        <f t="shared" si="0"/>
        <v>01</v>
      </c>
      <c r="B64" s="4" t="str">
        <f>"01.11"</f>
        <v>01.11</v>
      </c>
      <c r="C64" s="4" t="s">
        <v>18238</v>
      </c>
      <c r="D64" s="4" t="s">
        <v>18239</v>
      </c>
      <c r="E64" s="4" t="s">
        <v>12614</v>
      </c>
      <c r="F64" s="4" t="s">
        <v>18300</v>
      </c>
      <c r="H64" s="4" t="s">
        <v>18297</v>
      </c>
    </row>
    <row r="65" spans="1:8" x14ac:dyDescent="0.2">
      <c r="A65" s="4" t="str">
        <f t="shared" si="0"/>
        <v>01</v>
      </c>
      <c r="B65" s="4" t="str">
        <f>"01.1101"</f>
        <v>01.1101</v>
      </c>
      <c r="C65" s="4" t="s">
        <v>18238</v>
      </c>
      <c r="D65" s="4" t="s">
        <v>18239</v>
      </c>
      <c r="E65" s="4" t="s">
        <v>11774</v>
      </c>
      <c r="F65" s="4" t="s">
        <v>18301</v>
      </c>
      <c r="G65" s="4" t="s">
        <v>18302</v>
      </c>
      <c r="H65" s="4" t="s">
        <v>18297</v>
      </c>
    </row>
    <row r="66" spans="1:8" x14ac:dyDescent="0.2">
      <c r="A66" s="4" t="str">
        <f t="shared" si="0"/>
        <v>01</v>
      </c>
      <c r="B66" s="4" t="str">
        <f>"01.1102"</f>
        <v>01.1102</v>
      </c>
      <c r="C66" s="4" t="s">
        <v>18238</v>
      </c>
      <c r="D66" s="4" t="s">
        <v>18239</v>
      </c>
      <c r="E66" s="4" t="s">
        <v>11228</v>
      </c>
      <c r="F66" s="4" t="s">
        <v>18303</v>
      </c>
      <c r="H66" s="4" t="s">
        <v>18297</v>
      </c>
    </row>
    <row r="67" spans="1:8" x14ac:dyDescent="0.2">
      <c r="A67" s="4" t="str">
        <f t="shared" ref="A67:A78" si="1">"01"</f>
        <v>01</v>
      </c>
      <c r="B67" s="4" t="str">
        <f>"01.1103"</f>
        <v>01.1103</v>
      </c>
      <c r="C67" s="4" t="s">
        <v>18238</v>
      </c>
      <c r="D67" s="4" t="s">
        <v>18239</v>
      </c>
      <c r="E67" s="4" t="s">
        <v>11231</v>
      </c>
      <c r="F67" s="4" t="s">
        <v>18304</v>
      </c>
      <c r="H67" s="4" t="s">
        <v>18297</v>
      </c>
    </row>
    <row r="68" spans="1:8" x14ac:dyDescent="0.2">
      <c r="A68" s="4" t="str">
        <f t="shared" si="1"/>
        <v>01</v>
      </c>
      <c r="B68" s="4" t="str">
        <f>"01.1104"</f>
        <v>01.1104</v>
      </c>
      <c r="C68" s="4" t="s">
        <v>18238</v>
      </c>
      <c r="D68" s="4" t="s">
        <v>18239</v>
      </c>
      <c r="E68" s="4" t="s">
        <v>11234</v>
      </c>
      <c r="F68" s="4" t="s">
        <v>18305</v>
      </c>
      <c r="G68" s="4" t="s">
        <v>18306</v>
      </c>
      <c r="H68" s="4" t="s">
        <v>18297</v>
      </c>
    </row>
    <row r="69" spans="1:8" x14ac:dyDescent="0.2">
      <c r="A69" s="4" t="str">
        <f t="shared" si="1"/>
        <v>01</v>
      </c>
      <c r="B69" s="4" t="str">
        <f>"01.1105"</f>
        <v>01.1105</v>
      </c>
      <c r="C69" s="4" t="s">
        <v>18238</v>
      </c>
      <c r="D69" s="4" t="s">
        <v>18307</v>
      </c>
      <c r="E69" s="4" t="s">
        <v>11245</v>
      </c>
      <c r="F69" s="4" t="s">
        <v>18308</v>
      </c>
      <c r="G69" s="4" t="s">
        <v>18309</v>
      </c>
      <c r="H69" s="4" t="s">
        <v>18310</v>
      </c>
    </row>
    <row r="70" spans="1:8" x14ac:dyDescent="0.2">
      <c r="A70" s="4" t="str">
        <f t="shared" si="1"/>
        <v>01</v>
      </c>
      <c r="B70" s="4" t="str">
        <f>"01.1106"</f>
        <v>01.1106</v>
      </c>
      <c r="C70" s="4" t="s">
        <v>18238</v>
      </c>
      <c r="D70" s="4" t="s">
        <v>18239</v>
      </c>
      <c r="E70" s="4" t="s">
        <v>12608</v>
      </c>
      <c r="F70" s="4" t="s">
        <v>18311</v>
      </c>
      <c r="H70" s="4" t="s">
        <v>18310</v>
      </c>
    </row>
    <row r="71" spans="1:8" x14ac:dyDescent="0.2">
      <c r="A71" s="4" t="str">
        <f t="shared" si="1"/>
        <v>01</v>
      </c>
      <c r="B71" s="4" t="str">
        <f>"01.1199"</f>
        <v>01.1199</v>
      </c>
      <c r="C71" s="4" t="s">
        <v>18238</v>
      </c>
      <c r="D71" s="4" t="s">
        <v>18239</v>
      </c>
      <c r="E71" s="4" t="s">
        <v>11249</v>
      </c>
      <c r="F71" s="4" t="s">
        <v>18312</v>
      </c>
      <c r="H71" s="4" t="s">
        <v>18310</v>
      </c>
    </row>
    <row r="72" spans="1:8" x14ac:dyDescent="0.2">
      <c r="A72" s="4" t="str">
        <f t="shared" si="1"/>
        <v>01</v>
      </c>
      <c r="B72" s="4" t="str">
        <f>"01.12"</f>
        <v>01.12</v>
      </c>
      <c r="C72" s="4" t="s">
        <v>18238</v>
      </c>
      <c r="D72" s="4" t="s">
        <v>18239</v>
      </c>
      <c r="E72" s="4" t="s">
        <v>12612</v>
      </c>
      <c r="F72" s="4" t="s">
        <v>18313</v>
      </c>
      <c r="H72" s="4" t="s">
        <v>18310</v>
      </c>
    </row>
    <row r="73" spans="1:8" x14ac:dyDescent="0.2">
      <c r="A73" s="4" t="str">
        <f t="shared" si="1"/>
        <v>01</v>
      </c>
      <c r="B73" s="4" t="str">
        <f>"01.1201"</f>
        <v>01.1201</v>
      </c>
      <c r="C73" s="4" t="s">
        <v>18238</v>
      </c>
      <c r="D73" s="4" t="s">
        <v>18239</v>
      </c>
      <c r="E73" s="4" t="s">
        <v>11253</v>
      </c>
      <c r="F73" s="4" t="s">
        <v>18314</v>
      </c>
      <c r="H73" s="4" t="s">
        <v>18310</v>
      </c>
    </row>
    <row r="74" spans="1:8" x14ac:dyDescent="0.2">
      <c r="A74" s="4" t="str">
        <f t="shared" si="1"/>
        <v>01</v>
      </c>
      <c r="B74" s="4" t="str">
        <f>"01.1202"</f>
        <v>01.1202</v>
      </c>
      <c r="C74" s="4" t="s">
        <v>18238</v>
      </c>
      <c r="D74" s="4" t="s">
        <v>18239</v>
      </c>
      <c r="E74" s="4" t="s">
        <v>11256</v>
      </c>
      <c r="F74" s="4" t="s">
        <v>18315</v>
      </c>
      <c r="H74" s="4" t="s">
        <v>18310</v>
      </c>
    </row>
    <row r="75" spans="1:8" x14ac:dyDescent="0.2">
      <c r="A75" s="4" t="str">
        <f t="shared" si="1"/>
        <v>01</v>
      </c>
      <c r="B75" s="4" t="str">
        <f>"01.1203"</f>
        <v>01.1203</v>
      </c>
      <c r="C75" s="4" t="s">
        <v>18238</v>
      </c>
      <c r="D75" s="4" t="s">
        <v>18239</v>
      </c>
      <c r="E75" s="4" t="s">
        <v>11261</v>
      </c>
      <c r="F75" s="4" t="s">
        <v>18316</v>
      </c>
      <c r="H75" s="4" t="s">
        <v>18310</v>
      </c>
    </row>
    <row r="76" spans="1:8" x14ac:dyDescent="0.2">
      <c r="A76" s="4" t="str">
        <f t="shared" si="1"/>
        <v>01</v>
      </c>
      <c r="B76" s="4" t="str">
        <f>"01.1299"</f>
        <v>01.1299</v>
      </c>
      <c r="C76" s="4" t="s">
        <v>18238</v>
      </c>
      <c r="D76" s="4" t="s">
        <v>18239</v>
      </c>
      <c r="E76" s="4" t="s">
        <v>11264</v>
      </c>
      <c r="F76" s="4" t="s">
        <v>18317</v>
      </c>
      <c r="H76" s="4" t="s">
        <v>18318</v>
      </c>
    </row>
    <row r="77" spans="1:8" x14ac:dyDescent="0.2">
      <c r="A77" s="4" t="str">
        <f t="shared" si="1"/>
        <v>01</v>
      </c>
      <c r="B77" s="4" t="str">
        <f>"01.99"</f>
        <v>01.99</v>
      </c>
      <c r="C77" s="4" t="s">
        <v>18238</v>
      </c>
      <c r="D77" s="4" t="s">
        <v>18239</v>
      </c>
      <c r="E77" s="4" t="s">
        <v>11267</v>
      </c>
      <c r="F77" s="4" t="s">
        <v>11268</v>
      </c>
      <c r="H77" s="4" t="s">
        <v>18318</v>
      </c>
    </row>
    <row r="78" spans="1:8" x14ac:dyDescent="0.2">
      <c r="A78" s="4" t="str">
        <f t="shared" si="1"/>
        <v>01</v>
      </c>
      <c r="B78" s="4" t="str">
        <f>"01.9999"</f>
        <v>01.9999</v>
      </c>
      <c r="C78" s="4" t="s">
        <v>18238</v>
      </c>
      <c r="D78" s="4" t="s">
        <v>18239</v>
      </c>
      <c r="E78" s="4" t="s">
        <v>11267</v>
      </c>
      <c r="F78" s="4" t="s">
        <v>11269</v>
      </c>
      <c r="H78" s="4" t="s">
        <v>18318</v>
      </c>
    </row>
    <row r="79" spans="1:8" x14ac:dyDescent="0.2">
      <c r="A79" s="4" t="str">
        <f>"03"</f>
        <v>03</v>
      </c>
      <c r="B79" s="4" t="str">
        <f>"03"</f>
        <v>03</v>
      </c>
      <c r="C79" s="4" t="s">
        <v>18238</v>
      </c>
      <c r="D79" s="4" t="s">
        <v>18239</v>
      </c>
      <c r="E79" s="4" t="s">
        <v>11273</v>
      </c>
      <c r="F79" s="4" t="s">
        <v>11274</v>
      </c>
      <c r="H79" s="4" t="s">
        <v>18318</v>
      </c>
    </row>
    <row r="80" spans="1:8" x14ac:dyDescent="0.2">
      <c r="A80" s="4" t="str">
        <f t="shared" ref="A80:A107" si="2">"03"</f>
        <v>03</v>
      </c>
      <c r="B80" s="4" t="str">
        <f>"03.01"</f>
        <v>03.01</v>
      </c>
      <c r="C80" s="4" t="s">
        <v>18238</v>
      </c>
      <c r="D80" s="4" t="s">
        <v>18239</v>
      </c>
      <c r="E80" s="4" t="s">
        <v>11278</v>
      </c>
      <c r="F80" s="4" t="s">
        <v>18319</v>
      </c>
      <c r="H80" s="4" t="s">
        <v>18318</v>
      </c>
    </row>
    <row r="81" spans="1:8" x14ac:dyDescent="0.2">
      <c r="A81" s="4" t="str">
        <f t="shared" si="2"/>
        <v>03</v>
      </c>
      <c r="B81" s="4" t="str">
        <f>"03.0101"</f>
        <v>03.0101</v>
      </c>
      <c r="C81" s="4" t="s">
        <v>18238</v>
      </c>
      <c r="D81" s="4" t="s">
        <v>18239</v>
      </c>
      <c r="E81" s="4" t="s">
        <v>11280</v>
      </c>
      <c r="F81" s="4" t="s">
        <v>11281</v>
      </c>
      <c r="G81" s="4" t="s">
        <v>18320</v>
      </c>
      <c r="H81" s="4" t="s">
        <v>18318</v>
      </c>
    </row>
    <row r="82" spans="1:8" x14ac:dyDescent="0.2">
      <c r="A82" s="4" t="str">
        <f t="shared" si="2"/>
        <v>03</v>
      </c>
      <c r="B82" s="4" t="str">
        <f>"03.0103"</f>
        <v>03.0103</v>
      </c>
      <c r="C82" s="4" t="s">
        <v>18238</v>
      </c>
      <c r="D82" s="4" t="s">
        <v>18239</v>
      </c>
      <c r="E82" s="4" t="s">
        <v>12619</v>
      </c>
      <c r="F82" s="4" t="s">
        <v>18321</v>
      </c>
      <c r="G82" s="4" t="s">
        <v>18322</v>
      </c>
      <c r="H82" s="4" t="s">
        <v>18323</v>
      </c>
    </row>
    <row r="83" spans="1:8" x14ac:dyDescent="0.2">
      <c r="A83" s="4" t="str">
        <f t="shared" si="2"/>
        <v>03</v>
      </c>
      <c r="B83" s="4" t="str">
        <f>"03.0104"</f>
        <v>03.0104</v>
      </c>
      <c r="C83" s="4" t="s">
        <v>18238</v>
      </c>
      <c r="D83" s="4" t="s">
        <v>18239</v>
      </c>
      <c r="E83" s="4" t="s">
        <v>11286</v>
      </c>
      <c r="F83" s="4" t="s">
        <v>18324</v>
      </c>
      <c r="G83" s="4" t="s">
        <v>18325</v>
      </c>
      <c r="H83" s="4" t="s">
        <v>18326</v>
      </c>
    </row>
    <row r="84" spans="1:8" x14ac:dyDescent="0.2">
      <c r="A84" s="4" t="str">
        <f t="shared" si="2"/>
        <v>03</v>
      </c>
      <c r="B84" s="4" t="str">
        <f>"03.0199"</f>
        <v>03.0199</v>
      </c>
      <c r="C84" s="4" t="s">
        <v>18238</v>
      </c>
      <c r="D84" s="4" t="s">
        <v>18239</v>
      </c>
      <c r="E84" s="4" t="s">
        <v>11293</v>
      </c>
      <c r="F84" s="4" t="s">
        <v>18327</v>
      </c>
      <c r="H84" s="4" t="s">
        <v>18328</v>
      </c>
    </row>
    <row r="85" spans="1:8" x14ac:dyDescent="0.2">
      <c r="A85" s="4" t="str">
        <f t="shared" si="2"/>
        <v>03</v>
      </c>
      <c r="B85" s="4" t="str">
        <f>"03.02"</f>
        <v>03.02</v>
      </c>
      <c r="C85" s="4" t="s">
        <v>18238</v>
      </c>
      <c r="D85" s="4" t="s">
        <v>18239</v>
      </c>
      <c r="E85" s="4" t="s">
        <v>11296</v>
      </c>
      <c r="F85" s="4" t="s">
        <v>18329</v>
      </c>
      <c r="H85" s="4" t="s">
        <v>18328</v>
      </c>
    </row>
    <row r="86" spans="1:8" x14ac:dyDescent="0.2">
      <c r="A86" s="4" t="str">
        <f t="shared" si="2"/>
        <v>03</v>
      </c>
      <c r="B86" s="4" t="str">
        <f>"03.0201"</f>
        <v>03.0201</v>
      </c>
      <c r="C86" s="4" t="s">
        <v>18238</v>
      </c>
      <c r="D86" s="4" t="s">
        <v>18239</v>
      </c>
      <c r="E86" s="4" t="s">
        <v>11296</v>
      </c>
      <c r="F86" s="4" t="s">
        <v>11298</v>
      </c>
      <c r="H86" s="4" t="s">
        <v>18330</v>
      </c>
    </row>
    <row r="87" spans="1:8" x14ac:dyDescent="0.2">
      <c r="A87" s="4" t="str">
        <f t="shared" si="2"/>
        <v>03</v>
      </c>
      <c r="B87" s="4" t="str">
        <f>"03.0204"</f>
        <v>03.0204</v>
      </c>
      <c r="C87" s="4" t="s">
        <v>18238</v>
      </c>
      <c r="D87" s="4" t="s">
        <v>18239</v>
      </c>
      <c r="E87" s="4" t="s">
        <v>11596</v>
      </c>
      <c r="F87" s="4" t="s">
        <v>18331</v>
      </c>
      <c r="G87" s="4" t="s">
        <v>18332</v>
      </c>
      <c r="H87" s="4" t="s">
        <v>18330</v>
      </c>
    </row>
    <row r="88" spans="1:8" x14ac:dyDescent="0.2">
      <c r="A88" s="4" t="str">
        <f t="shared" si="2"/>
        <v>03</v>
      </c>
      <c r="B88" s="4" t="str">
        <f>"03.0205"</f>
        <v>03.0205</v>
      </c>
      <c r="C88" s="4" t="s">
        <v>18238</v>
      </c>
      <c r="D88" s="4" t="s">
        <v>18239</v>
      </c>
      <c r="E88" s="4" t="s">
        <v>11305</v>
      </c>
      <c r="F88" s="4" t="s">
        <v>18333</v>
      </c>
      <c r="G88" s="4" t="s">
        <v>18334</v>
      </c>
      <c r="H88" s="4" t="s">
        <v>18330</v>
      </c>
    </row>
    <row r="89" spans="1:8" x14ac:dyDescent="0.2">
      <c r="A89" s="4" t="str">
        <f t="shared" si="2"/>
        <v>03</v>
      </c>
      <c r="B89" s="4" t="str">
        <f>"03.0206"</f>
        <v>03.0206</v>
      </c>
      <c r="C89" s="4" t="s">
        <v>18238</v>
      </c>
      <c r="D89" s="4" t="s">
        <v>18239</v>
      </c>
      <c r="E89" s="4" t="s">
        <v>11308</v>
      </c>
      <c r="F89" s="4" t="s">
        <v>18335</v>
      </c>
      <c r="G89" s="4" t="s">
        <v>18336</v>
      </c>
      <c r="H89" s="4" t="s">
        <v>18330</v>
      </c>
    </row>
    <row r="90" spans="1:8" x14ac:dyDescent="0.2">
      <c r="A90" s="4" t="str">
        <f t="shared" si="2"/>
        <v>03</v>
      </c>
      <c r="B90" s="4" t="str">
        <f>"03.0207"</f>
        <v>03.0207</v>
      </c>
      <c r="C90" s="4" t="s">
        <v>18258</v>
      </c>
      <c r="D90" s="4" t="s">
        <v>18239</v>
      </c>
      <c r="E90" s="4" t="s">
        <v>18337</v>
      </c>
      <c r="F90" s="4" t="s">
        <v>18338</v>
      </c>
      <c r="G90" s="4" t="s">
        <v>18339</v>
      </c>
      <c r="H90" s="4" t="s">
        <v>18340</v>
      </c>
    </row>
    <row r="91" spans="1:8" x14ac:dyDescent="0.2">
      <c r="A91" s="4" t="str">
        <f t="shared" si="2"/>
        <v>03</v>
      </c>
      <c r="B91" s="4" t="str">
        <f>"03.0208"</f>
        <v>03.0208</v>
      </c>
      <c r="C91" s="4" t="s">
        <v>18258</v>
      </c>
      <c r="D91" s="4" t="s">
        <v>18239</v>
      </c>
      <c r="E91" s="4" t="s">
        <v>11301</v>
      </c>
      <c r="F91" s="4" t="s">
        <v>18341</v>
      </c>
      <c r="H91" s="4" t="s">
        <v>18342</v>
      </c>
    </row>
    <row r="92" spans="1:8" x14ac:dyDescent="0.2">
      <c r="A92" s="4" t="str">
        <f t="shared" si="2"/>
        <v>03</v>
      </c>
      <c r="B92" s="4" t="str">
        <f>"03.0299"</f>
        <v>03.0299</v>
      </c>
      <c r="C92" s="4" t="s">
        <v>18238</v>
      </c>
      <c r="D92" s="4" t="s">
        <v>18239</v>
      </c>
      <c r="E92" s="4" t="s">
        <v>11310</v>
      </c>
      <c r="F92" s="4" t="s">
        <v>11311</v>
      </c>
      <c r="H92" s="4" t="s">
        <v>18342</v>
      </c>
    </row>
    <row r="93" spans="1:8" x14ac:dyDescent="0.2">
      <c r="A93" s="4" t="str">
        <f t="shared" si="2"/>
        <v>03</v>
      </c>
      <c r="B93" s="4" t="str">
        <f>"03.03"</f>
        <v>03.03</v>
      </c>
      <c r="C93" s="4" t="s">
        <v>18238</v>
      </c>
      <c r="D93" s="4" t="s">
        <v>18239</v>
      </c>
      <c r="E93" s="4" t="s">
        <v>12583</v>
      </c>
      <c r="F93" s="4" t="s">
        <v>12584</v>
      </c>
      <c r="H93" s="4" t="s">
        <v>18342</v>
      </c>
    </row>
    <row r="94" spans="1:8" x14ac:dyDescent="0.2">
      <c r="A94" s="4" t="str">
        <f t="shared" si="2"/>
        <v>03</v>
      </c>
      <c r="B94" s="4" t="str">
        <f>"03.0301"</f>
        <v>03.0301</v>
      </c>
      <c r="C94" s="4" t="s">
        <v>18238</v>
      </c>
      <c r="D94" s="4" t="s">
        <v>18239</v>
      </c>
      <c r="E94" s="4" t="s">
        <v>12583</v>
      </c>
      <c r="F94" s="4" t="s">
        <v>12585</v>
      </c>
      <c r="G94" s="4" t="s">
        <v>18343</v>
      </c>
      <c r="H94" s="4" t="s">
        <v>18342</v>
      </c>
    </row>
    <row r="95" spans="1:8" x14ac:dyDescent="0.2">
      <c r="A95" s="4" t="str">
        <f t="shared" si="2"/>
        <v>03</v>
      </c>
      <c r="B95" s="4" t="str">
        <f>"03.05"</f>
        <v>03.05</v>
      </c>
      <c r="C95" s="4" t="s">
        <v>18238</v>
      </c>
      <c r="D95" s="4" t="s">
        <v>18239</v>
      </c>
      <c r="E95" s="4" t="s">
        <v>12603</v>
      </c>
      <c r="F95" s="4" t="s">
        <v>18344</v>
      </c>
      <c r="H95" s="4" t="s">
        <v>18342</v>
      </c>
    </row>
    <row r="96" spans="1:8" x14ac:dyDescent="0.2">
      <c r="A96" s="4" t="str">
        <f t="shared" si="2"/>
        <v>03</v>
      </c>
      <c r="B96" s="4" t="str">
        <f>"03.0501"</f>
        <v>03.0501</v>
      </c>
      <c r="C96" s="4" t="s">
        <v>18238</v>
      </c>
      <c r="D96" s="4" t="s">
        <v>18239</v>
      </c>
      <c r="E96" s="4" t="s">
        <v>12605</v>
      </c>
      <c r="F96" s="4" t="s">
        <v>12606</v>
      </c>
      <c r="G96" s="4" t="s">
        <v>18345</v>
      </c>
      <c r="H96" s="4" t="s">
        <v>18342</v>
      </c>
    </row>
    <row r="97" spans="1:8" x14ac:dyDescent="0.2">
      <c r="A97" s="4" t="str">
        <f t="shared" si="2"/>
        <v>03</v>
      </c>
      <c r="B97" s="4" t="str">
        <f>"03.0502"</f>
        <v>03.0502</v>
      </c>
      <c r="C97" s="4" t="s">
        <v>18238</v>
      </c>
      <c r="D97" s="4" t="s">
        <v>18239</v>
      </c>
      <c r="E97" s="4" t="s">
        <v>12609</v>
      </c>
      <c r="F97" s="4" t="s">
        <v>12610</v>
      </c>
      <c r="H97" s="4" t="s">
        <v>18342</v>
      </c>
    </row>
    <row r="98" spans="1:8" x14ac:dyDescent="0.2">
      <c r="A98" s="4" t="str">
        <f t="shared" si="2"/>
        <v>03</v>
      </c>
      <c r="B98" s="4" t="str">
        <f>"03.0506"</f>
        <v>03.0506</v>
      </c>
      <c r="C98" s="4" t="s">
        <v>18238</v>
      </c>
      <c r="D98" s="4" t="s">
        <v>18239</v>
      </c>
      <c r="E98" s="4" t="s">
        <v>12622</v>
      </c>
      <c r="F98" s="4" t="s">
        <v>12623</v>
      </c>
      <c r="H98" s="4" t="s">
        <v>18346</v>
      </c>
    </row>
    <row r="99" spans="1:8" x14ac:dyDescent="0.2">
      <c r="A99" s="4" t="str">
        <f t="shared" si="2"/>
        <v>03</v>
      </c>
      <c r="B99" s="4" t="str">
        <f>"03.0508"</f>
        <v>03.0508</v>
      </c>
      <c r="C99" s="4" t="s">
        <v>18238</v>
      </c>
      <c r="D99" s="4" t="s">
        <v>18239</v>
      </c>
      <c r="E99" s="4" t="s">
        <v>12626</v>
      </c>
      <c r="F99" s="4" t="s">
        <v>18347</v>
      </c>
      <c r="H99" s="4" t="s">
        <v>18346</v>
      </c>
    </row>
    <row r="100" spans="1:8" x14ac:dyDescent="0.2">
      <c r="A100" s="4" t="str">
        <f t="shared" si="2"/>
        <v>03</v>
      </c>
      <c r="B100" s="4" t="str">
        <f>"03.0509"</f>
        <v>03.0509</v>
      </c>
      <c r="C100" s="4" t="s">
        <v>18238</v>
      </c>
      <c r="D100" s="4" t="s">
        <v>18239</v>
      </c>
      <c r="E100" s="4" t="s">
        <v>12628</v>
      </c>
      <c r="F100" s="4" t="s">
        <v>12629</v>
      </c>
      <c r="G100" s="4" t="s">
        <v>18348</v>
      </c>
      <c r="H100" s="4" t="s">
        <v>18346</v>
      </c>
    </row>
    <row r="101" spans="1:8" x14ac:dyDescent="0.2">
      <c r="A101" s="4" t="str">
        <f t="shared" si="2"/>
        <v>03</v>
      </c>
      <c r="B101" s="4" t="str">
        <f>"03.0510"</f>
        <v>03.0510</v>
      </c>
      <c r="C101" s="4" t="s">
        <v>18238</v>
      </c>
      <c r="D101" s="4" t="s">
        <v>18239</v>
      </c>
      <c r="E101" s="4" t="s">
        <v>12633</v>
      </c>
      <c r="F101" s="4" t="s">
        <v>18349</v>
      </c>
      <c r="H101" s="4" t="s">
        <v>18346</v>
      </c>
    </row>
    <row r="102" spans="1:8" x14ac:dyDescent="0.2">
      <c r="A102" s="4" t="str">
        <f t="shared" si="2"/>
        <v>03</v>
      </c>
      <c r="B102" s="4" t="str">
        <f>"03.0511"</f>
        <v>03.0511</v>
      </c>
      <c r="C102" s="4" t="s">
        <v>18238</v>
      </c>
      <c r="D102" s="4" t="s">
        <v>18239</v>
      </c>
      <c r="E102" s="4" t="s">
        <v>12636</v>
      </c>
      <c r="F102" s="4" t="s">
        <v>18350</v>
      </c>
      <c r="H102" s="4" t="s">
        <v>18346</v>
      </c>
    </row>
    <row r="103" spans="1:8" x14ac:dyDescent="0.2">
      <c r="A103" s="4" t="str">
        <f t="shared" si="2"/>
        <v>03</v>
      </c>
      <c r="B103" s="4" t="str">
        <f>"03.0599"</f>
        <v>03.0599</v>
      </c>
      <c r="C103" s="4" t="s">
        <v>18238</v>
      </c>
      <c r="D103" s="4" t="s">
        <v>18239</v>
      </c>
      <c r="E103" s="4" t="s">
        <v>12638</v>
      </c>
      <c r="F103" s="4" t="s">
        <v>12639</v>
      </c>
      <c r="H103" s="4" t="s">
        <v>18346</v>
      </c>
    </row>
    <row r="104" spans="1:8" x14ac:dyDescent="0.2">
      <c r="A104" s="4" t="str">
        <f t="shared" si="2"/>
        <v>03</v>
      </c>
      <c r="B104" s="4" t="str">
        <f>"03.06"</f>
        <v>03.06</v>
      </c>
      <c r="C104" s="4" t="s">
        <v>18238</v>
      </c>
      <c r="D104" s="4" t="s">
        <v>18239</v>
      </c>
      <c r="E104" s="4" t="s">
        <v>12641</v>
      </c>
      <c r="F104" s="4" t="s">
        <v>12642</v>
      </c>
      <c r="H104" s="4" t="s">
        <v>18346</v>
      </c>
    </row>
    <row r="105" spans="1:8" x14ac:dyDescent="0.2">
      <c r="A105" s="4" t="str">
        <f t="shared" si="2"/>
        <v>03</v>
      </c>
      <c r="B105" s="4" t="str">
        <f>"03.0601"</f>
        <v>03.0601</v>
      </c>
      <c r="C105" s="4" t="s">
        <v>18238</v>
      </c>
      <c r="D105" s="4" t="s">
        <v>18307</v>
      </c>
      <c r="E105" s="4" t="s">
        <v>18351</v>
      </c>
      <c r="F105" s="4" t="s">
        <v>18352</v>
      </c>
      <c r="G105" s="4" t="s">
        <v>18353</v>
      </c>
      <c r="H105" s="4" t="s">
        <v>18346</v>
      </c>
    </row>
    <row r="106" spans="1:8" x14ac:dyDescent="0.2">
      <c r="A106" s="4" t="str">
        <f t="shared" si="2"/>
        <v>03</v>
      </c>
      <c r="B106" s="4" t="str">
        <f>"03.99"</f>
        <v>03.99</v>
      </c>
      <c r="C106" s="4" t="s">
        <v>18238</v>
      </c>
      <c r="D106" s="4" t="s">
        <v>18239</v>
      </c>
      <c r="E106" s="4" t="s">
        <v>12649</v>
      </c>
      <c r="F106" s="4" t="s">
        <v>12650</v>
      </c>
      <c r="H106" s="4" t="s">
        <v>18346</v>
      </c>
    </row>
    <row r="107" spans="1:8" x14ac:dyDescent="0.2">
      <c r="A107" s="4" t="str">
        <f t="shared" si="2"/>
        <v>03</v>
      </c>
      <c r="B107" s="4" t="str">
        <f>"03.9999"</f>
        <v>03.9999</v>
      </c>
      <c r="C107" s="4" t="s">
        <v>18238</v>
      </c>
      <c r="D107" s="4" t="s">
        <v>18239</v>
      </c>
      <c r="E107" s="4" t="s">
        <v>12649</v>
      </c>
      <c r="F107" s="4" t="s">
        <v>12651</v>
      </c>
      <c r="H107" s="4" t="s">
        <v>18354</v>
      </c>
    </row>
    <row r="108" spans="1:8" x14ac:dyDescent="0.2">
      <c r="A108" s="4" t="str">
        <f>"04"</f>
        <v>04</v>
      </c>
      <c r="B108" s="4" t="str">
        <f>"04"</f>
        <v>04</v>
      </c>
      <c r="C108" s="4" t="s">
        <v>18238</v>
      </c>
      <c r="D108" s="4" t="s">
        <v>18239</v>
      </c>
      <c r="E108" s="4" t="s">
        <v>12653</v>
      </c>
      <c r="F108" s="4" t="s">
        <v>12654</v>
      </c>
      <c r="H108" s="4" t="s">
        <v>18354</v>
      </c>
    </row>
    <row r="109" spans="1:8" x14ac:dyDescent="0.2">
      <c r="A109" s="4" t="str">
        <f t="shared" ref="A109:A128" si="3">"04"</f>
        <v>04</v>
      </c>
      <c r="B109" s="4" t="str">
        <f>"04.02"</f>
        <v>04.02</v>
      </c>
      <c r="C109" s="4" t="s">
        <v>18238</v>
      </c>
      <c r="D109" s="4" t="s">
        <v>18239</v>
      </c>
      <c r="E109" s="4" t="s">
        <v>12656</v>
      </c>
      <c r="F109" s="4" t="s">
        <v>12657</v>
      </c>
      <c r="H109" s="4" t="s">
        <v>18354</v>
      </c>
    </row>
    <row r="110" spans="1:8" x14ac:dyDescent="0.2">
      <c r="A110" s="4" t="str">
        <f t="shared" si="3"/>
        <v>04</v>
      </c>
      <c r="B110" s="4" t="str">
        <f>"04.0201"</f>
        <v>04.0201</v>
      </c>
      <c r="C110" s="4" t="s">
        <v>18238</v>
      </c>
      <c r="D110" s="4" t="s">
        <v>18239</v>
      </c>
      <c r="E110" s="4" t="s">
        <v>12656</v>
      </c>
      <c r="F110" s="4" t="s">
        <v>12659</v>
      </c>
      <c r="G110" s="4" t="s">
        <v>18355</v>
      </c>
      <c r="H110" s="4" t="s">
        <v>18356</v>
      </c>
    </row>
    <row r="111" spans="1:8" x14ac:dyDescent="0.2">
      <c r="A111" s="4" t="str">
        <f t="shared" si="3"/>
        <v>04</v>
      </c>
      <c r="B111" s="4" t="str">
        <f>"04.03"</f>
        <v>04.03</v>
      </c>
      <c r="C111" s="4" t="s">
        <v>18238</v>
      </c>
      <c r="D111" s="4" t="s">
        <v>18239</v>
      </c>
      <c r="E111" s="4" t="s">
        <v>12667</v>
      </c>
      <c r="F111" s="4" t="s">
        <v>12668</v>
      </c>
      <c r="H111" s="4" t="s">
        <v>18356</v>
      </c>
    </row>
    <row r="112" spans="1:8" x14ac:dyDescent="0.2">
      <c r="A112" s="4" t="str">
        <f t="shared" si="3"/>
        <v>04</v>
      </c>
      <c r="B112" s="4" t="str">
        <f>"04.0301"</f>
        <v>04.0301</v>
      </c>
      <c r="C112" s="4" t="s">
        <v>18238</v>
      </c>
      <c r="D112" s="4" t="s">
        <v>18239</v>
      </c>
      <c r="E112" s="4" t="s">
        <v>12667</v>
      </c>
      <c r="F112" s="4" t="s">
        <v>12669</v>
      </c>
      <c r="G112" s="4" t="s">
        <v>18357</v>
      </c>
      <c r="H112" s="4" t="s">
        <v>18358</v>
      </c>
    </row>
    <row r="113" spans="1:8" x14ac:dyDescent="0.2">
      <c r="A113" s="4" t="str">
        <f t="shared" si="3"/>
        <v>04</v>
      </c>
      <c r="B113" s="4" t="str">
        <f>"04.04"</f>
        <v>04.04</v>
      </c>
      <c r="C113" s="4" t="s">
        <v>18238</v>
      </c>
      <c r="D113" s="4" t="s">
        <v>18239</v>
      </c>
      <c r="E113" s="4" t="s">
        <v>12672</v>
      </c>
      <c r="F113" s="4" t="s">
        <v>18359</v>
      </c>
      <c r="H113" s="4" t="s">
        <v>18358</v>
      </c>
    </row>
    <row r="114" spans="1:8" x14ac:dyDescent="0.2">
      <c r="A114" s="4" t="str">
        <f t="shared" si="3"/>
        <v>04</v>
      </c>
      <c r="B114" s="4" t="str">
        <f>"04.0401"</f>
        <v>04.0401</v>
      </c>
      <c r="C114" s="4" t="s">
        <v>18238</v>
      </c>
      <c r="D114" s="4" t="s">
        <v>18239</v>
      </c>
      <c r="E114" s="4" t="s">
        <v>12674</v>
      </c>
      <c r="F114" s="4" t="s">
        <v>11518</v>
      </c>
      <c r="G114" s="4" t="s">
        <v>18360</v>
      </c>
      <c r="H114" s="4" t="s">
        <v>18358</v>
      </c>
    </row>
    <row r="115" spans="1:8" x14ac:dyDescent="0.2">
      <c r="A115" s="4" t="str">
        <f t="shared" si="3"/>
        <v>04</v>
      </c>
      <c r="B115" s="4" t="str">
        <f>"04.05"</f>
        <v>04.05</v>
      </c>
      <c r="C115" s="4" t="s">
        <v>18238</v>
      </c>
      <c r="D115" s="4" t="s">
        <v>18239</v>
      </c>
      <c r="E115" s="4" t="s">
        <v>11522</v>
      </c>
      <c r="F115" s="4" t="s">
        <v>11523</v>
      </c>
      <c r="H115" s="4" t="s">
        <v>18358</v>
      </c>
    </row>
    <row r="116" spans="1:8" x14ac:dyDescent="0.2">
      <c r="A116" s="4" t="str">
        <f t="shared" si="3"/>
        <v>04</v>
      </c>
      <c r="B116" s="4" t="str">
        <f>"04.0501"</f>
        <v>04.0501</v>
      </c>
      <c r="C116" s="4" t="s">
        <v>18238</v>
      </c>
      <c r="D116" s="4" t="s">
        <v>18239</v>
      </c>
      <c r="E116" s="4" t="s">
        <v>11522</v>
      </c>
      <c r="F116" s="4" t="s">
        <v>11524</v>
      </c>
      <c r="G116" s="4" t="s">
        <v>18361</v>
      </c>
      <c r="H116" s="4" t="s">
        <v>18358</v>
      </c>
    </row>
    <row r="117" spans="1:8" x14ac:dyDescent="0.2">
      <c r="A117" s="4" t="str">
        <f t="shared" si="3"/>
        <v>04</v>
      </c>
      <c r="B117" s="4" t="str">
        <f>"04.06"</f>
        <v>04.06</v>
      </c>
      <c r="C117" s="4" t="s">
        <v>18238</v>
      </c>
      <c r="D117" s="4" t="s">
        <v>18239</v>
      </c>
      <c r="E117" s="4" t="s">
        <v>11526</v>
      </c>
      <c r="F117" s="4" t="s">
        <v>11527</v>
      </c>
      <c r="H117" s="4" t="s">
        <v>18358</v>
      </c>
    </row>
    <row r="118" spans="1:8" x14ac:dyDescent="0.2">
      <c r="A118" s="4" t="str">
        <f t="shared" si="3"/>
        <v>04</v>
      </c>
      <c r="B118" s="4" t="str">
        <f>"04.0601"</f>
        <v>04.0601</v>
      </c>
      <c r="C118" s="4" t="s">
        <v>18238</v>
      </c>
      <c r="D118" s="4" t="s">
        <v>18239</v>
      </c>
      <c r="E118" s="4" t="s">
        <v>11526</v>
      </c>
      <c r="F118" s="4" t="s">
        <v>11529</v>
      </c>
      <c r="G118" s="4" t="s">
        <v>18362</v>
      </c>
      <c r="H118" s="4" t="s">
        <v>18363</v>
      </c>
    </row>
    <row r="119" spans="1:8" x14ac:dyDescent="0.2">
      <c r="A119" s="4" t="str">
        <f t="shared" si="3"/>
        <v>04</v>
      </c>
      <c r="B119" s="4" t="str">
        <f>"04.08"</f>
        <v>04.08</v>
      </c>
      <c r="C119" s="4" t="s">
        <v>18238</v>
      </c>
      <c r="D119" s="4" t="s">
        <v>18239</v>
      </c>
      <c r="E119" s="4" t="s">
        <v>11535</v>
      </c>
      <c r="F119" s="4" t="s">
        <v>18364</v>
      </c>
      <c r="H119" s="4" t="s">
        <v>18363</v>
      </c>
    </row>
    <row r="120" spans="1:8" x14ac:dyDescent="0.2">
      <c r="A120" s="4" t="str">
        <f t="shared" si="3"/>
        <v>04</v>
      </c>
      <c r="B120" s="4" t="str">
        <f>"04.0801"</f>
        <v>04.0801</v>
      </c>
      <c r="C120" s="4" t="s">
        <v>18238</v>
      </c>
      <c r="D120" s="4" t="s">
        <v>18239</v>
      </c>
      <c r="E120" s="4" t="s">
        <v>11538</v>
      </c>
      <c r="F120" s="4" t="s">
        <v>18365</v>
      </c>
      <c r="H120" s="4" t="s">
        <v>18363</v>
      </c>
    </row>
    <row r="121" spans="1:8" x14ac:dyDescent="0.2">
      <c r="A121" s="4" t="str">
        <f t="shared" si="3"/>
        <v>04</v>
      </c>
      <c r="B121" s="4" t="str">
        <f>"04.09"</f>
        <v>04.09</v>
      </c>
      <c r="C121" s="4" t="s">
        <v>18238</v>
      </c>
      <c r="D121" s="4" t="s">
        <v>18307</v>
      </c>
      <c r="E121" s="4" t="s">
        <v>18366</v>
      </c>
      <c r="F121" s="4" t="s">
        <v>18367</v>
      </c>
      <c r="H121" s="4" t="s">
        <v>18363</v>
      </c>
    </row>
    <row r="122" spans="1:8" x14ac:dyDescent="0.2">
      <c r="A122" s="4" t="str">
        <f t="shared" si="3"/>
        <v>04</v>
      </c>
      <c r="B122" s="4" t="str">
        <f>"04.0901"</f>
        <v>04.0901</v>
      </c>
      <c r="C122" s="4" t="s">
        <v>18238</v>
      </c>
      <c r="D122" s="4" t="s">
        <v>18239</v>
      </c>
      <c r="E122" s="4" t="s">
        <v>11546</v>
      </c>
      <c r="F122" s="4" t="s">
        <v>18368</v>
      </c>
      <c r="G122" s="4" t="s">
        <v>18369</v>
      </c>
      <c r="H122" s="4" t="s">
        <v>18363</v>
      </c>
    </row>
    <row r="123" spans="1:8" x14ac:dyDescent="0.2">
      <c r="A123" s="4" t="str">
        <f t="shared" si="3"/>
        <v>04</v>
      </c>
      <c r="B123" s="4" t="str">
        <f>"04.0902"</f>
        <v>04.0902</v>
      </c>
      <c r="C123" s="4" t="s">
        <v>18258</v>
      </c>
      <c r="D123" s="4" t="s">
        <v>18239</v>
      </c>
      <c r="E123" s="4" t="s">
        <v>18370</v>
      </c>
      <c r="F123" s="4" t="s">
        <v>18371</v>
      </c>
      <c r="H123" s="4" t="s">
        <v>18372</v>
      </c>
    </row>
    <row r="124" spans="1:8" x14ac:dyDescent="0.2">
      <c r="A124" s="4" t="str">
        <f t="shared" si="3"/>
        <v>04</v>
      </c>
      <c r="B124" s="4" t="str">
        <f>"04.0999"</f>
        <v>04.0999</v>
      </c>
      <c r="C124" s="4" t="s">
        <v>18258</v>
      </c>
      <c r="D124" s="4" t="s">
        <v>18239</v>
      </c>
      <c r="E124" s="4" t="s">
        <v>18373</v>
      </c>
      <c r="F124" s="4" t="s">
        <v>18374</v>
      </c>
      <c r="H124" s="4" t="s">
        <v>18372</v>
      </c>
    </row>
    <row r="125" spans="1:8" x14ac:dyDescent="0.2">
      <c r="A125" s="4" t="str">
        <f t="shared" si="3"/>
        <v>04</v>
      </c>
      <c r="B125" s="4" t="str">
        <f>"04.10"</f>
        <v>04.10</v>
      </c>
      <c r="C125" s="4" t="s">
        <v>18258</v>
      </c>
      <c r="D125" s="4" t="s">
        <v>18239</v>
      </c>
      <c r="E125" s="4" t="s">
        <v>18375</v>
      </c>
      <c r="F125" s="4" t="s">
        <v>18376</v>
      </c>
      <c r="H125" s="4" t="s">
        <v>18372</v>
      </c>
    </row>
    <row r="126" spans="1:8" x14ac:dyDescent="0.2">
      <c r="A126" s="4" t="str">
        <f t="shared" si="3"/>
        <v>04</v>
      </c>
      <c r="B126" s="4" t="str">
        <f>"04.1001"</f>
        <v>04.1001</v>
      </c>
      <c r="C126" s="4" t="s">
        <v>18258</v>
      </c>
      <c r="D126" s="4" t="s">
        <v>18239</v>
      </c>
      <c r="E126" s="4" t="s">
        <v>18375</v>
      </c>
      <c r="F126" s="4" t="s">
        <v>18377</v>
      </c>
      <c r="G126" s="4" t="s">
        <v>18378</v>
      </c>
      <c r="H126" s="4" t="s">
        <v>18372</v>
      </c>
    </row>
    <row r="127" spans="1:8" x14ac:dyDescent="0.2">
      <c r="A127" s="4" t="str">
        <f t="shared" si="3"/>
        <v>04</v>
      </c>
      <c r="B127" s="4" t="str">
        <f>"04.99"</f>
        <v>04.99</v>
      </c>
      <c r="C127" s="4" t="s">
        <v>18238</v>
      </c>
      <c r="D127" s="4" t="s">
        <v>18239</v>
      </c>
      <c r="E127" s="4" t="s">
        <v>11551</v>
      </c>
      <c r="F127" s="4" t="s">
        <v>11552</v>
      </c>
      <c r="H127" s="4" t="s">
        <v>18372</v>
      </c>
    </row>
    <row r="128" spans="1:8" x14ac:dyDescent="0.2">
      <c r="A128" s="4" t="str">
        <f t="shared" si="3"/>
        <v>04</v>
      </c>
      <c r="B128" s="4" t="str">
        <f>"04.9999"</f>
        <v>04.9999</v>
      </c>
      <c r="C128" s="4" t="s">
        <v>18238</v>
      </c>
      <c r="D128" s="4" t="s">
        <v>18239</v>
      </c>
      <c r="E128" s="4" t="s">
        <v>11551</v>
      </c>
      <c r="F128" s="4" t="s">
        <v>11553</v>
      </c>
      <c r="H128" s="4" t="s">
        <v>18372</v>
      </c>
    </row>
    <row r="129" spans="1:8" x14ac:dyDescent="0.2">
      <c r="A129" s="4" t="str">
        <f>"05"</f>
        <v>05</v>
      </c>
      <c r="B129" s="4" t="str">
        <f>"05"</f>
        <v>05</v>
      </c>
      <c r="C129" s="4" t="s">
        <v>18238</v>
      </c>
      <c r="D129" s="4" t="s">
        <v>18307</v>
      </c>
      <c r="E129" s="4" t="s">
        <v>18379</v>
      </c>
      <c r="F129" s="4" t="s">
        <v>18380</v>
      </c>
      <c r="H129" s="4" t="s">
        <v>18372</v>
      </c>
    </row>
    <row r="130" spans="1:8" x14ac:dyDescent="0.2">
      <c r="A130" s="4" t="str">
        <f t="shared" ref="A130:A179" si="4">"05"</f>
        <v>05</v>
      </c>
      <c r="B130" s="4" t="str">
        <f>"05.01"</f>
        <v>05.01</v>
      </c>
      <c r="C130" s="4" t="s">
        <v>18238</v>
      </c>
      <c r="D130" s="4" t="s">
        <v>18239</v>
      </c>
      <c r="E130" s="4" t="s">
        <v>11558</v>
      </c>
      <c r="F130" s="4" t="s">
        <v>18381</v>
      </c>
      <c r="H130" s="4" t="s">
        <v>18372</v>
      </c>
    </row>
    <row r="131" spans="1:8" x14ac:dyDescent="0.2">
      <c r="A131" s="4" t="str">
        <f t="shared" si="4"/>
        <v>05</v>
      </c>
      <c r="B131" s="4" t="str">
        <f>"05.0101"</f>
        <v>05.0101</v>
      </c>
      <c r="C131" s="4" t="s">
        <v>18238</v>
      </c>
      <c r="D131" s="4" t="s">
        <v>18239</v>
      </c>
      <c r="E131" s="4" t="s">
        <v>11564</v>
      </c>
      <c r="F131" s="4" t="s">
        <v>18382</v>
      </c>
      <c r="G131" s="4" t="s">
        <v>18383</v>
      </c>
      <c r="H131" s="4" t="s">
        <v>18372</v>
      </c>
    </row>
    <row r="132" spans="1:8" x14ac:dyDescent="0.2">
      <c r="A132" s="4" t="str">
        <f t="shared" si="4"/>
        <v>05</v>
      </c>
      <c r="B132" s="4" t="str">
        <f>"05.0102"</f>
        <v>05.0102</v>
      </c>
      <c r="C132" s="4" t="s">
        <v>18238</v>
      </c>
      <c r="D132" s="4" t="s">
        <v>18239</v>
      </c>
      <c r="E132" s="4" t="s">
        <v>11568</v>
      </c>
      <c r="F132" s="4" t="s">
        <v>11569</v>
      </c>
      <c r="H132" s="4" t="s">
        <v>18372</v>
      </c>
    </row>
    <row r="133" spans="1:8" x14ac:dyDescent="0.2">
      <c r="A133" s="4" t="str">
        <f t="shared" si="4"/>
        <v>05</v>
      </c>
      <c r="B133" s="4" t="str">
        <f>"05.0103"</f>
        <v>05.0103</v>
      </c>
      <c r="C133" s="4" t="s">
        <v>18238</v>
      </c>
      <c r="D133" s="4" t="s">
        <v>18239</v>
      </c>
      <c r="E133" s="4" t="s">
        <v>11314</v>
      </c>
      <c r="F133" s="4" t="s">
        <v>11315</v>
      </c>
      <c r="G133" s="4" t="s">
        <v>18384</v>
      </c>
      <c r="H133" s="4" t="s">
        <v>18372</v>
      </c>
    </row>
    <row r="134" spans="1:8" x14ac:dyDescent="0.2">
      <c r="A134" s="4" t="str">
        <f t="shared" si="4"/>
        <v>05</v>
      </c>
      <c r="B134" s="4" t="str">
        <f>"05.0104"</f>
        <v>05.0104</v>
      </c>
      <c r="C134" s="4" t="s">
        <v>18238</v>
      </c>
      <c r="D134" s="4" t="s">
        <v>18239</v>
      </c>
      <c r="E134" s="4" t="s">
        <v>11330</v>
      </c>
      <c r="F134" s="4" t="s">
        <v>11331</v>
      </c>
      <c r="H134" s="4" t="s">
        <v>18372</v>
      </c>
    </row>
    <row r="135" spans="1:8" x14ac:dyDescent="0.2">
      <c r="A135" s="4" t="str">
        <f t="shared" si="4"/>
        <v>05</v>
      </c>
      <c r="B135" s="4" t="str">
        <f>"05.0105"</f>
        <v>05.0105</v>
      </c>
      <c r="C135" s="4" t="s">
        <v>18238</v>
      </c>
      <c r="D135" s="4" t="s">
        <v>18307</v>
      </c>
      <c r="E135" s="4" t="s">
        <v>18385</v>
      </c>
      <c r="F135" s="4" t="s">
        <v>18386</v>
      </c>
      <c r="G135" s="4" t="s">
        <v>18387</v>
      </c>
      <c r="H135" s="4" t="s">
        <v>18388</v>
      </c>
    </row>
    <row r="136" spans="1:8" x14ac:dyDescent="0.2">
      <c r="A136" s="4" t="str">
        <f t="shared" si="4"/>
        <v>05</v>
      </c>
      <c r="B136" s="4" t="str">
        <f>"05.0106"</f>
        <v>05.0106</v>
      </c>
      <c r="C136" s="4" t="s">
        <v>18238</v>
      </c>
      <c r="D136" s="4" t="s">
        <v>18239</v>
      </c>
      <c r="E136" s="4" t="s">
        <v>11344</v>
      </c>
      <c r="F136" s="4" t="s">
        <v>11345</v>
      </c>
      <c r="H136" s="4" t="s">
        <v>18388</v>
      </c>
    </row>
    <row r="137" spans="1:8" x14ac:dyDescent="0.2">
      <c r="A137" s="4" t="str">
        <f t="shared" si="4"/>
        <v>05</v>
      </c>
      <c r="B137" s="4" t="str">
        <f>"05.0107"</f>
        <v>05.0107</v>
      </c>
      <c r="C137" s="4" t="s">
        <v>18238</v>
      </c>
      <c r="D137" s="4" t="s">
        <v>18239</v>
      </c>
      <c r="E137" s="4" t="s">
        <v>11354</v>
      </c>
      <c r="F137" s="4" t="s">
        <v>11355</v>
      </c>
      <c r="G137" s="4" t="s">
        <v>18389</v>
      </c>
      <c r="H137" s="4" t="s">
        <v>18388</v>
      </c>
    </row>
    <row r="138" spans="1:8" x14ac:dyDescent="0.2">
      <c r="A138" s="4" t="str">
        <f t="shared" si="4"/>
        <v>05</v>
      </c>
      <c r="B138" s="4" t="str">
        <f>"05.0108"</f>
        <v>05.0108</v>
      </c>
      <c r="C138" s="4" t="s">
        <v>18238</v>
      </c>
      <c r="D138" s="4" t="s">
        <v>18239</v>
      </c>
      <c r="E138" s="4" t="s">
        <v>11358</v>
      </c>
      <c r="F138" s="4" t="s">
        <v>11359</v>
      </c>
      <c r="G138" s="4" t="s">
        <v>18390</v>
      </c>
      <c r="H138" s="4" t="s">
        <v>18391</v>
      </c>
    </row>
    <row r="139" spans="1:8" x14ac:dyDescent="0.2">
      <c r="A139" s="4" t="str">
        <f t="shared" si="4"/>
        <v>05</v>
      </c>
      <c r="B139" s="4" t="str">
        <f>"05.0109"</f>
        <v>05.0109</v>
      </c>
      <c r="C139" s="4" t="s">
        <v>18238</v>
      </c>
      <c r="D139" s="4" t="s">
        <v>18239</v>
      </c>
      <c r="E139" s="4" t="s">
        <v>11360</v>
      </c>
      <c r="F139" s="4" t="s">
        <v>11361</v>
      </c>
      <c r="H139" s="4" t="s">
        <v>18391</v>
      </c>
    </row>
    <row r="140" spans="1:8" x14ac:dyDescent="0.2">
      <c r="A140" s="4" t="str">
        <f t="shared" si="4"/>
        <v>05</v>
      </c>
      <c r="B140" s="4" t="str">
        <f>"05.0110"</f>
        <v>05.0110</v>
      </c>
      <c r="C140" s="4" t="s">
        <v>18238</v>
      </c>
      <c r="D140" s="4" t="s">
        <v>18239</v>
      </c>
      <c r="E140" s="4" t="s">
        <v>11363</v>
      </c>
      <c r="F140" s="4" t="s">
        <v>11364</v>
      </c>
      <c r="G140" s="4" t="s">
        <v>18392</v>
      </c>
      <c r="H140" s="4" t="s">
        <v>18391</v>
      </c>
    </row>
    <row r="141" spans="1:8" x14ac:dyDescent="0.2">
      <c r="A141" s="4" t="str">
        <f t="shared" si="4"/>
        <v>05</v>
      </c>
      <c r="B141" s="4" t="str">
        <f>"05.0111"</f>
        <v>05.0111</v>
      </c>
      <c r="C141" s="4" t="s">
        <v>18238</v>
      </c>
      <c r="D141" s="4" t="s">
        <v>18239</v>
      </c>
      <c r="E141" s="4" t="s">
        <v>11366</v>
      </c>
      <c r="F141" s="4" t="s">
        <v>11367</v>
      </c>
      <c r="H141" s="4" t="s">
        <v>18391</v>
      </c>
    </row>
    <row r="142" spans="1:8" x14ac:dyDescent="0.2">
      <c r="A142" s="4" t="str">
        <f t="shared" si="4"/>
        <v>05</v>
      </c>
      <c r="B142" s="4" t="str">
        <f>"05.0112"</f>
        <v>05.0112</v>
      </c>
      <c r="C142" s="4" t="s">
        <v>18238</v>
      </c>
      <c r="D142" s="4" t="s">
        <v>18239</v>
      </c>
      <c r="E142" s="4" t="s">
        <v>11369</v>
      </c>
      <c r="F142" s="4" t="s">
        <v>11370</v>
      </c>
      <c r="H142" s="4" t="s">
        <v>18391</v>
      </c>
    </row>
    <row r="143" spans="1:8" x14ac:dyDescent="0.2">
      <c r="A143" s="4" t="str">
        <f t="shared" si="4"/>
        <v>05</v>
      </c>
      <c r="B143" s="4" t="str">
        <f>"05.0113"</f>
        <v>05.0113</v>
      </c>
      <c r="C143" s="4" t="s">
        <v>18238</v>
      </c>
      <c r="D143" s="4" t="s">
        <v>18239</v>
      </c>
      <c r="E143" s="4" t="s">
        <v>11371</v>
      </c>
      <c r="F143" s="4" t="s">
        <v>11372</v>
      </c>
      <c r="H143" s="4" t="s">
        <v>18391</v>
      </c>
    </row>
    <row r="144" spans="1:8" x14ac:dyDescent="0.2">
      <c r="A144" s="4" t="str">
        <f t="shared" si="4"/>
        <v>05</v>
      </c>
      <c r="B144" s="4" t="str">
        <f>"05.0114"</f>
        <v>05.0114</v>
      </c>
      <c r="C144" s="4" t="s">
        <v>18238</v>
      </c>
      <c r="D144" s="4" t="s">
        <v>18239</v>
      </c>
      <c r="E144" s="4" t="s">
        <v>11373</v>
      </c>
      <c r="F144" s="4" t="s">
        <v>11374</v>
      </c>
      <c r="H144" s="4" t="s">
        <v>18391</v>
      </c>
    </row>
    <row r="145" spans="1:8" x14ac:dyDescent="0.2">
      <c r="A145" s="4" t="str">
        <f t="shared" si="4"/>
        <v>05</v>
      </c>
      <c r="B145" s="4" t="str">
        <f>"05.0115"</f>
        <v>05.0115</v>
      </c>
      <c r="C145" s="4" t="s">
        <v>18238</v>
      </c>
      <c r="D145" s="4" t="s">
        <v>18239</v>
      </c>
      <c r="E145" s="4" t="s">
        <v>11376</v>
      </c>
      <c r="F145" s="4" t="s">
        <v>11377</v>
      </c>
      <c r="H145" s="4" t="s">
        <v>18391</v>
      </c>
    </row>
    <row r="146" spans="1:8" x14ac:dyDescent="0.2">
      <c r="A146" s="4" t="str">
        <f t="shared" si="4"/>
        <v>05</v>
      </c>
      <c r="B146" s="4" t="str">
        <f>"05.0116"</f>
        <v>05.0116</v>
      </c>
      <c r="C146" s="4" t="s">
        <v>18238</v>
      </c>
      <c r="D146" s="4" t="s">
        <v>18239</v>
      </c>
      <c r="E146" s="4" t="s">
        <v>11385</v>
      </c>
      <c r="F146" s="4" t="s">
        <v>18393</v>
      </c>
      <c r="H146" s="4" t="s">
        <v>18391</v>
      </c>
    </row>
    <row r="147" spans="1:8" x14ac:dyDescent="0.2">
      <c r="A147" s="4" t="str">
        <f t="shared" si="4"/>
        <v>05</v>
      </c>
      <c r="B147" s="4" t="str">
        <f>"05.0117"</f>
        <v>05.0117</v>
      </c>
      <c r="C147" s="4" t="s">
        <v>18238</v>
      </c>
      <c r="D147" s="4" t="s">
        <v>18239</v>
      </c>
      <c r="E147" s="4" t="s">
        <v>11388</v>
      </c>
      <c r="F147" s="4" t="s">
        <v>18394</v>
      </c>
      <c r="H147" s="4" t="s">
        <v>18391</v>
      </c>
    </row>
    <row r="148" spans="1:8" x14ac:dyDescent="0.2">
      <c r="A148" s="4" t="str">
        <f t="shared" si="4"/>
        <v>05</v>
      </c>
      <c r="B148" s="4" t="str">
        <f>"05.0118"</f>
        <v>05.0118</v>
      </c>
      <c r="C148" s="4" t="s">
        <v>18238</v>
      </c>
      <c r="D148" s="4" t="s">
        <v>18239</v>
      </c>
      <c r="E148" s="4" t="s">
        <v>11391</v>
      </c>
      <c r="F148" s="4" t="s">
        <v>18395</v>
      </c>
      <c r="H148" s="4" t="s">
        <v>18391</v>
      </c>
    </row>
    <row r="149" spans="1:8" x14ac:dyDescent="0.2">
      <c r="A149" s="4" t="str">
        <f t="shared" si="4"/>
        <v>05</v>
      </c>
      <c r="B149" s="4" t="str">
        <f>"05.0119"</f>
        <v>05.0119</v>
      </c>
      <c r="C149" s="4" t="s">
        <v>18238</v>
      </c>
      <c r="D149" s="4" t="s">
        <v>18239</v>
      </c>
      <c r="E149" s="4" t="s">
        <v>11394</v>
      </c>
      <c r="F149" s="4" t="s">
        <v>18396</v>
      </c>
      <c r="H149" s="4" t="s">
        <v>18391</v>
      </c>
    </row>
    <row r="150" spans="1:8" x14ac:dyDescent="0.2">
      <c r="A150" s="4" t="str">
        <f t="shared" si="4"/>
        <v>05</v>
      </c>
      <c r="B150" s="4" t="str">
        <f>"05.0120"</f>
        <v>05.0120</v>
      </c>
      <c r="C150" s="4" t="s">
        <v>18238</v>
      </c>
      <c r="D150" s="4" t="s">
        <v>18239</v>
      </c>
      <c r="E150" s="4" t="s">
        <v>11397</v>
      </c>
      <c r="F150" s="4" t="s">
        <v>18397</v>
      </c>
      <c r="H150" s="4" t="s">
        <v>18391</v>
      </c>
    </row>
    <row r="151" spans="1:8" x14ac:dyDescent="0.2">
      <c r="A151" s="4" t="str">
        <f t="shared" si="4"/>
        <v>05</v>
      </c>
      <c r="B151" s="4" t="str">
        <f>"05.0121"</f>
        <v>05.0121</v>
      </c>
      <c r="C151" s="4" t="s">
        <v>18238</v>
      </c>
      <c r="D151" s="4" t="s">
        <v>18239</v>
      </c>
      <c r="E151" s="4" t="s">
        <v>11400</v>
      </c>
      <c r="F151" s="4" t="s">
        <v>18398</v>
      </c>
      <c r="H151" s="4" t="s">
        <v>18391</v>
      </c>
    </row>
    <row r="152" spans="1:8" x14ac:dyDescent="0.2">
      <c r="A152" s="4" t="str">
        <f t="shared" si="4"/>
        <v>05</v>
      </c>
      <c r="B152" s="4" t="str">
        <f>"05.0122"</f>
        <v>05.0122</v>
      </c>
      <c r="C152" s="4" t="s">
        <v>18238</v>
      </c>
      <c r="D152" s="4" t="s">
        <v>18239</v>
      </c>
      <c r="E152" s="4" t="s">
        <v>18399</v>
      </c>
      <c r="F152" s="4" t="s">
        <v>18400</v>
      </c>
      <c r="H152" s="4" t="s">
        <v>18391</v>
      </c>
    </row>
    <row r="153" spans="1:8" x14ac:dyDescent="0.2">
      <c r="A153" s="4" t="str">
        <f t="shared" si="4"/>
        <v>05</v>
      </c>
      <c r="B153" s="4" t="str">
        <f>"05.0123"</f>
        <v>05.0123</v>
      </c>
      <c r="C153" s="4" t="s">
        <v>18238</v>
      </c>
      <c r="D153" s="4" t="s">
        <v>18239</v>
      </c>
      <c r="E153" s="4" t="s">
        <v>11406</v>
      </c>
      <c r="F153" s="4" t="s">
        <v>18401</v>
      </c>
      <c r="H153" s="4" t="s">
        <v>18391</v>
      </c>
    </row>
    <row r="154" spans="1:8" x14ac:dyDescent="0.2">
      <c r="A154" s="4" t="str">
        <f t="shared" si="4"/>
        <v>05</v>
      </c>
      <c r="B154" s="4" t="str">
        <f>"05.0124"</f>
        <v>05.0124</v>
      </c>
      <c r="C154" s="4" t="s">
        <v>18238</v>
      </c>
      <c r="D154" s="4" t="s">
        <v>18239</v>
      </c>
      <c r="E154" s="4" t="s">
        <v>11410</v>
      </c>
      <c r="F154" s="4" t="s">
        <v>18402</v>
      </c>
      <c r="H154" s="4" t="s">
        <v>18391</v>
      </c>
    </row>
    <row r="155" spans="1:8" x14ac:dyDescent="0.2">
      <c r="A155" s="4" t="str">
        <f t="shared" si="4"/>
        <v>05</v>
      </c>
      <c r="B155" s="4" t="str">
        <f>"05.0125"</f>
        <v>05.0125</v>
      </c>
      <c r="C155" s="4" t="s">
        <v>18238</v>
      </c>
      <c r="D155" s="4" t="s">
        <v>18239</v>
      </c>
      <c r="E155" s="4" t="s">
        <v>11413</v>
      </c>
      <c r="F155" s="4" t="s">
        <v>18403</v>
      </c>
      <c r="H155" s="4" t="s">
        <v>18391</v>
      </c>
    </row>
    <row r="156" spans="1:8" x14ac:dyDescent="0.2">
      <c r="A156" s="4" t="str">
        <f t="shared" si="4"/>
        <v>05</v>
      </c>
      <c r="B156" s="4" t="str">
        <f>"05.0126"</f>
        <v>05.0126</v>
      </c>
      <c r="C156" s="4" t="s">
        <v>18238</v>
      </c>
      <c r="D156" s="4" t="s">
        <v>18239</v>
      </c>
      <c r="E156" s="4" t="s">
        <v>11417</v>
      </c>
      <c r="F156" s="4" t="s">
        <v>18404</v>
      </c>
      <c r="H156" s="4" t="s">
        <v>18391</v>
      </c>
    </row>
    <row r="157" spans="1:8" x14ac:dyDescent="0.2">
      <c r="A157" s="4" t="str">
        <f t="shared" si="4"/>
        <v>05</v>
      </c>
      <c r="B157" s="4" t="str">
        <f>"05.0127"</f>
        <v>05.0127</v>
      </c>
      <c r="C157" s="4" t="s">
        <v>18238</v>
      </c>
      <c r="D157" s="4" t="s">
        <v>18239</v>
      </c>
      <c r="E157" s="4" t="s">
        <v>11421</v>
      </c>
      <c r="F157" s="4" t="s">
        <v>18405</v>
      </c>
      <c r="H157" s="4" t="s">
        <v>18391</v>
      </c>
    </row>
    <row r="158" spans="1:8" x14ac:dyDescent="0.2">
      <c r="A158" s="4" t="str">
        <f t="shared" si="4"/>
        <v>05</v>
      </c>
      <c r="B158" s="4" t="str">
        <f>"05.0128"</f>
        <v>05.0128</v>
      </c>
      <c r="C158" s="4" t="s">
        <v>18238</v>
      </c>
      <c r="D158" s="4" t="s">
        <v>18239</v>
      </c>
      <c r="E158" s="4" t="s">
        <v>11425</v>
      </c>
      <c r="F158" s="4" t="s">
        <v>18406</v>
      </c>
      <c r="H158" s="4" t="s">
        <v>18391</v>
      </c>
    </row>
    <row r="159" spans="1:8" x14ac:dyDescent="0.2">
      <c r="A159" s="4" t="str">
        <f t="shared" si="4"/>
        <v>05</v>
      </c>
      <c r="B159" s="4" t="str">
        <f>"05.0129"</f>
        <v>05.0129</v>
      </c>
      <c r="C159" s="4" t="s">
        <v>18238</v>
      </c>
      <c r="D159" s="4" t="s">
        <v>18239</v>
      </c>
      <c r="E159" s="4" t="s">
        <v>11430</v>
      </c>
      <c r="F159" s="4" t="s">
        <v>18407</v>
      </c>
      <c r="H159" s="4" t="s">
        <v>18391</v>
      </c>
    </row>
    <row r="160" spans="1:8" x14ac:dyDescent="0.2">
      <c r="A160" s="4" t="str">
        <f t="shared" si="4"/>
        <v>05</v>
      </c>
      <c r="B160" s="4" t="str">
        <f>"05.0130"</f>
        <v>05.0130</v>
      </c>
      <c r="C160" s="4" t="s">
        <v>18238</v>
      </c>
      <c r="D160" s="4" t="s">
        <v>18239</v>
      </c>
      <c r="E160" s="4" t="s">
        <v>11435</v>
      </c>
      <c r="F160" s="4" t="s">
        <v>18408</v>
      </c>
      <c r="H160" s="4" t="s">
        <v>18391</v>
      </c>
    </row>
    <row r="161" spans="1:8" x14ac:dyDescent="0.2">
      <c r="A161" s="4" t="str">
        <f t="shared" si="4"/>
        <v>05</v>
      </c>
      <c r="B161" s="4" t="str">
        <f>"05.0131"</f>
        <v>05.0131</v>
      </c>
      <c r="C161" s="4" t="s">
        <v>18238</v>
      </c>
      <c r="D161" s="4" t="s">
        <v>18239</v>
      </c>
      <c r="E161" s="4" t="s">
        <v>11438</v>
      </c>
      <c r="F161" s="4" t="s">
        <v>18409</v>
      </c>
      <c r="H161" s="4" t="s">
        <v>18391</v>
      </c>
    </row>
    <row r="162" spans="1:8" x14ac:dyDescent="0.2">
      <c r="A162" s="4" t="str">
        <f t="shared" si="4"/>
        <v>05</v>
      </c>
      <c r="B162" s="4" t="str">
        <f>"05.0132"</f>
        <v>05.0132</v>
      </c>
      <c r="C162" s="4" t="s">
        <v>18238</v>
      </c>
      <c r="D162" s="4" t="s">
        <v>18239</v>
      </c>
      <c r="E162" s="4" t="s">
        <v>11443</v>
      </c>
      <c r="F162" s="4" t="s">
        <v>18410</v>
      </c>
      <c r="H162" s="4" t="s">
        <v>18391</v>
      </c>
    </row>
    <row r="163" spans="1:8" x14ac:dyDescent="0.2">
      <c r="A163" s="4" t="str">
        <f t="shared" si="4"/>
        <v>05</v>
      </c>
      <c r="B163" s="4" t="str">
        <f>"05.0133"</f>
        <v>05.0133</v>
      </c>
      <c r="C163" s="4" t="s">
        <v>18258</v>
      </c>
      <c r="D163" s="4" t="s">
        <v>18239</v>
      </c>
      <c r="E163" s="4" t="s">
        <v>18411</v>
      </c>
      <c r="F163" s="4" t="s">
        <v>18412</v>
      </c>
      <c r="H163" s="4" t="s">
        <v>18391</v>
      </c>
    </row>
    <row r="164" spans="1:8" x14ac:dyDescent="0.2">
      <c r="A164" s="4" t="str">
        <f t="shared" si="4"/>
        <v>05</v>
      </c>
      <c r="B164" s="4" t="str">
        <f>"05.0134"</f>
        <v>05.0134</v>
      </c>
      <c r="C164" s="4" t="s">
        <v>18258</v>
      </c>
      <c r="D164" s="4" t="s">
        <v>18239</v>
      </c>
      <c r="E164" s="4" t="s">
        <v>18413</v>
      </c>
      <c r="F164" s="4" t="s">
        <v>18414</v>
      </c>
      <c r="G164" s="4" t="s">
        <v>18415</v>
      </c>
      <c r="H164" s="4" t="s">
        <v>18391</v>
      </c>
    </row>
    <row r="165" spans="1:8" x14ac:dyDescent="0.2">
      <c r="A165" s="4" t="str">
        <f t="shared" si="4"/>
        <v>05</v>
      </c>
      <c r="B165" s="4" t="str">
        <f>"05.0199"</f>
        <v>05.0199</v>
      </c>
      <c r="C165" s="4" t="s">
        <v>18238</v>
      </c>
      <c r="D165" s="4" t="s">
        <v>18239</v>
      </c>
      <c r="E165" s="4" t="s">
        <v>11447</v>
      </c>
      <c r="F165" s="4" t="s">
        <v>11448</v>
      </c>
      <c r="H165" s="4" t="s">
        <v>18391</v>
      </c>
    </row>
    <row r="166" spans="1:8" x14ac:dyDescent="0.2">
      <c r="A166" s="4" t="str">
        <f t="shared" si="4"/>
        <v>05</v>
      </c>
      <c r="B166" s="4" t="str">
        <f>"05.02"</f>
        <v>05.02</v>
      </c>
      <c r="C166" s="4" t="s">
        <v>18238</v>
      </c>
      <c r="D166" s="4" t="s">
        <v>18307</v>
      </c>
      <c r="E166" s="4" t="s">
        <v>18416</v>
      </c>
      <c r="F166" s="4" t="s">
        <v>18417</v>
      </c>
      <c r="H166" s="4" t="s">
        <v>18391</v>
      </c>
    </row>
    <row r="167" spans="1:8" x14ac:dyDescent="0.2">
      <c r="A167" s="4" t="str">
        <f t="shared" si="4"/>
        <v>05</v>
      </c>
      <c r="B167" s="4" t="str">
        <f>"05.0200"</f>
        <v>05.0200</v>
      </c>
      <c r="C167" s="4" t="s">
        <v>18258</v>
      </c>
      <c r="D167" s="4" t="s">
        <v>18239</v>
      </c>
      <c r="E167" s="4" t="s">
        <v>18418</v>
      </c>
      <c r="F167" s="4" t="s">
        <v>18419</v>
      </c>
      <c r="G167" s="4" t="s">
        <v>18420</v>
      </c>
      <c r="H167" s="4" t="s">
        <v>18421</v>
      </c>
    </row>
    <row r="168" spans="1:8" x14ac:dyDescent="0.2">
      <c r="A168" s="4" t="str">
        <f t="shared" si="4"/>
        <v>05</v>
      </c>
      <c r="B168" s="4" t="str">
        <f>"05.0201"</f>
        <v>05.0201</v>
      </c>
      <c r="C168" s="4" t="s">
        <v>18238</v>
      </c>
      <c r="D168" s="4" t="s">
        <v>18239</v>
      </c>
      <c r="E168" s="4" t="s">
        <v>11452</v>
      </c>
      <c r="F168" s="4" t="s">
        <v>11453</v>
      </c>
      <c r="G168" s="4" t="s">
        <v>18422</v>
      </c>
      <c r="H168" s="4" t="s">
        <v>18421</v>
      </c>
    </row>
    <row r="169" spans="1:8" x14ac:dyDescent="0.2">
      <c r="A169" s="4" t="str">
        <f t="shared" si="4"/>
        <v>05</v>
      </c>
      <c r="B169" s="4" t="str">
        <f>"05.0202"</f>
        <v>05.0202</v>
      </c>
      <c r="C169" s="4" t="s">
        <v>18238</v>
      </c>
      <c r="D169" s="4" t="s">
        <v>18239</v>
      </c>
      <c r="E169" s="4" t="s">
        <v>11313</v>
      </c>
      <c r="F169" s="4" t="s">
        <v>11454</v>
      </c>
      <c r="H169" s="4" t="s">
        <v>18421</v>
      </c>
    </row>
    <row r="170" spans="1:8" x14ac:dyDescent="0.2">
      <c r="A170" s="4" t="str">
        <f t="shared" si="4"/>
        <v>05</v>
      </c>
      <c r="B170" s="4" t="str">
        <f>"05.0203"</f>
        <v>05.0203</v>
      </c>
      <c r="C170" s="4" t="s">
        <v>18238</v>
      </c>
      <c r="D170" s="4" t="s">
        <v>18239</v>
      </c>
      <c r="E170" s="4" t="s">
        <v>11455</v>
      </c>
      <c r="F170" s="4" t="s">
        <v>11456</v>
      </c>
      <c r="G170" s="4" t="s">
        <v>18423</v>
      </c>
      <c r="H170" s="4" t="s">
        <v>18421</v>
      </c>
    </row>
    <row r="171" spans="1:8" x14ac:dyDescent="0.2">
      <c r="A171" s="4" t="str">
        <f t="shared" si="4"/>
        <v>05</v>
      </c>
      <c r="B171" s="4" t="str">
        <f>"05.0206"</f>
        <v>05.0206</v>
      </c>
      <c r="C171" s="4" t="s">
        <v>18238</v>
      </c>
      <c r="D171" s="4" t="s">
        <v>18239</v>
      </c>
      <c r="E171" s="4" t="s">
        <v>11459</v>
      </c>
      <c r="F171" s="4" t="s">
        <v>11460</v>
      </c>
      <c r="G171" s="4" t="s">
        <v>18424</v>
      </c>
      <c r="H171" s="4" t="s">
        <v>18421</v>
      </c>
    </row>
    <row r="172" spans="1:8" x14ac:dyDescent="0.2">
      <c r="A172" s="4" t="str">
        <f t="shared" si="4"/>
        <v>05</v>
      </c>
      <c r="B172" s="4" t="str">
        <f>"05.0207"</f>
        <v>05.0207</v>
      </c>
      <c r="C172" s="4" t="s">
        <v>18238</v>
      </c>
      <c r="D172" s="4" t="s">
        <v>18239</v>
      </c>
      <c r="E172" s="4" t="s">
        <v>11461</v>
      </c>
      <c r="F172" s="4" t="s">
        <v>11462</v>
      </c>
      <c r="H172" s="4" t="s">
        <v>18425</v>
      </c>
    </row>
    <row r="173" spans="1:8" x14ac:dyDescent="0.2">
      <c r="A173" s="4" t="str">
        <f t="shared" si="4"/>
        <v>05</v>
      </c>
      <c r="B173" s="4" t="str">
        <f>"05.0208"</f>
        <v>05.0208</v>
      </c>
      <c r="C173" s="4" t="s">
        <v>18238</v>
      </c>
      <c r="D173" s="4" t="s">
        <v>18239</v>
      </c>
      <c r="E173" s="4" t="s">
        <v>11464</v>
      </c>
      <c r="F173" s="4" t="s">
        <v>18426</v>
      </c>
      <c r="H173" s="4" t="s">
        <v>18425</v>
      </c>
    </row>
    <row r="174" spans="1:8" x14ac:dyDescent="0.2">
      <c r="A174" s="4" t="str">
        <f t="shared" si="4"/>
        <v>05</v>
      </c>
      <c r="B174" s="4" t="str">
        <f>"05.0209"</f>
        <v>05.0209</v>
      </c>
      <c r="C174" s="4" t="s">
        <v>18258</v>
      </c>
      <c r="D174" s="4" t="s">
        <v>18239</v>
      </c>
      <c r="E174" s="4" t="s">
        <v>18427</v>
      </c>
      <c r="F174" s="4" t="s">
        <v>18428</v>
      </c>
      <c r="H174" s="4" t="s">
        <v>18429</v>
      </c>
    </row>
    <row r="175" spans="1:8" x14ac:dyDescent="0.2">
      <c r="A175" s="4" t="str">
        <f t="shared" si="4"/>
        <v>05</v>
      </c>
      <c r="B175" s="4" t="str">
        <f>"05.0210"</f>
        <v>05.0210</v>
      </c>
      <c r="C175" s="4" t="s">
        <v>18258</v>
      </c>
      <c r="D175" s="4" t="s">
        <v>18239</v>
      </c>
      <c r="E175" s="4" t="s">
        <v>18430</v>
      </c>
      <c r="F175" s="4" t="s">
        <v>18431</v>
      </c>
      <c r="H175" s="4" t="s">
        <v>18429</v>
      </c>
    </row>
    <row r="176" spans="1:8" x14ac:dyDescent="0.2">
      <c r="A176" s="4" t="str">
        <f t="shared" si="4"/>
        <v>05</v>
      </c>
      <c r="B176" s="4" t="str">
        <f>"05.0211"</f>
        <v>05.0211</v>
      </c>
      <c r="C176" s="4" t="s">
        <v>18258</v>
      </c>
      <c r="D176" s="4" t="s">
        <v>18239</v>
      </c>
      <c r="E176" s="4" t="s">
        <v>18432</v>
      </c>
      <c r="F176" s="4" t="s">
        <v>18433</v>
      </c>
      <c r="G176" s="4" t="s">
        <v>18434</v>
      </c>
      <c r="H176" s="4" t="s">
        <v>18435</v>
      </c>
    </row>
    <row r="177" spans="1:8" x14ac:dyDescent="0.2">
      <c r="A177" s="4" t="str">
        <f t="shared" si="4"/>
        <v>05</v>
      </c>
      <c r="B177" s="4" t="str">
        <f>"05.0299"</f>
        <v>05.0299</v>
      </c>
      <c r="C177" s="4" t="s">
        <v>18238</v>
      </c>
      <c r="D177" s="4" t="s">
        <v>18307</v>
      </c>
      <c r="E177" s="4" t="s">
        <v>18436</v>
      </c>
      <c r="F177" s="4" t="s">
        <v>18437</v>
      </c>
      <c r="H177" s="4" t="s">
        <v>18438</v>
      </c>
    </row>
    <row r="178" spans="1:8" x14ac:dyDescent="0.2">
      <c r="A178" s="4" t="str">
        <f t="shared" si="4"/>
        <v>05</v>
      </c>
      <c r="B178" s="4" t="str">
        <f>"05.99"</f>
        <v>05.99</v>
      </c>
      <c r="C178" s="4" t="s">
        <v>6584</v>
      </c>
      <c r="D178" s="4" t="s">
        <v>18239</v>
      </c>
      <c r="E178" s="4" t="s">
        <v>11469</v>
      </c>
      <c r="F178" s="4" t="s">
        <v>18439</v>
      </c>
      <c r="H178" s="4" t="s">
        <v>18438</v>
      </c>
    </row>
    <row r="179" spans="1:8" x14ac:dyDescent="0.2">
      <c r="A179" s="4" t="str">
        <f t="shared" si="4"/>
        <v>05</v>
      </c>
      <c r="B179" s="4" t="str">
        <f>"05.9999"</f>
        <v>05.9999</v>
      </c>
      <c r="C179" s="4" t="s">
        <v>6584</v>
      </c>
      <c r="D179" s="4" t="s">
        <v>18239</v>
      </c>
      <c r="E179" s="4" t="s">
        <v>11469</v>
      </c>
      <c r="F179" s="4" t="s">
        <v>18439</v>
      </c>
      <c r="H179" s="4" t="s">
        <v>18438</v>
      </c>
    </row>
    <row r="180" spans="1:8" x14ac:dyDescent="0.2">
      <c r="A180" s="4" t="str">
        <f>"09"</f>
        <v>09</v>
      </c>
      <c r="B180" s="4" t="str">
        <f>"09"</f>
        <v>09</v>
      </c>
      <c r="C180" s="4" t="s">
        <v>18238</v>
      </c>
      <c r="D180" s="4" t="s">
        <v>18239</v>
      </c>
      <c r="E180" s="4" t="s">
        <v>11476</v>
      </c>
      <c r="F180" s="4" t="s">
        <v>11477</v>
      </c>
      <c r="H180" s="4" t="s">
        <v>18438</v>
      </c>
    </row>
    <row r="181" spans="1:8" x14ac:dyDescent="0.2">
      <c r="A181" s="4" t="str">
        <f t="shared" ref="A181:A209" si="5">"09"</f>
        <v>09</v>
      </c>
      <c r="B181" s="4" t="str">
        <f>"09.01"</f>
        <v>09.01</v>
      </c>
      <c r="C181" s="4" t="s">
        <v>18238</v>
      </c>
      <c r="D181" s="4" t="s">
        <v>18239</v>
      </c>
      <c r="E181" s="4" t="s">
        <v>11479</v>
      </c>
      <c r="F181" s="4" t="s">
        <v>18440</v>
      </c>
      <c r="H181" s="4" t="s">
        <v>18438</v>
      </c>
    </row>
    <row r="182" spans="1:8" x14ac:dyDescent="0.2">
      <c r="A182" s="4" t="str">
        <f t="shared" si="5"/>
        <v>09</v>
      </c>
      <c r="B182" s="4" t="str">
        <f>"09.0100"</f>
        <v>09.0100</v>
      </c>
      <c r="C182" s="4" t="s">
        <v>18258</v>
      </c>
      <c r="D182" s="4" t="s">
        <v>18239</v>
      </c>
      <c r="E182" s="4" t="s">
        <v>18441</v>
      </c>
      <c r="F182" s="4" t="s">
        <v>18442</v>
      </c>
      <c r="H182" s="4" t="s">
        <v>18443</v>
      </c>
    </row>
    <row r="183" spans="1:8" x14ac:dyDescent="0.2">
      <c r="A183" s="4" t="str">
        <f t="shared" si="5"/>
        <v>09</v>
      </c>
      <c r="B183" s="4" t="str">
        <f>"09.0101"</f>
        <v>09.0101</v>
      </c>
      <c r="C183" s="4" t="s">
        <v>18238</v>
      </c>
      <c r="D183" s="4" t="s">
        <v>18307</v>
      </c>
      <c r="E183" s="4" t="s">
        <v>18444</v>
      </c>
      <c r="F183" s="4" t="s">
        <v>11484</v>
      </c>
      <c r="G183" s="4" t="s">
        <v>18445</v>
      </c>
      <c r="H183" s="4" t="s">
        <v>18443</v>
      </c>
    </row>
    <row r="184" spans="1:8" x14ac:dyDescent="0.2">
      <c r="A184" s="4" t="str">
        <f t="shared" si="5"/>
        <v>09</v>
      </c>
      <c r="B184" s="4" t="str">
        <f>"09.0102"</f>
        <v>09.0102</v>
      </c>
      <c r="C184" s="4" t="s">
        <v>18238</v>
      </c>
      <c r="D184" s="4" t="s">
        <v>18239</v>
      </c>
      <c r="E184" s="4" t="s">
        <v>11486</v>
      </c>
      <c r="F184" s="4" t="s">
        <v>18446</v>
      </c>
      <c r="H184" s="4" t="s">
        <v>18447</v>
      </c>
    </row>
    <row r="185" spans="1:8" x14ac:dyDescent="0.2">
      <c r="A185" s="4" t="str">
        <f t="shared" si="5"/>
        <v>09</v>
      </c>
      <c r="B185" s="4" t="str">
        <f>"09.0199"</f>
        <v>09.0199</v>
      </c>
      <c r="C185" s="4" t="s">
        <v>18238</v>
      </c>
      <c r="D185" s="4" t="s">
        <v>18239</v>
      </c>
      <c r="E185" s="4" t="s">
        <v>11489</v>
      </c>
      <c r="F185" s="4" t="s">
        <v>18448</v>
      </c>
      <c r="H185" s="4" t="s">
        <v>18447</v>
      </c>
    </row>
    <row r="186" spans="1:8" x14ac:dyDescent="0.2">
      <c r="A186" s="4" t="str">
        <f t="shared" si="5"/>
        <v>09</v>
      </c>
      <c r="B186" s="4" t="str">
        <f>"09.04"</f>
        <v>09.04</v>
      </c>
      <c r="C186" s="4" t="s">
        <v>18238</v>
      </c>
      <c r="D186" s="4" t="s">
        <v>18239</v>
      </c>
      <c r="E186" s="4" t="s">
        <v>11701</v>
      </c>
      <c r="F186" s="4" t="s">
        <v>18449</v>
      </c>
      <c r="H186" s="4" t="s">
        <v>18447</v>
      </c>
    </row>
    <row r="187" spans="1:8" x14ac:dyDescent="0.2">
      <c r="A187" s="4" t="str">
        <f t="shared" si="5"/>
        <v>09</v>
      </c>
      <c r="B187" s="4" t="str">
        <f>"09.0401"</f>
        <v>09.0401</v>
      </c>
      <c r="C187" s="4" t="s">
        <v>18238</v>
      </c>
      <c r="D187" s="4" t="s">
        <v>18239</v>
      </c>
      <c r="E187" s="4" t="s">
        <v>11701</v>
      </c>
      <c r="F187" s="4" t="s">
        <v>11496</v>
      </c>
      <c r="H187" s="4" t="s">
        <v>18447</v>
      </c>
    </row>
    <row r="188" spans="1:8" x14ac:dyDescent="0.2">
      <c r="A188" s="4" t="str">
        <f t="shared" si="5"/>
        <v>09</v>
      </c>
      <c r="B188" s="4" t="str">
        <f>"09.0402"</f>
        <v>09.0402</v>
      </c>
      <c r="C188" s="4" t="s">
        <v>18238</v>
      </c>
      <c r="D188" s="4" t="s">
        <v>18239</v>
      </c>
      <c r="E188" s="4" t="s">
        <v>11702</v>
      </c>
      <c r="F188" s="4" t="s">
        <v>11497</v>
      </c>
      <c r="H188" s="4" t="s">
        <v>18447</v>
      </c>
    </row>
    <row r="189" spans="1:8" x14ac:dyDescent="0.2">
      <c r="A189" s="4" t="str">
        <f t="shared" si="5"/>
        <v>09</v>
      </c>
      <c r="B189" s="4" t="str">
        <f>"09.0404"</f>
        <v>09.0404</v>
      </c>
      <c r="C189" s="4" t="s">
        <v>18238</v>
      </c>
      <c r="D189" s="4" t="s">
        <v>18239</v>
      </c>
      <c r="E189" s="4" t="s">
        <v>11501</v>
      </c>
      <c r="F189" s="4" t="s">
        <v>18450</v>
      </c>
      <c r="G189" s="4" t="s">
        <v>18451</v>
      </c>
      <c r="H189" s="4" t="s">
        <v>18447</v>
      </c>
    </row>
    <row r="190" spans="1:8" x14ac:dyDescent="0.2">
      <c r="A190" s="4" t="str">
        <f t="shared" si="5"/>
        <v>09</v>
      </c>
      <c r="B190" s="4" t="str">
        <f>"09.0499"</f>
        <v>09.0499</v>
      </c>
      <c r="C190" s="4" t="s">
        <v>18238</v>
      </c>
      <c r="D190" s="4" t="s">
        <v>18239</v>
      </c>
      <c r="E190" s="4" t="s">
        <v>11503</v>
      </c>
      <c r="F190" s="4" t="s">
        <v>18452</v>
      </c>
      <c r="H190" s="4" t="s">
        <v>18453</v>
      </c>
    </row>
    <row r="191" spans="1:8" x14ac:dyDescent="0.2">
      <c r="A191" s="4" t="str">
        <f t="shared" si="5"/>
        <v>09</v>
      </c>
      <c r="B191" s="4" t="str">
        <f>"09.07"</f>
        <v>09.07</v>
      </c>
      <c r="C191" s="4" t="s">
        <v>18238</v>
      </c>
      <c r="D191" s="4" t="s">
        <v>18239</v>
      </c>
      <c r="E191" s="4" t="s">
        <v>11509</v>
      </c>
      <c r="F191" s="4" t="s">
        <v>18454</v>
      </c>
      <c r="H191" s="4" t="s">
        <v>18453</v>
      </c>
    </row>
    <row r="192" spans="1:8" x14ac:dyDescent="0.2">
      <c r="A192" s="4" t="str">
        <f t="shared" si="5"/>
        <v>09</v>
      </c>
      <c r="B192" s="4" t="str">
        <f>"09.0701"</f>
        <v>09.0701</v>
      </c>
      <c r="C192" s="4" t="s">
        <v>18238</v>
      </c>
      <c r="D192" s="4" t="s">
        <v>18239</v>
      </c>
      <c r="E192" s="4" t="s">
        <v>11517</v>
      </c>
      <c r="F192" s="4" t="s">
        <v>10972</v>
      </c>
      <c r="H192" s="4" t="s">
        <v>18455</v>
      </c>
    </row>
    <row r="193" spans="1:8" x14ac:dyDescent="0.2">
      <c r="A193" s="4" t="str">
        <f t="shared" si="5"/>
        <v>09</v>
      </c>
      <c r="B193" s="4" t="str">
        <f>"09.0702"</f>
        <v>09.0702</v>
      </c>
      <c r="C193" s="4" t="s">
        <v>18238</v>
      </c>
      <c r="D193" s="4" t="s">
        <v>18307</v>
      </c>
      <c r="E193" s="4" t="s">
        <v>10980</v>
      </c>
      <c r="F193" s="4" t="s">
        <v>18456</v>
      </c>
      <c r="G193" s="4" t="s">
        <v>18457</v>
      </c>
      <c r="H193" s="4" t="s">
        <v>18458</v>
      </c>
    </row>
    <row r="194" spans="1:8" x14ac:dyDescent="0.2">
      <c r="A194" s="4" t="str">
        <f t="shared" si="5"/>
        <v>09</v>
      </c>
      <c r="B194" s="4" t="str">
        <f>"09.0799"</f>
        <v>09.0799</v>
      </c>
      <c r="C194" s="4" t="s">
        <v>18238</v>
      </c>
      <c r="D194" s="4" t="s">
        <v>18239</v>
      </c>
      <c r="E194" s="4" t="s">
        <v>10986</v>
      </c>
      <c r="F194" s="4" t="s">
        <v>18459</v>
      </c>
      <c r="H194" s="4" t="s">
        <v>18458</v>
      </c>
    </row>
    <row r="195" spans="1:8" x14ac:dyDescent="0.2">
      <c r="A195" s="4" t="str">
        <f t="shared" si="5"/>
        <v>09</v>
      </c>
      <c r="B195" s="4" t="str">
        <f>"09.09"</f>
        <v>09.09</v>
      </c>
      <c r="C195" s="4" t="s">
        <v>18238</v>
      </c>
      <c r="D195" s="4" t="s">
        <v>18239</v>
      </c>
      <c r="E195" s="4" t="s">
        <v>10988</v>
      </c>
      <c r="F195" s="4" t="s">
        <v>18460</v>
      </c>
      <c r="H195" s="4" t="s">
        <v>18458</v>
      </c>
    </row>
    <row r="196" spans="1:8" x14ac:dyDescent="0.2">
      <c r="A196" s="4" t="str">
        <f t="shared" si="5"/>
        <v>09</v>
      </c>
      <c r="B196" s="4" t="str">
        <f>"09.0900"</f>
        <v>09.0900</v>
      </c>
      <c r="C196" s="4" t="s">
        <v>18258</v>
      </c>
      <c r="D196" s="4" t="s">
        <v>18239</v>
      </c>
      <c r="E196" s="4" t="s">
        <v>10988</v>
      </c>
      <c r="F196" s="4" t="s">
        <v>18461</v>
      </c>
      <c r="G196" s="4" t="s">
        <v>18462</v>
      </c>
      <c r="H196" s="4" t="s">
        <v>18463</v>
      </c>
    </row>
    <row r="197" spans="1:8" x14ac:dyDescent="0.2">
      <c r="A197" s="4" t="str">
        <f t="shared" si="5"/>
        <v>09</v>
      </c>
      <c r="B197" s="4" t="str">
        <f>"09.0901"</f>
        <v>09.0901</v>
      </c>
      <c r="C197" s="4" t="s">
        <v>18238</v>
      </c>
      <c r="D197" s="4" t="s">
        <v>18239</v>
      </c>
      <c r="E197" s="4" t="s">
        <v>10991</v>
      </c>
      <c r="F197" s="4" t="s">
        <v>18464</v>
      </c>
      <c r="G197" s="4" t="s">
        <v>18465</v>
      </c>
      <c r="H197" s="4" t="s">
        <v>18463</v>
      </c>
    </row>
    <row r="198" spans="1:8" x14ac:dyDescent="0.2">
      <c r="A198" s="4" t="str">
        <f t="shared" si="5"/>
        <v>09</v>
      </c>
      <c r="B198" s="4" t="str">
        <f>"09.0902"</f>
        <v>09.0902</v>
      </c>
      <c r="C198" s="4" t="s">
        <v>18238</v>
      </c>
      <c r="D198" s="4" t="s">
        <v>18239</v>
      </c>
      <c r="E198" s="4" t="s">
        <v>10994</v>
      </c>
      <c r="F198" s="4" t="s">
        <v>18466</v>
      </c>
      <c r="G198" s="4" t="s">
        <v>18467</v>
      </c>
      <c r="H198" s="4" t="s">
        <v>18463</v>
      </c>
    </row>
    <row r="199" spans="1:8" x14ac:dyDescent="0.2">
      <c r="A199" s="4" t="str">
        <f t="shared" si="5"/>
        <v>09</v>
      </c>
      <c r="B199" s="4" t="str">
        <f>"09.0903"</f>
        <v>09.0903</v>
      </c>
      <c r="C199" s="4" t="s">
        <v>18238</v>
      </c>
      <c r="D199" s="4" t="s">
        <v>18239</v>
      </c>
      <c r="E199" s="4" t="s">
        <v>11492</v>
      </c>
      <c r="F199" s="4" t="s">
        <v>18468</v>
      </c>
      <c r="G199" s="4" t="s">
        <v>18469</v>
      </c>
      <c r="H199" s="4" t="s">
        <v>18463</v>
      </c>
    </row>
    <row r="200" spans="1:8" x14ac:dyDescent="0.2">
      <c r="A200" s="4" t="str">
        <f t="shared" si="5"/>
        <v>09</v>
      </c>
      <c r="B200" s="4" t="str">
        <f>"09.0904"</f>
        <v>09.0904</v>
      </c>
      <c r="C200" s="4" t="s">
        <v>18238</v>
      </c>
      <c r="D200" s="4" t="s">
        <v>18239</v>
      </c>
      <c r="E200" s="4" t="s">
        <v>11001</v>
      </c>
      <c r="F200" s="4" t="s">
        <v>18470</v>
      </c>
      <c r="H200" s="4" t="s">
        <v>18463</v>
      </c>
    </row>
    <row r="201" spans="1:8" x14ac:dyDescent="0.2">
      <c r="A201" s="4" t="str">
        <f t="shared" si="5"/>
        <v>09</v>
      </c>
      <c r="B201" s="4" t="str">
        <f>"09.0905"</f>
        <v>09.0905</v>
      </c>
      <c r="C201" s="4" t="s">
        <v>18238</v>
      </c>
      <c r="D201" s="4" t="s">
        <v>18239</v>
      </c>
      <c r="E201" s="4" t="s">
        <v>11004</v>
      </c>
      <c r="F201" s="4" t="s">
        <v>18471</v>
      </c>
      <c r="H201" s="4" t="s">
        <v>18472</v>
      </c>
    </row>
    <row r="202" spans="1:8" x14ac:dyDescent="0.2">
      <c r="A202" s="4" t="str">
        <f t="shared" si="5"/>
        <v>09</v>
      </c>
      <c r="B202" s="4" t="str">
        <f>"09.0906"</f>
        <v>09.0906</v>
      </c>
      <c r="C202" s="4" t="s">
        <v>18258</v>
      </c>
      <c r="D202" s="4" t="s">
        <v>18239</v>
      </c>
      <c r="E202" s="4" t="s">
        <v>18473</v>
      </c>
      <c r="F202" s="4" t="s">
        <v>18474</v>
      </c>
      <c r="G202" s="4" t="s">
        <v>18475</v>
      </c>
      <c r="H202" s="4" t="s">
        <v>18472</v>
      </c>
    </row>
    <row r="203" spans="1:8" x14ac:dyDescent="0.2">
      <c r="A203" s="4" t="str">
        <f t="shared" si="5"/>
        <v>09</v>
      </c>
      <c r="B203" s="4" t="str">
        <f>"09.0907"</f>
        <v>09.0907</v>
      </c>
      <c r="C203" s="4" t="s">
        <v>18258</v>
      </c>
      <c r="D203" s="4" t="s">
        <v>18239</v>
      </c>
      <c r="E203" s="4" t="s">
        <v>18476</v>
      </c>
      <c r="F203" s="4" t="s">
        <v>18477</v>
      </c>
      <c r="G203" s="4" t="s">
        <v>18420</v>
      </c>
      <c r="H203" s="4" t="s">
        <v>18472</v>
      </c>
    </row>
    <row r="204" spans="1:8" x14ac:dyDescent="0.2">
      <c r="A204" s="4" t="str">
        <f t="shared" si="5"/>
        <v>09</v>
      </c>
      <c r="B204" s="4" t="str">
        <f>"09.0908"</f>
        <v>09.0908</v>
      </c>
      <c r="C204" s="4" t="s">
        <v>18258</v>
      </c>
      <c r="D204" s="4" t="s">
        <v>18239</v>
      </c>
      <c r="E204" s="4" t="s">
        <v>18478</v>
      </c>
      <c r="F204" s="4" t="s">
        <v>18479</v>
      </c>
      <c r="G204" s="4" t="s">
        <v>18480</v>
      </c>
      <c r="H204" s="4" t="s">
        <v>18481</v>
      </c>
    </row>
    <row r="205" spans="1:8" x14ac:dyDescent="0.2">
      <c r="A205" s="4" t="str">
        <f t="shared" si="5"/>
        <v>09</v>
      </c>
      <c r="B205" s="4" t="str">
        <f>"09.0999"</f>
        <v>09.0999</v>
      </c>
      <c r="C205" s="4" t="s">
        <v>18238</v>
      </c>
      <c r="D205" s="4" t="s">
        <v>18239</v>
      </c>
      <c r="E205" s="4" t="s">
        <v>18482</v>
      </c>
      <c r="F205" s="4" t="s">
        <v>18483</v>
      </c>
      <c r="H205" s="4" t="s">
        <v>18481</v>
      </c>
    </row>
    <row r="206" spans="1:8" x14ac:dyDescent="0.2">
      <c r="A206" s="4" t="str">
        <f t="shared" si="5"/>
        <v>09</v>
      </c>
      <c r="B206" s="4" t="str">
        <f>"09.10"</f>
        <v>09.10</v>
      </c>
      <c r="C206" s="4" t="s">
        <v>18238</v>
      </c>
      <c r="D206" s="4" t="s">
        <v>18239</v>
      </c>
      <c r="E206" s="4" t="s">
        <v>11009</v>
      </c>
      <c r="F206" s="4" t="s">
        <v>18484</v>
      </c>
      <c r="H206" s="4" t="s">
        <v>18481</v>
      </c>
    </row>
    <row r="207" spans="1:8" x14ac:dyDescent="0.2">
      <c r="A207" s="4" t="str">
        <f t="shared" si="5"/>
        <v>09</v>
      </c>
      <c r="B207" s="4" t="str">
        <f>"09.1001"</f>
        <v>09.1001</v>
      </c>
      <c r="C207" s="4" t="s">
        <v>18238</v>
      </c>
      <c r="D207" s="4" t="s">
        <v>18239</v>
      </c>
      <c r="E207" s="4" t="s">
        <v>11009</v>
      </c>
      <c r="F207" s="4" t="s">
        <v>18485</v>
      </c>
      <c r="H207" s="4" t="s">
        <v>18481</v>
      </c>
    </row>
    <row r="208" spans="1:8" x14ac:dyDescent="0.2">
      <c r="A208" s="4" t="str">
        <f t="shared" si="5"/>
        <v>09</v>
      </c>
      <c r="B208" s="4" t="str">
        <f>"09.99"</f>
        <v>09.99</v>
      </c>
      <c r="C208" s="4" t="s">
        <v>18238</v>
      </c>
      <c r="D208" s="4" t="s">
        <v>18239</v>
      </c>
      <c r="E208" s="4" t="s">
        <v>11014</v>
      </c>
      <c r="F208" s="4" t="s">
        <v>11015</v>
      </c>
      <c r="H208" s="4" t="s">
        <v>18481</v>
      </c>
    </row>
    <row r="209" spans="1:8" x14ac:dyDescent="0.2">
      <c r="A209" s="4" t="str">
        <f t="shared" si="5"/>
        <v>09</v>
      </c>
      <c r="B209" s="4" t="str">
        <f>"09.9999"</f>
        <v>09.9999</v>
      </c>
      <c r="C209" s="4" t="s">
        <v>18238</v>
      </c>
      <c r="D209" s="4" t="s">
        <v>18239</v>
      </c>
      <c r="E209" s="4" t="s">
        <v>11014</v>
      </c>
      <c r="F209" s="4" t="s">
        <v>11016</v>
      </c>
      <c r="H209" s="4" t="s">
        <v>18481</v>
      </c>
    </row>
    <row r="210" spans="1:8" x14ac:dyDescent="0.2">
      <c r="A210" s="4" t="str">
        <f>"10"</f>
        <v>10</v>
      </c>
      <c r="B210" s="4" t="str">
        <f>"10"</f>
        <v>10</v>
      </c>
      <c r="C210" s="4" t="s">
        <v>18238</v>
      </c>
      <c r="D210" s="4" t="s">
        <v>18239</v>
      </c>
      <c r="E210" s="4" t="s">
        <v>11018</v>
      </c>
      <c r="F210" s="4" t="s">
        <v>11019</v>
      </c>
      <c r="H210" s="4" t="s">
        <v>18481</v>
      </c>
    </row>
    <row r="211" spans="1:8" x14ac:dyDescent="0.2">
      <c r="A211" s="4" t="str">
        <f t="shared" ref="A211:A229" si="6">"10"</f>
        <v>10</v>
      </c>
      <c r="B211" s="4" t="str">
        <f>"10.01"</f>
        <v>10.01</v>
      </c>
      <c r="C211" s="4" t="s">
        <v>18238</v>
      </c>
      <c r="D211" s="4" t="s">
        <v>18239</v>
      </c>
      <c r="E211" s="4" t="s">
        <v>11021</v>
      </c>
      <c r="F211" s="4" t="s">
        <v>18486</v>
      </c>
      <c r="H211" s="4" t="s">
        <v>18481</v>
      </c>
    </row>
    <row r="212" spans="1:8" x14ac:dyDescent="0.2">
      <c r="A212" s="4" t="str">
        <f t="shared" si="6"/>
        <v>10</v>
      </c>
      <c r="B212" s="4" t="str">
        <f>"10.0105"</f>
        <v>10.0105</v>
      </c>
      <c r="C212" s="4" t="s">
        <v>18238</v>
      </c>
      <c r="D212" s="4" t="s">
        <v>18239</v>
      </c>
      <c r="E212" s="4" t="s">
        <v>11021</v>
      </c>
      <c r="F212" s="4" t="s">
        <v>18487</v>
      </c>
      <c r="H212" s="4" t="s">
        <v>18481</v>
      </c>
    </row>
    <row r="213" spans="1:8" x14ac:dyDescent="0.2">
      <c r="A213" s="4" t="str">
        <f t="shared" si="6"/>
        <v>10</v>
      </c>
      <c r="B213" s="4" t="str">
        <f>"10.02"</f>
        <v>10.02</v>
      </c>
      <c r="C213" s="4" t="s">
        <v>18238</v>
      </c>
      <c r="D213" s="4" t="s">
        <v>18239</v>
      </c>
      <c r="E213" s="4" t="s">
        <v>11033</v>
      </c>
      <c r="F213" s="4" t="s">
        <v>18488</v>
      </c>
      <c r="H213" s="4" t="s">
        <v>18481</v>
      </c>
    </row>
    <row r="214" spans="1:8" x14ac:dyDescent="0.2">
      <c r="A214" s="4" t="str">
        <f t="shared" si="6"/>
        <v>10</v>
      </c>
      <c r="B214" s="4" t="str">
        <f>"10.0201"</f>
        <v>10.0201</v>
      </c>
      <c r="C214" s="4" t="s">
        <v>18238</v>
      </c>
      <c r="D214" s="4" t="s">
        <v>18239</v>
      </c>
      <c r="E214" s="4" t="s">
        <v>11035</v>
      </c>
      <c r="F214" s="4" t="s">
        <v>18489</v>
      </c>
      <c r="H214" s="4" t="s">
        <v>18481</v>
      </c>
    </row>
    <row r="215" spans="1:8" x14ac:dyDescent="0.2">
      <c r="A215" s="4" t="str">
        <f t="shared" si="6"/>
        <v>10</v>
      </c>
      <c r="B215" s="4" t="str">
        <f>"10.0202"</f>
        <v>10.0202</v>
      </c>
      <c r="C215" s="4" t="s">
        <v>18238</v>
      </c>
      <c r="D215" s="4" t="s">
        <v>18239</v>
      </c>
      <c r="E215" s="4" t="s">
        <v>10977</v>
      </c>
      <c r="F215" s="4" t="s">
        <v>18490</v>
      </c>
      <c r="H215" s="4" t="s">
        <v>18481</v>
      </c>
    </row>
    <row r="216" spans="1:8" x14ac:dyDescent="0.2">
      <c r="A216" s="4" t="str">
        <f t="shared" si="6"/>
        <v>10</v>
      </c>
      <c r="B216" s="4" t="str">
        <f>"10.0203"</f>
        <v>10.0203</v>
      </c>
      <c r="C216" s="4" t="s">
        <v>18238</v>
      </c>
      <c r="D216" s="4" t="s">
        <v>18239</v>
      </c>
      <c r="E216" s="4" t="s">
        <v>11041</v>
      </c>
      <c r="F216" s="4" t="s">
        <v>18491</v>
      </c>
      <c r="G216" s="4" t="s">
        <v>18492</v>
      </c>
      <c r="H216" s="4" t="s">
        <v>18481</v>
      </c>
    </row>
    <row r="217" spans="1:8" x14ac:dyDescent="0.2">
      <c r="A217" s="4" t="str">
        <f t="shared" si="6"/>
        <v>10</v>
      </c>
      <c r="B217" s="4" t="str">
        <f>"10.0299"</f>
        <v>10.0299</v>
      </c>
      <c r="C217" s="4" t="s">
        <v>18238</v>
      </c>
      <c r="D217" s="4" t="s">
        <v>18239</v>
      </c>
      <c r="E217" s="4" t="s">
        <v>11044</v>
      </c>
      <c r="F217" s="4" t="s">
        <v>18493</v>
      </c>
      <c r="H217" s="4" t="s">
        <v>18494</v>
      </c>
    </row>
    <row r="218" spans="1:8" x14ac:dyDescent="0.2">
      <c r="A218" s="4" t="str">
        <f t="shared" si="6"/>
        <v>10</v>
      </c>
      <c r="B218" s="4" t="str">
        <f>"10.03"</f>
        <v>10.03</v>
      </c>
      <c r="C218" s="4" t="s">
        <v>18238</v>
      </c>
      <c r="D218" s="4" t="s">
        <v>18239</v>
      </c>
      <c r="E218" s="4" t="s">
        <v>11047</v>
      </c>
      <c r="F218" s="4" t="s">
        <v>18495</v>
      </c>
      <c r="H218" s="4" t="s">
        <v>18494</v>
      </c>
    </row>
    <row r="219" spans="1:8" x14ac:dyDescent="0.2">
      <c r="A219" s="4" t="str">
        <f t="shared" si="6"/>
        <v>10</v>
      </c>
      <c r="B219" s="4" t="str">
        <f>"10.0301"</f>
        <v>10.0301</v>
      </c>
      <c r="C219" s="4" t="s">
        <v>18238</v>
      </c>
      <c r="D219" s="4" t="s">
        <v>18239</v>
      </c>
      <c r="E219" s="4" t="s">
        <v>11052</v>
      </c>
      <c r="F219" s="4" t="s">
        <v>18496</v>
      </c>
      <c r="G219" s="4" t="s">
        <v>18497</v>
      </c>
      <c r="H219" s="4" t="s">
        <v>18494</v>
      </c>
    </row>
    <row r="220" spans="1:8" x14ac:dyDescent="0.2">
      <c r="A220" s="4" t="str">
        <f t="shared" si="6"/>
        <v>10</v>
      </c>
      <c r="B220" s="4" t="str">
        <f>"10.0302"</f>
        <v>10.0302</v>
      </c>
      <c r="C220" s="4" t="s">
        <v>18238</v>
      </c>
      <c r="D220" s="4" t="s">
        <v>18239</v>
      </c>
      <c r="E220" s="4" t="s">
        <v>11058</v>
      </c>
      <c r="F220" s="4" t="s">
        <v>18498</v>
      </c>
      <c r="H220" s="4" t="s">
        <v>18494</v>
      </c>
    </row>
    <row r="221" spans="1:8" x14ac:dyDescent="0.2">
      <c r="A221" s="4" t="str">
        <f t="shared" si="6"/>
        <v>10</v>
      </c>
      <c r="B221" s="4" t="str">
        <f>"10.0303"</f>
        <v>10.0303</v>
      </c>
      <c r="C221" s="4" t="s">
        <v>18238</v>
      </c>
      <c r="D221" s="4" t="s">
        <v>18239</v>
      </c>
      <c r="E221" s="4" t="s">
        <v>11061</v>
      </c>
      <c r="F221" s="4" t="s">
        <v>18499</v>
      </c>
      <c r="H221" s="4" t="s">
        <v>18494</v>
      </c>
    </row>
    <row r="222" spans="1:8" x14ac:dyDescent="0.2">
      <c r="A222" s="4" t="str">
        <f t="shared" si="6"/>
        <v>10</v>
      </c>
      <c r="B222" s="4" t="str">
        <f>"10.0304"</f>
        <v>10.0304</v>
      </c>
      <c r="C222" s="4" t="s">
        <v>18238</v>
      </c>
      <c r="D222" s="4" t="s">
        <v>18239</v>
      </c>
      <c r="E222" s="4" t="s">
        <v>11066</v>
      </c>
      <c r="F222" s="4" t="s">
        <v>18500</v>
      </c>
      <c r="H222" s="4" t="s">
        <v>18494</v>
      </c>
    </row>
    <row r="223" spans="1:8" x14ac:dyDescent="0.2">
      <c r="A223" s="4" t="str">
        <f t="shared" si="6"/>
        <v>10</v>
      </c>
      <c r="B223" s="4" t="str">
        <f>"10.0305"</f>
        <v>10.0305</v>
      </c>
      <c r="C223" s="4" t="s">
        <v>18238</v>
      </c>
      <c r="D223" s="4" t="s">
        <v>18239</v>
      </c>
      <c r="E223" s="4" t="s">
        <v>11123</v>
      </c>
      <c r="F223" s="4" t="s">
        <v>18501</v>
      </c>
      <c r="H223" s="4" t="s">
        <v>18494</v>
      </c>
    </row>
    <row r="224" spans="1:8" x14ac:dyDescent="0.2">
      <c r="A224" s="4" t="str">
        <f t="shared" si="6"/>
        <v>10</v>
      </c>
      <c r="B224" s="4" t="str">
        <f>"10.0306"</f>
        <v>10.0306</v>
      </c>
      <c r="C224" s="4" t="s">
        <v>18238</v>
      </c>
      <c r="D224" s="4" t="s">
        <v>18239</v>
      </c>
      <c r="E224" s="4" t="s">
        <v>11126</v>
      </c>
      <c r="F224" s="4" t="s">
        <v>18502</v>
      </c>
      <c r="H224" s="4" t="s">
        <v>18494</v>
      </c>
    </row>
    <row r="225" spans="1:8" x14ac:dyDescent="0.2">
      <c r="A225" s="4" t="str">
        <f t="shared" si="6"/>
        <v>10</v>
      </c>
      <c r="B225" s="4" t="str">
        <f>"10.0307"</f>
        <v>10.0307</v>
      </c>
      <c r="C225" s="4" t="s">
        <v>18238</v>
      </c>
      <c r="D225" s="4" t="s">
        <v>18239</v>
      </c>
      <c r="E225" s="4" t="s">
        <v>11130</v>
      </c>
      <c r="F225" s="4" t="s">
        <v>18503</v>
      </c>
      <c r="H225" s="4" t="s">
        <v>18494</v>
      </c>
    </row>
    <row r="226" spans="1:8" x14ac:dyDescent="0.2">
      <c r="A226" s="4" t="str">
        <f t="shared" si="6"/>
        <v>10</v>
      </c>
      <c r="B226" s="4" t="str">
        <f>"10.0308"</f>
        <v>10.0308</v>
      </c>
      <c r="C226" s="4" t="s">
        <v>18238</v>
      </c>
      <c r="D226" s="4" t="s">
        <v>18239</v>
      </c>
      <c r="E226" s="4" t="s">
        <v>11133</v>
      </c>
      <c r="F226" s="4" t="s">
        <v>18504</v>
      </c>
      <c r="H226" s="4" t="s">
        <v>18494</v>
      </c>
    </row>
    <row r="227" spans="1:8" x14ac:dyDescent="0.2">
      <c r="A227" s="4" t="str">
        <f t="shared" si="6"/>
        <v>10</v>
      </c>
      <c r="B227" s="4" t="str">
        <f>"10.0399"</f>
        <v>10.0399</v>
      </c>
      <c r="C227" s="4" t="s">
        <v>18238</v>
      </c>
      <c r="D227" s="4" t="s">
        <v>18239</v>
      </c>
      <c r="E227" s="4" t="s">
        <v>11136</v>
      </c>
      <c r="F227" s="4" t="s">
        <v>18505</v>
      </c>
      <c r="H227" s="4" t="s">
        <v>18494</v>
      </c>
    </row>
    <row r="228" spans="1:8" x14ac:dyDescent="0.2">
      <c r="A228" s="4" t="str">
        <f t="shared" si="6"/>
        <v>10</v>
      </c>
      <c r="B228" s="4" t="str">
        <f>"10.99"</f>
        <v>10.99</v>
      </c>
      <c r="C228" s="4" t="s">
        <v>18238</v>
      </c>
      <c r="D228" s="4" t="s">
        <v>18239</v>
      </c>
      <c r="E228" s="4" t="s">
        <v>11139</v>
      </c>
      <c r="F228" s="4" t="s">
        <v>18506</v>
      </c>
      <c r="H228" s="4" t="s">
        <v>18494</v>
      </c>
    </row>
    <row r="229" spans="1:8" x14ac:dyDescent="0.2">
      <c r="A229" s="4" t="str">
        <f t="shared" si="6"/>
        <v>10</v>
      </c>
      <c r="B229" s="4" t="str">
        <f>"10.9999"</f>
        <v>10.9999</v>
      </c>
      <c r="C229" s="4" t="s">
        <v>18238</v>
      </c>
      <c r="D229" s="4" t="s">
        <v>18239</v>
      </c>
      <c r="E229" s="4" t="s">
        <v>11139</v>
      </c>
      <c r="F229" s="4" t="s">
        <v>18507</v>
      </c>
      <c r="H229" s="4" t="s">
        <v>18494</v>
      </c>
    </row>
    <row r="230" spans="1:8" x14ac:dyDescent="0.2">
      <c r="A230" s="4" t="str">
        <f>"11"</f>
        <v>11</v>
      </c>
      <c r="B230" s="4" t="str">
        <f>"11"</f>
        <v>11</v>
      </c>
      <c r="C230" s="4" t="s">
        <v>18238</v>
      </c>
      <c r="D230" s="4" t="s">
        <v>18239</v>
      </c>
      <c r="E230" s="4" t="s">
        <v>11512</v>
      </c>
      <c r="F230" s="4" t="s">
        <v>11143</v>
      </c>
      <c r="H230" s="4" t="s">
        <v>18494</v>
      </c>
    </row>
    <row r="231" spans="1:8" x14ac:dyDescent="0.2">
      <c r="A231" s="4" t="str">
        <f t="shared" ref="A231:A271" si="7">"11"</f>
        <v>11</v>
      </c>
      <c r="B231" s="4" t="str">
        <f>"11.01"</f>
        <v>11.01</v>
      </c>
      <c r="C231" s="4" t="s">
        <v>18238</v>
      </c>
      <c r="D231" s="4" t="s">
        <v>18239</v>
      </c>
      <c r="E231" s="4" t="s">
        <v>11147</v>
      </c>
      <c r="F231" s="4" t="s">
        <v>18508</v>
      </c>
      <c r="H231" s="4" t="s">
        <v>18494</v>
      </c>
    </row>
    <row r="232" spans="1:8" x14ac:dyDescent="0.2">
      <c r="A232" s="4" t="str">
        <f t="shared" si="7"/>
        <v>11</v>
      </c>
      <c r="B232" s="4" t="str">
        <f>"11.0101"</f>
        <v>11.0101</v>
      </c>
      <c r="C232" s="4" t="s">
        <v>18238</v>
      </c>
      <c r="D232" s="4" t="s">
        <v>18307</v>
      </c>
      <c r="E232" s="4" t="s">
        <v>11147</v>
      </c>
      <c r="F232" s="4" t="s">
        <v>18509</v>
      </c>
      <c r="H232" s="4" t="s">
        <v>18494</v>
      </c>
    </row>
    <row r="233" spans="1:8" x14ac:dyDescent="0.2">
      <c r="A233" s="4" t="str">
        <f t="shared" si="7"/>
        <v>11</v>
      </c>
      <c r="B233" s="4" t="str">
        <f>"11.0102"</f>
        <v>11.0102</v>
      </c>
      <c r="C233" s="4" t="s">
        <v>18238</v>
      </c>
      <c r="D233" s="4" t="s">
        <v>18307</v>
      </c>
      <c r="E233" s="4" t="s">
        <v>18510</v>
      </c>
      <c r="F233" s="4" t="s">
        <v>18511</v>
      </c>
      <c r="G233" s="4" t="s">
        <v>18512</v>
      </c>
      <c r="H233" s="4" t="s">
        <v>18494</v>
      </c>
    </row>
    <row r="234" spans="1:8" x14ac:dyDescent="0.2">
      <c r="A234" s="4" t="str">
        <f t="shared" si="7"/>
        <v>11</v>
      </c>
      <c r="B234" s="4" t="str">
        <f>"11.0103"</f>
        <v>11.0103</v>
      </c>
      <c r="C234" s="4" t="s">
        <v>18238</v>
      </c>
      <c r="D234" s="4" t="s">
        <v>18239</v>
      </c>
      <c r="E234" s="4" t="s">
        <v>11158</v>
      </c>
      <c r="F234" s="4" t="s">
        <v>18513</v>
      </c>
      <c r="H234" s="4" t="s">
        <v>18494</v>
      </c>
    </row>
    <row r="235" spans="1:8" x14ac:dyDescent="0.2">
      <c r="A235" s="4" t="str">
        <f t="shared" si="7"/>
        <v>11</v>
      </c>
      <c r="B235" s="4" t="str">
        <f>"11.0104"</f>
        <v>11.0104</v>
      </c>
      <c r="C235" s="4" t="s">
        <v>18258</v>
      </c>
      <c r="D235" s="4" t="s">
        <v>18239</v>
      </c>
      <c r="E235" s="4" t="s">
        <v>18514</v>
      </c>
      <c r="F235" s="4" t="s">
        <v>18515</v>
      </c>
      <c r="G235" s="4" t="s">
        <v>18516</v>
      </c>
      <c r="H235" s="4" t="s">
        <v>18517</v>
      </c>
    </row>
    <row r="236" spans="1:8" x14ac:dyDescent="0.2">
      <c r="A236" s="4" t="str">
        <f t="shared" si="7"/>
        <v>11</v>
      </c>
      <c r="B236" s="4" t="str">
        <f>"11.0199"</f>
        <v>11.0199</v>
      </c>
      <c r="C236" s="4" t="s">
        <v>18238</v>
      </c>
      <c r="D236" s="4" t="s">
        <v>18239</v>
      </c>
      <c r="E236" s="4" t="s">
        <v>11163</v>
      </c>
      <c r="F236" s="4" t="s">
        <v>18518</v>
      </c>
      <c r="H236" s="4" t="s">
        <v>18517</v>
      </c>
    </row>
    <row r="237" spans="1:8" x14ac:dyDescent="0.2">
      <c r="A237" s="4" t="str">
        <f t="shared" si="7"/>
        <v>11</v>
      </c>
      <c r="B237" s="4" t="str">
        <f>"11.02"</f>
        <v>11.02</v>
      </c>
      <c r="C237" s="4" t="s">
        <v>18238</v>
      </c>
      <c r="D237" s="4" t="s">
        <v>18239</v>
      </c>
      <c r="E237" s="4" t="s">
        <v>11167</v>
      </c>
      <c r="F237" s="4" t="s">
        <v>18519</v>
      </c>
      <c r="H237" s="4" t="s">
        <v>18517</v>
      </c>
    </row>
    <row r="238" spans="1:8" x14ac:dyDescent="0.2">
      <c r="A238" s="4" t="str">
        <f t="shared" si="7"/>
        <v>11</v>
      </c>
      <c r="B238" s="4" t="str">
        <f>"11.0201"</f>
        <v>11.0201</v>
      </c>
      <c r="C238" s="4" t="s">
        <v>18238</v>
      </c>
      <c r="D238" s="4" t="s">
        <v>18239</v>
      </c>
      <c r="E238" s="4" t="s">
        <v>11169</v>
      </c>
      <c r="F238" s="4" t="s">
        <v>11170</v>
      </c>
      <c r="H238" s="4" t="s">
        <v>18517</v>
      </c>
    </row>
    <row r="239" spans="1:8" x14ac:dyDescent="0.2">
      <c r="A239" s="4" t="str">
        <f t="shared" si="7"/>
        <v>11</v>
      </c>
      <c r="B239" s="4" t="str">
        <f>"11.0202"</f>
        <v>11.0202</v>
      </c>
      <c r="C239" s="4" t="s">
        <v>18238</v>
      </c>
      <c r="D239" s="4" t="s">
        <v>18239</v>
      </c>
      <c r="E239" s="4" t="s">
        <v>11172</v>
      </c>
      <c r="F239" s="4" t="s">
        <v>18520</v>
      </c>
      <c r="H239" s="4" t="s">
        <v>18517</v>
      </c>
    </row>
    <row r="240" spans="1:8" x14ac:dyDescent="0.2">
      <c r="A240" s="4" t="str">
        <f t="shared" si="7"/>
        <v>11</v>
      </c>
      <c r="B240" s="4" t="str">
        <f>"11.0203"</f>
        <v>11.0203</v>
      </c>
      <c r="C240" s="4" t="s">
        <v>18238</v>
      </c>
      <c r="D240" s="4" t="s">
        <v>18239</v>
      </c>
      <c r="E240" s="4" t="s">
        <v>11177</v>
      </c>
      <c r="F240" s="4" t="s">
        <v>18521</v>
      </c>
      <c r="H240" s="4" t="s">
        <v>18517</v>
      </c>
    </row>
    <row r="241" spans="1:8" x14ac:dyDescent="0.2">
      <c r="A241" s="4" t="str">
        <f t="shared" si="7"/>
        <v>11</v>
      </c>
      <c r="B241" s="4" t="str">
        <f>"11.0299"</f>
        <v>11.0299</v>
      </c>
      <c r="C241" s="4" t="s">
        <v>18238</v>
      </c>
      <c r="D241" s="4" t="s">
        <v>18239</v>
      </c>
      <c r="E241" s="4" t="s">
        <v>11180</v>
      </c>
      <c r="F241" s="4" t="s">
        <v>18522</v>
      </c>
      <c r="H241" s="4" t="s">
        <v>18517</v>
      </c>
    </row>
    <row r="242" spans="1:8" x14ac:dyDescent="0.2">
      <c r="A242" s="4" t="str">
        <f t="shared" si="7"/>
        <v>11</v>
      </c>
      <c r="B242" s="4" t="str">
        <f>"11.03"</f>
        <v>11.03</v>
      </c>
      <c r="C242" s="4" t="s">
        <v>18238</v>
      </c>
      <c r="D242" s="4" t="s">
        <v>18239</v>
      </c>
      <c r="E242" s="4" t="s">
        <v>11183</v>
      </c>
      <c r="F242" s="4" t="s">
        <v>11184</v>
      </c>
      <c r="H242" s="4" t="s">
        <v>18517</v>
      </c>
    </row>
    <row r="243" spans="1:8" x14ac:dyDescent="0.2">
      <c r="A243" s="4" t="str">
        <f t="shared" si="7"/>
        <v>11</v>
      </c>
      <c r="B243" s="4" t="str">
        <f>"11.0301"</f>
        <v>11.0301</v>
      </c>
      <c r="C243" s="4" t="s">
        <v>18238</v>
      </c>
      <c r="D243" s="4" t="s">
        <v>18239</v>
      </c>
      <c r="E243" s="4" t="s">
        <v>11185</v>
      </c>
      <c r="F243" s="4" t="s">
        <v>11186</v>
      </c>
      <c r="H243" s="4" t="s">
        <v>18517</v>
      </c>
    </row>
    <row r="244" spans="1:8" x14ac:dyDescent="0.2">
      <c r="A244" s="4" t="str">
        <f t="shared" si="7"/>
        <v>11</v>
      </c>
      <c r="B244" s="4" t="str">
        <f>"11.04"</f>
        <v>11.04</v>
      </c>
      <c r="C244" s="4" t="s">
        <v>18238</v>
      </c>
      <c r="D244" s="4" t="s">
        <v>18239</v>
      </c>
      <c r="E244" s="4" t="s">
        <v>11188</v>
      </c>
      <c r="F244" s="4" t="s">
        <v>11189</v>
      </c>
      <c r="H244" s="4" t="s">
        <v>18517</v>
      </c>
    </row>
    <row r="245" spans="1:8" x14ac:dyDescent="0.2">
      <c r="A245" s="4" t="str">
        <f t="shared" si="7"/>
        <v>11</v>
      </c>
      <c r="B245" s="4" t="str">
        <f>"11.0401"</f>
        <v>11.0401</v>
      </c>
      <c r="C245" s="4" t="s">
        <v>18238</v>
      </c>
      <c r="D245" s="4" t="s">
        <v>18239</v>
      </c>
      <c r="E245" s="4" t="s">
        <v>11188</v>
      </c>
      <c r="F245" s="4" t="s">
        <v>11190</v>
      </c>
      <c r="G245" s="4" t="s">
        <v>18523</v>
      </c>
      <c r="H245" s="4" t="s">
        <v>18517</v>
      </c>
    </row>
    <row r="246" spans="1:8" x14ac:dyDescent="0.2">
      <c r="A246" s="4" t="str">
        <f t="shared" si="7"/>
        <v>11</v>
      </c>
      <c r="B246" s="4" t="str">
        <f>"11.05"</f>
        <v>11.05</v>
      </c>
      <c r="C246" s="4" t="s">
        <v>18238</v>
      </c>
      <c r="D246" s="4" t="s">
        <v>18239</v>
      </c>
      <c r="E246" s="4" t="s">
        <v>11196</v>
      </c>
      <c r="F246" s="4" t="s">
        <v>11197</v>
      </c>
      <c r="H246" s="4" t="s">
        <v>18517</v>
      </c>
    </row>
    <row r="247" spans="1:8" x14ac:dyDescent="0.2">
      <c r="A247" s="4" t="str">
        <f t="shared" si="7"/>
        <v>11</v>
      </c>
      <c r="B247" s="4" t="str">
        <f>"11.0501"</f>
        <v>11.0501</v>
      </c>
      <c r="C247" s="4" t="s">
        <v>18238</v>
      </c>
      <c r="D247" s="4" t="s">
        <v>18239</v>
      </c>
      <c r="E247" s="4" t="s">
        <v>11198</v>
      </c>
      <c r="F247" s="4" t="s">
        <v>11199</v>
      </c>
      <c r="G247" s="4" t="s">
        <v>18524</v>
      </c>
      <c r="H247" s="4" t="s">
        <v>18517</v>
      </c>
    </row>
    <row r="248" spans="1:8" x14ac:dyDescent="0.2">
      <c r="A248" s="4" t="str">
        <f t="shared" si="7"/>
        <v>11</v>
      </c>
      <c r="B248" s="4" t="str">
        <f>"11.06"</f>
        <v>11.06</v>
      </c>
      <c r="C248" s="4" t="s">
        <v>18238</v>
      </c>
      <c r="D248" s="4" t="s">
        <v>18239</v>
      </c>
      <c r="E248" s="4" t="s">
        <v>11202</v>
      </c>
      <c r="F248" s="4" t="s">
        <v>18525</v>
      </c>
      <c r="H248" s="4" t="s">
        <v>18517</v>
      </c>
    </row>
    <row r="249" spans="1:8" x14ac:dyDescent="0.2">
      <c r="A249" s="4" t="str">
        <f t="shared" si="7"/>
        <v>11</v>
      </c>
      <c r="B249" s="4" t="str">
        <f>"11.0601"</f>
        <v>11.0601</v>
      </c>
      <c r="C249" s="4" t="s">
        <v>18238</v>
      </c>
      <c r="D249" s="4" t="s">
        <v>18239</v>
      </c>
      <c r="E249" s="4" t="s">
        <v>11205</v>
      </c>
      <c r="F249" s="4" t="s">
        <v>18526</v>
      </c>
      <c r="H249" s="4" t="s">
        <v>18517</v>
      </c>
    </row>
    <row r="250" spans="1:8" x14ac:dyDescent="0.2">
      <c r="A250" s="4" t="str">
        <f t="shared" si="7"/>
        <v>11</v>
      </c>
      <c r="B250" s="4" t="str">
        <f>"11.0602"</f>
        <v>11.0602</v>
      </c>
      <c r="C250" s="4" t="s">
        <v>18238</v>
      </c>
      <c r="D250" s="4" t="s">
        <v>18239</v>
      </c>
      <c r="E250" s="4" t="s">
        <v>11210</v>
      </c>
      <c r="F250" s="4" t="s">
        <v>18527</v>
      </c>
      <c r="H250" s="4" t="s">
        <v>18517</v>
      </c>
    </row>
    <row r="251" spans="1:8" x14ac:dyDescent="0.2">
      <c r="A251" s="4" t="str">
        <f t="shared" si="7"/>
        <v>11</v>
      </c>
      <c r="B251" s="4" t="str">
        <f>"11.0699"</f>
        <v>11.0699</v>
      </c>
      <c r="C251" s="4" t="s">
        <v>18238</v>
      </c>
      <c r="D251" s="4" t="s">
        <v>18239</v>
      </c>
      <c r="E251" s="4" t="s">
        <v>11213</v>
      </c>
      <c r="F251" s="4" t="s">
        <v>18528</v>
      </c>
      <c r="H251" s="4" t="s">
        <v>18517</v>
      </c>
    </row>
    <row r="252" spans="1:8" x14ac:dyDescent="0.2">
      <c r="A252" s="4" t="str">
        <f t="shared" si="7"/>
        <v>11</v>
      </c>
      <c r="B252" s="4" t="str">
        <f>"11.07"</f>
        <v>11.07</v>
      </c>
      <c r="C252" s="4" t="s">
        <v>18238</v>
      </c>
      <c r="D252" s="4" t="s">
        <v>18239</v>
      </c>
      <c r="E252" s="4" t="s">
        <v>11216</v>
      </c>
      <c r="F252" s="4" t="s">
        <v>11217</v>
      </c>
      <c r="H252" s="4" t="s">
        <v>18517</v>
      </c>
    </row>
    <row r="253" spans="1:8" x14ac:dyDescent="0.2">
      <c r="A253" s="4" t="str">
        <f t="shared" si="7"/>
        <v>11</v>
      </c>
      <c r="B253" s="4" t="str">
        <f>"11.0701"</f>
        <v>11.0701</v>
      </c>
      <c r="C253" s="4" t="s">
        <v>18238</v>
      </c>
      <c r="D253" s="4" t="s">
        <v>18307</v>
      </c>
      <c r="E253" s="4" t="s">
        <v>11216</v>
      </c>
      <c r="F253" s="4" t="s">
        <v>18529</v>
      </c>
      <c r="G253" s="4" t="s">
        <v>18530</v>
      </c>
      <c r="H253" s="4" t="s">
        <v>18517</v>
      </c>
    </row>
    <row r="254" spans="1:8" x14ac:dyDescent="0.2">
      <c r="A254" s="4" t="str">
        <f t="shared" si="7"/>
        <v>11</v>
      </c>
      <c r="B254" s="4" t="str">
        <f>"11.08"</f>
        <v>11.08</v>
      </c>
      <c r="C254" s="4" t="s">
        <v>18238</v>
      </c>
      <c r="D254" s="4" t="s">
        <v>18239</v>
      </c>
      <c r="E254" s="4" t="s">
        <v>10784</v>
      </c>
      <c r="F254" s="4" t="s">
        <v>18531</v>
      </c>
      <c r="H254" s="4" t="s">
        <v>18517</v>
      </c>
    </row>
    <row r="255" spans="1:8" x14ac:dyDescent="0.2">
      <c r="A255" s="4" t="str">
        <f t="shared" si="7"/>
        <v>11</v>
      </c>
      <c r="B255" s="4" t="str">
        <f>"11.0801"</f>
        <v>11.0801</v>
      </c>
      <c r="C255" s="4" t="s">
        <v>18238</v>
      </c>
      <c r="D255" s="4" t="s">
        <v>18239</v>
      </c>
      <c r="E255" s="4" t="s">
        <v>11064</v>
      </c>
      <c r="F255" s="4" t="s">
        <v>18532</v>
      </c>
      <c r="H255" s="4" t="s">
        <v>18517</v>
      </c>
    </row>
    <row r="256" spans="1:8" x14ac:dyDescent="0.2">
      <c r="A256" s="4" t="str">
        <f t="shared" si="7"/>
        <v>11</v>
      </c>
      <c r="B256" s="4" t="str">
        <f>"11.0802"</f>
        <v>11.0802</v>
      </c>
      <c r="C256" s="4" t="s">
        <v>18238</v>
      </c>
      <c r="D256" s="4" t="s">
        <v>18239</v>
      </c>
      <c r="E256" s="4" t="s">
        <v>10792</v>
      </c>
      <c r="F256" s="4" t="s">
        <v>18533</v>
      </c>
      <c r="H256" s="4" t="s">
        <v>18517</v>
      </c>
    </row>
    <row r="257" spans="1:8" x14ac:dyDescent="0.2">
      <c r="A257" s="4" t="str">
        <f t="shared" si="7"/>
        <v>11</v>
      </c>
      <c r="B257" s="4" t="str">
        <f>"11.0803"</f>
        <v>11.0803</v>
      </c>
      <c r="C257" s="4" t="s">
        <v>18238</v>
      </c>
      <c r="D257" s="4" t="s">
        <v>18239</v>
      </c>
      <c r="E257" s="4" t="s">
        <v>11069</v>
      </c>
      <c r="F257" s="4" t="s">
        <v>18534</v>
      </c>
      <c r="H257" s="4" t="s">
        <v>18517</v>
      </c>
    </row>
    <row r="258" spans="1:8" x14ac:dyDescent="0.2">
      <c r="A258" s="4" t="str">
        <f t="shared" si="7"/>
        <v>11</v>
      </c>
      <c r="B258" s="4" t="str">
        <f>"11.0804"</f>
        <v>11.0804</v>
      </c>
      <c r="C258" s="4" t="s">
        <v>18258</v>
      </c>
      <c r="D258" s="4" t="s">
        <v>18239</v>
      </c>
      <c r="E258" s="4" t="s">
        <v>18535</v>
      </c>
      <c r="F258" s="4" t="s">
        <v>18536</v>
      </c>
      <c r="G258" s="4" t="s">
        <v>18537</v>
      </c>
      <c r="H258" s="4" t="s">
        <v>18517</v>
      </c>
    </row>
    <row r="259" spans="1:8" x14ac:dyDescent="0.2">
      <c r="A259" s="4" t="str">
        <f t="shared" si="7"/>
        <v>11</v>
      </c>
      <c r="B259" s="4" t="str">
        <f>"11.0899"</f>
        <v>11.0899</v>
      </c>
      <c r="C259" s="4" t="s">
        <v>18238</v>
      </c>
      <c r="D259" s="4" t="s">
        <v>18239</v>
      </c>
      <c r="E259" s="4" t="s">
        <v>10796</v>
      </c>
      <c r="F259" s="4" t="s">
        <v>18538</v>
      </c>
      <c r="H259" s="4" t="s">
        <v>18517</v>
      </c>
    </row>
    <row r="260" spans="1:8" x14ac:dyDescent="0.2">
      <c r="A260" s="4" t="str">
        <f t="shared" si="7"/>
        <v>11</v>
      </c>
      <c r="B260" s="4" t="str">
        <f>"11.09"</f>
        <v>11.09</v>
      </c>
      <c r="C260" s="4" t="s">
        <v>18238</v>
      </c>
      <c r="D260" s="4" t="s">
        <v>18239</v>
      </c>
      <c r="E260" s="4" t="s">
        <v>10799</v>
      </c>
      <c r="F260" s="4" t="s">
        <v>18539</v>
      </c>
      <c r="H260" s="4" t="s">
        <v>18517</v>
      </c>
    </row>
    <row r="261" spans="1:8" x14ac:dyDescent="0.2">
      <c r="A261" s="4" t="str">
        <f t="shared" si="7"/>
        <v>11</v>
      </c>
      <c r="B261" s="4" t="str">
        <f>"11.0901"</f>
        <v>11.0901</v>
      </c>
      <c r="C261" s="4" t="s">
        <v>18238</v>
      </c>
      <c r="D261" s="4" t="s">
        <v>18239</v>
      </c>
      <c r="E261" s="4" t="s">
        <v>10799</v>
      </c>
      <c r="F261" s="4" t="s">
        <v>18540</v>
      </c>
      <c r="H261" s="4" t="s">
        <v>18541</v>
      </c>
    </row>
    <row r="262" spans="1:8" x14ac:dyDescent="0.2">
      <c r="A262" s="4" t="str">
        <f t="shared" si="7"/>
        <v>11</v>
      </c>
      <c r="B262" s="4" t="str">
        <f>"11.10"</f>
        <v>11.10</v>
      </c>
      <c r="C262" s="4" t="s">
        <v>18238</v>
      </c>
      <c r="D262" s="4" t="s">
        <v>18239</v>
      </c>
      <c r="E262" s="4" t="s">
        <v>10804</v>
      </c>
      <c r="F262" s="4" t="s">
        <v>18542</v>
      </c>
      <c r="H262" s="4" t="s">
        <v>18541</v>
      </c>
    </row>
    <row r="263" spans="1:8" x14ac:dyDescent="0.2">
      <c r="A263" s="4" t="str">
        <f t="shared" si="7"/>
        <v>11</v>
      </c>
      <c r="B263" s="4" t="str">
        <f>"11.1001"</f>
        <v>11.1001</v>
      </c>
      <c r="C263" s="4" t="s">
        <v>18238</v>
      </c>
      <c r="D263" s="4" t="s">
        <v>18307</v>
      </c>
      <c r="E263" s="4" t="s">
        <v>18543</v>
      </c>
      <c r="F263" s="4" t="s">
        <v>18544</v>
      </c>
      <c r="H263" s="4" t="s">
        <v>18545</v>
      </c>
    </row>
    <row r="264" spans="1:8" x14ac:dyDescent="0.2">
      <c r="A264" s="4" t="str">
        <f t="shared" si="7"/>
        <v>11</v>
      </c>
      <c r="B264" s="4" t="str">
        <f>"11.1002"</f>
        <v>11.1002</v>
      </c>
      <c r="C264" s="4" t="s">
        <v>18238</v>
      </c>
      <c r="D264" s="4" t="s">
        <v>18239</v>
      </c>
      <c r="E264" s="4" t="s">
        <v>10814</v>
      </c>
      <c r="F264" s="4" t="s">
        <v>18546</v>
      </c>
      <c r="H264" s="4" t="s">
        <v>18545</v>
      </c>
    </row>
    <row r="265" spans="1:8" x14ac:dyDescent="0.2">
      <c r="A265" s="4" t="str">
        <f t="shared" si="7"/>
        <v>11</v>
      </c>
      <c r="B265" s="4" t="str">
        <f>"11.1003"</f>
        <v>11.1003</v>
      </c>
      <c r="C265" s="4" t="s">
        <v>18238</v>
      </c>
      <c r="D265" s="4" t="s">
        <v>18307</v>
      </c>
      <c r="E265" s="4" t="s">
        <v>18547</v>
      </c>
      <c r="F265" s="4" t="s">
        <v>18548</v>
      </c>
      <c r="G265" s="4" t="s">
        <v>18549</v>
      </c>
      <c r="H265" s="4" t="s">
        <v>18550</v>
      </c>
    </row>
    <row r="266" spans="1:8" x14ac:dyDescent="0.2">
      <c r="A266" s="4" t="str">
        <f t="shared" si="7"/>
        <v>11</v>
      </c>
      <c r="B266" s="4" t="str">
        <f>"11.1004"</f>
        <v>11.1004</v>
      </c>
      <c r="C266" s="4" t="s">
        <v>18238</v>
      </c>
      <c r="D266" s="4" t="s">
        <v>18239</v>
      </c>
      <c r="E266" s="4" t="s">
        <v>10820</v>
      </c>
      <c r="F266" s="4" t="s">
        <v>18551</v>
      </c>
      <c r="H266" s="4" t="s">
        <v>18552</v>
      </c>
    </row>
    <row r="267" spans="1:8" x14ac:dyDescent="0.2">
      <c r="A267" s="4" t="str">
        <f t="shared" si="7"/>
        <v>11</v>
      </c>
      <c r="B267" s="4" t="str">
        <f>"11.1005"</f>
        <v>11.1005</v>
      </c>
      <c r="C267" s="4" t="s">
        <v>18258</v>
      </c>
      <c r="D267" s="4" t="s">
        <v>18239</v>
      </c>
      <c r="E267" s="4" t="s">
        <v>18553</v>
      </c>
      <c r="F267" s="4" t="s">
        <v>18554</v>
      </c>
      <c r="G267" s="4" t="s">
        <v>18555</v>
      </c>
      <c r="H267" s="4" t="s">
        <v>18552</v>
      </c>
    </row>
    <row r="268" spans="1:8" x14ac:dyDescent="0.2">
      <c r="A268" s="4" t="str">
        <f t="shared" si="7"/>
        <v>11</v>
      </c>
      <c r="B268" s="4" t="str">
        <f>"11.1006"</f>
        <v>11.1006</v>
      </c>
      <c r="C268" s="4" t="s">
        <v>18258</v>
      </c>
      <c r="D268" s="4" t="s">
        <v>18239</v>
      </c>
      <c r="E268" s="4" t="s">
        <v>18556</v>
      </c>
      <c r="F268" s="4" t="s">
        <v>18557</v>
      </c>
      <c r="H268" s="4" t="s">
        <v>18558</v>
      </c>
    </row>
    <row r="269" spans="1:8" x14ac:dyDescent="0.2">
      <c r="A269" s="4" t="str">
        <f t="shared" si="7"/>
        <v>11</v>
      </c>
      <c r="B269" s="4" t="str">
        <f>"11.1099"</f>
        <v>11.1099</v>
      </c>
      <c r="C269" s="4" t="s">
        <v>18238</v>
      </c>
      <c r="D269" s="4" t="s">
        <v>18239</v>
      </c>
      <c r="E269" s="4" t="s">
        <v>18559</v>
      </c>
      <c r="F269" s="4" t="s">
        <v>18560</v>
      </c>
      <c r="G269" s="4" t="s">
        <v>18561</v>
      </c>
      <c r="H269" s="4" t="s">
        <v>18558</v>
      </c>
    </row>
    <row r="270" spans="1:8" x14ac:dyDescent="0.2">
      <c r="A270" s="4" t="str">
        <f t="shared" si="7"/>
        <v>11</v>
      </c>
      <c r="B270" s="4" t="str">
        <f>"11.99"</f>
        <v>11.99</v>
      </c>
      <c r="C270" s="4" t="s">
        <v>18238</v>
      </c>
      <c r="D270" s="4" t="s">
        <v>18239</v>
      </c>
      <c r="E270" s="4" t="s">
        <v>10826</v>
      </c>
      <c r="F270" s="4" t="s">
        <v>10827</v>
      </c>
      <c r="H270" s="4" t="s">
        <v>18558</v>
      </c>
    </row>
    <row r="271" spans="1:8" x14ac:dyDescent="0.2">
      <c r="A271" s="4" t="str">
        <f t="shared" si="7"/>
        <v>11</v>
      </c>
      <c r="B271" s="4" t="str">
        <f>"11.9999"</f>
        <v>11.9999</v>
      </c>
      <c r="C271" s="4" t="s">
        <v>18238</v>
      </c>
      <c r="D271" s="4" t="s">
        <v>18239</v>
      </c>
      <c r="E271" s="4" t="s">
        <v>10826</v>
      </c>
      <c r="F271" s="4" t="s">
        <v>10828</v>
      </c>
      <c r="G271" s="4" t="s">
        <v>18562</v>
      </c>
      <c r="H271" s="4" t="s">
        <v>18558</v>
      </c>
    </row>
    <row r="272" spans="1:8" x14ac:dyDescent="0.2">
      <c r="A272" s="4" t="str">
        <f>"12"</f>
        <v>12</v>
      </c>
      <c r="B272" s="4" t="str">
        <f>"12"</f>
        <v>12</v>
      </c>
      <c r="C272" s="4" t="s">
        <v>18238</v>
      </c>
      <c r="D272" s="4" t="s">
        <v>18239</v>
      </c>
      <c r="E272" s="4" t="s">
        <v>10830</v>
      </c>
      <c r="F272" s="4" t="s">
        <v>10831</v>
      </c>
      <c r="H272" s="4" t="s">
        <v>18558</v>
      </c>
    </row>
    <row r="273" spans="1:8" x14ac:dyDescent="0.2">
      <c r="A273" s="4" t="str">
        <f t="shared" ref="A273:A306" si="8">"12"</f>
        <v>12</v>
      </c>
      <c r="B273" s="4" t="str">
        <f>"12.03"</f>
        <v>12.03</v>
      </c>
      <c r="C273" s="4" t="s">
        <v>18238</v>
      </c>
      <c r="D273" s="4" t="s">
        <v>18239</v>
      </c>
      <c r="E273" s="4" t="s">
        <v>10839</v>
      </c>
      <c r="F273" s="4" t="s">
        <v>18563</v>
      </c>
      <c r="H273" s="4" t="s">
        <v>18558</v>
      </c>
    </row>
    <row r="274" spans="1:8" x14ac:dyDescent="0.2">
      <c r="A274" s="4" t="str">
        <f t="shared" si="8"/>
        <v>12</v>
      </c>
      <c r="B274" s="4" t="str">
        <f>"12.0301"</f>
        <v>12.0301</v>
      </c>
      <c r="C274" s="4" t="s">
        <v>18238</v>
      </c>
      <c r="D274" s="4" t="s">
        <v>18239</v>
      </c>
      <c r="E274" s="4" t="s">
        <v>10841</v>
      </c>
      <c r="F274" s="4" t="s">
        <v>10842</v>
      </c>
      <c r="H274" s="4" t="s">
        <v>18558</v>
      </c>
    </row>
    <row r="275" spans="1:8" x14ac:dyDescent="0.2">
      <c r="A275" s="4" t="str">
        <f t="shared" si="8"/>
        <v>12</v>
      </c>
      <c r="B275" s="4" t="str">
        <f>"12.0302"</f>
        <v>12.0302</v>
      </c>
      <c r="C275" s="4" t="s">
        <v>18238</v>
      </c>
      <c r="D275" s="4" t="s">
        <v>18239</v>
      </c>
      <c r="E275" s="4" t="s">
        <v>10844</v>
      </c>
      <c r="F275" s="4" t="s">
        <v>18564</v>
      </c>
      <c r="H275" s="4" t="s">
        <v>18558</v>
      </c>
    </row>
    <row r="276" spans="1:8" x14ac:dyDescent="0.2">
      <c r="A276" s="4" t="str">
        <f t="shared" si="8"/>
        <v>12</v>
      </c>
      <c r="B276" s="4" t="str">
        <f>"12.0303"</f>
        <v>12.0303</v>
      </c>
      <c r="C276" s="4" t="s">
        <v>18238</v>
      </c>
      <c r="D276" s="4" t="s">
        <v>18239</v>
      </c>
      <c r="E276" s="4" t="s">
        <v>10847</v>
      </c>
      <c r="F276" s="4" t="s">
        <v>18565</v>
      </c>
      <c r="H276" s="4" t="s">
        <v>18558</v>
      </c>
    </row>
    <row r="277" spans="1:8" x14ac:dyDescent="0.2">
      <c r="A277" s="4" t="str">
        <f t="shared" si="8"/>
        <v>12</v>
      </c>
      <c r="B277" s="4" t="str">
        <f>"12.0399"</f>
        <v>12.0399</v>
      </c>
      <c r="C277" s="4" t="s">
        <v>18238</v>
      </c>
      <c r="D277" s="4" t="s">
        <v>18239</v>
      </c>
      <c r="E277" s="4" t="s">
        <v>10850</v>
      </c>
      <c r="F277" s="4" t="s">
        <v>18566</v>
      </c>
      <c r="H277" s="4" t="s">
        <v>18558</v>
      </c>
    </row>
    <row r="278" spans="1:8" x14ac:dyDescent="0.2">
      <c r="A278" s="4" t="str">
        <f t="shared" si="8"/>
        <v>12</v>
      </c>
      <c r="B278" s="4" t="str">
        <f>"12.04"</f>
        <v>12.04</v>
      </c>
      <c r="C278" s="4" t="s">
        <v>18238</v>
      </c>
      <c r="D278" s="4" t="s">
        <v>18239</v>
      </c>
      <c r="E278" s="4" t="s">
        <v>11658</v>
      </c>
      <c r="F278" s="4" t="s">
        <v>18567</v>
      </c>
      <c r="H278" s="4" t="s">
        <v>18558</v>
      </c>
    </row>
    <row r="279" spans="1:8" x14ac:dyDescent="0.2">
      <c r="A279" s="4" t="str">
        <f t="shared" si="8"/>
        <v>12</v>
      </c>
      <c r="B279" s="4" t="str">
        <f>"12.0401"</f>
        <v>12.0401</v>
      </c>
      <c r="C279" s="4" t="s">
        <v>18238</v>
      </c>
      <c r="D279" s="4" t="s">
        <v>18239</v>
      </c>
      <c r="E279" s="4" t="s">
        <v>10853</v>
      </c>
      <c r="F279" s="4" t="s">
        <v>18568</v>
      </c>
      <c r="H279" s="4" t="s">
        <v>18558</v>
      </c>
    </row>
    <row r="280" spans="1:8" x14ac:dyDescent="0.2">
      <c r="A280" s="4" t="str">
        <f t="shared" si="8"/>
        <v>12</v>
      </c>
      <c r="B280" s="4" t="str">
        <f>"12.0402"</f>
        <v>12.0402</v>
      </c>
      <c r="C280" s="4" t="s">
        <v>18238</v>
      </c>
      <c r="D280" s="4" t="s">
        <v>18239</v>
      </c>
      <c r="E280" s="4" t="s">
        <v>10855</v>
      </c>
      <c r="F280" s="4" t="s">
        <v>10856</v>
      </c>
      <c r="H280" s="4" t="s">
        <v>18558</v>
      </c>
    </row>
    <row r="281" spans="1:8" x14ac:dyDescent="0.2">
      <c r="A281" s="4" t="str">
        <f t="shared" si="8"/>
        <v>12</v>
      </c>
      <c r="B281" s="4" t="str">
        <f>"12.0404"</f>
        <v>12.0404</v>
      </c>
      <c r="C281" s="4" t="s">
        <v>18238</v>
      </c>
      <c r="D281" s="4" t="s">
        <v>18239</v>
      </c>
      <c r="E281" s="4" t="s">
        <v>10859</v>
      </c>
      <c r="F281" s="4" t="s">
        <v>10860</v>
      </c>
      <c r="H281" s="4" t="s">
        <v>18558</v>
      </c>
    </row>
    <row r="282" spans="1:8" x14ac:dyDescent="0.2">
      <c r="A282" s="4" t="str">
        <f t="shared" si="8"/>
        <v>12</v>
      </c>
      <c r="B282" s="4" t="str">
        <f>"12.0406"</f>
        <v>12.0406</v>
      </c>
      <c r="C282" s="4" t="s">
        <v>18238</v>
      </c>
      <c r="D282" s="4" t="s">
        <v>18239</v>
      </c>
      <c r="E282" s="4" t="s">
        <v>10863</v>
      </c>
      <c r="F282" s="4" t="s">
        <v>10864</v>
      </c>
      <c r="H282" s="4" t="s">
        <v>18558</v>
      </c>
    </row>
    <row r="283" spans="1:8" x14ac:dyDescent="0.2">
      <c r="A283" s="4" t="str">
        <f t="shared" si="8"/>
        <v>12</v>
      </c>
      <c r="B283" s="4" t="str">
        <f>"12.0407"</f>
        <v>12.0407</v>
      </c>
      <c r="C283" s="4" t="s">
        <v>18238</v>
      </c>
      <c r="D283" s="4" t="s">
        <v>18239</v>
      </c>
      <c r="E283" s="4" t="s">
        <v>10866</v>
      </c>
      <c r="F283" s="4" t="s">
        <v>18569</v>
      </c>
      <c r="H283" s="4" t="s">
        <v>18570</v>
      </c>
    </row>
    <row r="284" spans="1:8" x14ac:dyDescent="0.2">
      <c r="A284" s="4" t="str">
        <f t="shared" si="8"/>
        <v>12</v>
      </c>
      <c r="B284" s="4" t="str">
        <f>"12.0408"</f>
        <v>12.0408</v>
      </c>
      <c r="C284" s="4" t="s">
        <v>18238</v>
      </c>
      <c r="D284" s="4" t="s">
        <v>18239</v>
      </c>
      <c r="E284" s="4" t="s">
        <v>10869</v>
      </c>
      <c r="F284" s="4" t="s">
        <v>18571</v>
      </c>
      <c r="H284" s="4" t="s">
        <v>18570</v>
      </c>
    </row>
    <row r="285" spans="1:8" x14ac:dyDescent="0.2">
      <c r="A285" s="4" t="str">
        <f t="shared" si="8"/>
        <v>12</v>
      </c>
      <c r="B285" s="4" t="str">
        <f>"12.0409"</f>
        <v>12.0409</v>
      </c>
      <c r="C285" s="4" t="s">
        <v>18238</v>
      </c>
      <c r="D285" s="4" t="s">
        <v>18239</v>
      </c>
      <c r="E285" s="4" t="s">
        <v>10872</v>
      </c>
      <c r="F285" s="4" t="s">
        <v>18572</v>
      </c>
      <c r="H285" s="4" t="s">
        <v>18573</v>
      </c>
    </row>
    <row r="286" spans="1:8" x14ac:dyDescent="0.2">
      <c r="A286" s="4" t="str">
        <f t="shared" si="8"/>
        <v>12</v>
      </c>
      <c r="B286" s="4" t="str">
        <f>"12.0410"</f>
        <v>12.0410</v>
      </c>
      <c r="C286" s="4" t="s">
        <v>18238</v>
      </c>
      <c r="D286" s="4" t="s">
        <v>18239</v>
      </c>
      <c r="E286" s="4" t="s">
        <v>10875</v>
      </c>
      <c r="F286" s="4" t="s">
        <v>18574</v>
      </c>
      <c r="H286" s="4" t="s">
        <v>18573</v>
      </c>
    </row>
    <row r="287" spans="1:8" x14ac:dyDescent="0.2">
      <c r="A287" s="4" t="str">
        <f t="shared" si="8"/>
        <v>12</v>
      </c>
      <c r="B287" s="4" t="str">
        <f>"12.0411"</f>
        <v>12.0411</v>
      </c>
      <c r="C287" s="4" t="s">
        <v>18238</v>
      </c>
      <c r="D287" s="4" t="s">
        <v>18239</v>
      </c>
      <c r="E287" s="4" t="s">
        <v>10878</v>
      </c>
      <c r="F287" s="4" t="s">
        <v>18575</v>
      </c>
      <c r="H287" s="4" t="s">
        <v>18573</v>
      </c>
    </row>
    <row r="288" spans="1:8" x14ac:dyDescent="0.2">
      <c r="A288" s="4" t="str">
        <f t="shared" si="8"/>
        <v>12</v>
      </c>
      <c r="B288" s="4" t="str">
        <f>"12.0412"</f>
        <v>12.0412</v>
      </c>
      <c r="C288" s="4" t="s">
        <v>18238</v>
      </c>
      <c r="D288" s="4" t="s">
        <v>18239</v>
      </c>
      <c r="E288" s="4" t="s">
        <v>10881</v>
      </c>
      <c r="F288" s="4" t="s">
        <v>18576</v>
      </c>
      <c r="H288" s="4" t="s">
        <v>18573</v>
      </c>
    </row>
    <row r="289" spans="1:8" x14ac:dyDescent="0.2">
      <c r="A289" s="4" t="str">
        <f t="shared" si="8"/>
        <v>12</v>
      </c>
      <c r="B289" s="4" t="str">
        <f>"12.0413"</f>
        <v>12.0413</v>
      </c>
      <c r="C289" s="4" t="s">
        <v>18238</v>
      </c>
      <c r="D289" s="4" t="s">
        <v>18239</v>
      </c>
      <c r="E289" s="4" t="s">
        <v>10884</v>
      </c>
      <c r="F289" s="4" t="s">
        <v>18577</v>
      </c>
      <c r="H289" s="4" t="s">
        <v>18573</v>
      </c>
    </row>
    <row r="290" spans="1:8" x14ac:dyDescent="0.2">
      <c r="A290" s="4" t="str">
        <f t="shared" si="8"/>
        <v>12</v>
      </c>
      <c r="B290" s="4" t="str">
        <f>"12.0414"</f>
        <v>12.0414</v>
      </c>
      <c r="C290" s="4" t="s">
        <v>18258</v>
      </c>
      <c r="D290" s="4" t="s">
        <v>18239</v>
      </c>
      <c r="E290" s="4" t="s">
        <v>18578</v>
      </c>
      <c r="F290" s="4" t="s">
        <v>18579</v>
      </c>
      <c r="H290" s="4" t="s">
        <v>18580</v>
      </c>
    </row>
    <row r="291" spans="1:8" x14ac:dyDescent="0.2">
      <c r="A291" s="4" t="str">
        <f t="shared" si="8"/>
        <v>12</v>
      </c>
      <c r="B291" s="4" t="str">
        <f>"12.0499"</f>
        <v>12.0499</v>
      </c>
      <c r="C291" s="4" t="s">
        <v>18238</v>
      </c>
      <c r="D291" s="4" t="s">
        <v>18239</v>
      </c>
      <c r="E291" s="4" t="s">
        <v>10886</v>
      </c>
      <c r="F291" s="4" t="s">
        <v>10887</v>
      </c>
      <c r="H291" s="4" t="s">
        <v>18580</v>
      </c>
    </row>
    <row r="292" spans="1:8" x14ac:dyDescent="0.2">
      <c r="A292" s="4" t="str">
        <f t="shared" si="8"/>
        <v>12</v>
      </c>
      <c r="B292" s="4" t="str">
        <f>"12.05"</f>
        <v>12.05</v>
      </c>
      <c r="C292" s="4" t="s">
        <v>18238</v>
      </c>
      <c r="D292" s="4" t="s">
        <v>18239</v>
      </c>
      <c r="E292" s="4" t="s">
        <v>10889</v>
      </c>
      <c r="F292" s="4" t="s">
        <v>18581</v>
      </c>
      <c r="H292" s="4" t="s">
        <v>18580</v>
      </c>
    </row>
    <row r="293" spans="1:8" x14ac:dyDescent="0.2">
      <c r="A293" s="4" t="str">
        <f t="shared" si="8"/>
        <v>12</v>
      </c>
      <c r="B293" s="4" t="str">
        <f>"12.0500"</f>
        <v>12.0500</v>
      </c>
      <c r="C293" s="4" t="s">
        <v>18238</v>
      </c>
      <c r="D293" s="4" t="s">
        <v>18239</v>
      </c>
      <c r="E293" s="4" t="s">
        <v>10892</v>
      </c>
      <c r="F293" s="4" t="s">
        <v>18582</v>
      </c>
      <c r="H293" s="4" t="s">
        <v>18583</v>
      </c>
    </row>
    <row r="294" spans="1:8" x14ac:dyDescent="0.2">
      <c r="A294" s="4" t="str">
        <f t="shared" si="8"/>
        <v>12</v>
      </c>
      <c r="B294" s="4" t="str">
        <f>"12.0501"</f>
        <v>12.0501</v>
      </c>
      <c r="C294" s="4" t="s">
        <v>18238</v>
      </c>
      <c r="D294" s="4" t="s">
        <v>18239</v>
      </c>
      <c r="E294" s="4" t="s">
        <v>10894</v>
      </c>
      <c r="F294" s="4" t="s">
        <v>10895</v>
      </c>
      <c r="H294" s="4" t="s">
        <v>18583</v>
      </c>
    </row>
    <row r="295" spans="1:8" x14ac:dyDescent="0.2">
      <c r="A295" s="4" t="str">
        <f t="shared" si="8"/>
        <v>12</v>
      </c>
      <c r="B295" s="4" t="str">
        <f>"12.0502"</f>
        <v>12.0502</v>
      </c>
      <c r="C295" s="4" t="s">
        <v>18238</v>
      </c>
      <c r="D295" s="4" t="s">
        <v>18239</v>
      </c>
      <c r="E295" s="4" t="s">
        <v>10896</v>
      </c>
      <c r="F295" s="4" t="s">
        <v>10897</v>
      </c>
      <c r="H295" s="4" t="s">
        <v>18583</v>
      </c>
    </row>
    <row r="296" spans="1:8" x14ac:dyDescent="0.2">
      <c r="A296" s="4" t="str">
        <f t="shared" si="8"/>
        <v>12</v>
      </c>
      <c r="B296" s="4" t="str">
        <f>"12.0503"</f>
        <v>12.0503</v>
      </c>
      <c r="C296" s="4" t="s">
        <v>18238</v>
      </c>
      <c r="D296" s="4" t="s">
        <v>18239</v>
      </c>
      <c r="E296" s="4" t="s">
        <v>10898</v>
      </c>
      <c r="F296" s="4" t="s">
        <v>10899</v>
      </c>
      <c r="H296" s="4" t="s">
        <v>18583</v>
      </c>
    </row>
    <row r="297" spans="1:8" x14ac:dyDescent="0.2">
      <c r="A297" s="4" t="str">
        <f t="shared" si="8"/>
        <v>12</v>
      </c>
      <c r="B297" s="4" t="str">
        <f>"12.0504"</f>
        <v>12.0504</v>
      </c>
      <c r="C297" s="4" t="s">
        <v>18238</v>
      </c>
      <c r="D297" s="4" t="s">
        <v>18239</v>
      </c>
      <c r="E297" s="4" t="s">
        <v>10900</v>
      </c>
      <c r="F297" s="4" t="s">
        <v>10901</v>
      </c>
      <c r="G297" s="4" t="s">
        <v>18584</v>
      </c>
      <c r="H297" s="4" t="s">
        <v>18583</v>
      </c>
    </row>
    <row r="298" spans="1:8" x14ac:dyDescent="0.2">
      <c r="A298" s="4" t="str">
        <f t="shared" si="8"/>
        <v>12</v>
      </c>
      <c r="B298" s="4" t="str">
        <f>"12.0505"</f>
        <v>12.0505</v>
      </c>
      <c r="C298" s="4" t="s">
        <v>18238</v>
      </c>
      <c r="D298" s="4" t="s">
        <v>18239</v>
      </c>
      <c r="E298" s="4" t="s">
        <v>10902</v>
      </c>
      <c r="F298" s="4" t="s">
        <v>10903</v>
      </c>
      <c r="H298" s="4" t="s">
        <v>18583</v>
      </c>
    </row>
    <row r="299" spans="1:8" x14ac:dyDescent="0.2">
      <c r="A299" s="4" t="str">
        <f t="shared" si="8"/>
        <v>12</v>
      </c>
      <c r="B299" s="4" t="str">
        <f>"12.0506"</f>
        <v>12.0506</v>
      </c>
      <c r="C299" s="4" t="s">
        <v>18238</v>
      </c>
      <c r="D299" s="4" t="s">
        <v>18239</v>
      </c>
      <c r="E299" s="4" t="s">
        <v>10904</v>
      </c>
      <c r="F299" s="4" t="s">
        <v>10905</v>
      </c>
      <c r="H299" s="4" t="s">
        <v>18583</v>
      </c>
    </row>
    <row r="300" spans="1:8" x14ac:dyDescent="0.2">
      <c r="A300" s="4" t="str">
        <f t="shared" si="8"/>
        <v>12</v>
      </c>
      <c r="B300" s="4" t="str">
        <f>"12.0507"</f>
        <v>12.0507</v>
      </c>
      <c r="C300" s="4" t="s">
        <v>18238</v>
      </c>
      <c r="D300" s="4" t="s">
        <v>18239</v>
      </c>
      <c r="E300" s="4" t="s">
        <v>10906</v>
      </c>
      <c r="F300" s="4" t="s">
        <v>18585</v>
      </c>
      <c r="H300" s="4" t="s">
        <v>18583</v>
      </c>
    </row>
    <row r="301" spans="1:8" x14ac:dyDescent="0.2">
      <c r="A301" s="4" t="str">
        <f t="shared" si="8"/>
        <v>12</v>
      </c>
      <c r="B301" s="4" t="str">
        <f>"12.0508"</f>
        <v>12.0508</v>
      </c>
      <c r="C301" s="4" t="s">
        <v>18238</v>
      </c>
      <c r="D301" s="4" t="s">
        <v>18239</v>
      </c>
      <c r="E301" s="4" t="s">
        <v>10909</v>
      </c>
      <c r="F301" s="4" t="s">
        <v>18586</v>
      </c>
      <c r="H301" s="4" t="s">
        <v>18583</v>
      </c>
    </row>
    <row r="302" spans="1:8" x14ac:dyDescent="0.2">
      <c r="A302" s="4" t="str">
        <f t="shared" si="8"/>
        <v>12</v>
      </c>
      <c r="B302" s="4" t="str">
        <f>"12.0509"</f>
        <v>12.0509</v>
      </c>
      <c r="C302" s="4" t="s">
        <v>18258</v>
      </c>
      <c r="D302" s="4" t="s">
        <v>18239</v>
      </c>
      <c r="E302" s="4" t="s">
        <v>18587</v>
      </c>
      <c r="F302" s="4" t="s">
        <v>18588</v>
      </c>
      <c r="G302" s="4" t="s">
        <v>18589</v>
      </c>
      <c r="H302" s="4" t="s">
        <v>18583</v>
      </c>
    </row>
    <row r="303" spans="1:8" x14ac:dyDescent="0.2">
      <c r="A303" s="4" t="str">
        <f t="shared" si="8"/>
        <v>12</v>
      </c>
      <c r="B303" s="4" t="str">
        <f>"12.0510"</f>
        <v>12.0510</v>
      </c>
      <c r="C303" s="4" t="s">
        <v>18258</v>
      </c>
      <c r="D303" s="4" t="s">
        <v>18239</v>
      </c>
      <c r="E303" s="4" t="s">
        <v>18590</v>
      </c>
      <c r="F303" s="4" t="s">
        <v>18591</v>
      </c>
      <c r="H303" s="4" t="s">
        <v>18583</v>
      </c>
    </row>
    <row r="304" spans="1:8" x14ac:dyDescent="0.2">
      <c r="A304" s="4" t="str">
        <f t="shared" si="8"/>
        <v>12</v>
      </c>
      <c r="B304" s="4" t="str">
        <f>"12.0599"</f>
        <v>12.0599</v>
      </c>
      <c r="C304" s="4" t="s">
        <v>18238</v>
      </c>
      <c r="D304" s="4" t="s">
        <v>18239</v>
      </c>
      <c r="E304" s="4" t="s">
        <v>10911</v>
      </c>
      <c r="F304" s="4" t="s">
        <v>10912</v>
      </c>
      <c r="H304" s="4" t="s">
        <v>18583</v>
      </c>
    </row>
    <row r="305" spans="1:8" x14ac:dyDescent="0.2">
      <c r="A305" s="4" t="str">
        <f t="shared" si="8"/>
        <v>12</v>
      </c>
      <c r="B305" s="4" t="str">
        <f>"12.99"</f>
        <v>12.99</v>
      </c>
      <c r="C305" s="4" t="s">
        <v>18238</v>
      </c>
      <c r="D305" s="4" t="s">
        <v>18239</v>
      </c>
      <c r="E305" s="4" t="s">
        <v>10914</v>
      </c>
      <c r="F305" s="4" t="s">
        <v>10915</v>
      </c>
      <c r="H305" s="4" t="s">
        <v>18583</v>
      </c>
    </row>
    <row r="306" spans="1:8" x14ac:dyDescent="0.2">
      <c r="A306" s="4" t="str">
        <f t="shared" si="8"/>
        <v>12</v>
      </c>
      <c r="B306" s="4" t="str">
        <f>"12.9999"</f>
        <v>12.9999</v>
      </c>
      <c r="C306" s="4" t="s">
        <v>18238</v>
      </c>
      <c r="D306" s="4" t="s">
        <v>18239</v>
      </c>
      <c r="E306" s="4" t="s">
        <v>10914</v>
      </c>
      <c r="F306" s="4" t="s">
        <v>10916</v>
      </c>
      <c r="H306" s="4" t="s">
        <v>18583</v>
      </c>
    </row>
    <row r="307" spans="1:8" x14ac:dyDescent="0.2">
      <c r="A307" s="4" t="str">
        <f>"13"</f>
        <v>13</v>
      </c>
      <c r="B307" s="4" t="str">
        <f>"13"</f>
        <v>13</v>
      </c>
      <c r="C307" s="4" t="s">
        <v>18238</v>
      </c>
      <c r="D307" s="4" t="s">
        <v>18239</v>
      </c>
      <c r="E307" s="4" t="s">
        <v>10918</v>
      </c>
      <c r="F307" s="4" t="s">
        <v>10919</v>
      </c>
      <c r="H307" s="4" t="s">
        <v>18583</v>
      </c>
    </row>
    <row r="308" spans="1:8" x14ac:dyDescent="0.2">
      <c r="A308" s="4" t="str">
        <f t="shared" ref="A308:A371" si="9">"13"</f>
        <v>13</v>
      </c>
      <c r="B308" s="4" t="str">
        <f>"13.01"</f>
        <v>13.01</v>
      </c>
      <c r="C308" s="4" t="s">
        <v>18238</v>
      </c>
      <c r="D308" s="4" t="s">
        <v>18239</v>
      </c>
      <c r="E308" s="4" t="s">
        <v>10923</v>
      </c>
      <c r="F308" s="4" t="s">
        <v>10924</v>
      </c>
      <c r="H308" s="4" t="s">
        <v>18583</v>
      </c>
    </row>
    <row r="309" spans="1:8" x14ac:dyDescent="0.2">
      <c r="A309" s="4" t="str">
        <f t="shared" si="9"/>
        <v>13</v>
      </c>
      <c r="B309" s="4" t="str">
        <f>"13.0101"</f>
        <v>13.0101</v>
      </c>
      <c r="C309" s="4" t="s">
        <v>18238</v>
      </c>
      <c r="D309" s="4" t="s">
        <v>18239</v>
      </c>
      <c r="E309" s="4" t="s">
        <v>10923</v>
      </c>
      <c r="F309" s="4" t="s">
        <v>18592</v>
      </c>
      <c r="H309" s="4" t="s">
        <v>18583</v>
      </c>
    </row>
    <row r="310" spans="1:8" x14ac:dyDescent="0.2">
      <c r="A310" s="4" t="str">
        <f t="shared" si="9"/>
        <v>13</v>
      </c>
      <c r="B310" s="4" t="str">
        <f>"13.02"</f>
        <v>13.02</v>
      </c>
      <c r="C310" s="4" t="s">
        <v>18238</v>
      </c>
      <c r="D310" s="4" t="s">
        <v>18239</v>
      </c>
      <c r="E310" s="4" t="s">
        <v>10927</v>
      </c>
      <c r="F310" s="4" t="s">
        <v>18593</v>
      </c>
      <c r="H310" s="4" t="s">
        <v>18583</v>
      </c>
    </row>
    <row r="311" spans="1:8" x14ac:dyDescent="0.2">
      <c r="A311" s="4" t="str">
        <f t="shared" si="9"/>
        <v>13</v>
      </c>
      <c r="B311" s="4" t="str">
        <f>"13.0201"</f>
        <v>13.0201</v>
      </c>
      <c r="C311" s="4" t="s">
        <v>18238</v>
      </c>
      <c r="D311" s="4" t="s">
        <v>18239</v>
      </c>
      <c r="E311" s="4" t="s">
        <v>10929</v>
      </c>
      <c r="F311" s="4" t="s">
        <v>10930</v>
      </c>
      <c r="G311" s="4" t="s">
        <v>18594</v>
      </c>
      <c r="H311" s="4" t="s">
        <v>18583</v>
      </c>
    </row>
    <row r="312" spans="1:8" x14ac:dyDescent="0.2">
      <c r="A312" s="4" t="str">
        <f t="shared" si="9"/>
        <v>13</v>
      </c>
      <c r="B312" s="4" t="str">
        <f>"13.0202"</f>
        <v>13.0202</v>
      </c>
      <c r="C312" s="4" t="s">
        <v>18238</v>
      </c>
      <c r="D312" s="4" t="s">
        <v>18239</v>
      </c>
      <c r="E312" s="4" t="s">
        <v>10935</v>
      </c>
      <c r="F312" s="4" t="s">
        <v>18595</v>
      </c>
      <c r="G312" s="4" t="s">
        <v>18594</v>
      </c>
      <c r="H312" s="4" t="s">
        <v>18583</v>
      </c>
    </row>
    <row r="313" spans="1:8" x14ac:dyDescent="0.2">
      <c r="A313" s="4" t="str">
        <f t="shared" si="9"/>
        <v>13</v>
      </c>
      <c r="B313" s="4" t="str">
        <f>"13.0203"</f>
        <v>13.0203</v>
      </c>
      <c r="C313" s="4" t="s">
        <v>18238</v>
      </c>
      <c r="D313" s="4" t="s">
        <v>18239</v>
      </c>
      <c r="E313" s="4" t="s">
        <v>10938</v>
      </c>
      <c r="F313" s="4" t="s">
        <v>18596</v>
      </c>
      <c r="H313" s="4" t="s">
        <v>18583</v>
      </c>
    </row>
    <row r="314" spans="1:8" x14ac:dyDescent="0.2">
      <c r="A314" s="4" t="str">
        <f t="shared" si="9"/>
        <v>13</v>
      </c>
      <c r="B314" s="4" t="str">
        <f>"13.0299"</f>
        <v>13.0299</v>
      </c>
      <c r="C314" s="4" t="s">
        <v>18238</v>
      </c>
      <c r="D314" s="4" t="s">
        <v>18239</v>
      </c>
      <c r="E314" s="4" t="s">
        <v>10941</v>
      </c>
      <c r="F314" s="4" t="s">
        <v>18597</v>
      </c>
      <c r="H314" s="4" t="s">
        <v>18583</v>
      </c>
    </row>
    <row r="315" spans="1:8" x14ac:dyDescent="0.2">
      <c r="A315" s="4" t="str">
        <f t="shared" si="9"/>
        <v>13</v>
      </c>
      <c r="B315" s="4" t="str">
        <f>"13.03"</f>
        <v>13.03</v>
      </c>
      <c r="C315" s="4" t="s">
        <v>18238</v>
      </c>
      <c r="D315" s="4" t="s">
        <v>18239</v>
      </c>
      <c r="E315" s="4" t="s">
        <v>10944</v>
      </c>
      <c r="F315" s="4" t="s">
        <v>10945</v>
      </c>
      <c r="H315" s="4" t="s">
        <v>18583</v>
      </c>
    </row>
    <row r="316" spans="1:8" x14ac:dyDescent="0.2">
      <c r="A316" s="4" t="str">
        <f t="shared" si="9"/>
        <v>13</v>
      </c>
      <c r="B316" s="4" t="str">
        <f>"13.0301"</f>
        <v>13.0301</v>
      </c>
      <c r="C316" s="4" t="s">
        <v>18238</v>
      </c>
      <c r="D316" s="4" t="s">
        <v>18239</v>
      </c>
      <c r="E316" s="4" t="s">
        <v>10944</v>
      </c>
      <c r="F316" s="4" t="s">
        <v>10946</v>
      </c>
      <c r="H316" s="4" t="s">
        <v>18583</v>
      </c>
    </row>
    <row r="317" spans="1:8" x14ac:dyDescent="0.2">
      <c r="A317" s="4" t="str">
        <f t="shared" si="9"/>
        <v>13</v>
      </c>
      <c r="B317" s="4" t="str">
        <f>"13.04"</f>
        <v>13.04</v>
      </c>
      <c r="C317" s="4" t="s">
        <v>18238</v>
      </c>
      <c r="D317" s="4" t="s">
        <v>18239</v>
      </c>
      <c r="E317" s="4" t="s">
        <v>10948</v>
      </c>
      <c r="F317" s="4" t="s">
        <v>18598</v>
      </c>
      <c r="H317" s="4" t="s">
        <v>18583</v>
      </c>
    </row>
    <row r="318" spans="1:8" x14ac:dyDescent="0.2">
      <c r="A318" s="4" t="str">
        <f t="shared" si="9"/>
        <v>13</v>
      </c>
      <c r="B318" s="4" t="str">
        <f>"13.0401"</f>
        <v>13.0401</v>
      </c>
      <c r="C318" s="4" t="s">
        <v>18238</v>
      </c>
      <c r="D318" s="4" t="s">
        <v>18239</v>
      </c>
      <c r="E318" s="4" t="s">
        <v>10950</v>
      </c>
      <c r="F318" s="4" t="s">
        <v>10951</v>
      </c>
      <c r="H318" s="4" t="s">
        <v>18599</v>
      </c>
    </row>
    <row r="319" spans="1:8" x14ac:dyDescent="0.2">
      <c r="A319" s="4" t="str">
        <f t="shared" si="9"/>
        <v>13</v>
      </c>
      <c r="B319" s="4" t="str">
        <f>"13.0402"</f>
        <v>13.0402</v>
      </c>
      <c r="C319" s="4" t="s">
        <v>18238</v>
      </c>
      <c r="D319" s="4" t="s">
        <v>18239</v>
      </c>
      <c r="E319" s="4" t="s">
        <v>10952</v>
      </c>
      <c r="F319" s="4" t="s">
        <v>10953</v>
      </c>
      <c r="H319" s="4" t="s">
        <v>18599</v>
      </c>
    </row>
    <row r="320" spans="1:8" x14ac:dyDescent="0.2">
      <c r="A320" s="4" t="str">
        <f t="shared" si="9"/>
        <v>13</v>
      </c>
      <c r="B320" s="4" t="str">
        <f>"13.0403"</f>
        <v>13.0403</v>
      </c>
      <c r="C320" s="4" t="s">
        <v>18238</v>
      </c>
      <c r="D320" s="4" t="s">
        <v>18239</v>
      </c>
      <c r="E320" s="4" t="s">
        <v>10954</v>
      </c>
      <c r="F320" s="4" t="s">
        <v>10955</v>
      </c>
      <c r="H320" s="4" t="s">
        <v>18599</v>
      </c>
    </row>
    <row r="321" spans="1:8" x14ac:dyDescent="0.2">
      <c r="A321" s="4" t="str">
        <f t="shared" si="9"/>
        <v>13</v>
      </c>
      <c r="B321" s="4" t="str">
        <f>"13.0404"</f>
        <v>13.0404</v>
      </c>
      <c r="C321" s="4" t="s">
        <v>18238</v>
      </c>
      <c r="D321" s="4" t="s">
        <v>18239</v>
      </c>
      <c r="E321" s="4" t="s">
        <v>10956</v>
      </c>
      <c r="F321" s="4" t="s">
        <v>10957</v>
      </c>
      <c r="H321" s="4" t="s">
        <v>18599</v>
      </c>
    </row>
    <row r="322" spans="1:8" x14ac:dyDescent="0.2">
      <c r="A322" s="4" t="str">
        <f t="shared" si="9"/>
        <v>13</v>
      </c>
      <c r="B322" s="4" t="str">
        <f>"13.0406"</f>
        <v>13.0406</v>
      </c>
      <c r="C322" s="4" t="s">
        <v>18238</v>
      </c>
      <c r="D322" s="4" t="s">
        <v>18239</v>
      </c>
      <c r="E322" s="4" t="s">
        <v>10960</v>
      </c>
      <c r="F322" s="4" t="s">
        <v>10961</v>
      </c>
      <c r="G322" s="4" t="s">
        <v>18600</v>
      </c>
      <c r="H322" s="4" t="s">
        <v>18601</v>
      </c>
    </row>
    <row r="323" spans="1:8" x14ac:dyDescent="0.2">
      <c r="A323" s="4" t="str">
        <f t="shared" si="9"/>
        <v>13</v>
      </c>
      <c r="B323" s="4" t="str">
        <f>"13.0407"</f>
        <v>13.0407</v>
      </c>
      <c r="C323" s="4" t="s">
        <v>18238</v>
      </c>
      <c r="D323" s="4" t="s">
        <v>18239</v>
      </c>
      <c r="E323" s="4" t="s">
        <v>10962</v>
      </c>
      <c r="F323" s="4" t="s">
        <v>10963</v>
      </c>
      <c r="H323" s="4" t="s">
        <v>18601</v>
      </c>
    </row>
    <row r="324" spans="1:8" x14ac:dyDescent="0.2">
      <c r="A324" s="4" t="str">
        <f t="shared" si="9"/>
        <v>13</v>
      </c>
      <c r="B324" s="4" t="str">
        <f>"13.0408"</f>
        <v>13.0408</v>
      </c>
      <c r="C324" s="4" t="s">
        <v>18238</v>
      </c>
      <c r="D324" s="4" t="s">
        <v>18239</v>
      </c>
      <c r="E324" s="4" t="s">
        <v>10965</v>
      </c>
      <c r="F324" s="4" t="s">
        <v>18602</v>
      </c>
      <c r="H324" s="4" t="s">
        <v>18601</v>
      </c>
    </row>
    <row r="325" spans="1:8" x14ac:dyDescent="0.2">
      <c r="A325" s="4" t="str">
        <f t="shared" si="9"/>
        <v>13</v>
      </c>
      <c r="B325" s="4" t="str">
        <f>"13.0409"</f>
        <v>13.0409</v>
      </c>
      <c r="C325" s="4" t="s">
        <v>18238</v>
      </c>
      <c r="D325" s="4" t="s">
        <v>18239</v>
      </c>
      <c r="E325" s="4" t="s">
        <v>10968</v>
      </c>
      <c r="F325" s="4" t="s">
        <v>18603</v>
      </c>
      <c r="H325" s="4" t="s">
        <v>18601</v>
      </c>
    </row>
    <row r="326" spans="1:8" x14ac:dyDescent="0.2">
      <c r="A326" s="4" t="str">
        <f t="shared" si="9"/>
        <v>13</v>
      </c>
      <c r="B326" s="4" t="str">
        <f>"13.0410"</f>
        <v>13.0410</v>
      </c>
      <c r="C326" s="4" t="s">
        <v>18238</v>
      </c>
      <c r="D326" s="4" t="s">
        <v>18239</v>
      </c>
      <c r="E326" s="4" t="s">
        <v>10971</v>
      </c>
      <c r="F326" s="4" t="s">
        <v>18604</v>
      </c>
      <c r="H326" s="4" t="s">
        <v>18601</v>
      </c>
    </row>
    <row r="327" spans="1:8" x14ac:dyDescent="0.2">
      <c r="A327" s="4" t="str">
        <f t="shared" si="9"/>
        <v>13</v>
      </c>
      <c r="B327" s="4" t="str">
        <f>"13.0411"</f>
        <v>13.0411</v>
      </c>
      <c r="C327" s="4" t="s">
        <v>18238</v>
      </c>
      <c r="D327" s="4" t="s">
        <v>18239</v>
      </c>
      <c r="E327" s="4" t="s">
        <v>11091</v>
      </c>
      <c r="F327" s="4" t="s">
        <v>18605</v>
      </c>
      <c r="H327" s="4" t="s">
        <v>18601</v>
      </c>
    </row>
    <row r="328" spans="1:8" x14ac:dyDescent="0.2">
      <c r="A328" s="4" t="str">
        <f t="shared" si="9"/>
        <v>13</v>
      </c>
      <c r="B328" s="4" t="str">
        <f>"13.0499"</f>
        <v>13.0499</v>
      </c>
      <c r="C328" s="4" t="s">
        <v>18238</v>
      </c>
      <c r="D328" s="4" t="s">
        <v>18239</v>
      </c>
      <c r="E328" s="4" t="s">
        <v>11093</v>
      </c>
      <c r="F328" s="4" t="s">
        <v>11094</v>
      </c>
      <c r="H328" s="4" t="s">
        <v>18601</v>
      </c>
    </row>
    <row r="329" spans="1:8" x14ac:dyDescent="0.2">
      <c r="A329" s="4" t="str">
        <f t="shared" si="9"/>
        <v>13</v>
      </c>
      <c r="B329" s="4" t="str">
        <f>"13.05"</f>
        <v>13.05</v>
      </c>
      <c r="C329" s="4" t="s">
        <v>18238</v>
      </c>
      <c r="D329" s="4" t="s">
        <v>18239</v>
      </c>
      <c r="E329" s="4" t="s">
        <v>11096</v>
      </c>
      <c r="F329" s="4" t="s">
        <v>11097</v>
      </c>
      <c r="H329" s="4" t="s">
        <v>18601</v>
      </c>
    </row>
    <row r="330" spans="1:8" x14ac:dyDescent="0.2">
      <c r="A330" s="4" t="str">
        <f t="shared" si="9"/>
        <v>13</v>
      </c>
      <c r="B330" s="4" t="str">
        <f>"13.0501"</f>
        <v>13.0501</v>
      </c>
      <c r="C330" s="4" t="s">
        <v>18238</v>
      </c>
      <c r="D330" s="4" t="s">
        <v>18307</v>
      </c>
      <c r="E330" s="4" t="s">
        <v>18606</v>
      </c>
      <c r="F330" s="4" t="s">
        <v>18607</v>
      </c>
      <c r="H330" s="4" t="s">
        <v>18608</v>
      </c>
    </row>
    <row r="331" spans="1:8" x14ac:dyDescent="0.2">
      <c r="A331" s="4" t="str">
        <f t="shared" si="9"/>
        <v>13</v>
      </c>
      <c r="B331" s="4" t="str">
        <f>"13.06"</f>
        <v>13.06</v>
      </c>
      <c r="C331" s="4" t="s">
        <v>18238</v>
      </c>
      <c r="D331" s="4" t="s">
        <v>18239</v>
      </c>
      <c r="E331" s="4" t="s">
        <v>11100</v>
      </c>
      <c r="F331" s="4" t="s">
        <v>18609</v>
      </c>
      <c r="H331" s="4" t="s">
        <v>18608</v>
      </c>
    </row>
    <row r="332" spans="1:8" x14ac:dyDescent="0.2">
      <c r="A332" s="4" t="str">
        <f t="shared" si="9"/>
        <v>13</v>
      </c>
      <c r="B332" s="4" t="str">
        <f>"13.0601"</f>
        <v>13.0601</v>
      </c>
      <c r="C332" s="4" t="s">
        <v>18238</v>
      </c>
      <c r="D332" s="4" t="s">
        <v>18239</v>
      </c>
      <c r="E332" s="4" t="s">
        <v>11102</v>
      </c>
      <c r="F332" s="4" t="s">
        <v>11103</v>
      </c>
      <c r="H332" s="4" t="s">
        <v>18608</v>
      </c>
    </row>
    <row r="333" spans="1:8" x14ac:dyDescent="0.2">
      <c r="A333" s="4" t="str">
        <f t="shared" si="9"/>
        <v>13</v>
      </c>
      <c r="B333" s="4" t="str">
        <f>"13.0603"</f>
        <v>13.0603</v>
      </c>
      <c r="C333" s="4" t="s">
        <v>18238</v>
      </c>
      <c r="D333" s="4" t="s">
        <v>18239</v>
      </c>
      <c r="E333" s="4" t="s">
        <v>11104</v>
      </c>
      <c r="F333" s="4" t="s">
        <v>11105</v>
      </c>
      <c r="G333" s="4" t="s">
        <v>18610</v>
      </c>
      <c r="H333" s="4" t="s">
        <v>18608</v>
      </c>
    </row>
    <row r="334" spans="1:8" x14ac:dyDescent="0.2">
      <c r="A334" s="4" t="str">
        <f t="shared" si="9"/>
        <v>13</v>
      </c>
      <c r="B334" s="4" t="str">
        <f>"13.0604"</f>
        <v>13.0604</v>
      </c>
      <c r="C334" s="4" t="s">
        <v>18238</v>
      </c>
      <c r="D334" s="4" t="s">
        <v>18239</v>
      </c>
      <c r="E334" s="4" t="s">
        <v>11106</v>
      </c>
      <c r="F334" s="4" t="s">
        <v>11107</v>
      </c>
      <c r="H334" s="4" t="s">
        <v>18608</v>
      </c>
    </row>
    <row r="335" spans="1:8" x14ac:dyDescent="0.2">
      <c r="A335" s="4" t="str">
        <f t="shared" si="9"/>
        <v>13</v>
      </c>
      <c r="B335" s="4" t="str">
        <f>"13.0607"</f>
        <v>13.0607</v>
      </c>
      <c r="C335" s="4" t="s">
        <v>18258</v>
      </c>
      <c r="D335" s="4" t="s">
        <v>18239</v>
      </c>
      <c r="E335" s="4" t="s">
        <v>18611</v>
      </c>
      <c r="F335" s="4" t="s">
        <v>18612</v>
      </c>
      <c r="H335" s="4" t="s">
        <v>18613</v>
      </c>
    </row>
    <row r="336" spans="1:8" x14ac:dyDescent="0.2">
      <c r="A336" s="4" t="str">
        <f t="shared" si="9"/>
        <v>13</v>
      </c>
      <c r="B336" s="4" t="str">
        <f>"13.0699"</f>
        <v>13.0699</v>
      </c>
      <c r="C336" s="4" t="s">
        <v>18238</v>
      </c>
      <c r="D336" s="4" t="s">
        <v>18239</v>
      </c>
      <c r="E336" s="4" t="s">
        <v>11108</v>
      </c>
      <c r="F336" s="4" t="s">
        <v>11109</v>
      </c>
      <c r="H336" s="4" t="s">
        <v>18613</v>
      </c>
    </row>
    <row r="337" spans="1:8" x14ac:dyDescent="0.2">
      <c r="A337" s="4" t="str">
        <f t="shared" si="9"/>
        <v>13</v>
      </c>
      <c r="B337" s="4" t="str">
        <f>"13.07"</f>
        <v>13.07</v>
      </c>
      <c r="C337" s="4" t="s">
        <v>18238</v>
      </c>
      <c r="D337" s="4" t="s">
        <v>18239</v>
      </c>
      <c r="E337" s="4" t="s">
        <v>11111</v>
      </c>
      <c r="F337" s="4" t="s">
        <v>11112</v>
      </c>
      <c r="H337" s="4" t="s">
        <v>18613</v>
      </c>
    </row>
    <row r="338" spans="1:8" x14ac:dyDescent="0.2">
      <c r="A338" s="4" t="str">
        <f t="shared" si="9"/>
        <v>13</v>
      </c>
      <c r="B338" s="4" t="str">
        <f>"13.0701"</f>
        <v>13.0701</v>
      </c>
      <c r="C338" s="4" t="s">
        <v>18238</v>
      </c>
      <c r="D338" s="4" t="s">
        <v>18239</v>
      </c>
      <c r="E338" s="4" t="s">
        <v>11111</v>
      </c>
      <c r="F338" s="4" t="s">
        <v>11113</v>
      </c>
      <c r="H338" s="4" t="s">
        <v>18613</v>
      </c>
    </row>
    <row r="339" spans="1:8" x14ac:dyDescent="0.2">
      <c r="A339" s="4" t="str">
        <f t="shared" si="9"/>
        <v>13</v>
      </c>
      <c r="B339" s="4" t="str">
        <f>"13.09"</f>
        <v>13.09</v>
      </c>
      <c r="C339" s="4" t="s">
        <v>18238</v>
      </c>
      <c r="D339" s="4" t="s">
        <v>18239</v>
      </c>
      <c r="E339" s="4" t="s">
        <v>11119</v>
      </c>
      <c r="F339" s="4" t="s">
        <v>11120</v>
      </c>
      <c r="H339" s="4" t="s">
        <v>18613</v>
      </c>
    </row>
    <row r="340" spans="1:8" x14ac:dyDescent="0.2">
      <c r="A340" s="4" t="str">
        <f t="shared" si="9"/>
        <v>13</v>
      </c>
      <c r="B340" s="4" t="str">
        <f>"13.0901"</f>
        <v>13.0901</v>
      </c>
      <c r="C340" s="4" t="s">
        <v>18238</v>
      </c>
      <c r="D340" s="4" t="s">
        <v>18239</v>
      </c>
      <c r="E340" s="4" t="s">
        <v>11119</v>
      </c>
      <c r="F340" s="4" t="s">
        <v>11121</v>
      </c>
      <c r="H340" s="4" t="s">
        <v>18613</v>
      </c>
    </row>
    <row r="341" spans="1:8" x14ac:dyDescent="0.2">
      <c r="A341" s="4" t="str">
        <f t="shared" si="9"/>
        <v>13</v>
      </c>
      <c r="B341" s="4" t="str">
        <f>"13.10"</f>
        <v>13.10</v>
      </c>
      <c r="C341" s="4" t="s">
        <v>18238</v>
      </c>
      <c r="D341" s="4" t="s">
        <v>18239</v>
      </c>
      <c r="E341" s="4" t="s">
        <v>10604</v>
      </c>
      <c r="F341" s="4" t="s">
        <v>18614</v>
      </c>
      <c r="H341" s="4" t="s">
        <v>18613</v>
      </c>
    </row>
    <row r="342" spans="1:8" x14ac:dyDescent="0.2">
      <c r="A342" s="4" t="str">
        <f t="shared" si="9"/>
        <v>13</v>
      </c>
      <c r="B342" s="4" t="str">
        <f>"13.1001"</f>
        <v>13.1001</v>
      </c>
      <c r="C342" s="4" t="s">
        <v>18238</v>
      </c>
      <c r="D342" s="4" t="s">
        <v>18239</v>
      </c>
      <c r="E342" s="4" t="s">
        <v>10606</v>
      </c>
      <c r="F342" s="4" t="s">
        <v>10607</v>
      </c>
      <c r="H342" s="4" t="s">
        <v>18613</v>
      </c>
    </row>
    <row r="343" spans="1:8" x14ac:dyDescent="0.2">
      <c r="A343" s="4" t="str">
        <f t="shared" si="9"/>
        <v>13</v>
      </c>
      <c r="B343" s="4" t="str">
        <f>"13.1003"</f>
        <v>13.1003</v>
      </c>
      <c r="C343" s="4" t="s">
        <v>18238</v>
      </c>
      <c r="D343" s="4" t="s">
        <v>18239</v>
      </c>
      <c r="E343" s="4" t="s">
        <v>10608</v>
      </c>
      <c r="F343" s="4" t="s">
        <v>10609</v>
      </c>
      <c r="H343" s="4" t="s">
        <v>18613</v>
      </c>
    </row>
    <row r="344" spans="1:8" x14ac:dyDescent="0.2">
      <c r="A344" s="4" t="str">
        <f t="shared" si="9"/>
        <v>13</v>
      </c>
      <c r="B344" s="4" t="str">
        <f>"13.1004"</f>
        <v>13.1004</v>
      </c>
      <c r="C344" s="4" t="s">
        <v>18238</v>
      </c>
      <c r="D344" s="4" t="s">
        <v>18239</v>
      </c>
      <c r="E344" s="4" t="s">
        <v>10611</v>
      </c>
      <c r="F344" s="4" t="s">
        <v>10612</v>
      </c>
      <c r="H344" s="4" t="s">
        <v>18613</v>
      </c>
    </row>
    <row r="345" spans="1:8" x14ac:dyDescent="0.2">
      <c r="A345" s="4" t="str">
        <f t="shared" si="9"/>
        <v>13</v>
      </c>
      <c r="B345" s="4" t="str">
        <f>"13.1005"</f>
        <v>13.1005</v>
      </c>
      <c r="C345" s="4" t="s">
        <v>18238</v>
      </c>
      <c r="D345" s="4" t="s">
        <v>18239</v>
      </c>
      <c r="E345" s="4" t="s">
        <v>10613</v>
      </c>
      <c r="F345" s="4" t="s">
        <v>10614</v>
      </c>
      <c r="H345" s="4" t="s">
        <v>18613</v>
      </c>
    </row>
    <row r="346" spans="1:8" x14ac:dyDescent="0.2">
      <c r="A346" s="4" t="str">
        <f t="shared" si="9"/>
        <v>13</v>
      </c>
      <c r="B346" s="4" t="str">
        <f>"13.1006"</f>
        <v>13.1006</v>
      </c>
      <c r="C346" s="4" t="s">
        <v>18238</v>
      </c>
      <c r="D346" s="4" t="s">
        <v>18239</v>
      </c>
      <c r="E346" s="4" t="s">
        <v>10509</v>
      </c>
      <c r="F346" s="4" t="s">
        <v>10510</v>
      </c>
      <c r="H346" s="4" t="s">
        <v>18613</v>
      </c>
    </row>
    <row r="347" spans="1:8" x14ac:dyDescent="0.2">
      <c r="A347" s="4" t="str">
        <f t="shared" si="9"/>
        <v>13</v>
      </c>
      <c r="B347" s="4" t="str">
        <f>"13.1007"</f>
        <v>13.1007</v>
      </c>
      <c r="C347" s="4" t="s">
        <v>18238</v>
      </c>
      <c r="D347" s="4" t="s">
        <v>18239</v>
      </c>
      <c r="E347" s="4" t="s">
        <v>10511</v>
      </c>
      <c r="F347" s="4" t="s">
        <v>18615</v>
      </c>
      <c r="H347" s="4" t="s">
        <v>18613</v>
      </c>
    </row>
    <row r="348" spans="1:8" x14ac:dyDescent="0.2">
      <c r="A348" s="4" t="str">
        <f t="shared" si="9"/>
        <v>13</v>
      </c>
      <c r="B348" s="4" t="str">
        <f>"13.1008"</f>
        <v>13.1008</v>
      </c>
      <c r="C348" s="4" t="s">
        <v>18238</v>
      </c>
      <c r="D348" s="4" t="s">
        <v>18239</v>
      </c>
      <c r="E348" s="4" t="s">
        <v>10513</v>
      </c>
      <c r="F348" s="4" t="s">
        <v>10514</v>
      </c>
      <c r="H348" s="4" t="s">
        <v>18613</v>
      </c>
    </row>
    <row r="349" spans="1:8" x14ac:dyDescent="0.2">
      <c r="A349" s="4" t="str">
        <f t="shared" si="9"/>
        <v>13</v>
      </c>
      <c r="B349" s="4" t="str">
        <f>"13.1009"</f>
        <v>13.1009</v>
      </c>
      <c r="C349" s="4" t="s">
        <v>18238</v>
      </c>
      <c r="D349" s="4" t="s">
        <v>18239</v>
      </c>
      <c r="E349" s="4" t="s">
        <v>10515</v>
      </c>
      <c r="F349" s="4" t="s">
        <v>10516</v>
      </c>
      <c r="H349" s="4" t="s">
        <v>18613</v>
      </c>
    </row>
    <row r="350" spans="1:8" x14ac:dyDescent="0.2">
      <c r="A350" s="4" t="str">
        <f t="shared" si="9"/>
        <v>13</v>
      </c>
      <c r="B350" s="4" t="str">
        <f>"13.1011"</f>
        <v>13.1011</v>
      </c>
      <c r="C350" s="4" t="s">
        <v>18238</v>
      </c>
      <c r="D350" s="4" t="s">
        <v>18239</v>
      </c>
      <c r="E350" s="4" t="s">
        <v>10517</v>
      </c>
      <c r="F350" s="4" t="s">
        <v>10518</v>
      </c>
      <c r="H350" s="4" t="s">
        <v>18613</v>
      </c>
    </row>
    <row r="351" spans="1:8" x14ac:dyDescent="0.2">
      <c r="A351" s="4" t="str">
        <f t="shared" si="9"/>
        <v>13</v>
      </c>
      <c r="B351" s="4" t="str">
        <f>"13.1012"</f>
        <v>13.1012</v>
      </c>
      <c r="C351" s="4" t="s">
        <v>18238</v>
      </c>
      <c r="D351" s="4" t="s">
        <v>18239</v>
      </c>
      <c r="E351" s="4" t="s">
        <v>10519</v>
      </c>
      <c r="F351" s="4" t="s">
        <v>10520</v>
      </c>
      <c r="G351" s="4" t="s">
        <v>18616</v>
      </c>
      <c r="H351" s="4" t="s">
        <v>18613</v>
      </c>
    </row>
    <row r="352" spans="1:8" x14ac:dyDescent="0.2">
      <c r="A352" s="4" t="str">
        <f t="shared" si="9"/>
        <v>13</v>
      </c>
      <c r="B352" s="4" t="str">
        <f>"13.1013"</f>
        <v>13.1013</v>
      </c>
      <c r="C352" s="4" t="s">
        <v>18238</v>
      </c>
      <c r="D352" s="4" t="s">
        <v>18239</v>
      </c>
      <c r="E352" s="4" t="s">
        <v>10522</v>
      </c>
      <c r="F352" s="4" t="s">
        <v>10523</v>
      </c>
      <c r="H352" s="4" t="s">
        <v>18613</v>
      </c>
    </row>
    <row r="353" spans="1:8" x14ac:dyDescent="0.2">
      <c r="A353" s="4" t="str">
        <f t="shared" si="9"/>
        <v>13</v>
      </c>
      <c r="B353" s="4" t="str">
        <f>"13.1014"</f>
        <v>13.1014</v>
      </c>
      <c r="C353" s="4" t="s">
        <v>18238</v>
      </c>
      <c r="D353" s="4" t="s">
        <v>18239</v>
      </c>
      <c r="E353" s="4" t="s">
        <v>10525</v>
      </c>
      <c r="F353" s="4" t="s">
        <v>18617</v>
      </c>
      <c r="H353" s="4" t="s">
        <v>18613</v>
      </c>
    </row>
    <row r="354" spans="1:8" x14ac:dyDescent="0.2">
      <c r="A354" s="4" t="str">
        <f t="shared" si="9"/>
        <v>13</v>
      </c>
      <c r="B354" s="4" t="str">
        <f>"13.1015"</f>
        <v>13.1015</v>
      </c>
      <c r="C354" s="4" t="s">
        <v>18238</v>
      </c>
      <c r="D354" s="4" t="s">
        <v>18239</v>
      </c>
      <c r="E354" s="4" t="s">
        <v>10528</v>
      </c>
      <c r="F354" s="4" t="s">
        <v>18618</v>
      </c>
      <c r="H354" s="4" t="s">
        <v>18613</v>
      </c>
    </row>
    <row r="355" spans="1:8" x14ac:dyDescent="0.2">
      <c r="A355" s="4" t="str">
        <f t="shared" si="9"/>
        <v>13</v>
      </c>
      <c r="B355" s="4" t="str">
        <f>"13.1016"</f>
        <v>13.1016</v>
      </c>
      <c r="C355" s="4" t="s">
        <v>18238</v>
      </c>
      <c r="D355" s="4" t="s">
        <v>18239</v>
      </c>
      <c r="E355" s="4" t="s">
        <v>10531</v>
      </c>
      <c r="F355" s="4" t="s">
        <v>18619</v>
      </c>
      <c r="H355" s="4" t="s">
        <v>18613</v>
      </c>
    </row>
    <row r="356" spans="1:8" x14ac:dyDescent="0.2">
      <c r="A356" s="4" t="str">
        <f t="shared" si="9"/>
        <v>13</v>
      </c>
      <c r="B356" s="4" t="str">
        <f>"13.1017"</f>
        <v>13.1017</v>
      </c>
      <c r="C356" s="4" t="s">
        <v>18258</v>
      </c>
      <c r="D356" s="4" t="s">
        <v>18239</v>
      </c>
      <c r="E356" s="4" t="s">
        <v>18620</v>
      </c>
      <c r="F356" s="4" t="s">
        <v>18621</v>
      </c>
      <c r="H356" s="4" t="s">
        <v>18613</v>
      </c>
    </row>
    <row r="357" spans="1:8" x14ac:dyDescent="0.2">
      <c r="A357" s="4" t="str">
        <f t="shared" si="9"/>
        <v>13</v>
      </c>
      <c r="B357" s="4" t="str">
        <f>"13.1018"</f>
        <v>13.1018</v>
      </c>
      <c r="C357" s="4" t="s">
        <v>18258</v>
      </c>
      <c r="D357" s="4" t="s">
        <v>18239</v>
      </c>
      <c r="E357" s="4" t="s">
        <v>18622</v>
      </c>
      <c r="F357" s="4" t="s">
        <v>18623</v>
      </c>
      <c r="H357" s="4" t="s">
        <v>18613</v>
      </c>
    </row>
    <row r="358" spans="1:8" x14ac:dyDescent="0.2">
      <c r="A358" s="4" t="str">
        <f t="shared" si="9"/>
        <v>13</v>
      </c>
      <c r="B358" s="4" t="str">
        <f>"13.1019"</f>
        <v>13.1019</v>
      </c>
      <c r="C358" s="4" t="s">
        <v>18258</v>
      </c>
      <c r="D358" s="4" t="s">
        <v>18239</v>
      </c>
      <c r="E358" s="4" t="s">
        <v>18624</v>
      </c>
      <c r="F358" s="4" t="s">
        <v>18625</v>
      </c>
      <c r="H358" s="4" t="s">
        <v>18613</v>
      </c>
    </row>
    <row r="359" spans="1:8" x14ac:dyDescent="0.2">
      <c r="A359" s="4" t="str">
        <f t="shared" si="9"/>
        <v>13</v>
      </c>
      <c r="B359" s="4" t="str">
        <f>"13.1099"</f>
        <v>13.1099</v>
      </c>
      <c r="C359" s="4" t="s">
        <v>18238</v>
      </c>
      <c r="D359" s="4" t="s">
        <v>18239</v>
      </c>
      <c r="E359" s="4" t="s">
        <v>10533</v>
      </c>
      <c r="F359" s="4" t="s">
        <v>10534</v>
      </c>
      <c r="H359" s="4" t="s">
        <v>18613</v>
      </c>
    </row>
    <row r="360" spans="1:8" x14ac:dyDescent="0.2">
      <c r="A360" s="4" t="str">
        <f t="shared" si="9"/>
        <v>13</v>
      </c>
      <c r="B360" s="4" t="str">
        <f>"13.11"</f>
        <v>13.11</v>
      </c>
      <c r="C360" s="4" t="s">
        <v>18238</v>
      </c>
      <c r="D360" s="4" t="s">
        <v>18239</v>
      </c>
      <c r="E360" s="4" t="s">
        <v>10536</v>
      </c>
      <c r="F360" s="4" t="s">
        <v>18626</v>
      </c>
      <c r="H360" s="4" t="s">
        <v>18613</v>
      </c>
    </row>
    <row r="361" spans="1:8" x14ac:dyDescent="0.2">
      <c r="A361" s="4" t="str">
        <f t="shared" si="9"/>
        <v>13</v>
      </c>
      <c r="B361" s="4" t="str">
        <f>"13.1101"</f>
        <v>13.1101</v>
      </c>
      <c r="C361" s="4" t="s">
        <v>18238</v>
      </c>
      <c r="D361" s="4" t="s">
        <v>18239</v>
      </c>
      <c r="E361" s="4" t="s">
        <v>11070</v>
      </c>
      <c r="F361" s="4" t="s">
        <v>10538</v>
      </c>
      <c r="G361" s="4" t="s">
        <v>18627</v>
      </c>
      <c r="H361" s="4" t="s">
        <v>18613</v>
      </c>
    </row>
    <row r="362" spans="1:8" x14ac:dyDescent="0.2">
      <c r="A362" s="4" t="str">
        <f t="shared" si="9"/>
        <v>13</v>
      </c>
      <c r="B362" s="4" t="str">
        <f>"13.1102"</f>
        <v>13.1102</v>
      </c>
      <c r="C362" s="4" t="s">
        <v>18238</v>
      </c>
      <c r="D362" s="4" t="s">
        <v>18239</v>
      </c>
      <c r="E362" s="4" t="s">
        <v>11071</v>
      </c>
      <c r="F362" s="4" t="s">
        <v>10539</v>
      </c>
      <c r="H362" s="4" t="s">
        <v>18613</v>
      </c>
    </row>
    <row r="363" spans="1:8" x14ac:dyDescent="0.2">
      <c r="A363" s="4" t="str">
        <f t="shared" si="9"/>
        <v>13</v>
      </c>
      <c r="B363" s="4" t="str">
        <f>"13.1199"</f>
        <v>13.1199</v>
      </c>
      <c r="C363" s="4" t="s">
        <v>18238</v>
      </c>
      <c r="D363" s="4" t="s">
        <v>18239</v>
      </c>
      <c r="E363" s="4" t="s">
        <v>10541</v>
      </c>
      <c r="F363" s="4" t="s">
        <v>18628</v>
      </c>
      <c r="H363" s="4" t="s">
        <v>18613</v>
      </c>
    </row>
    <row r="364" spans="1:8" x14ac:dyDescent="0.2">
      <c r="A364" s="4" t="str">
        <f t="shared" si="9"/>
        <v>13</v>
      </c>
      <c r="B364" s="4" t="str">
        <f>"13.12"</f>
        <v>13.12</v>
      </c>
      <c r="C364" s="4" t="s">
        <v>18238</v>
      </c>
      <c r="D364" s="4" t="s">
        <v>18239</v>
      </c>
      <c r="E364" s="4" t="s">
        <v>10544</v>
      </c>
      <c r="F364" s="4" t="s">
        <v>18629</v>
      </c>
      <c r="H364" s="4" t="s">
        <v>18613</v>
      </c>
    </row>
    <row r="365" spans="1:8" x14ac:dyDescent="0.2">
      <c r="A365" s="4" t="str">
        <f t="shared" si="9"/>
        <v>13</v>
      </c>
      <c r="B365" s="4" t="str">
        <f>"13.1201"</f>
        <v>13.1201</v>
      </c>
      <c r="C365" s="4" t="s">
        <v>18238</v>
      </c>
      <c r="D365" s="4" t="s">
        <v>18239</v>
      </c>
      <c r="E365" s="4" t="s">
        <v>10546</v>
      </c>
      <c r="F365" s="4" t="s">
        <v>10547</v>
      </c>
      <c r="H365" s="4" t="s">
        <v>18613</v>
      </c>
    </row>
    <row r="366" spans="1:8" x14ac:dyDescent="0.2">
      <c r="A366" s="4" t="str">
        <f t="shared" si="9"/>
        <v>13</v>
      </c>
      <c r="B366" s="4" t="str">
        <f>"13.1202"</f>
        <v>13.1202</v>
      </c>
      <c r="C366" s="4" t="s">
        <v>18238</v>
      </c>
      <c r="D366" s="4" t="s">
        <v>18239</v>
      </c>
      <c r="E366" s="4" t="s">
        <v>10548</v>
      </c>
      <c r="F366" s="4" t="s">
        <v>10549</v>
      </c>
      <c r="H366" s="4" t="s">
        <v>18613</v>
      </c>
    </row>
    <row r="367" spans="1:8" x14ac:dyDescent="0.2">
      <c r="A367" s="4" t="str">
        <f t="shared" si="9"/>
        <v>13</v>
      </c>
      <c r="B367" s="4" t="str">
        <f>"13.1203"</f>
        <v>13.1203</v>
      </c>
      <c r="C367" s="4" t="s">
        <v>18238</v>
      </c>
      <c r="D367" s="4" t="s">
        <v>18239</v>
      </c>
      <c r="E367" s="4" t="s">
        <v>10615</v>
      </c>
      <c r="F367" s="4" t="s">
        <v>10616</v>
      </c>
      <c r="H367" s="4" t="s">
        <v>18613</v>
      </c>
    </row>
    <row r="368" spans="1:8" x14ac:dyDescent="0.2">
      <c r="A368" s="4" t="str">
        <f t="shared" si="9"/>
        <v>13</v>
      </c>
      <c r="B368" s="4" t="str">
        <f>"13.1205"</f>
        <v>13.1205</v>
      </c>
      <c r="C368" s="4" t="s">
        <v>18238</v>
      </c>
      <c r="D368" s="4" t="s">
        <v>18239</v>
      </c>
      <c r="E368" s="4" t="s">
        <v>10619</v>
      </c>
      <c r="F368" s="4" t="s">
        <v>10620</v>
      </c>
      <c r="H368" s="4" t="s">
        <v>18613</v>
      </c>
    </row>
    <row r="369" spans="1:8" x14ac:dyDescent="0.2">
      <c r="A369" s="4" t="str">
        <f t="shared" si="9"/>
        <v>13</v>
      </c>
      <c r="B369" s="4" t="str">
        <f>"13.1206"</f>
        <v>13.1206</v>
      </c>
      <c r="C369" s="4" t="s">
        <v>18238</v>
      </c>
      <c r="D369" s="4" t="s">
        <v>18239</v>
      </c>
      <c r="E369" s="4" t="s">
        <v>10621</v>
      </c>
      <c r="F369" s="4" t="s">
        <v>10622</v>
      </c>
      <c r="H369" s="4" t="s">
        <v>18613</v>
      </c>
    </row>
    <row r="370" spans="1:8" x14ac:dyDescent="0.2">
      <c r="A370" s="4" t="str">
        <f t="shared" si="9"/>
        <v>13</v>
      </c>
      <c r="B370" s="4" t="str">
        <f>"13.1207"</f>
        <v>13.1207</v>
      </c>
      <c r="C370" s="4" t="s">
        <v>18238</v>
      </c>
      <c r="D370" s="4" t="s">
        <v>18239</v>
      </c>
      <c r="E370" s="4" t="s">
        <v>10624</v>
      </c>
      <c r="F370" s="4" t="s">
        <v>18630</v>
      </c>
      <c r="H370" s="4" t="s">
        <v>18613</v>
      </c>
    </row>
    <row r="371" spans="1:8" x14ac:dyDescent="0.2">
      <c r="A371" s="4" t="str">
        <f t="shared" si="9"/>
        <v>13</v>
      </c>
      <c r="B371" s="4" t="str">
        <f>"13.1208"</f>
        <v>13.1208</v>
      </c>
      <c r="C371" s="4" t="s">
        <v>18238</v>
      </c>
      <c r="D371" s="4" t="s">
        <v>18239</v>
      </c>
      <c r="E371" s="4" t="s">
        <v>10627</v>
      </c>
      <c r="F371" s="4" t="s">
        <v>18631</v>
      </c>
      <c r="H371" s="4" t="s">
        <v>18613</v>
      </c>
    </row>
    <row r="372" spans="1:8" x14ac:dyDescent="0.2">
      <c r="A372" s="4" t="str">
        <f t="shared" ref="A372:A422" si="10">"13"</f>
        <v>13</v>
      </c>
      <c r="B372" s="4" t="str">
        <f>"13.1209"</f>
        <v>13.1209</v>
      </c>
      <c r="C372" s="4" t="s">
        <v>18238</v>
      </c>
      <c r="D372" s="4" t="s">
        <v>18239</v>
      </c>
      <c r="E372" s="4" t="s">
        <v>10630</v>
      </c>
      <c r="F372" s="4" t="s">
        <v>18632</v>
      </c>
      <c r="H372" s="4" t="s">
        <v>18613</v>
      </c>
    </row>
    <row r="373" spans="1:8" x14ac:dyDescent="0.2">
      <c r="A373" s="4" t="str">
        <f t="shared" si="10"/>
        <v>13</v>
      </c>
      <c r="B373" s="4" t="str">
        <f>"13.1210"</f>
        <v>13.1210</v>
      </c>
      <c r="C373" s="4" t="s">
        <v>18238</v>
      </c>
      <c r="D373" s="4" t="s">
        <v>18239</v>
      </c>
      <c r="E373" s="4" t="s">
        <v>10633</v>
      </c>
      <c r="F373" s="4" t="s">
        <v>18633</v>
      </c>
      <c r="G373" s="4" t="s">
        <v>18634</v>
      </c>
      <c r="H373" s="4" t="s">
        <v>18635</v>
      </c>
    </row>
    <row r="374" spans="1:8" x14ac:dyDescent="0.2">
      <c r="A374" s="4" t="str">
        <f t="shared" si="10"/>
        <v>13</v>
      </c>
      <c r="B374" s="4" t="str">
        <f>"13.1299"</f>
        <v>13.1299</v>
      </c>
      <c r="C374" s="4" t="s">
        <v>18238</v>
      </c>
      <c r="D374" s="4" t="s">
        <v>18239</v>
      </c>
      <c r="E374" s="4" t="s">
        <v>10635</v>
      </c>
      <c r="F374" s="4" t="s">
        <v>10636</v>
      </c>
      <c r="H374" s="4" t="s">
        <v>18636</v>
      </c>
    </row>
    <row r="375" spans="1:8" x14ac:dyDescent="0.2">
      <c r="A375" s="4" t="str">
        <f t="shared" si="10"/>
        <v>13</v>
      </c>
      <c r="B375" s="4" t="str">
        <f>"13.13"</f>
        <v>13.13</v>
      </c>
      <c r="C375" s="4" t="s">
        <v>18238</v>
      </c>
      <c r="D375" s="4" t="s">
        <v>18239</v>
      </c>
      <c r="E375" s="4" t="s">
        <v>10638</v>
      </c>
      <c r="F375" s="4" t="s">
        <v>18637</v>
      </c>
      <c r="H375" s="4" t="s">
        <v>18636</v>
      </c>
    </row>
    <row r="376" spans="1:8" x14ac:dyDescent="0.2">
      <c r="A376" s="4" t="str">
        <f t="shared" si="10"/>
        <v>13</v>
      </c>
      <c r="B376" s="4" t="str">
        <f>"13.1301"</f>
        <v>13.1301</v>
      </c>
      <c r="C376" s="4" t="s">
        <v>18238</v>
      </c>
      <c r="D376" s="4" t="s">
        <v>18239</v>
      </c>
      <c r="E376" s="4" t="s">
        <v>11697</v>
      </c>
      <c r="F376" s="4" t="s">
        <v>10640</v>
      </c>
      <c r="G376" s="4" t="s">
        <v>18638</v>
      </c>
      <c r="H376" s="4" t="s">
        <v>18636</v>
      </c>
    </row>
    <row r="377" spans="1:8" x14ac:dyDescent="0.2">
      <c r="A377" s="4" t="str">
        <f t="shared" si="10"/>
        <v>13</v>
      </c>
      <c r="B377" s="4" t="str">
        <f>"13.1302"</f>
        <v>13.1302</v>
      </c>
      <c r="C377" s="4" t="s">
        <v>18238</v>
      </c>
      <c r="D377" s="4" t="s">
        <v>18239</v>
      </c>
      <c r="E377" s="4" t="s">
        <v>10641</v>
      </c>
      <c r="F377" s="4" t="s">
        <v>10642</v>
      </c>
      <c r="H377" s="4" t="s">
        <v>18636</v>
      </c>
    </row>
    <row r="378" spans="1:8" x14ac:dyDescent="0.2">
      <c r="A378" s="4" t="str">
        <f t="shared" si="10"/>
        <v>13</v>
      </c>
      <c r="B378" s="4" t="str">
        <f>"13.1303"</f>
        <v>13.1303</v>
      </c>
      <c r="C378" s="4" t="s">
        <v>18238</v>
      </c>
      <c r="D378" s="4" t="s">
        <v>18239</v>
      </c>
      <c r="E378" s="4" t="s">
        <v>10644</v>
      </c>
      <c r="F378" s="4" t="s">
        <v>10645</v>
      </c>
      <c r="H378" s="4" t="s">
        <v>18636</v>
      </c>
    </row>
    <row r="379" spans="1:8" x14ac:dyDescent="0.2">
      <c r="A379" s="4" t="str">
        <f t="shared" si="10"/>
        <v>13</v>
      </c>
      <c r="B379" s="4" t="str">
        <f>"13.1304"</f>
        <v>13.1304</v>
      </c>
      <c r="C379" s="4" t="s">
        <v>18238</v>
      </c>
      <c r="D379" s="4" t="s">
        <v>18239</v>
      </c>
      <c r="E379" s="4" t="s">
        <v>10647</v>
      </c>
      <c r="F379" s="4" t="s">
        <v>10648</v>
      </c>
      <c r="H379" s="4" t="s">
        <v>18636</v>
      </c>
    </row>
    <row r="380" spans="1:8" x14ac:dyDescent="0.2">
      <c r="A380" s="4" t="str">
        <f t="shared" si="10"/>
        <v>13</v>
      </c>
      <c r="B380" s="4" t="str">
        <f>"13.1305"</f>
        <v>13.1305</v>
      </c>
      <c r="C380" s="4" t="s">
        <v>18238</v>
      </c>
      <c r="D380" s="4" t="s">
        <v>18239</v>
      </c>
      <c r="E380" s="4" t="s">
        <v>10649</v>
      </c>
      <c r="F380" s="4" t="s">
        <v>10650</v>
      </c>
      <c r="H380" s="4" t="s">
        <v>18636</v>
      </c>
    </row>
    <row r="381" spans="1:8" x14ac:dyDescent="0.2">
      <c r="A381" s="4" t="str">
        <f t="shared" si="10"/>
        <v>13</v>
      </c>
      <c r="B381" s="4" t="str">
        <f>"13.1306"</f>
        <v>13.1306</v>
      </c>
      <c r="C381" s="4" t="s">
        <v>18238</v>
      </c>
      <c r="D381" s="4" t="s">
        <v>18239</v>
      </c>
      <c r="E381" s="4" t="s">
        <v>10652</v>
      </c>
      <c r="F381" s="4" t="s">
        <v>10653</v>
      </c>
      <c r="H381" s="4" t="s">
        <v>18636</v>
      </c>
    </row>
    <row r="382" spans="1:8" x14ac:dyDescent="0.2">
      <c r="A382" s="4" t="str">
        <f t="shared" si="10"/>
        <v>13</v>
      </c>
      <c r="B382" s="4" t="str">
        <f>"13.1307"</f>
        <v>13.1307</v>
      </c>
      <c r="C382" s="4" t="s">
        <v>18238</v>
      </c>
      <c r="D382" s="4" t="s">
        <v>18239</v>
      </c>
      <c r="E382" s="4" t="s">
        <v>10655</v>
      </c>
      <c r="F382" s="4" t="s">
        <v>10656</v>
      </c>
      <c r="H382" s="4" t="s">
        <v>18636</v>
      </c>
    </row>
    <row r="383" spans="1:8" x14ac:dyDescent="0.2">
      <c r="A383" s="4" t="str">
        <f t="shared" si="10"/>
        <v>13</v>
      </c>
      <c r="B383" s="4" t="str">
        <f>"13.1308"</f>
        <v>13.1308</v>
      </c>
      <c r="C383" s="4" t="s">
        <v>18238</v>
      </c>
      <c r="D383" s="4" t="s">
        <v>18239</v>
      </c>
      <c r="E383" s="4" t="s">
        <v>10658</v>
      </c>
      <c r="F383" s="4" t="s">
        <v>10659</v>
      </c>
      <c r="G383" s="4" t="s">
        <v>18639</v>
      </c>
      <c r="H383" s="4" t="s">
        <v>18636</v>
      </c>
    </row>
    <row r="384" spans="1:8" x14ac:dyDescent="0.2">
      <c r="A384" s="4" t="str">
        <f t="shared" si="10"/>
        <v>13</v>
      </c>
      <c r="B384" s="4" t="str">
        <f>"13.1309"</f>
        <v>13.1309</v>
      </c>
      <c r="C384" s="4" t="s">
        <v>18238</v>
      </c>
      <c r="D384" s="4" t="s">
        <v>18239</v>
      </c>
      <c r="E384" s="4" t="s">
        <v>10661</v>
      </c>
      <c r="F384" s="4" t="s">
        <v>10662</v>
      </c>
      <c r="H384" s="4" t="s">
        <v>18636</v>
      </c>
    </row>
    <row r="385" spans="1:8" x14ac:dyDescent="0.2">
      <c r="A385" s="4" t="str">
        <f t="shared" si="10"/>
        <v>13</v>
      </c>
      <c r="B385" s="4" t="str">
        <f>"13.1310"</f>
        <v>13.1310</v>
      </c>
      <c r="C385" s="4" t="s">
        <v>18238</v>
      </c>
      <c r="D385" s="4" t="s">
        <v>18239</v>
      </c>
      <c r="E385" s="4" t="s">
        <v>10663</v>
      </c>
      <c r="F385" s="4" t="s">
        <v>10664</v>
      </c>
      <c r="H385" s="4" t="s">
        <v>18636</v>
      </c>
    </row>
    <row r="386" spans="1:8" x14ac:dyDescent="0.2">
      <c r="A386" s="4" t="str">
        <f t="shared" si="10"/>
        <v>13</v>
      </c>
      <c r="B386" s="4" t="str">
        <f>"13.1311"</f>
        <v>13.1311</v>
      </c>
      <c r="C386" s="4" t="s">
        <v>18238</v>
      </c>
      <c r="D386" s="4" t="s">
        <v>18239</v>
      </c>
      <c r="E386" s="4" t="s">
        <v>10665</v>
      </c>
      <c r="F386" s="4" t="s">
        <v>10666</v>
      </c>
      <c r="H386" s="4" t="s">
        <v>18640</v>
      </c>
    </row>
    <row r="387" spans="1:8" x14ac:dyDescent="0.2">
      <c r="A387" s="4" t="str">
        <f t="shared" si="10"/>
        <v>13</v>
      </c>
      <c r="B387" s="4" t="str">
        <f>"13.1312"</f>
        <v>13.1312</v>
      </c>
      <c r="C387" s="4" t="s">
        <v>18238</v>
      </c>
      <c r="D387" s="4" t="s">
        <v>18239</v>
      </c>
      <c r="E387" s="4" t="s">
        <v>10668</v>
      </c>
      <c r="F387" s="4" t="s">
        <v>10669</v>
      </c>
      <c r="H387" s="4" t="s">
        <v>18640</v>
      </c>
    </row>
    <row r="388" spans="1:8" x14ac:dyDescent="0.2">
      <c r="A388" s="4" t="str">
        <f t="shared" si="10"/>
        <v>13</v>
      </c>
      <c r="B388" s="4" t="str">
        <f>"13.1314"</f>
        <v>13.1314</v>
      </c>
      <c r="C388" s="4" t="s">
        <v>18238</v>
      </c>
      <c r="D388" s="4" t="s">
        <v>18239</v>
      </c>
      <c r="E388" s="4" t="s">
        <v>10672</v>
      </c>
      <c r="F388" s="4" t="s">
        <v>10673</v>
      </c>
      <c r="H388" s="4" t="s">
        <v>18640</v>
      </c>
    </row>
    <row r="389" spans="1:8" x14ac:dyDescent="0.2">
      <c r="A389" s="4" t="str">
        <f t="shared" si="10"/>
        <v>13</v>
      </c>
      <c r="B389" s="4" t="str">
        <f>"13.1315"</f>
        <v>13.1315</v>
      </c>
      <c r="C389" s="4" t="s">
        <v>18238</v>
      </c>
      <c r="D389" s="4" t="s">
        <v>18239</v>
      </c>
      <c r="E389" s="4" t="s">
        <v>10674</v>
      </c>
      <c r="F389" s="4" t="s">
        <v>10675</v>
      </c>
      <c r="H389" s="4" t="s">
        <v>18640</v>
      </c>
    </row>
    <row r="390" spans="1:8" x14ac:dyDescent="0.2">
      <c r="A390" s="4" t="str">
        <f t="shared" si="10"/>
        <v>13</v>
      </c>
      <c r="B390" s="4" t="str">
        <f>"13.1316"</f>
        <v>13.1316</v>
      </c>
      <c r="C390" s="4" t="s">
        <v>18238</v>
      </c>
      <c r="D390" s="4" t="s">
        <v>18239</v>
      </c>
      <c r="E390" s="4" t="s">
        <v>10676</v>
      </c>
      <c r="F390" s="4" t="s">
        <v>10677</v>
      </c>
      <c r="H390" s="4" t="s">
        <v>18640</v>
      </c>
    </row>
    <row r="391" spans="1:8" x14ac:dyDescent="0.2">
      <c r="A391" s="4" t="str">
        <f t="shared" si="10"/>
        <v>13</v>
      </c>
      <c r="B391" s="4" t="str">
        <f>"13.1317"</f>
        <v>13.1317</v>
      </c>
      <c r="C391" s="4" t="s">
        <v>18238</v>
      </c>
      <c r="D391" s="4" t="s">
        <v>18239</v>
      </c>
      <c r="E391" s="4" t="s">
        <v>10679</v>
      </c>
      <c r="F391" s="4" t="s">
        <v>10680</v>
      </c>
      <c r="H391" s="4" t="s">
        <v>18640</v>
      </c>
    </row>
    <row r="392" spans="1:8" x14ac:dyDescent="0.2">
      <c r="A392" s="4" t="str">
        <f t="shared" si="10"/>
        <v>13</v>
      </c>
      <c r="B392" s="4" t="str">
        <f>"13.1318"</f>
        <v>13.1318</v>
      </c>
      <c r="C392" s="4" t="s">
        <v>18238</v>
      </c>
      <c r="D392" s="4" t="s">
        <v>18239</v>
      </c>
      <c r="E392" s="4" t="s">
        <v>10686</v>
      </c>
      <c r="F392" s="4" t="s">
        <v>10687</v>
      </c>
      <c r="H392" s="4" t="s">
        <v>18640</v>
      </c>
    </row>
    <row r="393" spans="1:8" x14ac:dyDescent="0.2">
      <c r="A393" s="4" t="str">
        <f t="shared" si="10"/>
        <v>13</v>
      </c>
      <c r="B393" s="4" t="str">
        <f>"13.1319"</f>
        <v>13.1319</v>
      </c>
      <c r="C393" s="4" t="s">
        <v>18238</v>
      </c>
      <c r="D393" s="4" t="s">
        <v>18239</v>
      </c>
      <c r="E393" s="4" t="s">
        <v>10689</v>
      </c>
      <c r="F393" s="4" t="s">
        <v>10690</v>
      </c>
      <c r="H393" s="4" t="s">
        <v>18640</v>
      </c>
    </row>
    <row r="394" spans="1:8" x14ac:dyDescent="0.2">
      <c r="A394" s="4" t="str">
        <f t="shared" si="10"/>
        <v>13</v>
      </c>
      <c r="B394" s="4" t="str">
        <f>"13.1320"</f>
        <v>13.1320</v>
      </c>
      <c r="C394" s="4" t="s">
        <v>18238</v>
      </c>
      <c r="D394" s="4" t="s">
        <v>18239</v>
      </c>
      <c r="E394" s="4" t="s">
        <v>10692</v>
      </c>
      <c r="F394" s="4" t="s">
        <v>10693</v>
      </c>
      <c r="H394" s="4" t="s">
        <v>18640</v>
      </c>
    </row>
    <row r="395" spans="1:8" x14ac:dyDescent="0.2">
      <c r="A395" s="4" t="str">
        <f t="shared" si="10"/>
        <v>13</v>
      </c>
      <c r="B395" s="4" t="str">
        <f>"13.1321"</f>
        <v>13.1321</v>
      </c>
      <c r="C395" s="4" t="s">
        <v>18238</v>
      </c>
      <c r="D395" s="4" t="s">
        <v>18239</v>
      </c>
      <c r="E395" s="4" t="s">
        <v>10703</v>
      </c>
      <c r="F395" s="4" t="s">
        <v>10704</v>
      </c>
      <c r="H395" s="4" t="s">
        <v>18640</v>
      </c>
    </row>
    <row r="396" spans="1:8" x14ac:dyDescent="0.2">
      <c r="A396" s="4" t="str">
        <f t="shared" si="10"/>
        <v>13</v>
      </c>
      <c r="B396" s="4" t="str">
        <f>"13.1322"</f>
        <v>13.1322</v>
      </c>
      <c r="C396" s="4" t="s">
        <v>18238</v>
      </c>
      <c r="D396" s="4" t="s">
        <v>18239</v>
      </c>
      <c r="E396" s="4" t="s">
        <v>10705</v>
      </c>
      <c r="F396" s="4" t="s">
        <v>10706</v>
      </c>
      <c r="H396" s="4" t="s">
        <v>18640</v>
      </c>
    </row>
    <row r="397" spans="1:8" x14ac:dyDescent="0.2">
      <c r="A397" s="4" t="str">
        <f t="shared" si="10"/>
        <v>13</v>
      </c>
      <c r="B397" s="4" t="str">
        <f>"13.1323"</f>
        <v>13.1323</v>
      </c>
      <c r="C397" s="4" t="s">
        <v>18238</v>
      </c>
      <c r="D397" s="4" t="s">
        <v>18239</v>
      </c>
      <c r="E397" s="4" t="s">
        <v>10708</v>
      </c>
      <c r="F397" s="4" t="s">
        <v>10709</v>
      </c>
      <c r="H397" s="4" t="s">
        <v>18640</v>
      </c>
    </row>
    <row r="398" spans="1:8" x14ac:dyDescent="0.2">
      <c r="A398" s="4" t="str">
        <f t="shared" si="10"/>
        <v>13</v>
      </c>
      <c r="B398" s="4" t="str">
        <f>"13.1324"</f>
        <v>13.1324</v>
      </c>
      <c r="C398" s="4" t="s">
        <v>18238</v>
      </c>
      <c r="D398" s="4" t="s">
        <v>18239</v>
      </c>
      <c r="E398" s="4" t="s">
        <v>10711</v>
      </c>
      <c r="F398" s="4" t="s">
        <v>10712</v>
      </c>
      <c r="H398" s="4" t="s">
        <v>18640</v>
      </c>
    </row>
    <row r="399" spans="1:8" x14ac:dyDescent="0.2">
      <c r="A399" s="4" t="str">
        <f t="shared" si="10"/>
        <v>13</v>
      </c>
      <c r="B399" s="4" t="str">
        <f>"13.1325"</f>
        <v>13.1325</v>
      </c>
      <c r="C399" s="4" t="s">
        <v>18238</v>
      </c>
      <c r="D399" s="4" t="s">
        <v>18239</v>
      </c>
      <c r="E399" s="4" t="s">
        <v>10714</v>
      </c>
      <c r="F399" s="4" t="s">
        <v>10715</v>
      </c>
      <c r="H399" s="4" t="s">
        <v>18640</v>
      </c>
    </row>
    <row r="400" spans="1:8" x14ac:dyDescent="0.2">
      <c r="A400" s="4" t="str">
        <f t="shared" si="10"/>
        <v>13</v>
      </c>
      <c r="B400" s="4" t="str">
        <f>"13.1326"</f>
        <v>13.1326</v>
      </c>
      <c r="C400" s="4" t="s">
        <v>18238</v>
      </c>
      <c r="D400" s="4" t="s">
        <v>18239</v>
      </c>
      <c r="E400" s="4" t="s">
        <v>10716</v>
      </c>
      <c r="F400" s="4" t="s">
        <v>10717</v>
      </c>
      <c r="H400" s="4" t="s">
        <v>18640</v>
      </c>
    </row>
    <row r="401" spans="1:8" x14ac:dyDescent="0.2">
      <c r="A401" s="4" t="str">
        <f t="shared" si="10"/>
        <v>13</v>
      </c>
      <c r="B401" s="4" t="str">
        <f>"13.1327"</f>
        <v>13.1327</v>
      </c>
      <c r="C401" s="4" t="s">
        <v>18238</v>
      </c>
      <c r="D401" s="4" t="s">
        <v>18239</v>
      </c>
      <c r="E401" s="4" t="s">
        <v>10718</v>
      </c>
      <c r="F401" s="4" t="s">
        <v>10719</v>
      </c>
      <c r="H401" s="4" t="s">
        <v>18640</v>
      </c>
    </row>
    <row r="402" spans="1:8" x14ac:dyDescent="0.2">
      <c r="A402" s="4" t="str">
        <f t="shared" si="10"/>
        <v>13</v>
      </c>
      <c r="B402" s="4" t="str">
        <f>"13.1328"</f>
        <v>13.1328</v>
      </c>
      <c r="C402" s="4" t="s">
        <v>18238</v>
      </c>
      <c r="D402" s="4" t="s">
        <v>18239</v>
      </c>
      <c r="E402" s="4" t="s">
        <v>10731</v>
      </c>
      <c r="F402" s="4" t="s">
        <v>10732</v>
      </c>
      <c r="H402" s="4" t="s">
        <v>18640</v>
      </c>
    </row>
    <row r="403" spans="1:8" x14ac:dyDescent="0.2">
      <c r="A403" s="4" t="str">
        <f t="shared" si="10"/>
        <v>13</v>
      </c>
      <c r="B403" s="4" t="str">
        <f>"13.1329"</f>
        <v>13.1329</v>
      </c>
      <c r="C403" s="4" t="s">
        <v>18238</v>
      </c>
      <c r="D403" s="4" t="s">
        <v>18239</v>
      </c>
      <c r="E403" s="4" t="s">
        <v>10733</v>
      </c>
      <c r="F403" s="4" t="s">
        <v>10734</v>
      </c>
      <c r="H403" s="4" t="s">
        <v>18640</v>
      </c>
    </row>
    <row r="404" spans="1:8" x14ac:dyDescent="0.2">
      <c r="A404" s="4" t="str">
        <f t="shared" si="10"/>
        <v>13</v>
      </c>
      <c r="B404" s="4" t="str">
        <f>"13.1330"</f>
        <v>13.1330</v>
      </c>
      <c r="C404" s="4" t="s">
        <v>18238</v>
      </c>
      <c r="D404" s="4" t="s">
        <v>18239</v>
      </c>
      <c r="E404" s="4" t="s">
        <v>10737</v>
      </c>
      <c r="F404" s="4" t="s">
        <v>10738</v>
      </c>
      <c r="H404" s="4" t="s">
        <v>18640</v>
      </c>
    </row>
    <row r="405" spans="1:8" x14ac:dyDescent="0.2">
      <c r="A405" s="4" t="str">
        <f t="shared" si="10"/>
        <v>13</v>
      </c>
      <c r="B405" s="4" t="str">
        <f>"13.1331"</f>
        <v>13.1331</v>
      </c>
      <c r="C405" s="4" t="s">
        <v>18238</v>
      </c>
      <c r="D405" s="4" t="s">
        <v>18239</v>
      </c>
      <c r="E405" s="4" t="s">
        <v>10740</v>
      </c>
      <c r="F405" s="4" t="s">
        <v>10741</v>
      </c>
      <c r="H405" s="4" t="s">
        <v>18640</v>
      </c>
    </row>
    <row r="406" spans="1:8" x14ac:dyDescent="0.2">
      <c r="A406" s="4" t="str">
        <f t="shared" si="10"/>
        <v>13</v>
      </c>
      <c r="B406" s="4" t="str">
        <f>"13.1332"</f>
        <v>13.1332</v>
      </c>
      <c r="C406" s="4" t="s">
        <v>18238</v>
      </c>
      <c r="D406" s="4" t="s">
        <v>18239</v>
      </c>
      <c r="E406" s="4" t="s">
        <v>10744</v>
      </c>
      <c r="F406" s="4" t="s">
        <v>18641</v>
      </c>
      <c r="H406" s="4" t="s">
        <v>18640</v>
      </c>
    </row>
    <row r="407" spans="1:8" x14ac:dyDescent="0.2">
      <c r="A407" s="4" t="str">
        <f t="shared" si="10"/>
        <v>13</v>
      </c>
      <c r="B407" s="4" t="str">
        <f>"13.1333"</f>
        <v>13.1333</v>
      </c>
      <c r="C407" s="4" t="s">
        <v>18238</v>
      </c>
      <c r="D407" s="4" t="s">
        <v>18239</v>
      </c>
      <c r="E407" s="4" t="s">
        <v>10748</v>
      </c>
      <c r="F407" s="4" t="s">
        <v>18642</v>
      </c>
      <c r="H407" s="4" t="s">
        <v>18640</v>
      </c>
    </row>
    <row r="408" spans="1:8" x14ac:dyDescent="0.2">
      <c r="A408" s="4" t="str">
        <f t="shared" si="10"/>
        <v>13</v>
      </c>
      <c r="B408" s="4" t="str">
        <f>"13.1334"</f>
        <v>13.1334</v>
      </c>
      <c r="C408" s="4" t="s">
        <v>18238</v>
      </c>
      <c r="D408" s="4" t="s">
        <v>18239</v>
      </c>
      <c r="E408" s="4" t="s">
        <v>10751</v>
      </c>
      <c r="F408" s="4" t="s">
        <v>18643</v>
      </c>
      <c r="G408" s="4" t="s">
        <v>18644</v>
      </c>
      <c r="H408" s="4" t="s">
        <v>18640</v>
      </c>
    </row>
    <row r="409" spans="1:8" x14ac:dyDescent="0.2">
      <c r="A409" s="4" t="str">
        <f t="shared" si="10"/>
        <v>13</v>
      </c>
      <c r="B409" s="4" t="str">
        <f>"13.1335"</f>
        <v>13.1335</v>
      </c>
      <c r="C409" s="4" t="s">
        <v>18238</v>
      </c>
      <c r="D409" s="4" t="s">
        <v>18239</v>
      </c>
      <c r="E409" s="4" t="s">
        <v>10754</v>
      </c>
      <c r="F409" s="4" t="s">
        <v>18645</v>
      </c>
      <c r="H409" s="4" t="s">
        <v>18640</v>
      </c>
    </row>
    <row r="410" spans="1:8" x14ac:dyDescent="0.2">
      <c r="A410" s="4" t="str">
        <f t="shared" si="10"/>
        <v>13</v>
      </c>
      <c r="B410" s="4" t="str">
        <f>"13.1337"</f>
        <v>13.1337</v>
      </c>
      <c r="C410" s="4" t="s">
        <v>18258</v>
      </c>
      <c r="D410" s="4" t="s">
        <v>18239</v>
      </c>
      <c r="E410" s="4" t="s">
        <v>18646</v>
      </c>
      <c r="F410" s="4" t="s">
        <v>18647</v>
      </c>
      <c r="H410" s="4" t="s">
        <v>18648</v>
      </c>
    </row>
    <row r="411" spans="1:8" x14ac:dyDescent="0.2">
      <c r="A411" s="4" t="str">
        <f t="shared" si="10"/>
        <v>13</v>
      </c>
      <c r="B411" s="4" t="str">
        <f>"13.1338"</f>
        <v>13.1338</v>
      </c>
      <c r="C411" s="4" t="s">
        <v>18258</v>
      </c>
      <c r="D411" s="4" t="s">
        <v>18239</v>
      </c>
      <c r="E411" s="4" t="s">
        <v>18649</v>
      </c>
      <c r="F411" s="4" t="s">
        <v>18650</v>
      </c>
      <c r="G411" s="4" t="s">
        <v>18651</v>
      </c>
      <c r="H411" s="4" t="s">
        <v>18648</v>
      </c>
    </row>
    <row r="412" spans="1:8" x14ac:dyDescent="0.2">
      <c r="A412" s="4" t="str">
        <f t="shared" si="10"/>
        <v>13</v>
      </c>
      <c r="B412" s="4" t="str">
        <f>"13.1399"</f>
        <v>13.1399</v>
      </c>
      <c r="C412" s="4" t="s">
        <v>18238</v>
      </c>
      <c r="D412" s="4" t="s">
        <v>18239</v>
      </c>
      <c r="E412" s="4" t="s">
        <v>10757</v>
      </c>
      <c r="F412" s="4" t="s">
        <v>10758</v>
      </c>
      <c r="H412" s="4" t="s">
        <v>18648</v>
      </c>
    </row>
    <row r="413" spans="1:8" x14ac:dyDescent="0.2">
      <c r="A413" s="4" t="str">
        <f t="shared" si="10"/>
        <v>13</v>
      </c>
      <c r="B413" s="4" t="str">
        <f>"13.14"</f>
        <v>13.14</v>
      </c>
      <c r="C413" s="4" t="s">
        <v>18238</v>
      </c>
      <c r="D413" s="4" t="s">
        <v>18239</v>
      </c>
      <c r="E413" s="4" t="s">
        <v>10760</v>
      </c>
      <c r="F413" s="4" t="s">
        <v>18652</v>
      </c>
      <c r="H413" s="4" t="s">
        <v>18648</v>
      </c>
    </row>
    <row r="414" spans="1:8" x14ac:dyDescent="0.2">
      <c r="A414" s="4" t="str">
        <f t="shared" si="10"/>
        <v>13</v>
      </c>
      <c r="B414" s="4" t="str">
        <f>"13.1401"</f>
        <v>13.1401</v>
      </c>
      <c r="C414" s="4" t="s">
        <v>18238</v>
      </c>
      <c r="D414" s="4" t="s">
        <v>18239</v>
      </c>
      <c r="E414" s="4" t="s">
        <v>10931</v>
      </c>
      <c r="F414" s="4" t="s">
        <v>10762</v>
      </c>
      <c r="H414" s="4" t="s">
        <v>18648</v>
      </c>
    </row>
    <row r="415" spans="1:8" x14ac:dyDescent="0.2">
      <c r="A415" s="4" t="str">
        <f t="shared" si="10"/>
        <v>13</v>
      </c>
      <c r="B415" s="4" t="str">
        <f>"13.1402"</f>
        <v>13.1402</v>
      </c>
      <c r="C415" s="4" t="s">
        <v>18238</v>
      </c>
      <c r="D415" s="4" t="s">
        <v>18239</v>
      </c>
      <c r="E415" s="4" t="s">
        <v>10933</v>
      </c>
      <c r="F415" s="4" t="s">
        <v>18653</v>
      </c>
      <c r="H415" s="4" t="s">
        <v>18648</v>
      </c>
    </row>
    <row r="416" spans="1:8" x14ac:dyDescent="0.2">
      <c r="A416" s="4" t="str">
        <f t="shared" si="10"/>
        <v>13</v>
      </c>
      <c r="B416" s="4" t="str">
        <f>"13.1499"</f>
        <v>13.1499</v>
      </c>
      <c r="C416" s="4" t="s">
        <v>18238</v>
      </c>
      <c r="D416" s="4" t="s">
        <v>18239</v>
      </c>
      <c r="E416" s="4" t="s">
        <v>10765</v>
      </c>
      <c r="F416" s="4" t="s">
        <v>18654</v>
      </c>
      <c r="H416" s="4" t="s">
        <v>18648</v>
      </c>
    </row>
    <row r="417" spans="1:8" x14ac:dyDescent="0.2">
      <c r="A417" s="4" t="str">
        <f t="shared" si="10"/>
        <v>13</v>
      </c>
      <c r="B417" s="4" t="str">
        <f>"13.15"</f>
        <v>13.15</v>
      </c>
      <c r="C417" s="4" t="s">
        <v>18238</v>
      </c>
      <c r="D417" s="4" t="s">
        <v>18239</v>
      </c>
      <c r="E417" s="4" t="s">
        <v>10768</v>
      </c>
      <c r="F417" s="4" t="s">
        <v>18655</v>
      </c>
      <c r="H417" s="4" t="s">
        <v>18648</v>
      </c>
    </row>
    <row r="418" spans="1:8" x14ac:dyDescent="0.2">
      <c r="A418" s="4" t="str">
        <f t="shared" si="10"/>
        <v>13</v>
      </c>
      <c r="B418" s="4" t="str">
        <f>"13.1501"</f>
        <v>13.1501</v>
      </c>
      <c r="C418" s="4" t="s">
        <v>18238</v>
      </c>
      <c r="D418" s="4" t="s">
        <v>18239</v>
      </c>
      <c r="E418" s="4" t="s">
        <v>10770</v>
      </c>
      <c r="F418" s="4" t="s">
        <v>10771</v>
      </c>
      <c r="G418" s="4" t="s">
        <v>18656</v>
      </c>
      <c r="H418" s="4" t="s">
        <v>18657</v>
      </c>
    </row>
    <row r="419" spans="1:8" x14ac:dyDescent="0.2">
      <c r="A419" s="4" t="str">
        <f t="shared" si="10"/>
        <v>13</v>
      </c>
      <c r="B419" s="4" t="str">
        <f>"13.1502"</f>
        <v>13.1502</v>
      </c>
      <c r="C419" s="4" t="s">
        <v>18238</v>
      </c>
      <c r="D419" s="4" t="s">
        <v>18239</v>
      </c>
      <c r="E419" s="4" t="s">
        <v>10773</v>
      </c>
      <c r="F419" s="4" t="s">
        <v>18658</v>
      </c>
      <c r="H419" s="4" t="s">
        <v>18657</v>
      </c>
    </row>
    <row r="420" spans="1:8" x14ac:dyDescent="0.2">
      <c r="A420" s="4" t="str">
        <f t="shared" si="10"/>
        <v>13</v>
      </c>
      <c r="B420" s="4" t="str">
        <f>"13.1599"</f>
        <v>13.1599</v>
      </c>
      <c r="C420" s="4" t="s">
        <v>18238</v>
      </c>
      <c r="D420" s="4" t="s">
        <v>18239</v>
      </c>
      <c r="E420" s="4" t="s">
        <v>10776</v>
      </c>
      <c r="F420" s="4" t="s">
        <v>18659</v>
      </c>
      <c r="H420" s="4" t="s">
        <v>18657</v>
      </c>
    </row>
    <row r="421" spans="1:8" x14ac:dyDescent="0.2">
      <c r="A421" s="4" t="str">
        <f t="shared" si="10"/>
        <v>13</v>
      </c>
      <c r="B421" s="4" t="str">
        <f>"13.99"</f>
        <v>13.99</v>
      </c>
      <c r="C421" s="4" t="s">
        <v>18238</v>
      </c>
      <c r="D421" s="4" t="s">
        <v>18239</v>
      </c>
      <c r="E421" s="4" t="s">
        <v>10779</v>
      </c>
      <c r="F421" s="4" t="s">
        <v>10780</v>
      </c>
      <c r="H421" s="4" t="s">
        <v>18657</v>
      </c>
    </row>
    <row r="422" spans="1:8" x14ac:dyDescent="0.2">
      <c r="A422" s="4" t="str">
        <f t="shared" si="10"/>
        <v>13</v>
      </c>
      <c r="B422" s="4" t="str">
        <f>"13.9999"</f>
        <v>13.9999</v>
      </c>
      <c r="C422" s="4" t="s">
        <v>18238</v>
      </c>
      <c r="D422" s="4" t="s">
        <v>18239</v>
      </c>
      <c r="E422" s="4" t="s">
        <v>10779</v>
      </c>
      <c r="F422" s="4" t="s">
        <v>10781</v>
      </c>
      <c r="H422" s="4" t="s">
        <v>18657</v>
      </c>
    </row>
    <row r="423" spans="1:8" x14ac:dyDescent="0.2">
      <c r="A423" s="4" t="str">
        <f>"14"</f>
        <v>14</v>
      </c>
      <c r="B423" s="4" t="str">
        <f>"14"</f>
        <v>14</v>
      </c>
      <c r="C423" s="4" t="s">
        <v>18238</v>
      </c>
      <c r="D423" s="4" t="s">
        <v>18239</v>
      </c>
      <c r="E423" s="4" t="s">
        <v>11514</v>
      </c>
      <c r="F423" s="4" t="s">
        <v>10782</v>
      </c>
      <c r="H423" s="4" t="s">
        <v>18657</v>
      </c>
    </row>
    <row r="424" spans="1:8" x14ac:dyDescent="0.2">
      <c r="A424" s="4" t="str">
        <f t="shared" ref="A424:A487" si="11">"14"</f>
        <v>14</v>
      </c>
      <c r="B424" s="4" t="str">
        <f>"14.01"</f>
        <v>14.01</v>
      </c>
      <c r="C424" s="4" t="s">
        <v>18238</v>
      </c>
      <c r="D424" s="4" t="s">
        <v>18239</v>
      </c>
      <c r="E424" s="4" t="s">
        <v>10283</v>
      </c>
      <c r="F424" s="4" t="s">
        <v>18660</v>
      </c>
      <c r="H424" s="4" t="s">
        <v>18657</v>
      </c>
    </row>
    <row r="425" spans="1:8" x14ac:dyDescent="0.2">
      <c r="A425" s="4" t="str">
        <f t="shared" si="11"/>
        <v>14</v>
      </c>
      <c r="B425" s="4" t="str">
        <f>"14.0101"</f>
        <v>14.0101</v>
      </c>
      <c r="C425" s="4" t="s">
        <v>18238</v>
      </c>
      <c r="D425" s="4" t="s">
        <v>18307</v>
      </c>
      <c r="E425" s="4" t="s">
        <v>10283</v>
      </c>
      <c r="F425" s="4" t="s">
        <v>18661</v>
      </c>
      <c r="H425" s="4" t="s">
        <v>18657</v>
      </c>
    </row>
    <row r="426" spans="1:8" x14ac:dyDescent="0.2">
      <c r="A426" s="4" t="str">
        <f t="shared" si="11"/>
        <v>14</v>
      </c>
      <c r="B426" s="4" t="str">
        <f>"14.0102"</f>
        <v>14.0102</v>
      </c>
      <c r="C426" s="4" t="s">
        <v>18258</v>
      </c>
      <c r="D426" s="4" t="s">
        <v>18239</v>
      </c>
      <c r="E426" s="4" t="s">
        <v>18662</v>
      </c>
      <c r="F426" s="4" t="s">
        <v>18663</v>
      </c>
      <c r="H426" s="4" t="s">
        <v>18664</v>
      </c>
    </row>
    <row r="427" spans="1:8" x14ac:dyDescent="0.2">
      <c r="A427" s="4" t="str">
        <f t="shared" si="11"/>
        <v>14</v>
      </c>
      <c r="B427" s="4" t="str">
        <f>"14.02"</f>
        <v>14.02</v>
      </c>
      <c r="C427" s="4" t="s">
        <v>18238</v>
      </c>
      <c r="D427" s="4" t="s">
        <v>18239</v>
      </c>
      <c r="E427" s="4" t="s">
        <v>10289</v>
      </c>
      <c r="F427" s="4" t="s">
        <v>10290</v>
      </c>
      <c r="H427" s="4" t="s">
        <v>18664</v>
      </c>
    </row>
    <row r="428" spans="1:8" x14ac:dyDescent="0.2">
      <c r="A428" s="4" t="str">
        <f t="shared" si="11"/>
        <v>14</v>
      </c>
      <c r="B428" s="4" t="str">
        <f>"14.0201"</f>
        <v>14.0201</v>
      </c>
      <c r="C428" s="4" t="s">
        <v>18238</v>
      </c>
      <c r="D428" s="4" t="s">
        <v>18307</v>
      </c>
      <c r="E428" s="4" t="s">
        <v>18665</v>
      </c>
      <c r="F428" s="4" t="s">
        <v>18666</v>
      </c>
      <c r="H428" s="4" t="s">
        <v>18667</v>
      </c>
    </row>
    <row r="429" spans="1:8" x14ac:dyDescent="0.2">
      <c r="A429" s="4" t="str">
        <f t="shared" si="11"/>
        <v>14</v>
      </c>
      <c r="B429" s="4" t="str">
        <f>"14.03"</f>
        <v>14.03</v>
      </c>
      <c r="C429" s="4" t="s">
        <v>18238</v>
      </c>
      <c r="D429" s="4" t="s">
        <v>18307</v>
      </c>
      <c r="E429" s="4" t="s">
        <v>18668</v>
      </c>
      <c r="F429" s="4" t="s">
        <v>10295</v>
      </c>
      <c r="H429" s="4" t="s">
        <v>18667</v>
      </c>
    </row>
    <row r="430" spans="1:8" x14ac:dyDescent="0.2">
      <c r="A430" s="4" t="str">
        <f t="shared" si="11"/>
        <v>14</v>
      </c>
      <c r="B430" s="4" t="str">
        <f>"14.0301"</f>
        <v>14.0301</v>
      </c>
      <c r="C430" s="4" t="s">
        <v>18238</v>
      </c>
      <c r="D430" s="4" t="s">
        <v>18307</v>
      </c>
      <c r="E430" s="4" t="s">
        <v>18668</v>
      </c>
      <c r="F430" s="4" t="s">
        <v>18669</v>
      </c>
      <c r="H430" s="4" t="s">
        <v>18670</v>
      </c>
    </row>
    <row r="431" spans="1:8" x14ac:dyDescent="0.2">
      <c r="A431" s="4" t="str">
        <f t="shared" si="11"/>
        <v>14</v>
      </c>
      <c r="B431" s="4" t="str">
        <f>"14.04"</f>
        <v>14.04</v>
      </c>
      <c r="C431" s="4" t="s">
        <v>18238</v>
      </c>
      <c r="D431" s="4" t="s">
        <v>18239</v>
      </c>
      <c r="E431" s="4" t="s">
        <v>12660</v>
      </c>
      <c r="F431" s="4" t="s">
        <v>10298</v>
      </c>
      <c r="H431" s="4" t="s">
        <v>18670</v>
      </c>
    </row>
    <row r="432" spans="1:8" x14ac:dyDescent="0.2">
      <c r="A432" s="4" t="str">
        <f t="shared" si="11"/>
        <v>14</v>
      </c>
      <c r="B432" s="4" t="str">
        <f>"14.0401"</f>
        <v>14.0401</v>
      </c>
      <c r="C432" s="4" t="s">
        <v>18238</v>
      </c>
      <c r="D432" s="4" t="s">
        <v>18239</v>
      </c>
      <c r="E432" s="4" t="s">
        <v>12660</v>
      </c>
      <c r="F432" s="4" t="s">
        <v>10299</v>
      </c>
      <c r="G432" s="4" t="s">
        <v>18671</v>
      </c>
      <c r="H432" s="4" t="s">
        <v>18670</v>
      </c>
    </row>
    <row r="433" spans="1:8" x14ac:dyDescent="0.2">
      <c r="A433" s="4" t="str">
        <f t="shared" si="11"/>
        <v>14</v>
      </c>
      <c r="B433" s="4" t="str">
        <f>"14.05"</f>
        <v>14.05</v>
      </c>
      <c r="C433" s="4" t="s">
        <v>18238</v>
      </c>
      <c r="D433" s="4" t="s">
        <v>18239</v>
      </c>
      <c r="E433" s="4" t="s">
        <v>10301</v>
      </c>
      <c r="F433" s="4" t="s">
        <v>10302</v>
      </c>
      <c r="H433" s="4" t="s">
        <v>18670</v>
      </c>
    </row>
    <row r="434" spans="1:8" x14ac:dyDescent="0.2">
      <c r="A434" s="4" t="str">
        <f t="shared" si="11"/>
        <v>14</v>
      </c>
      <c r="B434" s="4" t="str">
        <f>"14.0501"</f>
        <v>14.0501</v>
      </c>
      <c r="C434" s="4" t="s">
        <v>18238</v>
      </c>
      <c r="D434" s="4" t="s">
        <v>18307</v>
      </c>
      <c r="E434" s="4" t="s">
        <v>18672</v>
      </c>
      <c r="F434" s="4" t="s">
        <v>18673</v>
      </c>
      <c r="H434" s="4" t="s">
        <v>18674</v>
      </c>
    </row>
    <row r="435" spans="1:8" x14ac:dyDescent="0.2">
      <c r="A435" s="4" t="str">
        <f t="shared" si="11"/>
        <v>14</v>
      </c>
      <c r="B435" s="4" t="str">
        <f>"14.06"</f>
        <v>14.06</v>
      </c>
      <c r="C435" s="4" t="s">
        <v>18238</v>
      </c>
      <c r="D435" s="4" t="s">
        <v>18239</v>
      </c>
      <c r="E435" s="4" t="s">
        <v>10311</v>
      </c>
      <c r="F435" s="4" t="s">
        <v>10312</v>
      </c>
      <c r="H435" s="4" t="s">
        <v>18674</v>
      </c>
    </row>
    <row r="436" spans="1:8" x14ac:dyDescent="0.2">
      <c r="A436" s="4" t="str">
        <f t="shared" si="11"/>
        <v>14</v>
      </c>
      <c r="B436" s="4" t="str">
        <f>"14.0601"</f>
        <v>14.0601</v>
      </c>
      <c r="C436" s="4" t="s">
        <v>18238</v>
      </c>
      <c r="D436" s="4" t="s">
        <v>18239</v>
      </c>
      <c r="E436" s="4" t="s">
        <v>10311</v>
      </c>
      <c r="F436" s="4" t="s">
        <v>18675</v>
      </c>
      <c r="G436" s="4" t="s">
        <v>18676</v>
      </c>
      <c r="H436" s="4" t="s">
        <v>18674</v>
      </c>
    </row>
    <row r="437" spans="1:8" x14ac:dyDescent="0.2">
      <c r="A437" s="4" t="str">
        <f t="shared" si="11"/>
        <v>14</v>
      </c>
      <c r="B437" s="4" t="str">
        <f>"14.07"</f>
        <v>14.07</v>
      </c>
      <c r="C437" s="4" t="s">
        <v>18238</v>
      </c>
      <c r="D437" s="4" t="s">
        <v>18239</v>
      </c>
      <c r="E437" s="4" t="s">
        <v>10315</v>
      </c>
      <c r="F437" s="4" t="s">
        <v>18677</v>
      </c>
      <c r="H437" s="4" t="s">
        <v>18674</v>
      </c>
    </row>
    <row r="438" spans="1:8" x14ac:dyDescent="0.2">
      <c r="A438" s="4" t="str">
        <f t="shared" si="11"/>
        <v>14</v>
      </c>
      <c r="B438" s="4" t="str">
        <f>"14.0701"</f>
        <v>14.0701</v>
      </c>
      <c r="C438" s="4" t="s">
        <v>18238</v>
      </c>
      <c r="D438" s="4" t="s">
        <v>18239</v>
      </c>
      <c r="E438" s="4" t="s">
        <v>10315</v>
      </c>
      <c r="F438" s="4" t="s">
        <v>10317</v>
      </c>
      <c r="G438" s="4" t="s">
        <v>18678</v>
      </c>
      <c r="H438" s="4" t="s">
        <v>18674</v>
      </c>
    </row>
    <row r="439" spans="1:8" x14ac:dyDescent="0.2">
      <c r="A439" s="4" t="str">
        <f t="shared" si="11"/>
        <v>14</v>
      </c>
      <c r="B439" s="4" t="str">
        <f>"14.0702"</f>
        <v>14.0702</v>
      </c>
      <c r="C439" s="4" t="s">
        <v>18258</v>
      </c>
      <c r="D439" s="4" t="s">
        <v>18239</v>
      </c>
      <c r="E439" s="4" t="s">
        <v>18679</v>
      </c>
      <c r="F439" s="4" t="s">
        <v>18680</v>
      </c>
      <c r="H439" s="4" t="s">
        <v>18674</v>
      </c>
    </row>
    <row r="440" spans="1:8" x14ac:dyDescent="0.2">
      <c r="A440" s="4" t="str">
        <f t="shared" si="11"/>
        <v>14</v>
      </c>
      <c r="B440" s="4" t="str">
        <f>"14.0799"</f>
        <v>14.0799</v>
      </c>
      <c r="C440" s="4" t="s">
        <v>18258</v>
      </c>
      <c r="D440" s="4" t="s">
        <v>18239</v>
      </c>
      <c r="E440" s="4" t="s">
        <v>18681</v>
      </c>
      <c r="F440" s="4" t="s">
        <v>18682</v>
      </c>
      <c r="H440" s="4" t="s">
        <v>18674</v>
      </c>
    </row>
    <row r="441" spans="1:8" x14ac:dyDescent="0.2">
      <c r="A441" s="4" t="str">
        <f t="shared" si="11"/>
        <v>14</v>
      </c>
      <c r="B441" s="4" t="str">
        <f>"14.08"</f>
        <v>14.08</v>
      </c>
      <c r="C441" s="4" t="s">
        <v>18238</v>
      </c>
      <c r="D441" s="4" t="s">
        <v>18239</v>
      </c>
      <c r="E441" s="4" t="s">
        <v>10575</v>
      </c>
      <c r="F441" s="4" t="s">
        <v>18683</v>
      </c>
      <c r="H441" s="4" t="s">
        <v>18674</v>
      </c>
    </row>
    <row r="442" spans="1:8" x14ac:dyDescent="0.2">
      <c r="A442" s="4" t="str">
        <f t="shared" si="11"/>
        <v>14</v>
      </c>
      <c r="B442" s="4" t="str">
        <f>"14.0801"</f>
        <v>14.0801</v>
      </c>
      <c r="C442" s="4" t="s">
        <v>18238</v>
      </c>
      <c r="D442" s="4" t="s">
        <v>18239</v>
      </c>
      <c r="E442" s="4" t="s">
        <v>10322</v>
      </c>
      <c r="F442" s="4" t="s">
        <v>10323</v>
      </c>
      <c r="H442" s="4" t="s">
        <v>18674</v>
      </c>
    </row>
    <row r="443" spans="1:8" x14ac:dyDescent="0.2">
      <c r="A443" s="4" t="str">
        <f t="shared" si="11"/>
        <v>14</v>
      </c>
      <c r="B443" s="4" t="str">
        <f>"14.0802"</f>
        <v>14.0802</v>
      </c>
      <c r="C443" s="4" t="s">
        <v>18238</v>
      </c>
      <c r="D443" s="4" t="s">
        <v>18307</v>
      </c>
      <c r="E443" s="4" t="s">
        <v>18684</v>
      </c>
      <c r="F443" s="4" t="s">
        <v>18685</v>
      </c>
      <c r="H443" s="4" t="s">
        <v>18686</v>
      </c>
    </row>
    <row r="444" spans="1:8" x14ac:dyDescent="0.2">
      <c r="A444" s="4" t="str">
        <f t="shared" si="11"/>
        <v>14</v>
      </c>
      <c r="B444" s="4" t="str">
        <f>"14.0803"</f>
        <v>14.0803</v>
      </c>
      <c r="C444" s="4" t="s">
        <v>18238</v>
      </c>
      <c r="D444" s="4" t="s">
        <v>18239</v>
      </c>
      <c r="E444" s="4" t="s">
        <v>10326</v>
      </c>
      <c r="F444" s="4" t="s">
        <v>10327</v>
      </c>
      <c r="H444" s="4" t="s">
        <v>18686</v>
      </c>
    </row>
    <row r="445" spans="1:8" x14ac:dyDescent="0.2">
      <c r="A445" s="4" t="str">
        <f t="shared" si="11"/>
        <v>14</v>
      </c>
      <c r="B445" s="4" t="str">
        <f>"14.0804"</f>
        <v>14.0804</v>
      </c>
      <c r="C445" s="4" t="s">
        <v>18238</v>
      </c>
      <c r="D445" s="4" t="s">
        <v>18239</v>
      </c>
      <c r="E445" s="4" t="s">
        <v>10329</v>
      </c>
      <c r="F445" s="4" t="s">
        <v>10330</v>
      </c>
      <c r="H445" s="4" t="s">
        <v>18686</v>
      </c>
    </row>
    <row r="446" spans="1:8" x14ac:dyDescent="0.2">
      <c r="A446" s="4" t="str">
        <f t="shared" si="11"/>
        <v>14</v>
      </c>
      <c r="B446" s="4" t="str">
        <f>"14.0805"</f>
        <v>14.0805</v>
      </c>
      <c r="C446" s="4" t="s">
        <v>18238</v>
      </c>
      <c r="D446" s="4" t="s">
        <v>18239</v>
      </c>
      <c r="E446" s="4" t="s">
        <v>10331</v>
      </c>
      <c r="F446" s="4" t="s">
        <v>10332</v>
      </c>
      <c r="G446" s="4" t="s">
        <v>18687</v>
      </c>
      <c r="H446" s="4" t="s">
        <v>18686</v>
      </c>
    </row>
    <row r="447" spans="1:8" x14ac:dyDescent="0.2">
      <c r="A447" s="4" t="str">
        <f t="shared" si="11"/>
        <v>14</v>
      </c>
      <c r="B447" s="4" t="str">
        <f>"14.0899"</f>
        <v>14.0899</v>
      </c>
      <c r="C447" s="4" t="s">
        <v>18238</v>
      </c>
      <c r="D447" s="4" t="s">
        <v>18239</v>
      </c>
      <c r="E447" s="4" t="s">
        <v>10333</v>
      </c>
      <c r="F447" s="4" t="s">
        <v>10334</v>
      </c>
      <c r="H447" s="4" t="s">
        <v>18686</v>
      </c>
    </row>
    <row r="448" spans="1:8" x14ac:dyDescent="0.2">
      <c r="A448" s="4" t="str">
        <f t="shared" si="11"/>
        <v>14</v>
      </c>
      <c r="B448" s="4" t="str">
        <f>"14.09"</f>
        <v>14.09</v>
      </c>
      <c r="C448" s="4" t="s">
        <v>18238</v>
      </c>
      <c r="D448" s="4" t="s">
        <v>18239</v>
      </c>
      <c r="E448" s="4" t="s">
        <v>18688</v>
      </c>
      <c r="F448" s="4" t="s">
        <v>18689</v>
      </c>
      <c r="H448" s="4" t="s">
        <v>18686</v>
      </c>
    </row>
    <row r="449" spans="1:8" x14ac:dyDescent="0.2">
      <c r="A449" s="4" t="str">
        <f t="shared" si="11"/>
        <v>14</v>
      </c>
      <c r="B449" s="4" t="str">
        <f>"14.0901"</f>
        <v>14.0901</v>
      </c>
      <c r="C449" s="4" t="s">
        <v>18238</v>
      </c>
      <c r="D449" s="4" t="s">
        <v>18239</v>
      </c>
      <c r="E449" s="4" t="s">
        <v>11221</v>
      </c>
      <c r="F449" s="4" t="s">
        <v>10337</v>
      </c>
      <c r="G449" s="4" t="s">
        <v>18690</v>
      </c>
      <c r="H449" s="4" t="s">
        <v>18691</v>
      </c>
    </row>
    <row r="450" spans="1:8" x14ac:dyDescent="0.2">
      <c r="A450" s="4" t="str">
        <f t="shared" si="11"/>
        <v>14</v>
      </c>
      <c r="B450" s="4" t="str">
        <f>"14.0902"</f>
        <v>14.0902</v>
      </c>
      <c r="C450" s="4" t="s">
        <v>18238</v>
      </c>
      <c r="D450" s="4" t="s">
        <v>18239</v>
      </c>
      <c r="E450" s="4" t="s">
        <v>11154</v>
      </c>
      <c r="F450" s="4" t="s">
        <v>18692</v>
      </c>
      <c r="H450" s="4" t="s">
        <v>18691</v>
      </c>
    </row>
    <row r="451" spans="1:8" x14ac:dyDescent="0.2">
      <c r="A451" s="4" t="str">
        <f t="shared" si="11"/>
        <v>14</v>
      </c>
      <c r="B451" s="4" t="str">
        <f>"14.0903"</f>
        <v>14.0903</v>
      </c>
      <c r="C451" s="4" t="s">
        <v>18238</v>
      </c>
      <c r="D451" s="4" t="s">
        <v>18239</v>
      </c>
      <c r="E451" s="4" t="s">
        <v>10787</v>
      </c>
      <c r="F451" s="4" t="s">
        <v>18693</v>
      </c>
      <c r="H451" s="4" t="s">
        <v>18691</v>
      </c>
    </row>
    <row r="452" spans="1:8" x14ac:dyDescent="0.2">
      <c r="A452" s="4" t="str">
        <f t="shared" si="11"/>
        <v>14</v>
      </c>
      <c r="B452" s="4" t="str">
        <f>"14.0999"</f>
        <v>14.0999</v>
      </c>
      <c r="C452" s="4" t="s">
        <v>18238</v>
      </c>
      <c r="D452" s="4" t="s">
        <v>18239</v>
      </c>
      <c r="E452" s="4" t="s">
        <v>10343</v>
      </c>
      <c r="F452" s="4" t="s">
        <v>18694</v>
      </c>
      <c r="H452" s="4" t="s">
        <v>18691</v>
      </c>
    </row>
    <row r="453" spans="1:8" x14ac:dyDescent="0.2">
      <c r="A453" s="4" t="str">
        <f t="shared" si="11"/>
        <v>14</v>
      </c>
      <c r="B453" s="4" t="str">
        <f>"14.10"</f>
        <v>14.10</v>
      </c>
      <c r="C453" s="4" t="s">
        <v>18238</v>
      </c>
      <c r="D453" s="4" t="s">
        <v>18239</v>
      </c>
      <c r="E453" s="4" t="s">
        <v>10582</v>
      </c>
      <c r="F453" s="4" t="s">
        <v>18695</v>
      </c>
      <c r="H453" s="4" t="s">
        <v>18691</v>
      </c>
    </row>
    <row r="454" spans="1:8" x14ac:dyDescent="0.2">
      <c r="A454" s="4" t="str">
        <f t="shared" si="11"/>
        <v>14</v>
      </c>
      <c r="B454" s="4" t="str">
        <f>"14.1001"</f>
        <v>14.1001</v>
      </c>
      <c r="C454" s="4" t="s">
        <v>18238</v>
      </c>
      <c r="D454" s="4" t="s">
        <v>18307</v>
      </c>
      <c r="E454" s="4" t="s">
        <v>18696</v>
      </c>
      <c r="F454" s="4" t="s">
        <v>18697</v>
      </c>
      <c r="H454" s="4" t="s">
        <v>18698</v>
      </c>
    </row>
    <row r="455" spans="1:8" x14ac:dyDescent="0.2">
      <c r="A455" s="4" t="str">
        <f t="shared" si="11"/>
        <v>14</v>
      </c>
      <c r="B455" s="4" t="str">
        <f>"14.1003"</f>
        <v>14.1003</v>
      </c>
      <c r="C455" s="4" t="s">
        <v>18258</v>
      </c>
      <c r="D455" s="4" t="s">
        <v>18239</v>
      </c>
      <c r="E455" s="4" t="s">
        <v>18699</v>
      </c>
      <c r="F455" s="4" t="s">
        <v>18700</v>
      </c>
      <c r="G455" s="4" t="s">
        <v>18701</v>
      </c>
      <c r="H455" s="4" t="s">
        <v>18702</v>
      </c>
    </row>
    <row r="456" spans="1:8" x14ac:dyDescent="0.2">
      <c r="A456" s="4" t="str">
        <f t="shared" si="11"/>
        <v>14</v>
      </c>
      <c r="B456" s="4" t="str">
        <f>"14.1004"</f>
        <v>14.1004</v>
      </c>
      <c r="C456" s="4" t="s">
        <v>18258</v>
      </c>
      <c r="D456" s="4" t="s">
        <v>18239</v>
      </c>
      <c r="E456" s="4" t="s">
        <v>18703</v>
      </c>
      <c r="F456" s="4" t="s">
        <v>18704</v>
      </c>
      <c r="H456" s="4" t="s">
        <v>18705</v>
      </c>
    </row>
    <row r="457" spans="1:8" x14ac:dyDescent="0.2">
      <c r="A457" s="4" t="str">
        <f t="shared" si="11"/>
        <v>14</v>
      </c>
      <c r="B457" s="4" t="str">
        <f>"14.1099"</f>
        <v>14.1099</v>
      </c>
      <c r="C457" s="4" t="s">
        <v>18258</v>
      </c>
      <c r="D457" s="4" t="s">
        <v>18239</v>
      </c>
      <c r="E457" s="4" t="s">
        <v>18706</v>
      </c>
      <c r="F457" s="4" t="s">
        <v>18707</v>
      </c>
      <c r="H457" s="4" t="s">
        <v>18705</v>
      </c>
    </row>
    <row r="458" spans="1:8" x14ac:dyDescent="0.2">
      <c r="A458" s="4" t="str">
        <f t="shared" si="11"/>
        <v>14</v>
      </c>
      <c r="B458" s="4" t="str">
        <f>"14.11"</f>
        <v>14.11</v>
      </c>
      <c r="C458" s="4" t="s">
        <v>18238</v>
      </c>
      <c r="D458" s="4" t="s">
        <v>18239</v>
      </c>
      <c r="E458" s="4" t="s">
        <v>10349</v>
      </c>
      <c r="F458" s="4" t="s">
        <v>10350</v>
      </c>
      <c r="H458" s="4" t="s">
        <v>18705</v>
      </c>
    </row>
    <row r="459" spans="1:8" x14ac:dyDescent="0.2">
      <c r="A459" s="4" t="str">
        <f t="shared" si="11"/>
        <v>14</v>
      </c>
      <c r="B459" s="4" t="str">
        <f>"14.1101"</f>
        <v>14.1101</v>
      </c>
      <c r="C459" s="4" t="s">
        <v>18238</v>
      </c>
      <c r="D459" s="4" t="s">
        <v>18239</v>
      </c>
      <c r="E459" s="4" t="s">
        <v>10349</v>
      </c>
      <c r="F459" s="4" t="s">
        <v>10351</v>
      </c>
      <c r="H459" s="4" t="s">
        <v>18705</v>
      </c>
    </row>
    <row r="460" spans="1:8" x14ac:dyDescent="0.2">
      <c r="A460" s="4" t="str">
        <f t="shared" si="11"/>
        <v>14</v>
      </c>
      <c r="B460" s="4" t="str">
        <f>"14.12"</f>
        <v>14.12</v>
      </c>
      <c r="C460" s="4" t="s">
        <v>18238</v>
      </c>
      <c r="D460" s="4" t="s">
        <v>18239</v>
      </c>
      <c r="E460" s="4" t="s">
        <v>10353</v>
      </c>
      <c r="F460" s="4" t="s">
        <v>10354</v>
      </c>
      <c r="H460" s="4" t="s">
        <v>18705</v>
      </c>
    </row>
    <row r="461" spans="1:8" x14ac:dyDescent="0.2">
      <c r="A461" s="4" t="str">
        <f t="shared" si="11"/>
        <v>14</v>
      </c>
      <c r="B461" s="4" t="str">
        <f>"14.1201"</f>
        <v>14.1201</v>
      </c>
      <c r="C461" s="4" t="s">
        <v>18238</v>
      </c>
      <c r="D461" s="4" t="s">
        <v>18307</v>
      </c>
      <c r="E461" s="4" t="s">
        <v>18708</v>
      </c>
      <c r="F461" s="4" t="s">
        <v>18709</v>
      </c>
      <c r="G461" s="4" t="s">
        <v>18710</v>
      </c>
      <c r="H461" s="4" t="s">
        <v>18711</v>
      </c>
    </row>
    <row r="462" spans="1:8" x14ac:dyDescent="0.2">
      <c r="A462" s="4" t="str">
        <f t="shared" si="11"/>
        <v>14</v>
      </c>
      <c r="B462" s="4" t="str">
        <f>"14.13"</f>
        <v>14.13</v>
      </c>
      <c r="C462" s="4" t="s">
        <v>18238</v>
      </c>
      <c r="D462" s="4" t="s">
        <v>18239</v>
      </c>
      <c r="E462" s="4" t="s">
        <v>10357</v>
      </c>
      <c r="F462" s="4" t="s">
        <v>10358</v>
      </c>
      <c r="H462" s="4" t="s">
        <v>18711</v>
      </c>
    </row>
    <row r="463" spans="1:8" x14ac:dyDescent="0.2">
      <c r="A463" s="4" t="str">
        <f t="shared" si="11"/>
        <v>14</v>
      </c>
      <c r="B463" s="4" t="str">
        <f>"14.1301"</f>
        <v>14.1301</v>
      </c>
      <c r="C463" s="4" t="s">
        <v>18238</v>
      </c>
      <c r="D463" s="4" t="s">
        <v>18239</v>
      </c>
      <c r="E463" s="4" t="s">
        <v>10357</v>
      </c>
      <c r="F463" s="4" t="s">
        <v>10359</v>
      </c>
      <c r="H463" s="4" t="s">
        <v>18711</v>
      </c>
    </row>
    <row r="464" spans="1:8" x14ac:dyDescent="0.2">
      <c r="A464" s="4" t="str">
        <f t="shared" si="11"/>
        <v>14</v>
      </c>
      <c r="B464" s="4" t="str">
        <f>"14.14"</f>
        <v>14.14</v>
      </c>
      <c r="C464" s="4" t="s">
        <v>18238</v>
      </c>
      <c r="D464" s="4" t="s">
        <v>18239</v>
      </c>
      <c r="E464" s="4" t="s">
        <v>10361</v>
      </c>
      <c r="F464" s="4" t="s">
        <v>10362</v>
      </c>
      <c r="H464" s="4" t="s">
        <v>18711</v>
      </c>
    </row>
    <row r="465" spans="1:8" x14ac:dyDescent="0.2">
      <c r="A465" s="4" t="str">
        <f t="shared" si="11"/>
        <v>14</v>
      </c>
      <c r="B465" s="4" t="str">
        <f>"14.1401"</f>
        <v>14.1401</v>
      </c>
      <c r="C465" s="4" t="s">
        <v>18238</v>
      </c>
      <c r="D465" s="4" t="s">
        <v>18239</v>
      </c>
      <c r="E465" s="4" t="s">
        <v>10361</v>
      </c>
      <c r="F465" s="4" t="s">
        <v>10363</v>
      </c>
      <c r="G465" s="4" t="s">
        <v>18712</v>
      </c>
      <c r="H465" s="4" t="s">
        <v>18713</v>
      </c>
    </row>
    <row r="466" spans="1:8" x14ac:dyDescent="0.2">
      <c r="A466" s="4" t="str">
        <f t="shared" si="11"/>
        <v>14</v>
      </c>
      <c r="B466" s="4" t="str">
        <f>"14.18"</f>
        <v>14.18</v>
      </c>
      <c r="C466" s="4" t="s">
        <v>18238</v>
      </c>
      <c r="D466" s="4" t="s">
        <v>18239</v>
      </c>
      <c r="E466" s="4" t="s">
        <v>16818</v>
      </c>
      <c r="F466" s="4" t="s">
        <v>18714</v>
      </c>
      <c r="H466" s="4" t="s">
        <v>18713</v>
      </c>
    </row>
    <row r="467" spans="1:8" x14ac:dyDescent="0.2">
      <c r="A467" s="4" t="str">
        <f t="shared" si="11"/>
        <v>14</v>
      </c>
      <c r="B467" s="4" t="str">
        <f>"14.1801"</f>
        <v>14.1801</v>
      </c>
      <c r="C467" s="4" t="s">
        <v>18238</v>
      </c>
      <c r="D467" s="4" t="s">
        <v>18239</v>
      </c>
      <c r="E467" s="4" t="s">
        <v>10377</v>
      </c>
      <c r="F467" s="4" t="s">
        <v>10378</v>
      </c>
      <c r="G467" s="4" t="s">
        <v>18715</v>
      </c>
      <c r="H467" s="4" t="s">
        <v>18716</v>
      </c>
    </row>
    <row r="468" spans="1:8" x14ac:dyDescent="0.2">
      <c r="A468" s="4" t="str">
        <f t="shared" si="11"/>
        <v>14</v>
      </c>
      <c r="B468" s="4" t="str">
        <f>"14.19"</f>
        <v>14.19</v>
      </c>
      <c r="C468" s="4" t="s">
        <v>18238</v>
      </c>
      <c r="D468" s="4" t="s">
        <v>18239</v>
      </c>
      <c r="E468" s="4" t="s">
        <v>10381</v>
      </c>
      <c r="F468" s="4" t="s">
        <v>10382</v>
      </c>
      <c r="H468" s="4" t="s">
        <v>18716</v>
      </c>
    </row>
    <row r="469" spans="1:8" x14ac:dyDescent="0.2">
      <c r="A469" s="4" t="str">
        <f t="shared" si="11"/>
        <v>14</v>
      </c>
      <c r="B469" s="4" t="str">
        <f>"14.1901"</f>
        <v>14.1901</v>
      </c>
      <c r="C469" s="4" t="s">
        <v>18238</v>
      </c>
      <c r="D469" s="4" t="s">
        <v>18239</v>
      </c>
      <c r="E469" s="4" t="s">
        <v>10381</v>
      </c>
      <c r="F469" s="4" t="s">
        <v>10383</v>
      </c>
      <c r="H469" s="4" t="s">
        <v>18716</v>
      </c>
    </row>
    <row r="470" spans="1:8" x14ac:dyDescent="0.2">
      <c r="A470" s="4" t="str">
        <f t="shared" si="11"/>
        <v>14</v>
      </c>
      <c r="B470" s="4" t="str">
        <f>"14.20"</f>
        <v>14.20</v>
      </c>
      <c r="C470" s="4" t="s">
        <v>18238</v>
      </c>
      <c r="D470" s="4" t="s">
        <v>18239</v>
      </c>
      <c r="E470" s="4" t="s">
        <v>10385</v>
      </c>
      <c r="F470" s="4" t="s">
        <v>10386</v>
      </c>
      <c r="H470" s="4" t="s">
        <v>18716</v>
      </c>
    </row>
    <row r="471" spans="1:8" x14ac:dyDescent="0.2">
      <c r="A471" s="4" t="str">
        <f t="shared" si="11"/>
        <v>14</v>
      </c>
      <c r="B471" s="4" t="str">
        <f>"14.2001"</f>
        <v>14.2001</v>
      </c>
      <c r="C471" s="4" t="s">
        <v>18238</v>
      </c>
      <c r="D471" s="4" t="s">
        <v>18239</v>
      </c>
      <c r="E471" s="4" t="s">
        <v>10385</v>
      </c>
      <c r="F471" s="4" t="s">
        <v>10387</v>
      </c>
      <c r="H471" s="4" t="s">
        <v>18716</v>
      </c>
    </row>
    <row r="472" spans="1:8" x14ac:dyDescent="0.2">
      <c r="A472" s="4" t="str">
        <f t="shared" si="11"/>
        <v>14</v>
      </c>
      <c r="B472" s="4" t="str">
        <f>"14.21"</f>
        <v>14.21</v>
      </c>
      <c r="C472" s="4" t="s">
        <v>18238</v>
      </c>
      <c r="D472" s="4" t="s">
        <v>18239</v>
      </c>
      <c r="E472" s="4" t="s">
        <v>10390</v>
      </c>
      <c r="F472" s="4" t="s">
        <v>10391</v>
      </c>
      <c r="H472" s="4" t="s">
        <v>18716</v>
      </c>
    </row>
    <row r="473" spans="1:8" x14ac:dyDescent="0.2">
      <c r="A473" s="4" t="str">
        <f t="shared" si="11"/>
        <v>14</v>
      </c>
      <c r="B473" s="4" t="str">
        <f>"14.2101"</f>
        <v>14.2101</v>
      </c>
      <c r="C473" s="4" t="s">
        <v>18238</v>
      </c>
      <c r="D473" s="4" t="s">
        <v>18239</v>
      </c>
      <c r="E473" s="4" t="s">
        <v>10390</v>
      </c>
      <c r="F473" s="4" t="s">
        <v>10392</v>
      </c>
      <c r="H473" s="4" t="s">
        <v>18716</v>
      </c>
    </row>
    <row r="474" spans="1:8" x14ac:dyDescent="0.2">
      <c r="A474" s="4" t="str">
        <f t="shared" si="11"/>
        <v>14</v>
      </c>
      <c r="B474" s="4" t="str">
        <f>"14.22"</f>
        <v>14.22</v>
      </c>
      <c r="C474" s="4" t="s">
        <v>18238</v>
      </c>
      <c r="D474" s="4" t="s">
        <v>18239</v>
      </c>
      <c r="E474" s="4" t="s">
        <v>10395</v>
      </c>
      <c r="F474" s="4" t="s">
        <v>10396</v>
      </c>
      <c r="H474" s="4" t="s">
        <v>18716</v>
      </c>
    </row>
    <row r="475" spans="1:8" x14ac:dyDescent="0.2">
      <c r="A475" s="4" t="str">
        <f t="shared" si="11"/>
        <v>14</v>
      </c>
      <c r="B475" s="4" t="str">
        <f>"14.2201"</f>
        <v>14.2201</v>
      </c>
      <c r="C475" s="4" t="s">
        <v>18238</v>
      </c>
      <c r="D475" s="4" t="s">
        <v>18239</v>
      </c>
      <c r="E475" s="4" t="s">
        <v>10395</v>
      </c>
      <c r="F475" s="4" t="s">
        <v>10397</v>
      </c>
      <c r="H475" s="4" t="s">
        <v>18716</v>
      </c>
    </row>
    <row r="476" spans="1:8" x14ac:dyDescent="0.2">
      <c r="A476" s="4" t="str">
        <f t="shared" si="11"/>
        <v>14</v>
      </c>
      <c r="B476" s="4" t="str">
        <f>"14.23"</f>
        <v>14.23</v>
      </c>
      <c r="C476" s="4" t="s">
        <v>18238</v>
      </c>
      <c r="D476" s="4" t="s">
        <v>18239</v>
      </c>
      <c r="E476" s="4" t="s">
        <v>10399</v>
      </c>
      <c r="F476" s="4" t="s">
        <v>10400</v>
      </c>
      <c r="H476" s="4" t="s">
        <v>18716</v>
      </c>
    </row>
    <row r="477" spans="1:8" x14ac:dyDescent="0.2">
      <c r="A477" s="4" t="str">
        <f t="shared" si="11"/>
        <v>14</v>
      </c>
      <c r="B477" s="4" t="str">
        <f>"14.2301"</f>
        <v>14.2301</v>
      </c>
      <c r="C477" s="4" t="s">
        <v>18238</v>
      </c>
      <c r="D477" s="4" t="s">
        <v>18239</v>
      </c>
      <c r="E477" s="4" t="s">
        <v>10399</v>
      </c>
      <c r="F477" s="4" t="s">
        <v>10401</v>
      </c>
      <c r="G477" s="4" t="s">
        <v>18717</v>
      </c>
      <c r="H477" s="4" t="s">
        <v>18718</v>
      </c>
    </row>
    <row r="478" spans="1:8" x14ac:dyDescent="0.2">
      <c r="A478" s="4" t="str">
        <f t="shared" si="11"/>
        <v>14</v>
      </c>
      <c r="B478" s="4" t="str">
        <f>"14.24"</f>
        <v>14.24</v>
      </c>
      <c r="C478" s="4" t="s">
        <v>18238</v>
      </c>
      <c r="D478" s="4" t="s">
        <v>18239</v>
      </c>
      <c r="E478" s="4" t="s">
        <v>10405</v>
      </c>
      <c r="F478" s="4" t="s">
        <v>18719</v>
      </c>
      <c r="H478" s="4" t="s">
        <v>18718</v>
      </c>
    </row>
    <row r="479" spans="1:8" x14ac:dyDescent="0.2">
      <c r="A479" s="4" t="str">
        <f t="shared" si="11"/>
        <v>14</v>
      </c>
      <c r="B479" s="4" t="str">
        <f>"14.2401"</f>
        <v>14.2401</v>
      </c>
      <c r="C479" s="4" t="s">
        <v>18238</v>
      </c>
      <c r="D479" s="4" t="s">
        <v>18239</v>
      </c>
      <c r="E479" s="4" t="s">
        <v>10405</v>
      </c>
      <c r="F479" s="4" t="s">
        <v>10407</v>
      </c>
      <c r="H479" s="4" t="s">
        <v>18718</v>
      </c>
    </row>
    <row r="480" spans="1:8" x14ac:dyDescent="0.2">
      <c r="A480" s="4" t="str">
        <f t="shared" si="11"/>
        <v>14</v>
      </c>
      <c r="B480" s="4" t="str">
        <f>"14.25"</f>
        <v>14.25</v>
      </c>
      <c r="C480" s="4" t="s">
        <v>18238</v>
      </c>
      <c r="D480" s="4" t="s">
        <v>18239</v>
      </c>
      <c r="E480" s="4" t="s">
        <v>10410</v>
      </c>
      <c r="F480" s="4" t="s">
        <v>10411</v>
      </c>
      <c r="H480" s="4" t="s">
        <v>18718</v>
      </c>
    </row>
    <row r="481" spans="1:8" x14ac:dyDescent="0.2">
      <c r="A481" s="4" t="str">
        <f t="shared" si="11"/>
        <v>14</v>
      </c>
      <c r="B481" s="4" t="str">
        <f>"14.2501"</f>
        <v>14.2501</v>
      </c>
      <c r="C481" s="4" t="s">
        <v>18238</v>
      </c>
      <c r="D481" s="4" t="s">
        <v>18239</v>
      </c>
      <c r="E481" s="4" t="s">
        <v>10410</v>
      </c>
      <c r="F481" s="4" t="s">
        <v>10412</v>
      </c>
      <c r="H481" s="4" t="s">
        <v>18718</v>
      </c>
    </row>
    <row r="482" spans="1:8" x14ac:dyDescent="0.2">
      <c r="A482" s="4" t="str">
        <f t="shared" si="11"/>
        <v>14</v>
      </c>
      <c r="B482" s="4" t="str">
        <f>"14.27"</f>
        <v>14.27</v>
      </c>
      <c r="C482" s="4" t="s">
        <v>18238</v>
      </c>
      <c r="D482" s="4" t="s">
        <v>18239</v>
      </c>
      <c r="E482" s="4" t="s">
        <v>11200</v>
      </c>
      <c r="F482" s="4" t="s">
        <v>10415</v>
      </c>
      <c r="H482" s="4" t="s">
        <v>18718</v>
      </c>
    </row>
    <row r="483" spans="1:8" x14ac:dyDescent="0.2">
      <c r="A483" s="4" t="str">
        <f t="shared" si="11"/>
        <v>14</v>
      </c>
      <c r="B483" s="4" t="str">
        <f>"14.2701"</f>
        <v>14.2701</v>
      </c>
      <c r="C483" s="4" t="s">
        <v>18238</v>
      </c>
      <c r="D483" s="4" t="s">
        <v>18239</v>
      </c>
      <c r="E483" s="4" t="s">
        <v>11200</v>
      </c>
      <c r="F483" s="4" t="s">
        <v>10416</v>
      </c>
      <c r="G483" s="4" t="s">
        <v>18720</v>
      </c>
      <c r="H483" s="4" t="s">
        <v>18721</v>
      </c>
    </row>
    <row r="484" spans="1:8" x14ac:dyDescent="0.2">
      <c r="A484" s="4" t="str">
        <f t="shared" si="11"/>
        <v>14</v>
      </c>
      <c r="B484" s="4" t="str">
        <f>"14.28"</f>
        <v>14.28</v>
      </c>
      <c r="C484" s="4" t="s">
        <v>18238</v>
      </c>
      <c r="D484" s="4" t="s">
        <v>18239</v>
      </c>
      <c r="E484" s="4" t="s">
        <v>10418</v>
      </c>
      <c r="F484" s="4" t="s">
        <v>18722</v>
      </c>
      <c r="H484" s="4" t="s">
        <v>18721</v>
      </c>
    </row>
    <row r="485" spans="1:8" x14ac:dyDescent="0.2">
      <c r="A485" s="4" t="str">
        <f t="shared" si="11"/>
        <v>14</v>
      </c>
      <c r="B485" s="4" t="str">
        <f>"14.2801"</f>
        <v>14.2801</v>
      </c>
      <c r="C485" s="4" t="s">
        <v>18238</v>
      </c>
      <c r="D485" s="4" t="s">
        <v>18239</v>
      </c>
      <c r="E485" s="4" t="s">
        <v>10418</v>
      </c>
      <c r="F485" s="4" t="s">
        <v>10420</v>
      </c>
      <c r="G485" s="4" t="s">
        <v>18723</v>
      </c>
      <c r="H485" s="4" t="s">
        <v>18721</v>
      </c>
    </row>
    <row r="486" spans="1:8" x14ac:dyDescent="0.2">
      <c r="A486" s="4" t="str">
        <f t="shared" si="11"/>
        <v>14</v>
      </c>
      <c r="B486" s="4" t="str">
        <f>"14.31"</f>
        <v>14.31</v>
      </c>
      <c r="C486" s="4" t="s">
        <v>18724</v>
      </c>
      <c r="D486" s="4" t="s">
        <v>18239</v>
      </c>
      <c r="E486" s="4" t="s">
        <v>10379</v>
      </c>
      <c r="F486" s="4" t="s">
        <v>18725</v>
      </c>
      <c r="H486" s="4" t="s">
        <v>18721</v>
      </c>
    </row>
    <row r="487" spans="1:8" x14ac:dyDescent="0.2">
      <c r="A487" s="4" t="str">
        <f t="shared" si="11"/>
        <v>14</v>
      </c>
      <c r="B487" s="4" t="str">
        <f>"14.3101"</f>
        <v>14.3101</v>
      </c>
      <c r="C487" s="4" t="s">
        <v>18724</v>
      </c>
      <c r="D487" s="4" t="s">
        <v>18239</v>
      </c>
      <c r="E487" s="4" t="s">
        <v>10379</v>
      </c>
      <c r="F487" s="4" t="s">
        <v>18726</v>
      </c>
      <c r="H487" s="4" t="s">
        <v>18721</v>
      </c>
    </row>
    <row r="488" spans="1:8" x14ac:dyDescent="0.2">
      <c r="A488" s="4" t="str">
        <f t="shared" ref="A488:A517" si="12">"14"</f>
        <v>14</v>
      </c>
      <c r="B488" s="4" t="str">
        <f>"14.32"</f>
        <v>14.32</v>
      </c>
      <c r="C488" s="4" t="s">
        <v>18238</v>
      </c>
      <c r="D488" s="4" t="s">
        <v>18239</v>
      </c>
      <c r="E488" s="4" t="s">
        <v>10431</v>
      </c>
      <c r="F488" s="4" t="s">
        <v>10432</v>
      </c>
      <c r="H488" s="4" t="s">
        <v>18721</v>
      </c>
    </row>
    <row r="489" spans="1:8" x14ac:dyDescent="0.2">
      <c r="A489" s="4" t="str">
        <f t="shared" si="12"/>
        <v>14</v>
      </c>
      <c r="B489" s="4" t="str">
        <f>"14.3201"</f>
        <v>14.3201</v>
      </c>
      <c r="C489" s="4" t="s">
        <v>18238</v>
      </c>
      <c r="D489" s="4" t="s">
        <v>18239</v>
      </c>
      <c r="E489" s="4" t="s">
        <v>10431</v>
      </c>
      <c r="F489" s="4" t="s">
        <v>10433</v>
      </c>
      <c r="G489" s="4" t="s">
        <v>18727</v>
      </c>
      <c r="H489" s="4" t="s">
        <v>18721</v>
      </c>
    </row>
    <row r="490" spans="1:8" x14ac:dyDescent="0.2">
      <c r="A490" s="4" t="str">
        <f t="shared" si="12"/>
        <v>14</v>
      </c>
      <c r="B490" s="4" t="str">
        <f>"14.33"</f>
        <v>14.33</v>
      </c>
      <c r="C490" s="4" t="s">
        <v>18238</v>
      </c>
      <c r="D490" s="4" t="s">
        <v>18239</v>
      </c>
      <c r="E490" s="4" t="s">
        <v>12662</v>
      </c>
      <c r="F490" s="4" t="s">
        <v>18728</v>
      </c>
      <c r="H490" s="4" t="s">
        <v>18721</v>
      </c>
    </row>
    <row r="491" spans="1:8" x14ac:dyDescent="0.2">
      <c r="A491" s="4" t="str">
        <f t="shared" si="12"/>
        <v>14</v>
      </c>
      <c r="B491" s="4" t="str">
        <f>"14.3301"</f>
        <v>14.3301</v>
      </c>
      <c r="C491" s="4" t="s">
        <v>18238</v>
      </c>
      <c r="D491" s="4" t="s">
        <v>18239</v>
      </c>
      <c r="E491" s="4" t="s">
        <v>12662</v>
      </c>
      <c r="F491" s="4" t="s">
        <v>18729</v>
      </c>
      <c r="H491" s="4" t="s">
        <v>18730</v>
      </c>
    </row>
    <row r="492" spans="1:8" x14ac:dyDescent="0.2">
      <c r="A492" s="4" t="str">
        <f t="shared" si="12"/>
        <v>14</v>
      </c>
      <c r="B492" s="4" t="str">
        <f>"14.34"</f>
        <v>14.34</v>
      </c>
      <c r="C492" s="4" t="s">
        <v>18238</v>
      </c>
      <c r="D492" s="4" t="s">
        <v>18239</v>
      </c>
      <c r="E492" s="4" t="s">
        <v>12631</v>
      </c>
      <c r="F492" s="4" t="s">
        <v>18731</v>
      </c>
      <c r="H492" s="4" t="s">
        <v>18730</v>
      </c>
    </row>
    <row r="493" spans="1:8" x14ac:dyDescent="0.2">
      <c r="A493" s="4" t="str">
        <f t="shared" si="12"/>
        <v>14</v>
      </c>
      <c r="B493" s="4" t="str">
        <f>"14.3401"</f>
        <v>14.3401</v>
      </c>
      <c r="C493" s="4" t="s">
        <v>18238</v>
      </c>
      <c r="D493" s="4" t="s">
        <v>18239</v>
      </c>
      <c r="E493" s="4" t="s">
        <v>12631</v>
      </c>
      <c r="F493" s="4" t="s">
        <v>18732</v>
      </c>
      <c r="G493" s="4" t="s">
        <v>18733</v>
      </c>
      <c r="H493" s="4" t="s">
        <v>18730</v>
      </c>
    </row>
    <row r="494" spans="1:8" x14ac:dyDescent="0.2">
      <c r="A494" s="4" t="str">
        <f t="shared" si="12"/>
        <v>14</v>
      </c>
      <c r="B494" s="4" t="str">
        <f>"14.35"</f>
        <v>14.35</v>
      </c>
      <c r="C494" s="4" t="s">
        <v>18238</v>
      </c>
      <c r="D494" s="4" t="s">
        <v>18239</v>
      </c>
      <c r="E494" s="4" t="s">
        <v>10443</v>
      </c>
      <c r="F494" s="4" t="s">
        <v>18734</v>
      </c>
      <c r="H494" s="4" t="s">
        <v>18730</v>
      </c>
    </row>
    <row r="495" spans="1:8" x14ac:dyDescent="0.2">
      <c r="A495" s="4" t="str">
        <f t="shared" si="12"/>
        <v>14</v>
      </c>
      <c r="B495" s="4" t="str">
        <f>"14.3501"</f>
        <v>14.3501</v>
      </c>
      <c r="C495" s="4" t="s">
        <v>18238</v>
      </c>
      <c r="D495" s="4" t="s">
        <v>18239</v>
      </c>
      <c r="E495" s="4" t="s">
        <v>10443</v>
      </c>
      <c r="F495" s="4" t="s">
        <v>18735</v>
      </c>
      <c r="H495" s="4" t="s">
        <v>18730</v>
      </c>
    </row>
    <row r="496" spans="1:8" x14ac:dyDescent="0.2">
      <c r="A496" s="4" t="str">
        <f t="shared" si="12"/>
        <v>14</v>
      </c>
      <c r="B496" s="4" t="str">
        <f>"14.36"</f>
        <v>14.36</v>
      </c>
      <c r="C496" s="4" t="s">
        <v>18238</v>
      </c>
      <c r="D496" s="4" t="s">
        <v>18239</v>
      </c>
      <c r="E496" s="4" t="s">
        <v>10450</v>
      </c>
      <c r="F496" s="4" t="s">
        <v>18736</v>
      </c>
      <c r="H496" s="4" t="s">
        <v>18730</v>
      </c>
    </row>
    <row r="497" spans="1:8" x14ac:dyDescent="0.2">
      <c r="A497" s="4" t="str">
        <f t="shared" si="12"/>
        <v>14</v>
      </c>
      <c r="B497" s="4" t="str">
        <f>"14.3601"</f>
        <v>14.3601</v>
      </c>
      <c r="C497" s="4" t="s">
        <v>18238</v>
      </c>
      <c r="D497" s="4" t="s">
        <v>18239</v>
      </c>
      <c r="E497" s="4" t="s">
        <v>10450</v>
      </c>
      <c r="F497" s="4" t="s">
        <v>18737</v>
      </c>
      <c r="H497" s="4" t="s">
        <v>18730</v>
      </c>
    </row>
    <row r="498" spans="1:8" x14ac:dyDescent="0.2">
      <c r="A498" s="4" t="str">
        <f t="shared" si="12"/>
        <v>14</v>
      </c>
      <c r="B498" s="4" t="str">
        <f>"14.37"</f>
        <v>14.37</v>
      </c>
      <c r="C498" s="4" t="s">
        <v>18238</v>
      </c>
      <c r="D498" s="4" t="s">
        <v>18239</v>
      </c>
      <c r="E498" s="4" t="s">
        <v>10455</v>
      </c>
      <c r="F498" s="4" t="s">
        <v>18738</v>
      </c>
      <c r="H498" s="4" t="s">
        <v>18730</v>
      </c>
    </row>
    <row r="499" spans="1:8" x14ac:dyDescent="0.2">
      <c r="A499" s="4" t="str">
        <f t="shared" si="12"/>
        <v>14</v>
      </c>
      <c r="B499" s="4" t="str">
        <f>"14.3701"</f>
        <v>14.3701</v>
      </c>
      <c r="C499" s="4" t="s">
        <v>18238</v>
      </c>
      <c r="D499" s="4" t="s">
        <v>18239</v>
      </c>
      <c r="E499" s="4" t="s">
        <v>10455</v>
      </c>
      <c r="F499" s="4" t="s">
        <v>18739</v>
      </c>
      <c r="H499" s="4" t="s">
        <v>18740</v>
      </c>
    </row>
    <row r="500" spans="1:8" x14ac:dyDescent="0.2">
      <c r="A500" s="4" t="str">
        <f t="shared" si="12"/>
        <v>14</v>
      </c>
      <c r="B500" s="4" t="str">
        <f>"14.38"</f>
        <v>14.38</v>
      </c>
      <c r="C500" s="4" t="s">
        <v>18238</v>
      </c>
      <c r="D500" s="4" t="s">
        <v>18239</v>
      </c>
      <c r="E500" s="4" t="s">
        <v>10460</v>
      </c>
      <c r="F500" s="4" t="s">
        <v>18741</v>
      </c>
      <c r="H500" s="4" t="s">
        <v>18740</v>
      </c>
    </row>
    <row r="501" spans="1:8" x14ac:dyDescent="0.2">
      <c r="A501" s="4" t="str">
        <f t="shared" si="12"/>
        <v>14</v>
      </c>
      <c r="B501" s="4" t="str">
        <f>"14.3801"</f>
        <v>14.3801</v>
      </c>
      <c r="C501" s="4" t="s">
        <v>18238</v>
      </c>
      <c r="D501" s="4" t="s">
        <v>18239</v>
      </c>
      <c r="E501" s="4" t="s">
        <v>10460</v>
      </c>
      <c r="F501" s="4" t="s">
        <v>18742</v>
      </c>
      <c r="H501" s="4" t="s">
        <v>18740</v>
      </c>
    </row>
    <row r="502" spans="1:8" x14ac:dyDescent="0.2">
      <c r="A502" s="4" t="str">
        <f t="shared" si="12"/>
        <v>14</v>
      </c>
      <c r="B502" s="4" t="str">
        <f>"14.39"</f>
        <v>14.39</v>
      </c>
      <c r="C502" s="4" t="s">
        <v>18238</v>
      </c>
      <c r="D502" s="4" t="s">
        <v>18239</v>
      </c>
      <c r="E502" s="4" t="s">
        <v>10551</v>
      </c>
      <c r="F502" s="4" t="s">
        <v>18743</v>
      </c>
      <c r="H502" s="4" t="s">
        <v>18740</v>
      </c>
    </row>
    <row r="503" spans="1:8" x14ac:dyDescent="0.2">
      <c r="A503" s="4" t="str">
        <f t="shared" si="12"/>
        <v>14</v>
      </c>
      <c r="B503" s="4" t="str">
        <f>"14.3901"</f>
        <v>14.3901</v>
      </c>
      <c r="C503" s="4" t="s">
        <v>18238</v>
      </c>
      <c r="D503" s="4" t="s">
        <v>18239</v>
      </c>
      <c r="E503" s="4" t="s">
        <v>10551</v>
      </c>
      <c r="F503" s="4" t="s">
        <v>18744</v>
      </c>
      <c r="G503" s="4" t="s">
        <v>18745</v>
      </c>
      <c r="H503" s="4" t="s">
        <v>18740</v>
      </c>
    </row>
    <row r="504" spans="1:8" x14ac:dyDescent="0.2">
      <c r="A504" s="4" t="str">
        <f t="shared" si="12"/>
        <v>14</v>
      </c>
      <c r="B504" s="4" t="str">
        <f>"14.40"</f>
        <v>14.40</v>
      </c>
      <c r="C504" s="4" t="s">
        <v>18258</v>
      </c>
      <c r="D504" s="4" t="s">
        <v>18239</v>
      </c>
      <c r="E504" s="4" t="s">
        <v>18746</v>
      </c>
      <c r="F504" s="4" t="s">
        <v>18747</v>
      </c>
      <c r="H504" s="4" t="s">
        <v>18740</v>
      </c>
    </row>
    <row r="505" spans="1:8" x14ac:dyDescent="0.2">
      <c r="A505" s="4" t="str">
        <f t="shared" si="12"/>
        <v>14</v>
      </c>
      <c r="B505" s="4" t="str">
        <f>"14.4001"</f>
        <v>14.4001</v>
      </c>
      <c r="C505" s="4" t="s">
        <v>18258</v>
      </c>
      <c r="D505" s="4" t="s">
        <v>18239</v>
      </c>
      <c r="E505" s="4" t="s">
        <v>18746</v>
      </c>
      <c r="F505" s="4" t="s">
        <v>18748</v>
      </c>
      <c r="G505" s="4" t="s">
        <v>18749</v>
      </c>
      <c r="H505" s="4" t="s">
        <v>18750</v>
      </c>
    </row>
    <row r="506" spans="1:8" x14ac:dyDescent="0.2">
      <c r="A506" s="4" t="str">
        <f t="shared" si="12"/>
        <v>14</v>
      </c>
      <c r="B506" s="4" t="str">
        <f>"14.41"</f>
        <v>14.41</v>
      </c>
      <c r="C506" s="4" t="s">
        <v>18258</v>
      </c>
      <c r="D506" s="4" t="s">
        <v>18239</v>
      </c>
      <c r="E506" s="4" t="s">
        <v>18751</v>
      </c>
      <c r="F506" s="4" t="s">
        <v>18752</v>
      </c>
      <c r="H506" s="4" t="s">
        <v>18750</v>
      </c>
    </row>
    <row r="507" spans="1:8" x14ac:dyDescent="0.2">
      <c r="A507" s="4" t="str">
        <f t="shared" si="12"/>
        <v>14</v>
      </c>
      <c r="B507" s="4" t="str">
        <f>"14.4101"</f>
        <v>14.4101</v>
      </c>
      <c r="C507" s="4" t="s">
        <v>18258</v>
      </c>
      <c r="D507" s="4" t="s">
        <v>18239</v>
      </c>
      <c r="E507" s="4" t="s">
        <v>18751</v>
      </c>
      <c r="F507" s="4" t="s">
        <v>18753</v>
      </c>
      <c r="H507" s="4" t="s">
        <v>18750</v>
      </c>
    </row>
    <row r="508" spans="1:8" x14ac:dyDescent="0.2">
      <c r="A508" s="4" t="str">
        <f t="shared" si="12"/>
        <v>14</v>
      </c>
      <c r="B508" s="4" t="str">
        <f>"14.42"</f>
        <v>14.42</v>
      </c>
      <c r="C508" s="4" t="s">
        <v>18258</v>
      </c>
      <c r="D508" s="4" t="s">
        <v>18239</v>
      </c>
      <c r="E508" s="4" t="s">
        <v>18754</v>
      </c>
      <c r="F508" s="4" t="s">
        <v>18755</v>
      </c>
      <c r="H508" s="4" t="s">
        <v>18750</v>
      </c>
    </row>
    <row r="509" spans="1:8" x14ac:dyDescent="0.2">
      <c r="A509" s="4" t="str">
        <f t="shared" si="12"/>
        <v>14</v>
      </c>
      <c r="B509" s="4" t="str">
        <f>"14.4201"</f>
        <v>14.4201</v>
      </c>
      <c r="C509" s="4" t="s">
        <v>18258</v>
      </c>
      <c r="D509" s="4" t="s">
        <v>18239</v>
      </c>
      <c r="E509" s="4" t="s">
        <v>18754</v>
      </c>
      <c r="F509" s="4" t="s">
        <v>18756</v>
      </c>
      <c r="G509" s="4" t="s">
        <v>18757</v>
      </c>
      <c r="H509" s="4" t="s">
        <v>18750</v>
      </c>
    </row>
    <row r="510" spans="1:8" x14ac:dyDescent="0.2">
      <c r="A510" s="4" t="str">
        <f t="shared" si="12"/>
        <v>14</v>
      </c>
      <c r="B510" s="4" t="str">
        <f>"14.43"</f>
        <v>14.43</v>
      </c>
      <c r="C510" s="4" t="s">
        <v>18258</v>
      </c>
      <c r="D510" s="4" t="s">
        <v>18239</v>
      </c>
      <c r="E510" s="4" t="s">
        <v>18758</v>
      </c>
      <c r="F510" s="4" t="s">
        <v>18759</v>
      </c>
      <c r="H510" s="4" t="s">
        <v>18750</v>
      </c>
    </row>
    <row r="511" spans="1:8" x14ac:dyDescent="0.2">
      <c r="A511" s="4" t="str">
        <f t="shared" si="12"/>
        <v>14</v>
      </c>
      <c r="B511" s="4" t="str">
        <f>"14.4301"</f>
        <v>14.4301</v>
      </c>
      <c r="C511" s="4" t="s">
        <v>18258</v>
      </c>
      <c r="D511" s="4" t="s">
        <v>18239</v>
      </c>
      <c r="E511" s="4" t="s">
        <v>18758</v>
      </c>
      <c r="F511" s="4" t="s">
        <v>18760</v>
      </c>
      <c r="H511" s="4" t="s">
        <v>18761</v>
      </c>
    </row>
    <row r="512" spans="1:8" x14ac:dyDescent="0.2">
      <c r="A512" s="4" t="str">
        <f t="shared" si="12"/>
        <v>14</v>
      </c>
      <c r="B512" s="4" t="str">
        <f>"14.44"</f>
        <v>14.44</v>
      </c>
      <c r="C512" s="4" t="s">
        <v>18258</v>
      </c>
      <c r="D512" s="4" t="s">
        <v>18239</v>
      </c>
      <c r="E512" s="4" t="s">
        <v>18762</v>
      </c>
      <c r="F512" s="4" t="s">
        <v>18763</v>
      </c>
      <c r="H512" s="4" t="s">
        <v>18761</v>
      </c>
    </row>
    <row r="513" spans="1:8" x14ac:dyDescent="0.2">
      <c r="A513" s="4" t="str">
        <f t="shared" si="12"/>
        <v>14</v>
      </c>
      <c r="B513" s="4" t="str">
        <f>"14.4401"</f>
        <v>14.4401</v>
      </c>
      <c r="C513" s="4" t="s">
        <v>18258</v>
      </c>
      <c r="D513" s="4" t="s">
        <v>18239</v>
      </c>
      <c r="E513" s="4" t="s">
        <v>18762</v>
      </c>
      <c r="F513" s="4" t="s">
        <v>18764</v>
      </c>
      <c r="H513" s="4" t="s">
        <v>18761</v>
      </c>
    </row>
    <row r="514" spans="1:8" x14ac:dyDescent="0.2">
      <c r="A514" s="4" t="str">
        <f t="shared" si="12"/>
        <v>14</v>
      </c>
      <c r="B514" s="4" t="str">
        <f>"14.45"</f>
        <v>14.45</v>
      </c>
      <c r="C514" s="4" t="s">
        <v>18258</v>
      </c>
      <c r="D514" s="4" t="s">
        <v>18239</v>
      </c>
      <c r="E514" s="4" t="s">
        <v>18765</v>
      </c>
      <c r="F514" s="4" t="s">
        <v>18766</v>
      </c>
      <c r="H514" s="4" t="s">
        <v>18761</v>
      </c>
    </row>
    <row r="515" spans="1:8" x14ac:dyDescent="0.2">
      <c r="A515" s="4" t="str">
        <f t="shared" si="12"/>
        <v>14</v>
      </c>
      <c r="B515" s="4" t="str">
        <f>"14.4501"</f>
        <v>14.4501</v>
      </c>
      <c r="C515" s="4" t="s">
        <v>18258</v>
      </c>
      <c r="D515" s="4" t="s">
        <v>18239</v>
      </c>
      <c r="E515" s="4" t="s">
        <v>18765</v>
      </c>
      <c r="F515" s="4" t="s">
        <v>18767</v>
      </c>
      <c r="H515" s="4" t="s">
        <v>18768</v>
      </c>
    </row>
    <row r="516" spans="1:8" x14ac:dyDescent="0.2">
      <c r="A516" s="4" t="str">
        <f t="shared" si="12"/>
        <v>14</v>
      </c>
      <c r="B516" s="4" t="str">
        <f>"14.99"</f>
        <v>14.99</v>
      </c>
      <c r="C516" s="4" t="s">
        <v>18238</v>
      </c>
      <c r="D516" s="4" t="s">
        <v>18239</v>
      </c>
      <c r="E516" s="4" t="s">
        <v>10557</v>
      </c>
      <c r="F516" s="4" t="s">
        <v>10558</v>
      </c>
      <c r="H516" s="4" t="s">
        <v>18768</v>
      </c>
    </row>
    <row r="517" spans="1:8" x14ac:dyDescent="0.2">
      <c r="A517" s="4" t="str">
        <f t="shared" si="12"/>
        <v>14</v>
      </c>
      <c r="B517" s="4" t="str">
        <f>"14.9999"</f>
        <v>14.9999</v>
      </c>
      <c r="C517" s="4" t="s">
        <v>18238</v>
      </c>
      <c r="D517" s="4" t="s">
        <v>18239</v>
      </c>
      <c r="E517" s="4" t="s">
        <v>10557</v>
      </c>
      <c r="F517" s="4" t="s">
        <v>10559</v>
      </c>
      <c r="H517" s="4" t="s">
        <v>18769</v>
      </c>
    </row>
    <row r="518" spans="1:8" x14ac:dyDescent="0.2">
      <c r="A518" s="4" t="str">
        <f>"15"</f>
        <v>15</v>
      </c>
      <c r="B518" s="4" t="str">
        <f>"15"</f>
        <v>15</v>
      </c>
      <c r="C518" s="4" t="s">
        <v>18238</v>
      </c>
      <c r="D518" s="4" t="s">
        <v>18307</v>
      </c>
      <c r="E518" s="4" t="s">
        <v>18770</v>
      </c>
      <c r="F518" s="4" t="s">
        <v>18771</v>
      </c>
      <c r="H518" s="4" t="s">
        <v>18769</v>
      </c>
    </row>
    <row r="519" spans="1:8" x14ac:dyDescent="0.2">
      <c r="A519" s="4" t="str">
        <f t="shared" ref="A519:A582" si="13">"15"</f>
        <v>15</v>
      </c>
      <c r="B519" s="4" t="str">
        <f>"15.00"</f>
        <v>15.00</v>
      </c>
      <c r="C519" s="4" t="s">
        <v>18238</v>
      </c>
      <c r="D519" s="4" t="s">
        <v>18239</v>
      </c>
      <c r="E519" s="4" t="s">
        <v>10562</v>
      </c>
      <c r="F519" s="4" t="s">
        <v>18772</v>
      </c>
      <c r="H519" s="4" t="s">
        <v>18769</v>
      </c>
    </row>
    <row r="520" spans="1:8" x14ac:dyDescent="0.2">
      <c r="A520" s="4" t="str">
        <f t="shared" si="13"/>
        <v>15</v>
      </c>
      <c r="B520" s="4" t="str">
        <f>"15.0000"</f>
        <v>15.0000</v>
      </c>
      <c r="C520" s="4" t="s">
        <v>18238</v>
      </c>
      <c r="D520" s="4" t="s">
        <v>18239</v>
      </c>
      <c r="E520" s="4" t="s">
        <v>10562</v>
      </c>
      <c r="F520" s="4" t="s">
        <v>18773</v>
      </c>
      <c r="H520" s="4" t="s">
        <v>18769</v>
      </c>
    </row>
    <row r="521" spans="1:8" x14ac:dyDescent="0.2">
      <c r="A521" s="4" t="str">
        <f t="shared" si="13"/>
        <v>15</v>
      </c>
      <c r="B521" s="4" t="str">
        <f>"15.01"</f>
        <v>15.01</v>
      </c>
      <c r="C521" s="4" t="s">
        <v>18238</v>
      </c>
      <c r="D521" s="4" t="s">
        <v>18239</v>
      </c>
      <c r="E521" s="4" t="s">
        <v>10566</v>
      </c>
      <c r="F521" s="4" t="s">
        <v>10567</v>
      </c>
      <c r="H521" s="4" t="s">
        <v>18769</v>
      </c>
    </row>
    <row r="522" spans="1:8" x14ac:dyDescent="0.2">
      <c r="A522" s="4" t="str">
        <f t="shared" si="13"/>
        <v>15</v>
      </c>
      <c r="B522" s="4" t="str">
        <f>"15.0101"</f>
        <v>15.0101</v>
      </c>
      <c r="C522" s="4" t="s">
        <v>18238</v>
      </c>
      <c r="D522" s="4" t="s">
        <v>18239</v>
      </c>
      <c r="E522" s="4" t="s">
        <v>12663</v>
      </c>
      <c r="F522" s="4" t="s">
        <v>10568</v>
      </c>
      <c r="H522" s="4" t="s">
        <v>18769</v>
      </c>
    </row>
    <row r="523" spans="1:8" x14ac:dyDescent="0.2">
      <c r="A523" s="4" t="str">
        <f t="shared" si="13"/>
        <v>15</v>
      </c>
      <c r="B523" s="4" t="str">
        <f>"15.02"</f>
        <v>15.02</v>
      </c>
      <c r="C523" s="4" t="s">
        <v>18238</v>
      </c>
      <c r="D523" s="4" t="s">
        <v>18239</v>
      </c>
      <c r="E523" s="4" t="s">
        <v>10570</v>
      </c>
      <c r="F523" s="4" t="s">
        <v>10571</v>
      </c>
      <c r="H523" s="4" t="s">
        <v>18769</v>
      </c>
    </row>
    <row r="524" spans="1:8" x14ac:dyDescent="0.2">
      <c r="A524" s="4" t="str">
        <f t="shared" si="13"/>
        <v>15</v>
      </c>
      <c r="B524" s="4" t="str">
        <f>"15.0201"</f>
        <v>15.0201</v>
      </c>
      <c r="C524" s="4" t="s">
        <v>18238</v>
      </c>
      <c r="D524" s="4" t="s">
        <v>18239</v>
      </c>
      <c r="E524" s="4" t="s">
        <v>10572</v>
      </c>
      <c r="F524" s="4" t="s">
        <v>10573</v>
      </c>
      <c r="H524" s="4" t="s">
        <v>18769</v>
      </c>
    </row>
    <row r="525" spans="1:8" x14ac:dyDescent="0.2">
      <c r="A525" s="4" t="str">
        <f t="shared" si="13"/>
        <v>15</v>
      </c>
      <c r="B525" s="4" t="str">
        <f>"15.03"</f>
        <v>15.03</v>
      </c>
      <c r="C525" s="4" t="s">
        <v>18238</v>
      </c>
      <c r="D525" s="4" t="s">
        <v>18239</v>
      </c>
      <c r="E525" s="4" t="s">
        <v>10577</v>
      </c>
      <c r="F525" s="4" t="s">
        <v>10578</v>
      </c>
      <c r="H525" s="4" t="s">
        <v>18769</v>
      </c>
    </row>
    <row r="526" spans="1:8" x14ac:dyDescent="0.2">
      <c r="A526" s="4" t="str">
        <f t="shared" si="13"/>
        <v>15</v>
      </c>
      <c r="B526" s="4" t="str">
        <f>"15.0303"</f>
        <v>15.0303</v>
      </c>
      <c r="C526" s="4" t="s">
        <v>18238</v>
      </c>
      <c r="D526" s="4" t="s">
        <v>18239</v>
      </c>
      <c r="E526" s="4" t="s">
        <v>10580</v>
      </c>
      <c r="F526" s="4" t="s">
        <v>18774</v>
      </c>
      <c r="G526" s="4" t="s">
        <v>18775</v>
      </c>
      <c r="H526" s="4" t="s">
        <v>18776</v>
      </c>
    </row>
    <row r="527" spans="1:8" x14ac:dyDescent="0.2">
      <c r="A527" s="4" t="str">
        <f t="shared" si="13"/>
        <v>15</v>
      </c>
      <c r="B527" s="4" t="str">
        <f>"15.0304"</f>
        <v>15.0304</v>
      </c>
      <c r="C527" s="4" t="s">
        <v>18238</v>
      </c>
      <c r="D527" s="4" t="s">
        <v>18239</v>
      </c>
      <c r="E527" s="4" t="s">
        <v>10583</v>
      </c>
      <c r="F527" s="4" t="s">
        <v>10584</v>
      </c>
      <c r="H527" s="4" t="s">
        <v>18777</v>
      </c>
    </row>
    <row r="528" spans="1:8" x14ac:dyDescent="0.2">
      <c r="A528" s="4" t="str">
        <f t="shared" si="13"/>
        <v>15</v>
      </c>
      <c r="B528" s="4" t="str">
        <f>"15.0305"</f>
        <v>15.0305</v>
      </c>
      <c r="C528" s="4" t="s">
        <v>18238</v>
      </c>
      <c r="D528" s="4" t="s">
        <v>18239</v>
      </c>
      <c r="E528" s="4" t="s">
        <v>10983</v>
      </c>
      <c r="F528" s="4" t="s">
        <v>18778</v>
      </c>
      <c r="H528" s="4" t="s">
        <v>18779</v>
      </c>
    </row>
    <row r="529" spans="1:8" x14ac:dyDescent="0.2">
      <c r="A529" s="4" t="str">
        <f t="shared" si="13"/>
        <v>15</v>
      </c>
      <c r="B529" s="4" t="str">
        <f>"15.0306"</f>
        <v>15.0306</v>
      </c>
      <c r="C529" s="4" t="s">
        <v>18258</v>
      </c>
      <c r="D529" s="4" t="s">
        <v>18239</v>
      </c>
      <c r="E529" s="4" t="s">
        <v>18780</v>
      </c>
      <c r="F529" s="4" t="s">
        <v>18781</v>
      </c>
      <c r="H529" s="4" t="s">
        <v>18782</v>
      </c>
    </row>
    <row r="530" spans="1:8" x14ac:dyDescent="0.2">
      <c r="A530" s="4" t="str">
        <f t="shared" si="13"/>
        <v>15</v>
      </c>
      <c r="B530" s="4" t="str">
        <f>"15.0399"</f>
        <v>15.0399</v>
      </c>
      <c r="C530" s="4" t="s">
        <v>18238</v>
      </c>
      <c r="D530" s="4" t="s">
        <v>18239</v>
      </c>
      <c r="E530" s="4" t="s">
        <v>10464</v>
      </c>
      <c r="F530" s="4" t="s">
        <v>10465</v>
      </c>
      <c r="H530" s="4" t="s">
        <v>18783</v>
      </c>
    </row>
    <row r="531" spans="1:8" x14ac:dyDescent="0.2">
      <c r="A531" s="4" t="str">
        <f t="shared" si="13"/>
        <v>15</v>
      </c>
      <c r="B531" s="4" t="str">
        <f>"15.04"</f>
        <v>15.04</v>
      </c>
      <c r="C531" s="4" t="s">
        <v>18238</v>
      </c>
      <c r="D531" s="4" t="s">
        <v>18239</v>
      </c>
      <c r="E531" s="4" t="s">
        <v>10467</v>
      </c>
      <c r="F531" s="4" t="s">
        <v>18784</v>
      </c>
      <c r="H531" s="4" t="s">
        <v>18783</v>
      </c>
    </row>
    <row r="532" spans="1:8" x14ac:dyDescent="0.2">
      <c r="A532" s="4" t="str">
        <f t="shared" si="13"/>
        <v>15</v>
      </c>
      <c r="B532" s="4" t="str">
        <f>"15.0401"</f>
        <v>15.0401</v>
      </c>
      <c r="C532" s="4" t="s">
        <v>18238</v>
      </c>
      <c r="D532" s="4" t="s">
        <v>18239</v>
      </c>
      <c r="E532" s="4" t="s">
        <v>10304</v>
      </c>
      <c r="F532" s="4" t="s">
        <v>10469</v>
      </c>
      <c r="H532" s="4" t="s">
        <v>18785</v>
      </c>
    </row>
    <row r="533" spans="1:8" x14ac:dyDescent="0.2">
      <c r="A533" s="4" t="str">
        <f t="shared" si="13"/>
        <v>15</v>
      </c>
      <c r="B533" s="4" t="str">
        <f>"15.0403"</f>
        <v>15.0403</v>
      </c>
      <c r="C533" s="4" t="s">
        <v>18238</v>
      </c>
      <c r="D533" s="4" t="s">
        <v>18239</v>
      </c>
      <c r="E533" s="4" t="s">
        <v>10472</v>
      </c>
      <c r="F533" s="4" t="s">
        <v>10473</v>
      </c>
      <c r="H533" s="4" t="s">
        <v>18785</v>
      </c>
    </row>
    <row r="534" spans="1:8" x14ac:dyDescent="0.2">
      <c r="A534" s="4" t="str">
        <f t="shared" si="13"/>
        <v>15</v>
      </c>
      <c r="B534" s="4" t="str">
        <f>"15.0404"</f>
        <v>15.0404</v>
      </c>
      <c r="C534" s="4" t="s">
        <v>18238</v>
      </c>
      <c r="D534" s="4" t="s">
        <v>18239</v>
      </c>
      <c r="E534" s="4" t="s">
        <v>10474</v>
      </c>
      <c r="F534" s="4" t="s">
        <v>18786</v>
      </c>
      <c r="H534" s="4" t="s">
        <v>18787</v>
      </c>
    </row>
    <row r="535" spans="1:8" x14ac:dyDescent="0.2">
      <c r="A535" s="4" t="str">
        <f t="shared" si="13"/>
        <v>15</v>
      </c>
      <c r="B535" s="4" t="str">
        <f>"15.0405"</f>
        <v>15.0405</v>
      </c>
      <c r="C535" s="4" t="s">
        <v>18238</v>
      </c>
      <c r="D535" s="4" t="s">
        <v>18239</v>
      </c>
      <c r="E535" s="4" t="s">
        <v>11152</v>
      </c>
      <c r="F535" s="4" t="s">
        <v>10476</v>
      </c>
      <c r="H535" s="4" t="s">
        <v>18787</v>
      </c>
    </row>
    <row r="536" spans="1:8" x14ac:dyDescent="0.2">
      <c r="A536" s="4" t="str">
        <f t="shared" si="13"/>
        <v>15</v>
      </c>
      <c r="B536" s="4" t="str">
        <f>"15.0406"</f>
        <v>15.0406</v>
      </c>
      <c r="C536" s="4" t="s">
        <v>18258</v>
      </c>
      <c r="D536" s="4" t="s">
        <v>18239</v>
      </c>
      <c r="E536" s="4" t="s">
        <v>18788</v>
      </c>
      <c r="F536" s="4" t="s">
        <v>18789</v>
      </c>
      <c r="H536" s="4" t="s">
        <v>18787</v>
      </c>
    </row>
    <row r="537" spans="1:8" x14ac:dyDescent="0.2">
      <c r="A537" s="4" t="str">
        <f t="shared" si="13"/>
        <v>15</v>
      </c>
      <c r="B537" s="4" t="str">
        <f>"15.0499"</f>
        <v>15.0499</v>
      </c>
      <c r="C537" s="4" t="s">
        <v>18238</v>
      </c>
      <c r="D537" s="4" t="s">
        <v>18239</v>
      </c>
      <c r="E537" s="4" t="s">
        <v>10477</v>
      </c>
      <c r="F537" s="4" t="s">
        <v>10478</v>
      </c>
      <c r="H537" s="4" t="s">
        <v>18787</v>
      </c>
    </row>
    <row r="538" spans="1:8" x14ac:dyDescent="0.2">
      <c r="A538" s="4" t="str">
        <f t="shared" si="13"/>
        <v>15</v>
      </c>
      <c r="B538" s="4" t="str">
        <f>"15.05"</f>
        <v>15.05</v>
      </c>
      <c r="C538" s="4" t="s">
        <v>18238</v>
      </c>
      <c r="D538" s="4" t="s">
        <v>18239</v>
      </c>
      <c r="E538" s="4" t="s">
        <v>10306</v>
      </c>
      <c r="F538" s="4" t="s">
        <v>18790</v>
      </c>
      <c r="H538" s="4" t="s">
        <v>18787</v>
      </c>
    </row>
    <row r="539" spans="1:8" x14ac:dyDescent="0.2">
      <c r="A539" s="4" t="str">
        <f t="shared" si="13"/>
        <v>15</v>
      </c>
      <c r="B539" s="4" t="str">
        <f>"15.0501"</f>
        <v>15.0501</v>
      </c>
      <c r="C539" s="4" t="s">
        <v>18238</v>
      </c>
      <c r="D539" s="4" t="s">
        <v>18307</v>
      </c>
      <c r="E539" s="4" t="s">
        <v>18791</v>
      </c>
      <c r="F539" s="4" t="s">
        <v>18792</v>
      </c>
      <c r="G539" s="4" t="s">
        <v>18793</v>
      </c>
      <c r="H539" s="4" t="s">
        <v>18794</v>
      </c>
    </row>
    <row r="540" spans="1:8" x14ac:dyDescent="0.2">
      <c r="A540" s="4" t="str">
        <f t="shared" si="13"/>
        <v>15</v>
      </c>
      <c r="B540" s="4" t="str">
        <f>"15.0503"</f>
        <v>15.0503</v>
      </c>
      <c r="C540" s="4" t="s">
        <v>18238</v>
      </c>
      <c r="D540" s="4" t="s">
        <v>18239</v>
      </c>
      <c r="E540" s="4" t="s">
        <v>10482</v>
      </c>
      <c r="F540" s="4" t="s">
        <v>10483</v>
      </c>
      <c r="H540" s="4" t="s">
        <v>18794</v>
      </c>
    </row>
    <row r="541" spans="1:8" x14ac:dyDescent="0.2">
      <c r="A541" s="4" t="str">
        <f t="shared" si="13"/>
        <v>15</v>
      </c>
      <c r="B541" s="4" t="str">
        <f>"15.0505"</f>
        <v>15.0505</v>
      </c>
      <c r="C541" s="4" t="s">
        <v>18238</v>
      </c>
      <c r="D541" s="4" t="s">
        <v>18239</v>
      </c>
      <c r="E541" s="4" t="s">
        <v>10484</v>
      </c>
      <c r="F541" s="4" t="s">
        <v>10485</v>
      </c>
      <c r="H541" s="4" t="s">
        <v>18794</v>
      </c>
    </row>
    <row r="542" spans="1:8" x14ac:dyDescent="0.2">
      <c r="A542" s="4" t="str">
        <f t="shared" si="13"/>
        <v>15</v>
      </c>
      <c r="B542" s="4" t="str">
        <f>"15.0506"</f>
        <v>15.0506</v>
      </c>
      <c r="C542" s="4" t="s">
        <v>18238</v>
      </c>
      <c r="D542" s="4" t="s">
        <v>18239</v>
      </c>
      <c r="E542" s="4" t="s">
        <v>10486</v>
      </c>
      <c r="F542" s="4" t="s">
        <v>10487</v>
      </c>
      <c r="H542" s="4" t="s">
        <v>18794</v>
      </c>
    </row>
    <row r="543" spans="1:8" x14ac:dyDescent="0.2">
      <c r="A543" s="4" t="str">
        <f t="shared" si="13"/>
        <v>15</v>
      </c>
      <c r="B543" s="4" t="str">
        <f>"15.0507"</f>
        <v>15.0507</v>
      </c>
      <c r="C543" s="4" t="s">
        <v>18238</v>
      </c>
      <c r="D543" s="4" t="s">
        <v>18239</v>
      </c>
      <c r="E543" s="4" t="s">
        <v>10488</v>
      </c>
      <c r="F543" s="4" t="s">
        <v>10489</v>
      </c>
      <c r="H543" s="4" t="s">
        <v>18794</v>
      </c>
    </row>
    <row r="544" spans="1:8" x14ac:dyDescent="0.2">
      <c r="A544" s="4" t="str">
        <f t="shared" si="13"/>
        <v>15</v>
      </c>
      <c r="B544" s="4" t="str">
        <f>"15.0508"</f>
        <v>15.0508</v>
      </c>
      <c r="C544" s="4" t="s">
        <v>18238</v>
      </c>
      <c r="D544" s="4" t="s">
        <v>18239</v>
      </c>
      <c r="E544" s="4" t="s">
        <v>10491</v>
      </c>
      <c r="F544" s="4" t="s">
        <v>18795</v>
      </c>
      <c r="H544" s="4" t="s">
        <v>18794</v>
      </c>
    </row>
    <row r="545" spans="1:8" x14ac:dyDescent="0.2">
      <c r="A545" s="4" t="str">
        <f t="shared" si="13"/>
        <v>15</v>
      </c>
      <c r="B545" s="4" t="str">
        <f>"15.0599"</f>
        <v>15.0599</v>
      </c>
      <c r="C545" s="4" t="s">
        <v>18238</v>
      </c>
      <c r="D545" s="4" t="s">
        <v>18239</v>
      </c>
      <c r="E545" s="4" t="s">
        <v>10493</v>
      </c>
      <c r="F545" s="4" t="s">
        <v>10494</v>
      </c>
      <c r="H545" s="4" t="s">
        <v>18794</v>
      </c>
    </row>
    <row r="546" spans="1:8" x14ac:dyDescent="0.2">
      <c r="A546" s="4" t="str">
        <f t="shared" si="13"/>
        <v>15</v>
      </c>
      <c r="B546" s="4" t="str">
        <f>"15.06"</f>
        <v>15.06</v>
      </c>
      <c r="C546" s="4" t="s">
        <v>18238</v>
      </c>
      <c r="D546" s="4" t="s">
        <v>18239</v>
      </c>
      <c r="E546" s="4" t="s">
        <v>10496</v>
      </c>
      <c r="F546" s="4" t="s">
        <v>18796</v>
      </c>
      <c r="H546" s="4" t="s">
        <v>18794</v>
      </c>
    </row>
    <row r="547" spans="1:8" x14ac:dyDescent="0.2">
      <c r="A547" s="4" t="str">
        <f t="shared" si="13"/>
        <v>15</v>
      </c>
      <c r="B547" s="4" t="str">
        <f>"15.0607"</f>
        <v>15.0607</v>
      </c>
      <c r="C547" s="4" t="s">
        <v>18238</v>
      </c>
      <c r="D547" s="4" t="s">
        <v>18307</v>
      </c>
      <c r="E547" s="4" t="s">
        <v>18797</v>
      </c>
      <c r="F547" s="4" t="s">
        <v>10500</v>
      </c>
      <c r="H547" s="4" t="s">
        <v>18794</v>
      </c>
    </row>
    <row r="548" spans="1:8" x14ac:dyDescent="0.2">
      <c r="A548" s="4" t="str">
        <f t="shared" si="13"/>
        <v>15</v>
      </c>
      <c r="B548" s="4" t="str">
        <f>"15.0611"</f>
        <v>15.0611</v>
      </c>
      <c r="C548" s="4" t="s">
        <v>18238</v>
      </c>
      <c r="D548" s="4" t="s">
        <v>18239</v>
      </c>
      <c r="E548" s="4" t="s">
        <v>10388</v>
      </c>
      <c r="F548" s="4" t="s">
        <v>10501</v>
      </c>
      <c r="H548" s="4" t="s">
        <v>18794</v>
      </c>
    </row>
    <row r="549" spans="1:8" x14ac:dyDescent="0.2">
      <c r="A549" s="4" t="str">
        <f t="shared" si="13"/>
        <v>15</v>
      </c>
      <c r="B549" s="4" t="str">
        <f>"15.0612"</f>
        <v>15.0612</v>
      </c>
      <c r="C549" s="4" t="s">
        <v>18238</v>
      </c>
      <c r="D549" s="4" t="s">
        <v>18239</v>
      </c>
      <c r="E549" s="4" t="s">
        <v>10448</v>
      </c>
      <c r="F549" s="4" t="s">
        <v>18798</v>
      </c>
      <c r="H549" s="4" t="s">
        <v>18794</v>
      </c>
    </row>
    <row r="550" spans="1:8" x14ac:dyDescent="0.2">
      <c r="A550" s="4" t="str">
        <f t="shared" si="13"/>
        <v>15</v>
      </c>
      <c r="B550" s="4" t="str">
        <f>"15.0613"</f>
        <v>15.0613</v>
      </c>
      <c r="C550" s="4" t="s">
        <v>18238</v>
      </c>
      <c r="D550" s="4" t="s">
        <v>18307</v>
      </c>
      <c r="E550" s="4" t="s">
        <v>18799</v>
      </c>
      <c r="F550" s="4" t="s">
        <v>18800</v>
      </c>
      <c r="H550" s="4" t="s">
        <v>18794</v>
      </c>
    </row>
    <row r="551" spans="1:8" x14ac:dyDescent="0.2">
      <c r="A551" s="4" t="str">
        <f t="shared" si="13"/>
        <v>15</v>
      </c>
      <c r="B551" s="4" t="str">
        <f>"15.0614"</f>
        <v>15.0614</v>
      </c>
      <c r="C551" s="4" t="s">
        <v>18258</v>
      </c>
      <c r="D551" s="4" t="s">
        <v>18239</v>
      </c>
      <c r="E551" s="4" t="s">
        <v>18801</v>
      </c>
      <c r="F551" s="4" t="s">
        <v>18802</v>
      </c>
      <c r="G551" s="4" t="s">
        <v>18803</v>
      </c>
      <c r="H551" s="4" t="s">
        <v>18794</v>
      </c>
    </row>
    <row r="552" spans="1:8" x14ac:dyDescent="0.2">
      <c r="A552" s="4" t="str">
        <f t="shared" si="13"/>
        <v>15</v>
      </c>
      <c r="B552" s="4" t="str">
        <f>"15.0615"</f>
        <v>15.0615</v>
      </c>
      <c r="C552" s="4" t="s">
        <v>18258</v>
      </c>
      <c r="D552" s="4" t="s">
        <v>18239</v>
      </c>
      <c r="E552" s="4" t="s">
        <v>18804</v>
      </c>
      <c r="F552" s="4" t="s">
        <v>18805</v>
      </c>
      <c r="H552" s="4" t="s">
        <v>18794</v>
      </c>
    </row>
    <row r="553" spans="1:8" x14ac:dyDescent="0.2">
      <c r="A553" s="4" t="str">
        <f t="shared" si="13"/>
        <v>15</v>
      </c>
      <c r="B553" s="4" t="str">
        <f>"15.0616"</f>
        <v>15.0616</v>
      </c>
      <c r="C553" s="4" t="s">
        <v>18258</v>
      </c>
      <c r="D553" s="4" t="s">
        <v>18239</v>
      </c>
      <c r="E553" s="4" t="s">
        <v>18806</v>
      </c>
      <c r="F553" s="4" t="s">
        <v>18807</v>
      </c>
      <c r="H553" s="4" t="s">
        <v>18794</v>
      </c>
    </row>
    <row r="554" spans="1:8" x14ac:dyDescent="0.2">
      <c r="A554" s="4" t="str">
        <f t="shared" si="13"/>
        <v>15</v>
      </c>
      <c r="B554" s="4" t="str">
        <f>"15.0699"</f>
        <v>15.0699</v>
      </c>
      <c r="C554" s="4" t="s">
        <v>18238</v>
      </c>
      <c r="D554" s="4" t="s">
        <v>18239</v>
      </c>
      <c r="E554" s="4" t="s">
        <v>10506</v>
      </c>
      <c r="F554" s="4" t="s">
        <v>10507</v>
      </c>
      <c r="H554" s="4" t="s">
        <v>18794</v>
      </c>
    </row>
    <row r="555" spans="1:8" x14ac:dyDescent="0.2">
      <c r="A555" s="4" t="str">
        <f t="shared" si="13"/>
        <v>15</v>
      </c>
      <c r="B555" s="4" t="str">
        <f>"15.07"</f>
        <v>15.07</v>
      </c>
      <c r="C555" s="4" t="s">
        <v>18238</v>
      </c>
      <c r="D555" s="4" t="s">
        <v>18239</v>
      </c>
      <c r="E555" s="4" t="s">
        <v>10088</v>
      </c>
      <c r="F555" s="4" t="s">
        <v>18808</v>
      </c>
      <c r="H555" s="4" t="s">
        <v>18794</v>
      </c>
    </row>
    <row r="556" spans="1:8" x14ac:dyDescent="0.2">
      <c r="A556" s="4" t="str">
        <f t="shared" si="13"/>
        <v>15</v>
      </c>
      <c r="B556" s="4" t="str">
        <f>"15.0701"</f>
        <v>15.0701</v>
      </c>
      <c r="C556" s="4" t="s">
        <v>18238</v>
      </c>
      <c r="D556" s="4" t="s">
        <v>18239</v>
      </c>
      <c r="E556" s="4" t="s">
        <v>10307</v>
      </c>
      <c r="F556" s="4" t="s">
        <v>10090</v>
      </c>
      <c r="H556" s="4" t="s">
        <v>18794</v>
      </c>
    </row>
    <row r="557" spans="1:8" x14ac:dyDescent="0.2">
      <c r="A557" s="4" t="str">
        <f t="shared" si="13"/>
        <v>15</v>
      </c>
      <c r="B557" s="4" t="str">
        <f>"15.0702"</f>
        <v>15.0702</v>
      </c>
      <c r="C557" s="4" t="s">
        <v>18238</v>
      </c>
      <c r="D557" s="4" t="s">
        <v>18239</v>
      </c>
      <c r="E557" s="4" t="s">
        <v>10091</v>
      </c>
      <c r="F557" s="4" t="s">
        <v>10092</v>
      </c>
      <c r="H557" s="4" t="s">
        <v>18794</v>
      </c>
    </row>
    <row r="558" spans="1:8" x14ac:dyDescent="0.2">
      <c r="A558" s="4" t="str">
        <f t="shared" si="13"/>
        <v>15</v>
      </c>
      <c r="B558" s="4" t="str">
        <f>"15.0703"</f>
        <v>15.0703</v>
      </c>
      <c r="C558" s="4" t="s">
        <v>18238</v>
      </c>
      <c r="D558" s="4" t="s">
        <v>18239</v>
      </c>
      <c r="E558" s="4" t="s">
        <v>10094</v>
      </c>
      <c r="F558" s="4" t="s">
        <v>18809</v>
      </c>
      <c r="H558" s="4" t="s">
        <v>18794</v>
      </c>
    </row>
    <row r="559" spans="1:8" x14ac:dyDescent="0.2">
      <c r="A559" s="4" t="str">
        <f t="shared" si="13"/>
        <v>15</v>
      </c>
      <c r="B559" s="4" t="str">
        <f>"15.0704"</f>
        <v>15.0704</v>
      </c>
      <c r="C559" s="4" t="s">
        <v>18238</v>
      </c>
      <c r="D559" s="4" t="s">
        <v>18239</v>
      </c>
      <c r="E559" s="4" t="s">
        <v>10097</v>
      </c>
      <c r="F559" s="4" t="s">
        <v>18810</v>
      </c>
      <c r="H559" s="4" t="s">
        <v>18794</v>
      </c>
    </row>
    <row r="560" spans="1:8" x14ac:dyDescent="0.2">
      <c r="A560" s="4" t="str">
        <f t="shared" si="13"/>
        <v>15</v>
      </c>
      <c r="B560" s="4" t="str">
        <f>"15.0799"</f>
        <v>15.0799</v>
      </c>
      <c r="C560" s="4" t="s">
        <v>18238</v>
      </c>
      <c r="D560" s="4" t="s">
        <v>18239</v>
      </c>
      <c r="E560" s="4" t="s">
        <v>10099</v>
      </c>
      <c r="F560" s="4" t="s">
        <v>10100</v>
      </c>
      <c r="H560" s="4" t="s">
        <v>18811</v>
      </c>
    </row>
    <row r="561" spans="1:8" x14ac:dyDescent="0.2">
      <c r="A561" s="4" t="str">
        <f t="shared" si="13"/>
        <v>15</v>
      </c>
      <c r="B561" s="4" t="str">
        <f>"15.08"</f>
        <v>15.08</v>
      </c>
      <c r="C561" s="4" t="s">
        <v>18238</v>
      </c>
      <c r="D561" s="4" t="s">
        <v>18239</v>
      </c>
      <c r="E561" s="4" t="s">
        <v>10102</v>
      </c>
      <c r="F561" s="4" t="s">
        <v>18812</v>
      </c>
      <c r="H561" s="4" t="s">
        <v>18811</v>
      </c>
    </row>
    <row r="562" spans="1:8" x14ac:dyDescent="0.2">
      <c r="A562" s="4" t="str">
        <f t="shared" si="13"/>
        <v>15</v>
      </c>
      <c r="B562" s="4" t="str">
        <f>"15.0801"</f>
        <v>15.0801</v>
      </c>
      <c r="C562" s="4" t="s">
        <v>18238</v>
      </c>
      <c r="D562" s="4" t="s">
        <v>18239</v>
      </c>
      <c r="E562" s="4" t="s">
        <v>10292</v>
      </c>
      <c r="F562" s="4" t="s">
        <v>10104</v>
      </c>
      <c r="G562" s="4" t="s">
        <v>18813</v>
      </c>
      <c r="H562" s="4" t="s">
        <v>18811</v>
      </c>
    </row>
    <row r="563" spans="1:8" x14ac:dyDescent="0.2">
      <c r="A563" s="4" t="str">
        <f t="shared" si="13"/>
        <v>15</v>
      </c>
      <c r="B563" s="4" t="str">
        <f>"15.0803"</f>
        <v>15.0803</v>
      </c>
      <c r="C563" s="4" t="s">
        <v>18238</v>
      </c>
      <c r="D563" s="4" t="s">
        <v>18239</v>
      </c>
      <c r="E563" s="4" t="s">
        <v>10106</v>
      </c>
      <c r="F563" s="4" t="s">
        <v>10107</v>
      </c>
      <c r="G563" s="4" t="s">
        <v>18814</v>
      </c>
      <c r="H563" s="4" t="s">
        <v>18811</v>
      </c>
    </row>
    <row r="564" spans="1:8" x14ac:dyDescent="0.2">
      <c r="A564" s="4" t="str">
        <f t="shared" si="13"/>
        <v>15</v>
      </c>
      <c r="B564" s="4" t="str">
        <f>"15.0805"</f>
        <v>15.0805</v>
      </c>
      <c r="C564" s="4" t="s">
        <v>18238</v>
      </c>
      <c r="D564" s="4" t="s">
        <v>18239</v>
      </c>
      <c r="E564" s="4" t="s">
        <v>10109</v>
      </c>
      <c r="F564" s="4" t="s">
        <v>10110</v>
      </c>
      <c r="H564" s="4" t="s">
        <v>18811</v>
      </c>
    </row>
    <row r="565" spans="1:8" x14ac:dyDescent="0.2">
      <c r="A565" s="4" t="str">
        <f t="shared" si="13"/>
        <v>15</v>
      </c>
      <c r="B565" s="4" t="str">
        <f>"15.0899"</f>
        <v>15.0899</v>
      </c>
      <c r="C565" s="4" t="s">
        <v>18238</v>
      </c>
      <c r="D565" s="4" t="s">
        <v>18239</v>
      </c>
      <c r="E565" s="4" t="s">
        <v>10111</v>
      </c>
      <c r="F565" s="4" t="s">
        <v>10112</v>
      </c>
      <c r="H565" s="4" t="s">
        <v>18811</v>
      </c>
    </row>
    <row r="566" spans="1:8" x14ac:dyDescent="0.2">
      <c r="A566" s="4" t="str">
        <f t="shared" si="13"/>
        <v>15</v>
      </c>
      <c r="B566" s="4" t="str">
        <f>"15.09"</f>
        <v>15.09</v>
      </c>
      <c r="C566" s="4" t="s">
        <v>18238</v>
      </c>
      <c r="D566" s="4" t="s">
        <v>18239</v>
      </c>
      <c r="E566" s="4" t="s">
        <v>10114</v>
      </c>
      <c r="F566" s="4" t="s">
        <v>18815</v>
      </c>
      <c r="H566" s="4" t="s">
        <v>18811</v>
      </c>
    </row>
    <row r="567" spans="1:8" x14ac:dyDescent="0.2">
      <c r="A567" s="4" t="str">
        <f t="shared" si="13"/>
        <v>15</v>
      </c>
      <c r="B567" s="4" t="str">
        <f>"15.0901"</f>
        <v>15.0901</v>
      </c>
      <c r="C567" s="4" t="s">
        <v>18238</v>
      </c>
      <c r="D567" s="4" t="s">
        <v>18239</v>
      </c>
      <c r="E567" s="4" t="s">
        <v>10393</v>
      </c>
      <c r="F567" s="4" t="s">
        <v>10116</v>
      </c>
      <c r="H567" s="4" t="s">
        <v>18811</v>
      </c>
    </row>
    <row r="568" spans="1:8" x14ac:dyDescent="0.2">
      <c r="A568" s="4" t="str">
        <f t="shared" si="13"/>
        <v>15</v>
      </c>
      <c r="B568" s="4" t="str">
        <f>"15.0903"</f>
        <v>15.0903</v>
      </c>
      <c r="C568" s="4" t="s">
        <v>18238</v>
      </c>
      <c r="D568" s="4" t="s">
        <v>18239</v>
      </c>
      <c r="E568" s="4" t="s">
        <v>10413</v>
      </c>
      <c r="F568" s="4" t="s">
        <v>10117</v>
      </c>
      <c r="H568" s="4" t="s">
        <v>18811</v>
      </c>
    </row>
    <row r="569" spans="1:8" x14ac:dyDescent="0.2">
      <c r="A569" s="4" t="str">
        <f t="shared" si="13"/>
        <v>15</v>
      </c>
      <c r="B569" s="4" t="str">
        <f>"15.0999"</f>
        <v>15.0999</v>
      </c>
      <c r="C569" s="4" t="s">
        <v>18238</v>
      </c>
      <c r="D569" s="4" t="s">
        <v>18239</v>
      </c>
      <c r="E569" s="4" t="s">
        <v>10118</v>
      </c>
      <c r="F569" s="4" t="s">
        <v>10119</v>
      </c>
      <c r="H569" s="4" t="s">
        <v>18811</v>
      </c>
    </row>
    <row r="570" spans="1:8" x14ac:dyDescent="0.2">
      <c r="A570" s="4" t="str">
        <f t="shared" si="13"/>
        <v>15</v>
      </c>
      <c r="B570" s="4" t="str">
        <f>"15.10"</f>
        <v>15.10</v>
      </c>
      <c r="C570" s="4" t="s">
        <v>18238</v>
      </c>
      <c r="D570" s="4" t="s">
        <v>18239</v>
      </c>
      <c r="E570" s="4" t="s">
        <v>10121</v>
      </c>
      <c r="F570" s="4" t="s">
        <v>10122</v>
      </c>
      <c r="H570" s="4" t="s">
        <v>18811</v>
      </c>
    </row>
    <row r="571" spans="1:8" x14ac:dyDescent="0.2">
      <c r="A571" s="4" t="str">
        <f t="shared" si="13"/>
        <v>15</v>
      </c>
      <c r="B571" s="4" t="str">
        <f>"15.1001"</f>
        <v>15.1001</v>
      </c>
      <c r="C571" s="4" t="s">
        <v>18238</v>
      </c>
      <c r="D571" s="4" t="s">
        <v>18239</v>
      </c>
      <c r="E571" s="4" t="s">
        <v>10328</v>
      </c>
      <c r="F571" s="4" t="s">
        <v>10123</v>
      </c>
      <c r="H571" s="4" t="s">
        <v>18811</v>
      </c>
    </row>
    <row r="572" spans="1:8" x14ac:dyDescent="0.2">
      <c r="A572" s="4" t="str">
        <f t="shared" si="13"/>
        <v>15</v>
      </c>
      <c r="B572" s="4" t="str">
        <f>"15.11"</f>
        <v>15.11</v>
      </c>
      <c r="C572" s="4" t="s">
        <v>18238</v>
      </c>
      <c r="D572" s="4" t="s">
        <v>18239</v>
      </c>
      <c r="E572" s="4" t="s">
        <v>10125</v>
      </c>
      <c r="F572" s="4" t="s">
        <v>18816</v>
      </c>
      <c r="H572" s="4" t="s">
        <v>18811</v>
      </c>
    </row>
    <row r="573" spans="1:8" x14ac:dyDescent="0.2">
      <c r="A573" s="4" t="str">
        <f t="shared" si="13"/>
        <v>15</v>
      </c>
      <c r="B573" s="4" t="str">
        <f>"15.1102"</f>
        <v>15.1102</v>
      </c>
      <c r="C573" s="4" t="s">
        <v>18238</v>
      </c>
      <c r="D573" s="4" t="s">
        <v>18239</v>
      </c>
      <c r="E573" s="4" t="s">
        <v>10129</v>
      </c>
      <c r="F573" s="4" t="s">
        <v>10130</v>
      </c>
      <c r="H573" s="4" t="s">
        <v>18811</v>
      </c>
    </row>
    <row r="574" spans="1:8" x14ac:dyDescent="0.2">
      <c r="A574" s="4" t="str">
        <f t="shared" si="13"/>
        <v>15</v>
      </c>
      <c r="B574" s="4" t="str">
        <f>"15.1103"</f>
        <v>15.1103</v>
      </c>
      <c r="C574" s="4" t="s">
        <v>18238</v>
      </c>
      <c r="D574" s="4" t="s">
        <v>18239</v>
      </c>
      <c r="E574" s="4" t="s">
        <v>10131</v>
      </c>
      <c r="F574" s="4" t="s">
        <v>10132</v>
      </c>
      <c r="H574" s="4" t="s">
        <v>18811</v>
      </c>
    </row>
    <row r="575" spans="1:8" x14ac:dyDescent="0.2">
      <c r="A575" s="4" t="str">
        <f t="shared" si="13"/>
        <v>15</v>
      </c>
      <c r="B575" s="4" t="str">
        <f>"15.1199"</f>
        <v>15.1199</v>
      </c>
      <c r="C575" s="4" t="s">
        <v>18238</v>
      </c>
      <c r="D575" s="4" t="s">
        <v>18239</v>
      </c>
      <c r="E575" s="4" t="s">
        <v>10134</v>
      </c>
      <c r="F575" s="4" t="s">
        <v>18817</v>
      </c>
      <c r="H575" s="4" t="s">
        <v>18811</v>
      </c>
    </row>
    <row r="576" spans="1:8" x14ac:dyDescent="0.2">
      <c r="A576" s="4" t="str">
        <f t="shared" si="13"/>
        <v>15</v>
      </c>
      <c r="B576" s="4" t="str">
        <f>"15.12"</f>
        <v>15.12</v>
      </c>
      <c r="C576" s="4" t="s">
        <v>18238</v>
      </c>
      <c r="D576" s="4" t="s">
        <v>18239</v>
      </c>
      <c r="E576" s="4" t="s">
        <v>10137</v>
      </c>
      <c r="F576" s="4" t="s">
        <v>18818</v>
      </c>
      <c r="H576" s="4" t="s">
        <v>18811</v>
      </c>
    </row>
    <row r="577" spans="1:8" x14ac:dyDescent="0.2">
      <c r="A577" s="4" t="str">
        <f t="shared" si="13"/>
        <v>15</v>
      </c>
      <c r="B577" s="4" t="str">
        <f>"15.1201"</f>
        <v>15.1201</v>
      </c>
      <c r="C577" s="4" t="s">
        <v>18238</v>
      </c>
      <c r="D577" s="4" t="s">
        <v>18239</v>
      </c>
      <c r="E577" s="4" t="s">
        <v>11223</v>
      </c>
      <c r="F577" s="4" t="s">
        <v>18819</v>
      </c>
      <c r="H577" s="4" t="s">
        <v>18811</v>
      </c>
    </row>
    <row r="578" spans="1:8" x14ac:dyDescent="0.2">
      <c r="A578" s="4" t="str">
        <f t="shared" si="13"/>
        <v>15</v>
      </c>
      <c r="B578" s="4" t="str">
        <f>"15.1202"</f>
        <v>15.1202</v>
      </c>
      <c r="C578" s="4" t="s">
        <v>18238</v>
      </c>
      <c r="D578" s="4" t="s">
        <v>18239</v>
      </c>
      <c r="E578" s="4" t="s">
        <v>10339</v>
      </c>
      <c r="F578" s="4" t="s">
        <v>18820</v>
      </c>
      <c r="G578" s="4" t="s">
        <v>18821</v>
      </c>
      <c r="H578" s="4" t="s">
        <v>18811</v>
      </c>
    </row>
    <row r="579" spans="1:8" x14ac:dyDescent="0.2">
      <c r="A579" s="4" t="str">
        <f t="shared" si="13"/>
        <v>15</v>
      </c>
      <c r="B579" s="4" t="str">
        <f>"15.1203"</f>
        <v>15.1203</v>
      </c>
      <c r="C579" s="4" t="s">
        <v>18238</v>
      </c>
      <c r="D579" s="4" t="s">
        <v>18239</v>
      </c>
      <c r="E579" s="4" t="s">
        <v>11156</v>
      </c>
      <c r="F579" s="4" t="s">
        <v>18822</v>
      </c>
      <c r="H579" s="4" t="s">
        <v>18811</v>
      </c>
    </row>
    <row r="580" spans="1:8" x14ac:dyDescent="0.2">
      <c r="A580" s="4" t="str">
        <f t="shared" si="13"/>
        <v>15</v>
      </c>
      <c r="B580" s="4" t="str">
        <f>"15.1204"</f>
        <v>15.1204</v>
      </c>
      <c r="C580" s="4" t="s">
        <v>18238</v>
      </c>
      <c r="D580" s="4" t="s">
        <v>18239</v>
      </c>
      <c r="E580" s="4" t="s">
        <v>10789</v>
      </c>
      <c r="F580" s="4" t="s">
        <v>18823</v>
      </c>
      <c r="H580" s="4" t="s">
        <v>18811</v>
      </c>
    </row>
    <row r="581" spans="1:8" x14ac:dyDescent="0.2">
      <c r="A581" s="4" t="str">
        <f t="shared" si="13"/>
        <v>15</v>
      </c>
      <c r="B581" s="4" t="str">
        <f>"15.1299"</f>
        <v>15.1299</v>
      </c>
      <c r="C581" s="4" t="s">
        <v>18238</v>
      </c>
      <c r="D581" s="4" t="s">
        <v>18239</v>
      </c>
      <c r="E581" s="4" t="s">
        <v>10145</v>
      </c>
      <c r="F581" s="4" t="s">
        <v>18824</v>
      </c>
      <c r="H581" s="4" t="s">
        <v>18811</v>
      </c>
    </row>
    <row r="582" spans="1:8" x14ac:dyDescent="0.2">
      <c r="A582" s="4" t="str">
        <f t="shared" si="13"/>
        <v>15</v>
      </c>
      <c r="B582" s="4" t="str">
        <f>"15.13"</f>
        <v>15.13</v>
      </c>
      <c r="C582" s="4" t="s">
        <v>18238</v>
      </c>
      <c r="D582" s="4" t="s">
        <v>18239</v>
      </c>
      <c r="E582" s="4" t="s">
        <v>10148</v>
      </c>
      <c r="F582" s="4" t="s">
        <v>18825</v>
      </c>
      <c r="H582" s="4" t="s">
        <v>18811</v>
      </c>
    </row>
    <row r="583" spans="1:8" x14ac:dyDescent="0.2">
      <c r="A583" s="4" t="str">
        <f t="shared" ref="A583:A600" si="14">"15"</f>
        <v>15</v>
      </c>
      <c r="B583" s="4" t="str">
        <f>"15.1301"</f>
        <v>15.1301</v>
      </c>
      <c r="C583" s="4" t="s">
        <v>18238</v>
      </c>
      <c r="D583" s="4" t="s">
        <v>18239</v>
      </c>
      <c r="E583" s="4" t="s">
        <v>10151</v>
      </c>
      <c r="F583" s="4" t="s">
        <v>18826</v>
      </c>
      <c r="H583" s="4" t="s">
        <v>18811</v>
      </c>
    </row>
    <row r="584" spans="1:8" x14ac:dyDescent="0.2">
      <c r="A584" s="4" t="str">
        <f t="shared" si="14"/>
        <v>15</v>
      </c>
      <c r="B584" s="4" t="str">
        <f>"15.1302"</f>
        <v>15.1302</v>
      </c>
      <c r="C584" s="4" t="s">
        <v>18238</v>
      </c>
      <c r="D584" s="4" t="s">
        <v>18239</v>
      </c>
      <c r="E584" s="4" t="s">
        <v>10154</v>
      </c>
      <c r="F584" s="4" t="s">
        <v>18827</v>
      </c>
      <c r="H584" s="4" t="s">
        <v>18828</v>
      </c>
    </row>
    <row r="585" spans="1:8" x14ac:dyDescent="0.2">
      <c r="A585" s="4" t="str">
        <f t="shared" si="14"/>
        <v>15</v>
      </c>
      <c r="B585" s="4" t="str">
        <f>"15.1303"</f>
        <v>15.1303</v>
      </c>
      <c r="C585" s="4" t="s">
        <v>18238</v>
      </c>
      <c r="D585" s="4" t="s">
        <v>18239</v>
      </c>
      <c r="E585" s="4" t="s">
        <v>10156</v>
      </c>
      <c r="F585" s="4" t="s">
        <v>18829</v>
      </c>
      <c r="G585" s="4" t="s">
        <v>18830</v>
      </c>
      <c r="H585" s="4" t="s">
        <v>18828</v>
      </c>
    </row>
    <row r="586" spans="1:8" x14ac:dyDescent="0.2">
      <c r="A586" s="4" t="str">
        <f t="shared" si="14"/>
        <v>15</v>
      </c>
      <c r="B586" s="4" t="str">
        <f>"15.1304"</f>
        <v>15.1304</v>
      </c>
      <c r="C586" s="4" t="s">
        <v>18238</v>
      </c>
      <c r="D586" s="4" t="s">
        <v>18239</v>
      </c>
      <c r="E586" s="4" t="s">
        <v>10159</v>
      </c>
      <c r="F586" s="4" t="s">
        <v>18831</v>
      </c>
      <c r="H586" s="4" t="s">
        <v>18828</v>
      </c>
    </row>
    <row r="587" spans="1:8" x14ac:dyDescent="0.2">
      <c r="A587" s="4" t="str">
        <f t="shared" si="14"/>
        <v>15</v>
      </c>
      <c r="B587" s="4" t="str">
        <f>"15.1305"</f>
        <v>15.1305</v>
      </c>
      <c r="C587" s="4" t="s">
        <v>18238</v>
      </c>
      <c r="D587" s="4" t="s">
        <v>18239</v>
      </c>
      <c r="E587" s="4" t="s">
        <v>10162</v>
      </c>
      <c r="F587" s="4" t="s">
        <v>18832</v>
      </c>
      <c r="H587" s="4" t="s">
        <v>18828</v>
      </c>
    </row>
    <row r="588" spans="1:8" x14ac:dyDescent="0.2">
      <c r="A588" s="4" t="str">
        <f t="shared" si="14"/>
        <v>15</v>
      </c>
      <c r="B588" s="4" t="str">
        <f>"15.1306"</f>
        <v>15.1306</v>
      </c>
      <c r="C588" s="4" t="s">
        <v>18238</v>
      </c>
      <c r="D588" s="4" t="s">
        <v>18239</v>
      </c>
      <c r="E588" s="4" t="s">
        <v>10165</v>
      </c>
      <c r="F588" s="4" t="s">
        <v>18833</v>
      </c>
      <c r="H588" s="4" t="s">
        <v>18828</v>
      </c>
    </row>
    <row r="589" spans="1:8" x14ac:dyDescent="0.2">
      <c r="A589" s="4" t="str">
        <f t="shared" si="14"/>
        <v>15</v>
      </c>
      <c r="B589" s="4" t="str">
        <f>"15.1399"</f>
        <v>15.1399</v>
      </c>
      <c r="C589" s="4" t="s">
        <v>18238</v>
      </c>
      <c r="D589" s="4" t="s">
        <v>18239</v>
      </c>
      <c r="E589" s="4" t="s">
        <v>10168</v>
      </c>
      <c r="F589" s="4" t="s">
        <v>18834</v>
      </c>
      <c r="H589" s="4" t="s">
        <v>18828</v>
      </c>
    </row>
    <row r="590" spans="1:8" x14ac:dyDescent="0.2">
      <c r="A590" s="4" t="str">
        <f t="shared" si="14"/>
        <v>15</v>
      </c>
      <c r="B590" s="4" t="str">
        <f>"15.14"</f>
        <v>15.14</v>
      </c>
      <c r="C590" s="4" t="s">
        <v>18238</v>
      </c>
      <c r="D590" s="4" t="s">
        <v>18239</v>
      </c>
      <c r="E590" s="4" t="s">
        <v>10171</v>
      </c>
      <c r="F590" s="4" t="s">
        <v>18835</v>
      </c>
      <c r="H590" s="4" t="s">
        <v>18828</v>
      </c>
    </row>
    <row r="591" spans="1:8" x14ac:dyDescent="0.2">
      <c r="A591" s="4" t="str">
        <f t="shared" si="14"/>
        <v>15</v>
      </c>
      <c r="B591" s="4" t="str">
        <f>"15.1401"</f>
        <v>15.1401</v>
      </c>
      <c r="C591" s="4" t="s">
        <v>18238</v>
      </c>
      <c r="D591" s="4" t="s">
        <v>18239</v>
      </c>
      <c r="E591" s="4" t="s">
        <v>10174</v>
      </c>
      <c r="F591" s="4" t="s">
        <v>18836</v>
      </c>
      <c r="H591" s="4" t="s">
        <v>18828</v>
      </c>
    </row>
    <row r="592" spans="1:8" x14ac:dyDescent="0.2">
      <c r="A592" s="4" t="str">
        <f t="shared" si="14"/>
        <v>15</v>
      </c>
      <c r="B592" s="4" t="str">
        <f>"15.15"</f>
        <v>15.15</v>
      </c>
      <c r="C592" s="4" t="s">
        <v>18238</v>
      </c>
      <c r="D592" s="4" t="s">
        <v>18239</v>
      </c>
      <c r="E592" s="4" t="s">
        <v>10177</v>
      </c>
      <c r="F592" s="4" t="s">
        <v>18837</v>
      </c>
      <c r="H592" s="4" t="s">
        <v>18828</v>
      </c>
    </row>
    <row r="593" spans="1:8" x14ac:dyDescent="0.2">
      <c r="A593" s="4" t="str">
        <f t="shared" si="14"/>
        <v>15</v>
      </c>
      <c r="B593" s="4" t="str">
        <f>"15.1501"</f>
        <v>15.1501</v>
      </c>
      <c r="C593" s="4" t="s">
        <v>18238</v>
      </c>
      <c r="D593" s="4" t="s">
        <v>18239</v>
      </c>
      <c r="E593" s="4" t="s">
        <v>10425</v>
      </c>
      <c r="F593" s="4" t="s">
        <v>18838</v>
      </c>
      <c r="H593" s="4" t="s">
        <v>18828</v>
      </c>
    </row>
    <row r="594" spans="1:8" x14ac:dyDescent="0.2">
      <c r="A594" s="4" t="str">
        <f t="shared" si="14"/>
        <v>15</v>
      </c>
      <c r="B594" s="4" t="str">
        <f>"15.1502"</f>
        <v>15.1502</v>
      </c>
      <c r="C594" s="4" t="s">
        <v>18258</v>
      </c>
      <c r="D594" s="4" t="s">
        <v>18239</v>
      </c>
      <c r="E594" s="4" t="s">
        <v>10422</v>
      </c>
      <c r="F594" s="4" t="s">
        <v>18839</v>
      </c>
      <c r="H594" s="4" t="s">
        <v>18828</v>
      </c>
    </row>
    <row r="595" spans="1:8" x14ac:dyDescent="0.2">
      <c r="A595" s="4" t="str">
        <f t="shared" si="14"/>
        <v>15</v>
      </c>
      <c r="B595" s="4" t="str">
        <f>"15.1503"</f>
        <v>15.1503</v>
      </c>
      <c r="C595" s="4" t="s">
        <v>18258</v>
      </c>
      <c r="D595" s="4" t="s">
        <v>18239</v>
      </c>
      <c r="E595" s="4" t="s">
        <v>18840</v>
      </c>
      <c r="F595" s="4" t="s">
        <v>18841</v>
      </c>
      <c r="H595" s="4" t="s">
        <v>18828</v>
      </c>
    </row>
    <row r="596" spans="1:8" x14ac:dyDescent="0.2">
      <c r="A596" s="4" t="str">
        <f t="shared" si="14"/>
        <v>15</v>
      </c>
      <c r="B596" s="4" t="str">
        <f>"15.1599"</f>
        <v>15.1599</v>
      </c>
      <c r="C596" s="4" t="s">
        <v>18258</v>
      </c>
      <c r="D596" s="4" t="s">
        <v>18239</v>
      </c>
      <c r="E596" s="4" t="s">
        <v>18842</v>
      </c>
      <c r="F596" s="4" t="s">
        <v>18843</v>
      </c>
      <c r="H596" s="4" t="s">
        <v>18828</v>
      </c>
    </row>
    <row r="597" spans="1:8" x14ac:dyDescent="0.2">
      <c r="A597" s="4" t="str">
        <f t="shared" si="14"/>
        <v>15</v>
      </c>
      <c r="B597" s="4" t="str">
        <f>"15.16"</f>
        <v>15.16</v>
      </c>
      <c r="C597" s="4" t="s">
        <v>18258</v>
      </c>
      <c r="D597" s="4" t="s">
        <v>18239</v>
      </c>
      <c r="E597" s="4" t="s">
        <v>18844</v>
      </c>
      <c r="F597" s="4" t="s">
        <v>18845</v>
      </c>
      <c r="H597" s="4" t="s">
        <v>18828</v>
      </c>
    </row>
    <row r="598" spans="1:8" x14ac:dyDescent="0.2">
      <c r="A598" s="4" t="str">
        <f t="shared" si="14"/>
        <v>15</v>
      </c>
      <c r="B598" s="4" t="str">
        <f>"15.1601"</f>
        <v>15.1601</v>
      </c>
      <c r="C598" s="4" t="s">
        <v>18258</v>
      </c>
      <c r="D598" s="4" t="s">
        <v>18239</v>
      </c>
      <c r="E598" s="4" t="s">
        <v>18844</v>
      </c>
      <c r="F598" s="4" t="s">
        <v>18846</v>
      </c>
      <c r="H598" s="4" t="s">
        <v>18847</v>
      </c>
    </row>
    <row r="599" spans="1:8" x14ac:dyDescent="0.2">
      <c r="A599" s="4" t="str">
        <f t="shared" si="14"/>
        <v>15</v>
      </c>
      <c r="B599" s="4" t="str">
        <f>"15.99"</f>
        <v>15.99</v>
      </c>
      <c r="C599" s="4" t="s">
        <v>18238</v>
      </c>
      <c r="D599" s="4" t="s">
        <v>18239</v>
      </c>
      <c r="E599" s="4" t="s">
        <v>10182</v>
      </c>
      <c r="F599" s="4" t="s">
        <v>10183</v>
      </c>
      <c r="H599" s="4" t="s">
        <v>18847</v>
      </c>
    </row>
    <row r="600" spans="1:8" x14ac:dyDescent="0.2">
      <c r="A600" s="4" t="str">
        <f t="shared" si="14"/>
        <v>15</v>
      </c>
      <c r="B600" s="4" t="str">
        <f>"15.9999"</f>
        <v>15.9999</v>
      </c>
      <c r="C600" s="4" t="s">
        <v>18238</v>
      </c>
      <c r="D600" s="4" t="s">
        <v>18307</v>
      </c>
      <c r="E600" s="4" t="s">
        <v>18848</v>
      </c>
      <c r="F600" s="4" t="s">
        <v>18849</v>
      </c>
      <c r="H600" s="4" t="s">
        <v>18850</v>
      </c>
    </row>
    <row r="601" spans="1:8" x14ac:dyDescent="0.2">
      <c r="A601" s="4" t="str">
        <f>"16"</f>
        <v>16</v>
      </c>
      <c r="B601" s="4" t="str">
        <f>"16"</f>
        <v>16</v>
      </c>
      <c r="C601" s="4" t="s">
        <v>18238</v>
      </c>
      <c r="D601" s="4" t="s">
        <v>18239</v>
      </c>
      <c r="E601" s="4" t="s">
        <v>10185</v>
      </c>
      <c r="F601" s="4" t="s">
        <v>18851</v>
      </c>
      <c r="H601" s="4" t="s">
        <v>18850</v>
      </c>
    </row>
    <row r="602" spans="1:8" x14ac:dyDescent="0.2">
      <c r="A602" s="4" t="str">
        <f t="shared" ref="A602:A665" si="15">"16"</f>
        <v>16</v>
      </c>
      <c r="B602" s="4" t="str">
        <f>"16.01"</f>
        <v>16.01</v>
      </c>
      <c r="C602" s="4" t="s">
        <v>18238</v>
      </c>
      <c r="D602" s="4" t="s">
        <v>18239</v>
      </c>
      <c r="E602" s="4" t="s">
        <v>10188</v>
      </c>
      <c r="F602" s="4" t="s">
        <v>18852</v>
      </c>
      <c r="H602" s="4" t="s">
        <v>18850</v>
      </c>
    </row>
    <row r="603" spans="1:8" x14ac:dyDescent="0.2">
      <c r="A603" s="4" t="str">
        <f t="shared" si="15"/>
        <v>16</v>
      </c>
      <c r="B603" s="4" t="str">
        <f>"16.0101"</f>
        <v>16.0101</v>
      </c>
      <c r="C603" s="4" t="s">
        <v>18238</v>
      </c>
      <c r="D603" s="4" t="s">
        <v>18239</v>
      </c>
      <c r="E603" s="4" t="s">
        <v>10654</v>
      </c>
      <c r="F603" s="4" t="s">
        <v>10191</v>
      </c>
      <c r="H603" s="4" t="s">
        <v>18850</v>
      </c>
    </row>
    <row r="604" spans="1:8" x14ac:dyDescent="0.2">
      <c r="A604" s="4" t="str">
        <f t="shared" si="15"/>
        <v>16</v>
      </c>
      <c r="B604" s="4" t="str">
        <f>"16.0102"</f>
        <v>16.0102</v>
      </c>
      <c r="C604" s="4" t="s">
        <v>18238</v>
      </c>
      <c r="D604" s="4" t="s">
        <v>18239</v>
      </c>
      <c r="E604" s="4" t="s">
        <v>10586</v>
      </c>
      <c r="F604" s="4" t="s">
        <v>10192</v>
      </c>
      <c r="G604" s="4" t="s">
        <v>18853</v>
      </c>
      <c r="H604" s="4" t="s">
        <v>18850</v>
      </c>
    </row>
    <row r="605" spans="1:8" x14ac:dyDescent="0.2">
      <c r="A605" s="4" t="str">
        <f t="shared" si="15"/>
        <v>16</v>
      </c>
      <c r="B605" s="4" t="str">
        <f>"16.0103"</f>
        <v>16.0103</v>
      </c>
      <c r="C605" s="4" t="s">
        <v>18238</v>
      </c>
      <c r="D605" s="4" t="s">
        <v>18239</v>
      </c>
      <c r="E605" s="4" t="s">
        <v>10194</v>
      </c>
      <c r="F605" s="4" t="s">
        <v>10195</v>
      </c>
      <c r="G605" s="4" t="s">
        <v>18854</v>
      </c>
      <c r="H605" s="4" t="s">
        <v>18850</v>
      </c>
    </row>
    <row r="606" spans="1:8" x14ac:dyDescent="0.2">
      <c r="A606" s="4" t="str">
        <f t="shared" si="15"/>
        <v>16</v>
      </c>
      <c r="B606" s="4" t="str">
        <f>"16.0104"</f>
        <v>16.0104</v>
      </c>
      <c r="C606" s="4" t="s">
        <v>18238</v>
      </c>
      <c r="D606" s="4" t="s">
        <v>18239</v>
      </c>
      <c r="E606" s="4" t="s">
        <v>10198</v>
      </c>
      <c r="F606" s="4" t="s">
        <v>18855</v>
      </c>
      <c r="G606" s="4" t="s">
        <v>18856</v>
      </c>
      <c r="H606" s="4" t="s">
        <v>18850</v>
      </c>
    </row>
    <row r="607" spans="1:8" x14ac:dyDescent="0.2">
      <c r="A607" s="4" t="str">
        <f t="shared" si="15"/>
        <v>16</v>
      </c>
      <c r="B607" s="4" t="str">
        <f>"16.0105"</f>
        <v>16.0105</v>
      </c>
      <c r="C607" s="4" t="s">
        <v>18258</v>
      </c>
      <c r="D607" s="4" t="s">
        <v>18239</v>
      </c>
      <c r="E607" s="4" t="s">
        <v>18857</v>
      </c>
      <c r="F607" s="4" t="s">
        <v>18858</v>
      </c>
      <c r="H607" s="4" t="s">
        <v>18850</v>
      </c>
    </row>
    <row r="608" spans="1:8" x14ac:dyDescent="0.2">
      <c r="A608" s="4" t="str">
        <f t="shared" si="15"/>
        <v>16</v>
      </c>
      <c r="B608" s="4" t="str">
        <f>"16.0199"</f>
        <v>16.0199</v>
      </c>
      <c r="C608" s="4" t="s">
        <v>18238</v>
      </c>
      <c r="D608" s="4" t="s">
        <v>18239</v>
      </c>
      <c r="E608" s="4" t="s">
        <v>10201</v>
      </c>
      <c r="F608" s="4" t="s">
        <v>18859</v>
      </c>
      <c r="H608" s="4" t="s">
        <v>18850</v>
      </c>
    </row>
    <row r="609" spans="1:8" x14ac:dyDescent="0.2">
      <c r="A609" s="4" t="str">
        <f t="shared" si="15"/>
        <v>16</v>
      </c>
      <c r="B609" s="4" t="str">
        <f>"16.02"</f>
        <v>16.02</v>
      </c>
      <c r="C609" s="4" t="s">
        <v>18238</v>
      </c>
      <c r="D609" s="4" t="s">
        <v>18239</v>
      </c>
      <c r="E609" s="4" t="s">
        <v>11567</v>
      </c>
      <c r="F609" s="4" t="s">
        <v>18860</v>
      </c>
      <c r="H609" s="4" t="s">
        <v>18850</v>
      </c>
    </row>
    <row r="610" spans="1:8" x14ac:dyDescent="0.2">
      <c r="A610" s="4" t="str">
        <f t="shared" si="15"/>
        <v>16</v>
      </c>
      <c r="B610" s="4" t="str">
        <f>"16.0201"</f>
        <v>16.0201</v>
      </c>
      <c r="C610" s="4" t="s">
        <v>18238</v>
      </c>
      <c r="D610" s="4" t="s">
        <v>18307</v>
      </c>
      <c r="E610" s="4" t="s">
        <v>11567</v>
      </c>
      <c r="F610" s="4" t="s">
        <v>18861</v>
      </c>
      <c r="H610" s="4" t="s">
        <v>18850</v>
      </c>
    </row>
    <row r="611" spans="1:8" x14ac:dyDescent="0.2">
      <c r="A611" s="4" t="str">
        <f t="shared" si="15"/>
        <v>16</v>
      </c>
      <c r="B611" s="4" t="str">
        <f>"16.03"</f>
        <v>16.03</v>
      </c>
      <c r="C611" s="4" t="s">
        <v>18238</v>
      </c>
      <c r="D611" s="4" t="s">
        <v>18239</v>
      </c>
      <c r="E611" s="4" t="s">
        <v>11316</v>
      </c>
      <c r="F611" s="4" t="s">
        <v>18862</v>
      </c>
      <c r="H611" s="4" t="s">
        <v>18850</v>
      </c>
    </row>
    <row r="612" spans="1:8" x14ac:dyDescent="0.2">
      <c r="A612" s="4" t="str">
        <f t="shared" si="15"/>
        <v>16</v>
      </c>
      <c r="B612" s="4" t="str">
        <f>"16.0300"</f>
        <v>16.0300</v>
      </c>
      <c r="C612" s="4" t="s">
        <v>18238</v>
      </c>
      <c r="D612" s="4" t="s">
        <v>18307</v>
      </c>
      <c r="E612" s="4" t="s">
        <v>10207</v>
      </c>
      <c r="F612" s="4" t="s">
        <v>18863</v>
      </c>
      <c r="H612" s="4" t="s">
        <v>18850</v>
      </c>
    </row>
    <row r="613" spans="1:8" x14ac:dyDescent="0.2">
      <c r="A613" s="4" t="str">
        <f t="shared" si="15"/>
        <v>16</v>
      </c>
      <c r="B613" s="4" t="str">
        <f>"16.0301"</f>
        <v>16.0301</v>
      </c>
      <c r="C613" s="4" t="s">
        <v>18238</v>
      </c>
      <c r="D613" s="4" t="s">
        <v>18239</v>
      </c>
      <c r="E613" s="4" t="s">
        <v>11408</v>
      </c>
      <c r="F613" s="4" t="s">
        <v>18864</v>
      </c>
      <c r="H613" s="4" t="s">
        <v>18850</v>
      </c>
    </row>
    <row r="614" spans="1:8" x14ac:dyDescent="0.2">
      <c r="A614" s="4" t="str">
        <f t="shared" si="15"/>
        <v>16</v>
      </c>
      <c r="B614" s="4" t="str">
        <f>"16.0302"</f>
        <v>16.0302</v>
      </c>
      <c r="C614" s="4" t="s">
        <v>18238</v>
      </c>
      <c r="D614" s="4" t="s">
        <v>18239</v>
      </c>
      <c r="E614" s="4" t="s">
        <v>11423</v>
      </c>
      <c r="F614" s="4" t="s">
        <v>18865</v>
      </c>
      <c r="H614" s="4" t="s">
        <v>18850</v>
      </c>
    </row>
    <row r="615" spans="1:8" x14ac:dyDescent="0.2">
      <c r="A615" s="4" t="str">
        <f t="shared" si="15"/>
        <v>16</v>
      </c>
      <c r="B615" s="4" t="str">
        <f>"16.0303"</f>
        <v>16.0303</v>
      </c>
      <c r="C615" s="4" t="s">
        <v>18238</v>
      </c>
      <c r="D615" s="4" t="s">
        <v>18239</v>
      </c>
      <c r="E615" s="4" t="s">
        <v>11428</v>
      </c>
      <c r="F615" s="4" t="s">
        <v>18866</v>
      </c>
      <c r="H615" s="4" t="s">
        <v>18850</v>
      </c>
    </row>
    <row r="616" spans="1:8" x14ac:dyDescent="0.2">
      <c r="A616" s="4" t="str">
        <f t="shared" si="15"/>
        <v>16</v>
      </c>
      <c r="B616" s="4" t="str">
        <f>"16.0304"</f>
        <v>16.0304</v>
      </c>
      <c r="C616" s="4" t="s">
        <v>18238</v>
      </c>
      <c r="D616" s="4" t="s">
        <v>18239</v>
      </c>
      <c r="E616" s="4" t="s">
        <v>11441</v>
      </c>
      <c r="F616" s="4" t="s">
        <v>18867</v>
      </c>
      <c r="H616" s="4" t="s">
        <v>18850</v>
      </c>
    </row>
    <row r="617" spans="1:8" x14ac:dyDescent="0.2">
      <c r="A617" s="4" t="str">
        <f t="shared" si="15"/>
        <v>16</v>
      </c>
      <c r="B617" s="4" t="str">
        <f>"16.0399"</f>
        <v>16.0399</v>
      </c>
      <c r="C617" s="4" t="s">
        <v>18238</v>
      </c>
      <c r="D617" s="4" t="s">
        <v>18239</v>
      </c>
      <c r="E617" s="4" t="s">
        <v>10213</v>
      </c>
      <c r="F617" s="4" t="s">
        <v>18868</v>
      </c>
      <c r="H617" s="4" t="s">
        <v>18850</v>
      </c>
    </row>
    <row r="618" spans="1:8" x14ac:dyDescent="0.2">
      <c r="A618" s="4" t="str">
        <f t="shared" si="15"/>
        <v>16</v>
      </c>
      <c r="B618" s="4" t="str">
        <f>"16.04"</f>
        <v>16.04</v>
      </c>
      <c r="C618" s="4" t="s">
        <v>18238</v>
      </c>
      <c r="D618" s="4" t="s">
        <v>18239</v>
      </c>
      <c r="E618" s="4" t="s">
        <v>10215</v>
      </c>
      <c r="F618" s="4" t="s">
        <v>18869</v>
      </c>
      <c r="H618" s="4" t="s">
        <v>18850</v>
      </c>
    </row>
    <row r="619" spans="1:8" x14ac:dyDescent="0.2">
      <c r="A619" s="4" t="str">
        <f t="shared" si="15"/>
        <v>16</v>
      </c>
      <c r="B619" s="4" t="str">
        <f>"16.0400"</f>
        <v>16.0400</v>
      </c>
      <c r="C619" s="4" t="s">
        <v>18238</v>
      </c>
      <c r="D619" s="4" t="s">
        <v>18239</v>
      </c>
      <c r="E619" s="4" t="s">
        <v>10217</v>
      </c>
      <c r="F619" s="4" t="s">
        <v>18870</v>
      </c>
      <c r="H619" s="4" t="s">
        <v>18850</v>
      </c>
    </row>
    <row r="620" spans="1:8" x14ac:dyDescent="0.2">
      <c r="A620" s="4" t="str">
        <f t="shared" si="15"/>
        <v>16</v>
      </c>
      <c r="B620" s="4" t="str">
        <f>"16.0401"</f>
        <v>16.0401</v>
      </c>
      <c r="C620" s="4" t="s">
        <v>18238</v>
      </c>
      <c r="D620" s="4" t="s">
        <v>18307</v>
      </c>
      <c r="E620" s="4" t="s">
        <v>11347</v>
      </c>
      <c r="F620" s="4" t="s">
        <v>18871</v>
      </c>
      <c r="H620" s="4" t="s">
        <v>18850</v>
      </c>
    </row>
    <row r="621" spans="1:8" x14ac:dyDescent="0.2">
      <c r="A621" s="4" t="str">
        <f t="shared" si="15"/>
        <v>16</v>
      </c>
      <c r="B621" s="4" t="str">
        <f>"16.0402"</f>
        <v>16.0402</v>
      </c>
      <c r="C621" s="4" t="s">
        <v>18238</v>
      </c>
      <c r="D621" s="4" t="s">
        <v>18239</v>
      </c>
      <c r="E621" s="4" t="s">
        <v>11365</v>
      </c>
      <c r="F621" s="4" t="s">
        <v>18872</v>
      </c>
      <c r="H621" s="4" t="s">
        <v>18850</v>
      </c>
    </row>
    <row r="622" spans="1:8" x14ac:dyDescent="0.2">
      <c r="A622" s="4" t="str">
        <f t="shared" si="15"/>
        <v>16</v>
      </c>
      <c r="B622" s="4" t="str">
        <f>"16.0404"</f>
        <v>16.0404</v>
      </c>
      <c r="C622" s="4" t="s">
        <v>18238</v>
      </c>
      <c r="D622" s="4" t="s">
        <v>18239</v>
      </c>
      <c r="E622" s="4" t="s">
        <v>10224</v>
      </c>
      <c r="F622" s="4" t="s">
        <v>18873</v>
      </c>
      <c r="H622" s="4" t="s">
        <v>18850</v>
      </c>
    </row>
    <row r="623" spans="1:8" x14ac:dyDescent="0.2">
      <c r="A623" s="4" t="str">
        <f t="shared" si="15"/>
        <v>16</v>
      </c>
      <c r="B623" s="4" t="str">
        <f>"16.0405"</f>
        <v>16.0405</v>
      </c>
      <c r="C623" s="4" t="s">
        <v>18238</v>
      </c>
      <c r="D623" s="4" t="s">
        <v>18239</v>
      </c>
      <c r="E623" s="4" t="s">
        <v>10227</v>
      </c>
      <c r="F623" s="4" t="s">
        <v>18874</v>
      </c>
      <c r="H623" s="4" t="s">
        <v>18850</v>
      </c>
    </row>
    <row r="624" spans="1:8" x14ac:dyDescent="0.2">
      <c r="A624" s="4" t="str">
        <f t="shared" si="15"/>
        <v>16</v>
      </c>
      <c r="B624" s="4" t="str">
        <f>"16.0406"</f>
        <v>16.0406</v>
      </c>
      <c r="C624" s="4" t="s">
        <v>18238</v>
      </c>
      <c r="D624" s="4" t="s">
        <v>18239</v>
      </c>
      <c r="E624" s="4" t="s">
        <v>10229</v>
      </c>
      <c r="F624" s="4" t="s">
        <v>18875</v>
      </c>
      <c r="H624" s="4" t="s">
        <v>18850</v>
      </c>
    </row>
    <row r="625" spans="1:8" x14ac:dyDescent="0.2">
      <c r="A625" s="4" t="str">
        <f t="shared" si="15"/>
        <v>16</v>
      </c>
      <c r="B625" s="4" t="str">
        <f>"16.0407"</f>
        <v>16.0407</v>
      </c>
      <c r="C625" s="4" t="s">
        <v>18238</v>
      </c>
      <c r="D625" s="4" t="s">
        <v>18239</v>
      </c>
      <c r="E625" s="4" t="s">
        <v>11433</v>
      </c>
      <c r="F625" s="4" t="s">
        <v>18876</v>
      </c>
      <c r="H625" s="4" t="s">
        <v>18850</v>
      </c>
    </row>
    <row r="626" spans="1:8" x14ac:dyDescent="0.2">
      <c r="A626" s="4" t="str">
        <f t="shared" si="15"/>
        <v>16</v>
      </c>
      <c r="B626" s="4" t="str">
        <f>"16.0408"</f>
        <v>16.0408</v>
      </c>
      <c r="C626" s="4" t="s">
        <v>18238</v>
      </c>
      <c r="D626" s="4" t="s">
        <v>18307</v>
      </c>
      <c r="E626" s="4" t="s">
        <v>18877</v>
      </c>
      <c r="F626" s="4" t="s">
        <v>18878</v>
      </c>
      <c r="H626" s="4" t="s">
        <v>18850</v>
      </c>
    </row>
    <row r="627" spans="1:8" x14ac:dyDescent="0.2">
      <c r="A627" s="4" t="str">
        <f t="shared" si="15"/>
        <v>16</v>
      </c>
      <c r="B627" s="4" t="str">
        <f>"16.0409"</f>
        <v>16.0409</v>
      </c>
      <c r="C627" s="4" t="s">
        <v>18238</v>
      </c>
      <c r="D627" s="4" t="s">
        <v>18239</v>
      </c>
      <c r="E627" s="4" t="s">
        <v>10236</v>
      </c>
      <c r="F627" s="4" t="s">
        <v>18879</v>
      </c>
      <c r="H627" s="4" t="s">
        <v>18850</v>
      </c>
    </row>
    <row r="628" spans="1:8" x14ac:dyDescent="0.2">
      <c r="A628" s="4" t="str">
        <f t="shared" si="15"/>
        <v>16</v>
      </c>
      <c r="B628" s="4" t="str">
        <f>"16.0410"</f>
        <v>16.0410</v>
      </c>
      <c r="C628" s="4" t="s">
        <v>18238</v>
      </c>
      <c r="D628" s="4" t="s">
        <v>18239</v>
      </c>
      <c r="E628" s="4" t="s">
        <v>11446</v>
      </c>
      <c r="F628" s="4" t="s">
        <v>18880</v>
      </c>
      <c r="H628" s="4" t="s">
        <v>18850</v>
      </c>
    </row>
    <row r="629" spans="1:8" x14ac:dyDescent="0.2">
      <c r="A629" s="4" t="str">
        <f t="shared" si="15"/>
        <v>16</v>
      </c>
      <c r="B629" s="4" t="str">
        <f>"16.0499"</f>
        <v>16.0499</v>
      </c>
      <c r="C629" s="4" t="s">
        <v>18238</v>
      </c>
      <c r="D629" s="4" t="s">
        <v>18239</v>
      </c>
      <c r="E629" s="4" t="s">
        <v>10239</v>
      </c>
      <c r="F629" s="4" t="s">
        <v>18881</v>
      </c>
      <c r="H629" s="4" t="s">
        <v>18850</v>
      </c>
    </row>
    <row r="630" spans="1:8" x14ac:dyDescent="0.2">
      <c r="A630" s="4" t="str">
        <f t="shared" si="15"/>
        <v>16</v>
      </c>
      <c r="B630" s="4" t="str">
        <f>"16.05"</f>
        <v>16.05</v>
      </c>
      <c r="C630" s="4" t="s">
        <v>18238</v>
      </c>
      <c r="D630" s="4" t="s">
        <v>18239</v>
      </c>
      <c r="E630" s="4" t="s">
        <v>11336</v>
      </c>
      <c r="F630" s="4" t="s">
        <v>18882</v>
      </c>
      <c r="H630" s="4" t="s">
        <v>18850</v>
      </c>
    </row>
    <row r="631" spans="1:8" x14ac:dyDescent="0.2">
      <c r="A631" s="4" t="str">
        <f t="shared" si="15"/>
        <v>16</v>
      </c>
      <c r="B631" s="4" t="str">
        <f>"16.0500"</f>
        <v>16.0500</v>
      </c>
      <c r="C631" s="4" t="s">
        <v>18238</v>
      </c>
      <c r="D631" s="4" t="s">
        <v>18239</v>
      </c>
      <c r="E631" s="4" t="s">
        <v>10242</v>
      </c>
      <c r="F631" s="4" t="s">
        <v>18883</v>
      </c>
      <c r="H631" s="4" t="s">
        <v>18850</v>
      </c>
    </row>
    <row r="632" spans="1:8" x14ac:dyDescent="0.2">
      <c r="A632" s="4" t="str">
        <f t="shared" si="15"/>
        <v>16</v>
      </c>
      <c r="B632" s="4" t="str">
        <f>"16.0501"</f>
        <v>16.0501</v>
      </c>
      <c r="C632" s="4" t="s">
        <v>18238</v>
      </c>
      <c r="D632" s="4" t="s">
        <v>18307</v>
      </c>
      <c r="E632" s="4" t="s">
        <v>11415</v>
      </c>
      <c r="F632" s="4" t="s">
        <v>18884</v>
      </c>
      <c r="H632" s="4" t="s">
        <v>18850</v>
      </c>
    </row>
    <row r="633" spans="1:8" x14ac:dyDescent="0.2">
      <c r="A633" s="4" t="str">
        <f t="shared" si="15"/>
        <v>16</v>
      </c>
      <c r="B633" s="4" t="str">
        <f>"16.0502"</f>
        <v>16.0502</v>
      </c>
      <c r="C633" s="4" t="s">
        <v>18238</v>
      </c>
      <c r="D633" s="4" t="s">
        <v>18239</v>
      </c>
      <c r="E633" s="4" t="s">
        <v>11368</v>
      </c>
      <c r="F633" s="4" t="s">
        <v>10245</v>
      </c>
      <c r="H633" s="4" t="s">
        <v>18850</v>
      </c>
    </row>
    <row r="634" spans="1:8" x14ac:dyDescent="0.2">
      <c r="A634" s="4" t="str">
        <f t="shared" si="15"/>
        <v>16</v>
      </c>
      <c r="B634" s="4" t="str">
        <f>"16.0503"</f>
        <v>16.0503</v>
      </c>
      <c r="C634" s="4" t="s">
        <v>18238</v>
      </c>
      <c r="D634" s="4" t="s">
        <v>18307</v>
      </c>
      <c r="E634" s="4" t="s">
        <v>10247</v>
      </c>
      <c r="F634" s="4" t="s">
        <v>18885</v>
      </c>
      <c r="H634" s="4" t="s">
        <v>18850</v>
      </c>
    </row>
    <row r="635" spans="1:8" x14ac:dyDescent="0.2">
      <c r="A635" s="4" t="str">
        <f t="shared" si="15"/>
        <v>16</v>
      </c>
      <c r="B635" s="4" t="str">
        <f>"16.0504"</f>
        <v>16.0504</v>
      </c>
      <c r="C635" s="4" t="s">
        <v>18238</v>
      </c>
      <c r="D635" s="4" t="s">
        <v>18307</v>
      </c>
      <c r="E635" s="4" t="s">
        <v>10250</v>
      </c>
      <c r="F635" s="4" t="s">
        <v>18886</v>
      </c>
      <c r="H635" s="4" t="s">
        <v>18850</v>
      </c>
    </row>
    <row r="636" spans="1:8" x14ac:dyDescent="0.2">
      <c r="A636" s="4" t="str">
        <f t="shared" si="15"/>
        <v>16</v>
      </c>
      <c r="B636" s="4" t="str">
        <f>"16.0505"</f>
        <v>16.0505</v>
      </c>
      <c r="C636" s="4" t="s">
        <v>18238</v>
      </c>
      <c r="D636" s="4" t="s">
        <v>18239</v>
      </c>
      <c r="E636" s="4" t="s">
        <v>10253</v>
      </c>
      <c r="F636" s="4" t="s">
        <v>18887</v>
      </c>
      <c r="H636" s="4" t="s">
        <v>18850</v>
      </c>
    </row>
    <row r="637" spans="1:8" x14ac:dyDescent="0.2">
      <c r="A637" s="4" t="str">
        <f t="shared" si="15"/>
        <v>16</v>
      </c>
      <c r="B637" s="4" t="str">
        <f>"16.0506"</f>
        <v>16.0506</v>
      </c>
      <c r="C637" s="4" t="s">
        <v>18238</v>
      </c>
      <c r="D637" s="4" t="s">
        <v>18307</v>
      </c>
      <c r="E637" s="4" t="s">
        <v>10256</v>
      </c>
      <c r="F637" s="4" t="s">
        <v>18888</v>
      </c>
      <c r="H637" s="4" t="s">
        <v>18850</v>
      </c>
    </row>
    <row r="638" spans="1:8" x14ac:dyDescent="0.2">
      <c r="A638" s="4" t="str">
        <f t="shared" si="15"/>
        <v>16</v>
      </c>
      <c r="B638" s="4" t="str">
        <f>"16.0599"</f>
        <v>16.0599</v>
      </c>
      <c r="C638" s="4" t="s">
        <v>18238</v>
      </c>
      <c r="D638" s="4" t="s">
        <v>18239</v>
      </c>
      <c r="E638" s="4" t="s">
        <v>10258</v>
      </c>
      <c r="F638" s="4" t="s">
        <v>18889</v>
      </c>
      <c r="H638" s="4" t="s">
        <v>18850</v>
      </c>
    </row>
    <row r="639" spans="1:8" x14ac:dyDescent="0.2">
      <c r="A639" s="4" t="str">
        <f t="shared" si="15"/>
        <v>16</v>
      </c>
      <c r="B639" s="4" t="str">
        <f>"16.06"</f>
        <v>16.06</v>
      </c>
      <c r="C639" s="4" t="s">
        <v>18238</v>
      </c>
      <c r="D639" s="4" t="s">
        <v>18239</v>
      </c>
      <c r="E639" s="4" t="s">
        <v>11337</v>
      </c>
      <c r="F639" s="4" t="s">
        <v>10261</v>
      </c>
      <c r="H639" s="4" t="s">
        <v>18850</v>
      </c>
    </row>
    <row r="640" spans="1:8" x14ac:dyDescent="0.2">
      <c r="A640" s="4" t="str">
        <f t="shared" si="15"/>
        <v>16</v>
      </c>
      <c r="B640" s="4" t="str">
        <f>"16.0601"</f>
        <v>16.0601</v>
      </c>
      <c r="C640" s="4" t="s">
        <v>18238</v>
      </c>
      <c r="D640" s="4" t="s">
        <v>18239</v>
      </c>
      <c r="E640" s="4" t="s">
        <v>11337</v>
      </c>
      <c r="F640" s="4" t="s">
        <v>10262</v>
      </c>
      <c r="H640" s="4" t="s">
        <v>18850</v>
      </c>
    </row>
    <row r="641" spans="1:8" x14ac:dyDescent="0.2">
      <c r="A641" s="4" t="str">
        <f t="shared" si="15"/>
        <v>16</v>
      </c>
      <c r="B641" s="4" t="str">
        <f>"16.07"</f>
        <v>16.07</v>
      </c>
      <c r="C641" s="4" t="s">
        <v>18238</v>
      </c>
      <c r="D641" s="4" t="s">
        <v>18239</v>
      </c>
      <c r="E641" s="4" t="s">
        <v>11319</v>
      </c>
      <c r="F641" s="4" t="s">
        <v>10263</v>
      </c>
      <c r="H641" s="4" t="s">
        <v>18850</v>
      </c>
    </row>
    <row r="642" spans="1:8" x14ac:dyDescent="0.2">
      <c r="A642" s="4" t="str">
        <f t="shared" si="15"/>
        <v>16</v>
      </c>
      <c r="B642" s="4" t="str">
        <f>"16.0700"</f>
        <v>16.0700</v>
      </c>
      <c r="C642" s="4" t="s">
        <v>18238</v>
      </c>
      <c r="D642" s="4" t="s">
        <v>18239</v>
      </c>
      <c r="E642" s="4" t="s">
        <v>10264</v>
      </c>
      <c r="F642" s="4" t="s">
        <v>18890</v>
      </c>
      <c r="H642" s="4" t="s">
        <v>18850</v>
      </c>
    </row>
    <row r="643" spans="1:8" x14ac:dyDescent="0.2">
      <c r="A643" s="4" t="str">
        <f t="shared" si="15"/>
        <v>16</v>
      </c>
      <c r="B643" s="4" t="str">
        <f>"16.0701"</f>
        <v>16.0701</v>
      </c>
      <c r="C643" s="4" t="s">
        <v>18238</v>
      </c>
      <c r="D643" s="4" t="s">
        <v>18307</v>
      </c>
      <c r="E643" s="4" t="s">
        <v>10267</v>
      </c>
      <c r="F643" s="4" t="s">
        <v>18891</v>
      </c>
      <c r="H643" s="4" t="s">
        <v>18850</v>
      </c>
    </row>
    <row r="644" spans="1:8" x14ac:dyDescent="0.2">
      <c r="A644" s="4" t="str">
        <f t="shared" si="15"/>
        <v>16</v>
      </c>
      <c r="B644" s="4" t="str">
        <f>"16.0702"</f>
        <v>16.0702</v>
      </c>
      <c r="C644" s="4" t="s">
        <v>18238</v>
      </c>
      <c r="D644" s="4" t="s">
        <v>18239</v>
      </c>
      <c r="E644" s="4" t="s">
        <v>10270</v>
      </c>
      <c r="F644" s="4" t="s">
        <v>18892</v>
      </c>
      <c r="H644" s="4" t="s">
        <v>18850</v>
      </c>
    </row>
    <row r="645" spans="1:8" x14ac:dyDescent="0.2">
      <c r="A645" s="4" t="str">
        <f t="shared" si="15"/>
        <v>16</v>
      </c>
      <c r="B645" s="4" t="str">
        <f>"16.0704"</f>
        <v>16.0704</v>
      </c>
      <c r="C645" s="4" t="s">
        <v>18238</v>
      </c>
      <c r="D645" s="4" t="s">
        <v>18239</v>
      </c>
      <c r="E645" s="4" t="s">
        <v>10276</v>
      </c>
      <c r="F645" s="4" t="s">
        <v>18893</v>
      </c>
      <c r="H645" s="4" t="s">
        <v>18850</v>
      </c>
    </row>
    <row r="646" spans="1:8" x14ac:dyDescent="0.2">
      <c r="A646" s="4" t="str">
        <f t="shared" si="15"/>
        <v>16</v>
      </c>
      <c r="B646" s="4" t="str">
        <f>"16.0705"</f>
        <v>16.0705</v>
      </c>
      <c r="C646" s="4" t="s">
        <v>18238</v>
      </c>
      <c r="D646" s="4" t="s">
        <v>18239</v>
      </c>
      <c r="E646" s="4" t="s">
        <v>10279</v>
      </c>
      <c r="F646" s="4" t="s">
        <v>18894</v>
      </c>
      <c r="H646" s="4" t="s">
        <v>18850</v>
      </c>
    </row>
    <row r="647" spans="1:8" x14ac:dyDescent="0.2">
      <c r="A647" s="4" t="str">
        <f t="shared" si="15"/>
        <v>16</v>
      </c>
      <c r="B647" s="4" t="str">
        <f>"16.0706"</f>
        <v>16.0706</v>
      </c>
      <c r="C647" s="4" t="s">
        <v>18238</v>
      </c>
      <c r="D647" s="4" t="s">
        <v>18239</v>
      </c>
      <c r="E647" s="4" t="s">
        <v>10282</v>
      </c>
      <c r="F647" s="4" t="s">
        <v>18895</v>
      </c>
      <c r="H647" s="4" t="s">
        <v>18850</v>
      </c>
    </row>
    <row r="648" spans="1:8" x14ac:dyDescent="0.2">
      <c r="A648" s="4" t="str">
        <f t="shared" si="15"/>
        <v>16</v>
      </c>
      <c r="B648" s="4" t="str">
        <f>"16.0707"</f>
        <v>16.0707</v>
      </c>
      <c r="C648" s="4" t="s">
        <v>18238</v>
      </c>
      <c r="D648" s="4" t="s">
        <v>18239</v>
      </c>
      <c r="E648" s="4" t="s">
        <v>9845</v>
      </c>
      <c r="F648" s="4" t="s">
        <v>18896</v>
      </c>
      <c r="H648" s="4" t="s">
        <v>18850</v>
      </c>
    </row>
    <row r="649" spans="1:8" x14ac:dyDescent="0.2">
      <c r="A649" s="4" t="str">
        <f t="shared" si="15"/>
        <v>16</v>
      </c>
      <c r="B649" s="4" t="str">
        <f>"16.0799"</f>
        <v>16.0799</v>
      </c>
      <c r="C649" s="4" t="s">
        <v>18238</v>
      </c>
      <c r="D649" s="4" t="s">
        <v>18239</v>
      </c>
      <c r="E649" s="4" t="s">
        <v>9848</v>
      </c>
      <c r="F649" s="4" t="s">
        <v>18897</v>
      </c>
      <c r="H649" s="4" t="s">
        <v>18850</v>
      </c>
    </row>
    <row r="650" spans="1:8" x14ac:dyDescent="0.2">
      <c r="A650" s="4" t="str">
        <f t="shared" si="15"/>
        <v>16</v>
      </c>
      <c r="B650" s="4" t="str">
        <f>"16.08"</f>
        <v>16.08</v>
      </c>
      <c r="C650" s="4" t="s">
        <v>18238</v>
      </c>
      <c r="D650" s="4" t="s">
        <v>18239</v>
      </c>
      <c r="E650" s="4" t="s">
        <v>9851</v>
      </c>
      <c r="F650" s="4" t="s">
        <v>18898</v>
      </c>
      <c r="H650" s="4" t="s">
        <v>18850</v>
      </c>
    </row>
    <row r="651" spans="1:8" x14ac:dyDescent="0.2">
      <c r="A651" s="4" t="str">
        <f t="shared" si="15"/>
        <v>16</v>
      </c>
      <c r="B651" s="4" t="str">
        <f>"16.0801"</f>
        <v>16.0801</v>
      </c>
      <c r="C651" s="4" t="s">
        <v>18238</v>
      </c>
      <c r="D651" s="4" t="s">
        <v>18307</v>
      </c>
      <c r="E651" s="4" t="s">
        <v>18899</v>
      </c>
      <c r="F651" s="4" t="s">
        <v>18900</v>
      </c>
      <c r="H651" s="4" t="s">
        <v>18850</v>
      </c>
    </row>
    <row r="652" spans="1:8" x14ac:dyDescent="0.2">
      <c r="A652" s="4" t="str">
        <f t="shared" si="15"/>
        <v>16</v>
      </c>
      <c r="B652" s="4" t="str">
        <f>"16.09"</f>
        <v>16.09</v>
      </c>
      <c r="C652" s="4" t="s">
        <v>18238</v>
      </c>
      <c r="D652" s="4" t="s">
        <v>18239</v>
      </c>
      <c r="E652" s="4" t="s">
        <v>11340</v>
      </c>
      <c r="F652" s="4" t="s">
        <v>18901</v>
      </c>
      <c r="H652" s="4" t="s">
        <v>18850</v>
      </c>
    </row>
    <row r="653" spans="1:8" x14ac:dyDescent="0.2">
      <c r="A653" s="4" t="str">
        <f t="shared" si="15"/>
        <v>16</v>
      </c>
      <c r="B653" s="4" t="str">
        <f>"16.0900"</f>
        <v>16.0900</v>
      </c>
      <c r="C653" s="4" t="s">
        <v>18238</v>
      </c>
      <c r="D653" s="4" t="s">
        <v>18239</v>
      </c>
      <c r="E653" s="4" t="s">
        <v>9856</v>
      </c>
      <c r="F653" s="4" t="s">
        <v>18902</v>
      </c>
      <c r="H653" s="4" t="s">
        <v>18850</v>
      </c>
    </row>
    <row r="654" spans="1:8" x14ac:dyDescent="0.2">
      <c r="A654" s="4" t="str">
        <f t="shared" si="15"/>
        <v>16</v>
      </c>
      <c r="B654" s="4" t="str">
        <f>"16.0901"</f>
        <v>16.0901</v>
      </c>
      <c r="C654" s="4" t="s">
        <v>18238</v>
      </c>
      <c r="D654" s="4" t="s">
        <v>18239</v>
      </c>
      <c r="E654" s="4" t="s">
        <v>11380</v>
      </c>
      <c r="F654" s="4" t="s">
        <v>18903</v>
      </c>
      <c r="H654" s="4" t="s">
        <v>18850</v>
      </c>
    </row>
    <row r="655" spans="1:8" x14ac:dyDescent="0.2">
      <c r="A655" s="4" t="str">
        <f t="shared" si="15"/>
        <v>16</v>
      </c>
      <c r="B655" s="4" t="str">
        <f>"16.0902"</f>
        <v>16.0902</v>
      </c>
      <c r="C655" s="4" t="s">
        <v>18238</v>
      </c>
      <c r="D655" s="4" t="s">
        <v>18239</v>
      </c>
      <c r="E655" s="4" t="s">
        <v>11419</v>
      </c>
      <c r="F655" s="4" t="s">
        <v>18904</v>
      </c>
      <c r="H655" s="4" t="s">
        <v>18850</v>
      </c>
    </row>
    <row r="656" spans="1:8" x14ac:dyDescent="0.2">
      <c r="A656" s="4" t="str">
        <f t="shared" si="15"/>
        <v>16</v>
      </c>
      <c r="B656" s="4" t="str">
        <f>"16.0904"</f>
        <v>16.0904</v>
      </c>
      <c r="C656" s="4" t="s">
        <v>18238</v>
      </c>
      <c r="D656" s="4" t="s">
        <v>18239</v>
      </c>
      <c r="E656" s="4" t="s">
        <v>9860</v>
      </c>
      <c r="F656" s="4" t="s">
        <v>18905</v>
      </c>
      <c r="H656" s="4" t="s">
        <v>18850</v>
      </c>
    </row>
    <row r="657" spans="1:8" x14ac:dyDescent="0.2">
      <c r="A657" s="4" t="str">
        <f t="shared" si="15"/>
        <v>16</v>
      </c>
      <c r="B657" s="4" t="str">
        <f>"16.0905"</f>
        <v>16.0905</v>
      </c>
      <c r="C657" s="4" t="s">
        <v>18238</v>
      </c>
      <c r="D657" s="4" t="s">
        <v>18239</v>
      </c>
      <c r="E657" s="4" t="s">
        <v>10739</v>
      </c>
      <c r="F657" s="4" t="s">
        <v>18906</v>
      </c>
      <c r="H657" s="4" t="s">
        <v>18850</v>
      </c>
    </row>
    <row r="658" spans="1:8" x14ac:dyDescent="0.2">
      <c r="A658" s="4" t="str">
        <f t="shared" si="15"/>
        <v>16</v>
      </c>
      <c r="B658" s="4" t="str">
        <f>"16.0906"</f>
        <v>16.0906</v>
      </c>
      <c r="C658" s="4" t="s">
        <v>18238</v>
      </c>
      <c r="D658" s="4" t="s">
        <v>18239</v>
      </c>
      <c r="E658" s="4" t="s">
        <v>9864</v>
      </c>
      <c r="F658" s="4" t="s">
        <v>18907</v>
      </c>
      <c r="H658" s="4" t="s">
        <v>18850</v>
      </c>
    </row>
    <row r="659" spans="1:8" x14ac:dyDescent="0.2">
      <c r="A659" s="4" t="str">
        <f t="shared" si="15"/>
        <v>16</v>
      </c>
      <c r="B659" s="4" t="str">
        <f>"16.0907"</f>
        <v>16.0907</v>
      </c>
      <c r="C659" s="4" t="s">
        <v>18238</v>
      </c>
      <c r="D659" s="4" t="s">
        <v>18239</v>
      </c>
      <c r="E659" s="4" t="s">
        <v>9867</v>
      </c>
      <c r="F659" s="4" t="s">
        <v>18908</v>
      </c>
      <c r="H659" s="4" t="s">
        <v>18850</v>
      </c>
    </row>
    <row r="660" spans="1:8" x14ac:dyDescent="0.2">
      <c r="A660" s="4" t="str">
        <f t="shared" si="15"/>
        <v>16</v>
      </c>
      <c r="B660" s="4" t="str">
        <f>"16.0908"</f>
        <v>16.0908</v>
      </c>
      <c r="C660" s="4" t="s">
        <v>18258</v>
      </c>
      <c r="D660" s="4" t="s">
        <v>18239</v>
      </c>
      <c r="E660" s="4" t="s">
        <v>18909</v>
      </c>
      <c r="F660" s="4" t="s">
        <v>18910</v>
      </c>
      <c r="H660" s="4" t="s">
        <v>18850</v>
      </c>
    </row>
    <row r="661" spans="1:8" x14ac:dyDescent="0.2">
      <c r="A661" s="4" t="str">
        <f t="shared" si="15"/>
        <v>16</v>
      </c>
      <c r="B661" s="4" t="str">
        <f>"16.0999"</f>
        <v>16.0999</v>
      </c>
      <c r="C661" s="4" t="s">
        <v>18238</v>
      </c>
      <c r="D661" s="4" t="s">
        <v>18239</v>
      </c>
      <c r="E661" s="4" t="s">
        <v>9869</v>
      </c>
      <c r="F661" s="4" t="s">
        <v>18911</v>
      </c>
      <c r="H661" s="4" t="s">
        <v>18850</v>
      </c>
    </row>
    <row r="662" spans="1:8" x14ac:dyDescent="0.2">
      <c r="A662" s="4" t="str">
        <f t="shared" si="15"/>
        <v>16</v>
      </c>
      <c r="B662" s="4" t="str">
        <f>"16.10"</f>
        <v>16.10</v>
      </c>
      <c r="C662" s="4" t="s">
        <v>18238</v>
      </c>
      <c r="D662" s="4" t="s">
        <v>18239</v>
      </c>
      <c r="E662" s="4" t="s">
        <v>11357</v>
      </c>
      <c r="F662" s="4" t="s">
        <v>18912</v>
      </c>
      <c r="H662" s="4" t="s">
        <v>18850</v>
      </c>
    </row>
    <row r="663" spans="1:8" x14ac:dyDescent="0.2">
      <c r="A663" s="4" t="str">
        <f t="shared" si="15"/>
        <v>16</v>
      </c>
      <c r="B663" s="4" t="str">
        <f>"16.1001"</f>
        <v>16.1001</v>
      </c>
      <c r="C663" s="4" t="s">
        <v>18238</v>
      </c>
      <c r="D663" s="4" t="s">
        <v>18307</v>
      </c>
      <c r="E663" s="4" t="s">
        <v>11357</v>
      </c>
      <c r="F663" s="4" t="s">
        <v>18913</v>
      </c>
      <c r="H663" s="4" t="s">
        <v>18850</v>
      </c>
    </row>
    <row r="664" spans="1:8" x14ac:dyDescent="0.2">
      <c r="A664" s="4" t="str">
        <f t="shared" si="15"/>
        <v>16</v>
      </c>
      <c r="B664" s="4" t="str">
        <f>"16.11"</f>
        <v>16.11</v>
      </c>
      <c r="C664" s="4" t="s">
        <v>18238</v>
      </c>
      <c r="D664" s="4" t="s">
        <v>18239</v>
      </c>
      <c r="E664" s="4" t="s">
        <v>11317</v>
      </c>
      <c r="F664" s="4" t="s">
        <v>18914</v>
      </c>
      <c r="H664" s="4" t="s">
        <v>18850</v>
      </c>
    </row>
    <row r="665" spans="1:8" x14ac:dyDescent="0.2">
      <c r="A665" s="4" t="str">
        <f t="shared" si="15"/>
        <v>16</v>
      </c>
      <c r="B665" s="4" t="str">
        <f>"16.1100"</f>
        <v>16.1100</v>
      </c>
      <c r="C665" s="4" t="s">
        <v>18238</v>
      </c>
      <c r="D665" s="4" t="s">
        <v>18307</v>
      </c>
      <c r="E665" s="4" t="s">
        <v>18915</v>
      </c>
      <c r="F665" s="4" t="s">
        <v>18916</v>
      </c>
      <c r="H665" s="4" t="s">
        <v>18850</v>
      </c>
    </row>
    <row r="666" spans="1:8" x14ac:dyDescent="0.2">
      <c r="A666" s="4" t="str">
        <f t="shared" ref="A666:A700" si="16">"16"</f>
        <v>16</v>
      </c>
      <c r="B666" s="4" t="str">
        <f>"16.1101"</f>
        <v>16.1101</v>
      </c>
      <c r="C666" s="4" t="s">
        <v>18238</v>
      </c>
      <c r="D666" s="4" t="s">
        <v>18307</v>
      </c>
      <c r="E666" s="4" t="s">
        <v>9877</v>
      </c>
      <c r="F666" s="4" t="s">
        <v>18917</v>
      </c>
      <c r="H666" s="4" t="s">
        <v>18850</v>
      </c>
    </row>
    <row r="667" spans="1:8" x14ac:dyDescent="0.2">
      <c r="A667" s="4" t="str">
        <f t="shared" si="16"/>
        <v>16</v>
      </c>
      <c r="B667" s="4" t="str">
        <f>"16.1102"</f>
        <v>16.1102</v>
      </c>
      <c r="C667" s="4" t="s">
        <v>18238</v>
      </c>
      <c r="D667" s="4" t="s">
        <v>18307</v>
      </c>
      <c r="E667" s="4" t="s">
        <v>9879</v>
      </c>
      <c r="F667" s="4" t="s">
        <v>18918</v>
      </c>
      <c r="H667" s="4" t="s">
        <v>18850</v>
      </c>
    </row>
    <row r="668" spans="1:8" x14ac:dyDescent="0.2">
      <c r="A668" s="4" t="str">
        <f t="shared" si="16"/>
        <v>16</v>
      </c>
      <c r="B668" s="4" t="str">
        <f>"16.1103"</f>
        <v>16.1103</v>
      </c>
      <c r="C668" s="4" t="s">
        <v>18238</v>
      </c>
      <c r="D668" s="4" t="s">
        <v>18307</v>
      </c>
      <c r="E668" s="4" t="s">
        <v>9886</v>
      </c>
      <c r="F668" s="4" t="s">
        <v>18919</v>
      </c>
      <c r="H668" s="4" t="s">
        <v>18850</v>
      </c>
    </row>
    <row r="669" spans="1:8" x14ac:dyDescent="0.2">
      <c r="A669" s="4" t="str">
        <f t="shared" si="16"/>
        <v>16</v>
      </c>
      <c r="B669" s="4" t="str">
        <f>"16.1199"</f>
        <v>16.1199</v>
      </c>
      <c r="C669" s="4" t="s">
        <v>18238</v>
      </c>
      <c r="D669" s="4" t="s">
        <v>18239</v>
      </c>
      <c r="E669" s="4" t="s">
        <v>9889</v>
      </c>
      <c r="F669" s="4" t="s">
        <v>18920</v>
      </c>
      <c r="H669" s="4" t="s">
        <v>18850</v>
      </c>
    </row>
    <row r="670" spans="1:8" x14ac:dyDescent="0.2">
      <c r="A670" s="4" t="str">
        <f t="shared" si="16"/>
        <v>16</v>
      </c>
      <c r="B670" s="4" t="str">
        <f>"16.12"</f>
        <v>16.12</v>
      </c>
      <c r="C670" s="4" t="s">
        <v>18238</v>
      </c>
      <c r="D670" s="4" t="s">
        <v>18239</v>
      </c>
      <c r="E670" s="4" t="s">
        <v>9892</v>
      </c>
      <c r="F670" s="4" t="s">
        <v>18921</v>
      </c>
      <c r="H670" s="4" t="s">
        <v>18850</v>
      </c>
    </row>
    <row r="671" spans="1:8" x14ac:dyDescent="0.2">
      <c r="A671" s="4" t="str">
        <f t="shared" si="16"/>
        <v>16</v>
      </c>
      <c r="B671" s="4" t="str">
        <f>"16.1200"</f>
        <v>16.1200</v>
      </c>
      <c r="C671" s="4" t="s">
        <v>18238</v>
      </c>
      <c r="D671" s="4" t="s">
        <v>18239</v>
      </c>
      <c r="E671" s="4" t="s">
        <v>9894</v>
      </c>
      <c r="F671" s="4" t="s">
        <v>18922</v>
      </c>
      <c r="H671" s="4" t="s">
        <v>18850</v>
      </c>
    </row>
    <row r="672" spans="1:8" x14ac:dyDescent="0.2">
      <c r="A672" s="4" t="str">
        <f t="shared" si="16"/>
        <v>16</v>
      </c>
      <c r="B672" s="4" t="str">
        <f>"16.1202"</f>
        <v>16.1202</v>
      </c>
      <c r="C672" s="4" t="s">
        <v>18238</v>
      </c>
      <c r="D672" s="4" t="s">
        <v>18239</v>
      </c>
      <c r="E672" s="4" t="s">
        <v>9901</v>
      </c>
      <c r="F672" s="4" t="s">
        <v>18923</v>
      </c>
      <c r="H672" s="4" t="s">
        <v>18850</v>
      </c>
    </row>
    <row r="673" spans="1:8" x14ac:dyDescent="0.2">
      <c r="A673" s="4" t="str">
        <f t="shared" si="16"/>
        <v>16</v>
      </c>
      <c r="B673" s="4" t="str">
        <f>"16.1203"</f>
        <v>16.1203</v>
      </c>
      <c r="C673" s="4" t="s">
        <v>18238</v>
      </c>
      <c r="D673" s="4" t="s">
        <v>18239</v>
      </c>
      <c r="E673" s="4" t="s">
        <v>9903</v>
      </c>
      <c r="F673" s="4" t="s">
        <v>18924</v>
      </c>
      <c r="H673" s="4" t="s">
        <v>18850</v>
      </c>
    </row>
    <row r="674" spans="1:8" x14ac:dyDescent="0.2">
      <c r="A674" s="4" t="str">
        <f t="shared" si="16"/>
        <v>16</v>
      </c>
      <c r="B674" s="4" t="str">
        <f>"16.1299"</f>
        <v>16.1299</v>
      </c>
      <c r="C674" s="4" t="s">
        <v>18238</v>
      </c>
      <c r="D674" s="4" t="s">
        <v>18239</v>
      </c>
      <c r="E674" s="4" t="s">
        <v>9905</v>
      </c>
      <c r="F674" s="4" t="s">
        <v>18925</v>
      </c>
      <c r="H674" s="4" t="s">
        <v>18850</v>
      </c>
    </row>
    <row r="675" spans="1:8" x14ac:dyDescent="0.2">
      <c r="A675" s="4" t="str">
        <f t="shared" si="16"/>
        <v>16</v>
      </c>
      <c r="B675" s="4" t="str">
        <f>"16.13"</f>
        <v>16.13</v>
      </c>
      <c r="C675" s="4" t="s">
        <v>18238</v>
      </c>
      <c r="D675" s="4" t="s">
        <v>18239</v>
      </c>
      <c r="E675" s="4" t="s">
        <v>11349</v>
      </c>
      <c r="F675" s="4" t="s">
        <v>18926</v>
      </c>
      <c r="H675" s="4" t="s">
        <v>18850</v>
      </c>
    </row>
    <row r="676" spans="1:8" x14ac:dyDescent="0.2">
      <c r="A676" s="4" t="str">
        <f t="shared" si="16"/>
        <v>16</v>
      </c>
      <c r="B676" s="4" t="str">
        <f>"16.1301"</f>
        <v>16.1301</v>
      </c>
      <c r="C676" s="4" t="s">
        <v>18238</v>
      </c>
      <c r="D676" s="4" t="s">
        <v>18307</v>
      </c>
      <c r="E676" s="4" t="s">
        <v>11349</v>
      </c>
      <c r="F676" s="4" t="s">
        <v>18927</v>
      </c>
      <c r="H676" s="4" t="s">
        <v>18850</v>
      </c>
    </row>
    <row r="677" spans="1:8" x14ac:dyDescent="0.2">
      <c r="A677" s="4" t="str">
        <f t="shared" si="16"/>
        <v>16</v>
      </c>
      <c r="B677" s="4" t="str">
        <f>"16.14"</f>
        <v>16.14</v>
      </c>
      <c r="C677" s="4" t="s">
        <v>18238</v>
      </c>
      <c r="D677" s="4" t="s">
        <v>18239</v>
      </c>
      <c r="E677" s="4" t="s">
        <v>11362</v>
      </c>
      <c r="F677" s="4" t="s">
        <v>18928</v>
      </c>
      <c r="H677" s="4" t="s">
        <v>18850</v>
      </c>
    </row>
    <row r="678" spans="1:8" x14ac:dyDescent="0.2">
      <c r="A678" s="4" t="str">
        <f t="shared" si="16"/>
        <v>16</v>
      </c>
      <c r="B678" s="4" t="str">
        <f>"16.1400"</f>
        <v>16.1400</v>
      </c>
      <c r="C678" s="4" t="s">
        <v>18238</v>
      </c>
      <c r="D678" s="4" t="s">
        <v>18307</v>
      </c>
      <c r="E678" s="4" t="s">
        <v>9912</v>
      </c>
      <c r="F678" s="4" t="s">
        <v>18929</v>
      </c>
      <c r="H678" s="4" t="s">
        <v>18850</v>
      </c>
    </row>
    <row r="679" spans="1:8" x14ac:dyDescent="0.2">
      <c r="A679" s="4" t="str">
        <f t="shared" si="16"/>
        <v>16</v>
      </c>
      <c r="B679" s="4" t="str">
        <f>"16.1401"</f>
        <v>16.1401</v>
      </c>
      <c r="C679" s="4" t="s">
        <v>18238</v>
      </c>
      <c r="D679" s="4" t="s">
        <v>18307</v>
      </c>
      <c r="E679" s="4" t="s">
        <v>9915</v>
      </c>
      <c r="F679" s="4" t="s">
        <v>18930</v>
      </c>
      <c r="H679" s="4" t="s">
        <v>18850</v>
      </c>
    </row>
    <row r="680" spans="1:8" x14ac:dyDescent="0.2">
      <c r="A680" s="4" t="str">
        <f t="shared" si="16"/>
        <v>16</v>
      </c>
      <c r="B680" s="4" t="str">
        <f>"16.1402"</f>
        <v>16.1402</v>
      </c>
      <c r="C680" s="4" t="s">
        <v>18238</v>
      </c>
      <c r="D680" s="4" t="s">
        <v>18307</v>
      </c>
      <c r="E680" s="4" t="s">
        <v>18931</v>
      </c>
      <c r="F680" s="4" t="s">
        <v>18932</v>
      </c>
      <c r="H680" s="4" t="s">
        <v>18850</v>
      </c>
    </row>
    <row r="681" spans="1:8" x14ac:dyDescent="0.2">
      <c r="A681" s="4" t="str">
        <f t="shared" si="16"/>
        <v>16</v>
      </c>
      <c r="B681" s="4" t="str">
        <f>"16.1403"</f>
        <v>16.1403</v>
      </c>
      <c r="C681" s="4" t="s">
        <v>18238</v>
      </c>
      <c r="D681" s="4" t="s">
        <v>18239</v>
      </c>
      <c r="E681" s="4" t="s">
        <v>9921</v>
      </c>
      <c r="F681" s="4" t="s">
        <v>18933</v>
      </c>
      <c r="H681" s="4" t="s">
        <v>18850</v>
      </c>
    </row>
    <row r="682" spans="1:8" x14ac:dyDescent="0.2">
      <c r="A682" s="4" t="str">
        <f t="shared" si="16"/>
        <v>16</v>
      </c>
      <c r="B682" s="4" t="str">
        <f>"16.1404"</f>
        <v>16.1404</v>
      </c>
      <c r="C682" s="4" t="s">
        <v>18238</v>
      </c>
      <c r="D682" s="4" t="s">
        <v>18239</v>
      </c>
      <c r="E682" s="4" t="s">
        <v>9924</v>
      </c>
      <c r="F682" s="4" t="s">
        <v>18934</v>
      </c>
      <c r="H682" s="4" t="s">
        <v>18850</v>
      </c>
    </row>
    <row r="683" spans="1:8" x14ac:dyDescent="0.2">
      <c r="A683" s="4" t="str">
        <f t="shared" si="16"/>
        <v>16</v>
      </c>
      <c r="B683" s="4" t="str">
        <f>"16.1405"</f>
        <v>16.1405</v>
      </c>
      <c r="C683" s="4" t="s">
        <v>18238</v>
      </c>
      <c r="D683" s="4" t="s">
        <v>18239</v>
      </c>
      <c r="E683" s="4" t="s">
        <v>9927</v>
      </c>
      <c r="F683" s="4" t="s">
        <v>18935</v>
      </c>
      <c r="H683" s="4" t="s">
        <v>18850</v>
      </c>
    </row>
    <row r="684" spans="1:8" x14ac:dyDescent="0.2">
      <c r="A684" s="4" t="str">
        <f t="shared" si="16"/>
        <v>16</v>
      </c>
      <c r="B684" s="4" t="str">
        <f>"16.1406"</f>
        <v>16.1406</v>
      </c>
      <c r="C684" s="4" t="s">
        <v>18238</v>
      </c>
      <c r="D684" s="4" t="s">
        <v>18239</v>
      </c>
      <c r="E684" s="4" t="s">
        <v>18936</v>
      </c>
      <c r="F684" s="4" t="s">
        <v>18937</v>
      </c>
      <c r="H684" s="4" t="s">
        <v>18850</v>
      </c>
    </row>
    <row r="685" spans="1:8" x14ac:dyDescent="0.2">
      <c r="A685" s="4" t="str">
        <f t="shared" si="16"/>
        <v>16</v>
      </c>
      <c r="B685" s="4" t="str">
        <f>"16.1407"</f>
        <v>16.1407</v>
      </c>
      <c r="C685" s="4" t="s">
        <v>18238</v>
      </c>
      <c r="D685" s="4" t="s">
        <v>18239</v>
      </c>
      <c r="E685" s="4" t="s">
        <v>9933</v>
      </c>
      <c r="F685" s="4" t="s">
        <v>18938</v>
      </c>
      <c r="H685" s="4" t="s">
        <v>18850</v>
      </c>
    </row>
    <row r="686" spans="1:8" x14ac:dyDescent="0.2">
      <c r="A686" s="4" t="str">
        <f t="shared" si="16"/>
        <v>16</v>
      </c>
      <c r="B686" s="4" t="str">
        <f>"16.1408"</f>
        <v>16.1408</v>
      </c>
      <c r="C686" s="4" t="s">
        <v>18238</v>
      </c>
      <c r="D686" s="4" t="s">
        <v>18239</v>
      </c>
      <c r="E686" s="4" t="s">
        <v>9936</v>
      </c>
      <c r="F686" s="4" t="s">
        <v>18939</v>
      </c>
      <c r="H686" s="4" t="s">
        <v>18850</v>
      </c>
    </row>
    <row r="687" spans="1:8" x14ac:dyDescent="0.2">
      <c r="A687" s="4" t="str">
        <f t="shared" si="16"/>
        <v>16</v>
      </c>
      <c r="B687" s="4" t="str">
        <f>"16.1499"</f>
        <v>16.1499</v>
      </c>
      <c r="C687" s="4" t="s">
        <v>18238</v>
      </c>
      <c r="D687" s="4" t="s">
        <v>18239</v>
      </c>
      <c r="E687" s="4" t="s">
        <v>9939</v>
      </c>
      <c r="F687" s="4" t="s">
        <v>18940</v>
      </c>
      <c r="H687" s="4" t="s">
        <v>18850</v>
      </c>
    </row>
    <row r="688" spans="1:8" x14ac:dyDescent="0.2">
      <c r="A688" s="4" t="str">
        <f t="shared" si="16"/>
        <v>16</v>
      </c>
      <c r="B688" s="4" t="str">
        <f>"16.15"</f>
        <v>16.15</v>
      </c>
      <c r="C688" s="4" t="s">
        <v>18238</v>
      </c>
      <c r="D688" s="4" t="s">
        <v>18239</v>
      </c>
      <c r="E688" s="4" t="s">
        <v>18941</v>
      </c>
      <c r="F688" s="4" t="s">
        <v>18942</v>
      </c>
      <c r="H688" s="4" t="s">
        <v>18850</v>
      </c>
    </row>
    <row r="689" spans="1:8" x14ac:dyDescent="0.2">
      <c r="A689" s="4" t="str">
        <f t="shared" si="16"/>
        <v>16</v>
      </c>
      <c r="B689" s="4" t="str">
        <f>"16.1501"</f>
        <v>16.1501</v>
      </c>
      <c r="C689" s="4" t="s">
        <v>18238</v>
      </c>
      <c r="D689" s="4" t="s">
        <v>18239</v>
      </c>
      <c r="E689" s="4" t="s">
        <v>9944</v>
      </c>
      <c r="F689" s="4" t="s">
        <v>18943</v>
      </c>
      <c r="H689" s="4" t="s">
        <v>18850</v>
      </c>
    </row>
    <row r="690" spans="1:8" x14ac:dyDescent="0.2">
      <c r="A690" s="4" t="str">
        <f t="shared" si="16"/>
        <v>16</v>
      </c>
      <c r="B690" s="4" t="str">
        <f>"16.1502"</f>
        <v>16.1502</v>
      </c>
      <c r="C690" s="4" t="s">
        <v>18238</v>
      </c>
      <c r="D690" s="4" t="s">
        <v>18307</v>
      </c>
      <c r="E690" s="4" t="s">
        <v>18944</v>
      </c>
      <c r="F690" s="4" t="s">
        <v>18945</v>
      </c>
      <c r="H690" s="4" t="s">
        <v>18850</v>
      </c>
    </row>
    <row r="691" spans="1:8" x14ac:dyDescent="0.2">
      <c r="A691" s="4" t="str">
        <f t="shared" si="16"/>
        <v>16</v>
      </c>
      <c r="B691" s="4" t="str">
        <f>"16.1503"</f>
        <v>16.1503</v>
      </c>
      <c r="C691" s="4" t="s">
        <v>18238</v>
      </c>
      <c r="D691" s="4" t="s">
        <v>18239</v>
      </c>
      <c r="E691" s="4" t="s">
        <v>9950</v>
      </c>
      <c r="F691" s="4" t="s">
        <v>18946</v>
      </c>
      <c r="H691" s="4" t="s">
        <v>18850</v>
      </c>
    </row>
    <row r="692" spans="1:8" x14ac:dyDescent="0.2">
      <c r="A692" s="4" t="str">
        <f t="shared" si="16"/>
        <v>16</v>
      </c>
      <c r="B692" s="4" t="str">
        <f>"16.1504"</f>
        <v>16.1504</v>
      </c>
      <c r="C692" s="4" t="s">
        <v>18238</v>
      </c>
      <c r="D692" s="4" t="s">
        <v>18239</v>
      </c>
      <c r="E692" s="4" t="s">
        <v>9953</v>
      </c>
      <c r="F692" s="4" t="s">
        <v>18947</v>
      </c>
      <c r="H692" s="4" t="s">
        <v>18850</v>
      </c>
    </row>
    <row r="693" spans="1:8" x14ac:dyDescent="0.2">
      <c r="A693" s="4" t="str">
        <f t="shared" si="16"/>
        <v>16</v>
      </c>
      <c r="B693" s="4" t="str">
        <f>"16.1599"</f>
        <v>16.1599</v>
      </c>
      <c r="C693" s="4" t="s">
        <v>18238</v>
      </c>
      <c r="D693" s="4" t="s">
        <v>18239</v>
      </c>
      <c r="E693" s="4" t="s">
        <v>18948</v>
      </c>
      <c r="F693" s="4" t="s">
        <v>18949</v>
      </c>
      <c r="H693" s="4" t="s">
        <v>18850</v>
      </c>
    </row>
    <row r="694" spans="1:8" x14ac:dyDescent="0.2">
      <c r="A694" s="4" t="str">
        <f t="shared" si="16"/>
        <v>16</v>
      </c>
      <c r="B694" s="4" t="str">
        <f>"16.16"</f>
        <v>16.16</v>
      </c>
      <c r="C694" s="4" t="s">
        <v>18238</v>
      </c>
      <c r="D694" s="4" t="s">
        <v>18239</v>
      </c>
      <c r="E694" s="4" t="s">
        <v>9959</v>
      </c>
      <c r="F694" s="4" t="s">
        <v>18950</v>
      </c>
      <c r="H694" s="4" t="s">
        <v>18850</v>
      </c>
    </row>
    <row r="695" spans="1:8" x14ac:dyDescent="0.2">
      <c r="A695" s="4" t="str">
        <f t="shared" si="16"/>
        <v>16</v>
      </c>
      <c r="B695" s="4" t="str">
        <f>"16.1601"</f>
        <v>16.1601</v>
      </c>
      <c r="C695" s="4" t="s">
        <v>18238</v>
      </c>
      <c r="D695" s="4" t="s">
        <v>18239</v>
      </c>
      <c r="E695" s="4" t="s">
        <v>9962</v>
      </c>
      <c r="F695" s="4" t="s">
        <v>18951</v>
      </c>
      <c r="G695" s="4" t="s">
        <v>18952</v>
      </c>
      <c r="H695" s="4" t="s">
        <v>18850</v>
      </c>
    </row>
    <row r="696" spans="1:8" x14ac:dyDescent="0.2">
      <c r="A696" s="4" t="str">
        <f t="shared" si="16"/>
        <v>16</v>
      </c>
      <c r="B696" s="4" t="str">
        <f>"16.1602"</f>
        <v>16.1602</v>
      </c>
      <c r="C696" s="4" t="s">
        <v>18238</v>
      </c>
      <c r="D696" s="4" t="s">
        <v>18307</v>
      </c>
      <c r="E696" s="4" t="s">
        <v>9965</v>
      </c>
      <c r="F696" s="4" t="s">
        <v>18953</v>
      </c>
      <c r="H696" s="4" t="s">
        <v>18850</v>
      </c>
    </row>
    <row r="697" spans="1:8" x14ac:dyDescent="0.2">
      <c r="A697" s="4" t="str">
        <f t="shared" si="16"/>
        <v>16</v>
      </c>
      <c r="B697" s="4" t="str">
        <f>"16.1603"</f>
        <v>16.1603</v>
      </c>
      <c r="C697" s="4" t="s">
        <v>18238</v>
      </c>
      <c r="D697" s="4" t="s">
        <v>18239</v>
      </c>
      <c r="E697" s="4" t="s">
        <v>9967</v>
      </c>
      <c r="F697" s="4" t="s">
        <v>18954</v>
      </c>
      <c r="H697" s="4" t="s">
        <v>18850</v>
      </c>
    </row>
    <row r="698" spans="1:8" x14ac:dyDescent="0.2">
      <c r="A698" s="4" t="str">
        <f t="shared" si="16"/>
        <v>16</v>
      </c>
      <c r="B698" s="4" t="str">
        <f>"16.1699"</f>
        <v>16.1699</v>
      </c>
      <c r="C698" s="4" t="s">
        <v>18238</v>
      </c>
      <c r="D698" s="4" t="s">
        <v>18239</v>
      </c>
      <c r="E698" s="4" t="s">
        <v>9970</v>
      </c>
      <c r="F698" s="4" t="s">
        <v>18955</v>
      </c>
      <c r="H698" s="4" t="s">
        <v>18850</v>
      </c>
    </row>
    <row r="699" spans="1:8" x14ac:dyDescent="0.2">
      <c r="A699" s="4" t="str">
        <f t="shared" si="16"/>
        <v>16</v>
      </c>
      <c r="B699" s="4" t="str">
        <f>"16.99"</f>
        <v>16.99</v>
      </c>
      <c r="C699" s="4" t="s">
        <v>18238</v>
      </c>
      <c r="D699" s="4" t="s">
        <v>18239</v>
      </c>
      <c r="E699" s="4" t="s">
        <v>9973</v>
      </c>
      <c r="F699" s="4" t="s">
        <v>9974</v>
      </c>
      <c r="H699" s="4" t="s">
        <v>18850</v>
      </c>
    </row>
    <row r="700" spans="1:8" x14ac:dyDescent="0.2">
      <c r="A700" s="4" t="str">
        <f t="shared" si="16"/>
        <v>16</v>
      </c>
      <c r="B700" s="4" t="str">
        <f>"16.9999"</f>
        <v>16.9999</v>
      </c>
      <c r="C700" s="4" t="s">
        <v>18238</v>
      </c>
      <c r="D700" s="4" t="s">
        <v>18239</v>
      </c>
      <c r="E700" s="4" t="s">
        <v>9973</v>
      </c>
      <c r="F700" s="4" t="s">
        <v>18956</v>
      </c>
      <c r="H700" s="4" t="s">
        <v>18850</v>
      </c>
    </row>
    <row r="701" spans="1:8" x14ac:dyDescent="0.2">
      <c r="A701" s="4" t="str">
        <f>"19"</f>
        <v>19</v>
      </c>
      <c r="B701" s="4" t="str">
        <f>"19"</f>
        <v>19</v>
      </c>
      <c r="C701" s="4" t="s">
        <v>18238</v>
      </c>
      <c r="D701" s="4" t="s">
        <v>18239</v>
      </c>
      <c r="E701" s="4" t="s">
        <v>11576</v>
      </c>
      <c r="F701" s="4" t="s">
        <v>18957</v>
      </c>
      <c r="H701" s="4" t="s">
        <v>18850</v>
      </c>
    </row>
    <row r="702" spans="1:8" x14ac:dyDescent="0.2">
      <c r="A702" s="4" t="str">
        <f t="shared" ref="A702:A744" si="17">"19"</f>
        <v>19</v>
      </c>
      <c r="B702" s="4" t="str">
        <f>"19.00"</f>
        <v>19.00</v>
      </c>
      <c r="C702" s="4" t="s">
        <v>18238</v>
      </c>
      <c r="D702" s="4" t="s">
        <v>18239</v>
      </c>
      <c r="E702" s="4" t="s">
        <v>9978</v>
      </c>
      <c r="F702" s="4" t="s">
        <v>18958</v>
      </c>
      <c r="H702" s="4" t="s">
        <v>18850</v>
      </c>
    </row>
    <row r="703" spans="1:8" x14ac:dyDescent="0.2">
      <c r="A703" s="4" t="str">
        <f t="shared" si="17"/>
        <v>19</v>
      </c>
      <c r="B703" s="4" t="str">
        <f>"19.0000"</f>
        <v>19.0000</v>
      </c>
      <c r="C703" s="4" t="s">
        <v>18238</v>
      </c>
      <c r="D703" s="4" t="s">
        <v>18239</v>
      </c>
      <c r="E703" s="4" t="s">
        <v>9978</v>
      </c>
      <c r="F703" s="4" t="s">
        <v>18959</v>
      </c>
      <c r="H703" s="4" t="s">
        <v>18850</v>
      </c>
    </row>
    <row r="704" spans="1:8" x14ac:dyDescent="0.2">
      <c r="A704" s="4" t="str">
        <f t="shared" si="17"/>
        <v>19</v>
      </c>
      <c r="B704" s="4" t="str">
        <f>"19.01"</f>
        <v>19.01</v>
      </c>
      <c r="C704" s="4" t="s">
        <v>18238</v>
      </c>
      <c r="D704" s="4" t="s">
        <v>18239</v>
      </c>
      <c r="E704" s="4" t="s">
        <v>10660</v>
      </c>
      <c r="F704" s="4" t="s">
        <v>9982</v>
      </c>
      <c r="H704" s="4" t="s">
        <v>18850</v>
      </c>
    </row>
    <row r="705" spans="1:8" x14ac:dyDescent="0.2">
      <c r="A705" s="4" t="str">
        <f t="shared" si="17"/>
        <v>19</v>
      </c>
      <c r="B705" s="4" t="str">
        <f>"19.0101"</f>
        <v>19.0101</v>
      </c>
      <c r="C705" s="4" t="s">
        <v>18238</v>
      </c>
      <c r="D705" s="4" t="s">
        <v>18239</v>
      </c>
      <c r="E705" s="4" t="s">
        <v>10660</v>
      </c>
      <c r="F705" s="4" t="s">
        <v>9983</v>
      </c>
      <c r="G705" s="4" t="s">
        <v>18960</v>
      </c>
      <c r="H705" s="4" t="s">
        <v>18850</v>
      </c>
    </row>
    <row r="706" spans="1:8" x14ac:dyDescent="0.2">
      <c r="A706" s="4" t="str">
        <f t="shared" si="17"/>
        <v>19</v>
      </c>
      <c r="B706" s="4" t="str">
        <f>"19.02"</f>
        <v>19.02</v>
      </c>
      <c r="C706" s="4" t="s">
        <v>18238</v>
      </c>
      <c r="D706" s="4" t="s">
        <v>18239</v>
      </c>
      <c r="E706" s="4" t="s">
        <v>9985</v>
      </c>
      <c r="F706" s="4" t="s">
        <v>18961</v>
      </c>
      <c r="H706" s="4" t="s">
        <v>18850</v>
      </c>
    </row>
    <row r="707" spans="1:8" x14ac:dyDescent="0.2">
      <c r="A707" s="4" t="str">
        <f t="shared" si="17"/>
        <v>19</v>
      </c>
      <c r="B707" s="4" t="str">
        <f>"19.0201"</f>
        <v>19.0201</v>
      </c>
      <c r="C707" s="4" t="s">
        <v>18238</v>
      </c>
      <c r="D707" s="4" t="s">
        <v>18239</v>
      </c>
      <c r="E707" s="4" t="s">
        <v>9987</v>
      </c>
      <c r="F707" s="4" t="s">
        <v>9988</v>
      </c>
      <c r="H707" s="4" t="s">
        <v>18850</v>
      </c>
    </row>
    <row r="708" spans="1:8" x14ac:dyDescent="0.2">
      <c r="A708" s="4" t="str">
        <f t="shared" si="17"/>
        <v>19</v>
      </c>
      <c r="B708" s="4" t="str">
        <f>"19.0202"</f>
        <v>19.0202</v>
      </c>
      <c r="C708" s="4" t="s">
        <v>18238</v>
      </c>
      <c r="D708" s="4" t="s">
        <v>18239</v>
      </c>
      <c r="E708" s="4" t="s">
        <v>9989</v>
      </c>
      <c r="F708" s="4" t="s">
        <v>9990</v>
      </c>
      <c r="H708" s="4" t="s">
        <v>18850</v>
      </c>
    </row>
    <row r="709" spans="1:8" x14ac:dyDescent="0.2">
      <c r="A709" s="4" t="str">
        <f t="shared" si="17"/>
        <v>19</v>
      </c>
      <c r="B709" s="4" t="str">
        <f>"19.0203"</f>
        <v>19.0203</v>
      </c>
      <c r="C709" s="4" t="s">
        <v>18238</v>
      </c>
      <c r="D709" s="4" t="s">
        <v>18239</v>
      </c>
      <c r="E709" s="4" t="s">
        <v>9992</v>
      </c>
      <c r="F709" s="4" t="s">
        <v>18962</v>
      </c>
      <c r="H709" s="4" t="s">
        <v>18850</v>
      </c>
    </row>
    <row r="710" spans="1:8" x14ac:dyDescent="0.2">
      <c r="A710" s="4" t="str">
        <f t="shared" si="17"/>
        <v>19</v>
      </c>
      <c r="B710" s="4" t="str">
        <f>"19.0299"</f>
        <v>19.0299</v>
      </c>
      <c r="C710" s="4" t="s">
        <v>18238</v>
      </c>
      <c r="D710" s="4" t="s">
        <v>18239</v>
      </c>
      <c r="E710" s="4" t="s">
        <v>9999</v>
      </c>
      <c r="F710" s="4" t="s">
        <v>18963</v>
      </c>
      <c r="H710" s="4" t="s">
        <v>18850</v>
      </c>
    </row>
    <row r="711" spans="1:8" x14ac:dyDescent="0.2">
      <c r="A711" s="4" t="str">
        <f t="shared" si="17"/>
        <v>19</v>
      </c>
      <c r="B711" s="4" t="str">
        <f>"19.04"</f>
        <v>19.04</v>
      </c>
      <c r="C711" s="4" t="s">
        <v>18238</v>
      </c>
      <c r="D711" s="4" t="s">
        <v>18239</v>
      </c>
      <c r="E711" s="4" t="s">
        <v>10005</v>
      </c>
      <c r="F711" s="4" t="s">
        <v>18964</v>
      </c>
      <c r="H711" s="4" t="s">
        <v>18850</v>
      </c>
    </row>
    <row r="712" spans="1:8" x14ac:dyDescent="0.2">
      <c r="A712" s="4" t="str">
        <f t="shared" si="17"/>
        <v>19</v>
      </c>
      <c r="B712" s="4" t="str">
        <f>"19.0401"</f>
        <v>19.0401</v>
      </c>
      <c r="C712" s="4" t="s">
        <v>18238</v>
      </c>
      <c r="D712" s="4" t="s">
        <v>18239</v>
      </c>
      <c r="E712" s="4" t="s">
        <v>10007</v>
      </c>
      <c r="F712" s="4" t="s">
        <v>10008</v>
      </c>
      <c r="G712" s="4" t="s">
        <v>18965</v>
      </c>
      <c r="H712" s="4" t="s">
        <v>18850</v>
      </c>
    </row>
    <row r="713" spans="1:8" x14ac:dyDescent="0.2">
      <c r="A713" s="4" t="str">
        <f t="shared" si="17"/>
        <v>19</v>
      </c>
      <c r="B713" s="4" t="str">
        <f>"19.0402"</f>
        <v>19.0402</v>
      </c>
      <c r="C713" s="4" t="s">
        <v>18238</v>
      </c>
      <c r="D713" s="4" t="s">
        <v>18239</v>
      </c>
      <c r="E713" s="4" t="s">
        <v>10010</v>
      </c>
      <c r="F713" s="4" t="s">
        <v>10011</v>
      </c>
      <c r="H713" s="4" t="s">
        <v>18850</v>
      </c>
    </row>
    <row r="714" spans="1:8" x14ac:dyDescent="0.2">
      <c r="A714" s="4" t="str">
        <f t="shared" si="17"/>
        <v>19</v>
      </c>
      <c r="B714" s="4" t="str">
        <f>"19.0403"</f>
        <v>19.0403</v>
      </c>
      <c r="C714" s="4" t="s">
        <v>18238</v>
      </c>
      <c r="D714" s="4" t="s">
        <v>18239</v>
      </c>
      <c r="E714" s="4" t="s">
        <v>10014</v>
      </c>
      <c r="F714" s="4" t="s">
        <v>18966</v>
      </c>
      <c r="H714" s="4" t="s">
        <v>18850</v>
      </c>
    </row>
    <row r="715" spans="1:8" x14ac:dyDescent="0.2">
      <c r="A715" s="4" t="str">
        <f t="shared" si="17"/>
        <v>19</v>
      </c>
      <c r="B715" s="4" t="str">
        <f>"19.0499"</f>
        <v>19.0499</v>
      </c>
      <c r="C715" s="4" t="s">
        <v>18238</v>
      </c>
      <c r="D715" s="4" t="s">
        <v>18239</v>
      </c>
      <c r="E715" s="4" t="s">
        <v>10016</v>
      </c>
      <c r="F715" s="4" t="s">
        <v>10017</v>
      </c>
      <c r="H715" s="4" t="s">
        <v>18850</v>
      </c>
    </row>
    <row r="716" spans="1:8" x14ac:dyDescent="0.2">
      <c r="A716" s="4" t="str">
        <f t="shared" si="17"/>
        <v>19</v>
      </c>
      <c r="B716" s="4" t="str">
        <f>"19.05"</f>
        <v>19.05</v>
      </c>
      <c r="C716" s="4" t="s">
        <v>18238</v>
      </c>
      <c r="D716" s="4" t="s">
        <v>18239</v>
      </c>
      <c r="E716" s="4" t="s">
        <v>10019</v>
      </c>
      <c r="F716" s="4" t="s">
        <v>18967</v>
      </c>
      <c r="H716" s="4" t="s">
        <v>18850</v>
      </c>
    </row>
    <row r="717" spans="1:8" x14ac:dyDescent="0.2">
      <c r="A717" s="4" t="str">
        <f t="shared" si="17"/>
        <v>19</v>
      </c>
      <c r="B717" s="4" t="str">
        <f>"19.0501"</f>
        <v>19.0501</v>
      </c>
      <c r="C717" s="4" t="s">
        <v>18238</v>
      </c>
      <c r="D717" s="4" t="s">
        <v>18239</v>
      </c>
      <c r="E717" s="4" t="s">
        <v>10021</v>
      </c>
      <c r="F717" s="4" t="s">
        <v>10022</v>
      </c>
      <c r="G717" s="4" t="s">
        <v>18589</v>
      </c>
      <c r="H717" s="4" t="s">
        <v>18850</v>
      </c>
    </row>
    <row r="718" spans="1:8" x14ac:dyDescent="0.2">
      <c r="A718" s="4" t="str">
        <f t="shared" si="17"/>
        <v>19</v>
      </c>
      <c r="B718" s="4" t="str">
        <f>"19.0504"</f>
        <v>19.0504</v>
      </c>
      <c r="C718" s="4" t="s">
        <v>18238</v>
      </c>
      <c r="D718" s="4" t="s">
        <v>18239</v>
      </c>
      <c r="E718" s="4" t="s">
        <v>11742</v>
      </c>
      <c r="F718" s="4" t="s">
        <v>18968</v>
      </c>
      <c r="G718" s="4" t="s">
        <v>18969</v>
      </c>
      <c r="H718" s="4" t="s">
        <v>18850</v>
      </c>
    </row>
    <row r="719" spans="1:8" x14ac:dyDescent="0.2">
      <c r="A719" s="4" t="str">
        <f t="shared" si="17"/>
        <v>19</v>
      </c>
      <c r="B719" s="4" t="str">
        <f>"19.0505"</f>
        <v>19.0505</v>
      </c>
      <c r="C719" s="4" t="s">
        <v>18238</v>
      </c>
      <c r="D719" s="4" t="s">
        <v>18239</v>
      </c>
      <c r="E719" s="4" t="s">
        <v>10029</v>
      </c>
      <c r="F719" s="4" t="s">
        <v>10030</v>
      </c>
      <c r="H719" s="4" t="s">
        <v>18850</v>
      </c>
    </row>
    <row r="720" spans="1:8" x14ac:dyDescent="0.2">
      <c r="A720" s="4" t="str">
        <f t="shared" si="17"/>
        <v>19</v>
      </c>
      <c r="B720" s="4" t="str">
        <f>"19.0599"</f>
        <v>19.0599</v>
      </c>
      <c r="C720" s="4" t="s">
        <v>18238</v>
      </c>
      <c r="D720" s="4" t="s">
        <v>18239</v>
      </c>
      <c r="E720" s="4" t="s">
        <v>10032</v>
      </c>
      <c r="F720" s="4" t="s">
        <v>10033</v>
      </c>
      <c r="G720" s="4" t="s">
        <v>18970</v>
      </c>
      <c r="H720" s="4" t="s">
        <v>18850</v>
      </c>
    </row>
    <row r="721" spans="1:8" x14ac:dyDescent="0.2">
      <c r="A721" s="4" t="str">
        <f t="shared" si="17"/>
        <v>19</v>
      </c>
      <c r="B721" s="4" t="str">
        <f>"19.06"</f>
        <v>19.06</v>
      </c>
      <c r="C721" s="4" t="s">
        <v>18238</v>
      </c>
      <c r="D721" s="4" t="s">
        <v>18239</v>
      </c>
      <c r="E721" s="4" t="s">
        <v>11519</v>
      </c>
      <c r="F721" s="4" t="s">
        <v>18971</v>
      </c>
      <c r="H721" s="4" t="s">
        <v>18850</v>
      </c>
    </row>
    <row r="722" spans="1:8" x14ac:dyDescent="0.2">
      <c r="A722" s="4" t="str">
        <f t="shared" si="17"/>
        <v>19</v>
      </c>
      <c r="B722" s="4" t="str">
        <f>"19.0601"</f>
        <v>19.0601</v>
      </c>
      <c r="C722" s="4" t="s">
        <v>18238</v>
      </c>
      <c r="D722" s="4" t="s">
        <v>18239</v>
      </c>
      <c r="E722" s="4" t="s">
        <v>10036</v>
      </c>
      <c r="F722" s="4" t="s">
        <v>10037</v>
      </c>
      <c r="G722" s="4" t="s">
        <v>18972</v>
      </c>
      <c r="H722" s="4" t="s">
        <v>18850</v>
      </c>
    </row>
    <row r="723" spans="1:8" x14ac:dyDescent="0.2">
      <c r="A723" s="4" t="str">
        <f t="shared" si="17"/>
        <v>19</v>
      </c>
      <c r="B723" s="4" t="str">
        <f>"19.0604"</f>
        <v>19.0604</v>
      </c>
      <c r="C723" s="4" t="s">
        <v>18238</v>
      </c>
      <c r="D723" s="4" t="s">
        <v>18239</v>
      </c>
      <c r="E723" s="4" t="s">
        <v>10041</v>
      </c>
      <c r="F723" s="4" t="s">
        <v>18973</v>
      </c>
      <c r="G723" s="4" t="s">
        <v>18974</v>
      </c>
      <c r="H723" s="4" t="s">
        <v>18850</v>
      </c>
    </row>
    <row r="724" spans="1:8" x14ac:dyDescent="0.2">
      <c r="A724" s="4" t="str">
        <f t="shared" si="17"/>
        <v>19</v>
      </c>
      <c r="B724" s="4" t="str">
        <f>"19.0605"</f>
        <v>19.0605</v>
      </c>
      <c r="C724" s="4" t="s">
        <v>18238</v>
      </c>
      <c r="D724" s="4" t="s">
        <v>18239</v>
      </c>
      <c r="E724" s="4" t="s">
        <v>10044</v>
      </c>
      <c r="F724" s="4" t="s">
        <v>18975</v>
      </c>
      <c r="H724" s="4" t="s">
        <v>18850</v>
      </c>
    </row>
    <row r="725" spans="1:8" x14ac:dyDescent="0.2">
      <c r="A725" s="4" t="str">
        <f t="shared" si="17"/>
        <v>19</v>
      </c>
      <c r="B725" s="4" t="str">
        <f>"19.0699"</f>
        <v>19.0699</v>
      </c>
      <c r="C725" s="4" t="s">
        <v>18238</v>
      </c>
      <c r="D725" s="4" t="s">
        <v>18239</v>
      </c>
      <c r="E725" s="4" t="s">
        <v>10046</v>
      </c>
      <c r="F725" s="4" t="s">
        <v>10047</v>
      </c>
      <c r="H725" s="4" t="s">
        <v>18850</v>
      </c>
    </row>
    <row r="726" spans="1:8" x14ac:dyDescent="0.2">
      <c r="A726" s="4" t="str">
        <f t="shared" si="17"/>
        <v>19</v>
      </c>
      <c r="B726" s="4" t="str">
        <f>"19.07"</f>
        <v>19.07</v>
      </c>
      <c r="C726" s="4" t="s">
        <v>18238</v>
      </c>
      <c r="D726" s="4" t="s">
        <v>18239</v>
      </c>
      <c r="E726" s="4" t="s">
        <v>10049</v>
      </c>
      <c r="F726" s="4" t="s">
        <v>18976</v>
      </c>
      <c r="H726" s="4" t="s">
        <v>18850</v>
      </c>
    </row>
    <row r="727" spans="1:8" x14ac:dyDescent="0.2">
      <c r="A727" s="4" t="str">
        <f t="shared" si="17"/>
        <v>19</v>
      </c>
      <c r="B727" s="4" t="str">
        <f>"19.0701"</f>
        <v>19.0701</v>
      </c>
      <c r="C727" s="4" t="s">
        <v>18238</v>
      </c>
      <c r="D727" s="4" t="s">
        <v>18239</v>
      </c>
      <c r="E727" s="4" t="s">
        <v>10051</v>
      </c>
      <c r="F727" s="4" t="s">
        <v>10052</v>
      </c>
      <c r="H727" s="4" t="s">
        <v>18850</v>
      </c>
    </row>
    <row r="728" spans="1:8" x14ac:dyDescent="0.2">
      <c r="A728" s="4" t="str">
        <f t="shared" si="17"/>
        <v>19</v>
      </c>
      <c r="B728" s="4" t="str">
        <f>"19.0702"</f>
        <v>19.0702</v>
      </c>
      <c r="C728" s="4" t="s">
        <v>18238</v>
      </c>
      <c r="D728" s="4" t="s">
        <v>18239</v>
      </c>
      <c r="E728" s="4" t="s">
        <v>10054</v>
      </c>
      <c r="F728" s="4" t="s">
        <v>18977</v>
      </c>
      <c r="G728" s="4" t="s">
        <v>18978</v>
      </c>
      <c r="H728" s="4" t="s">
        <v>18850</v>
      </c>
    </row>
    <row r="729" spans="1:8" x14ac:dyDescent="0.2">
      <c r="A729" s="4" t="str">
        <f t="shared" si="17"/>
        <v>19</v>
      </c>
      <c r="B729" s="4" t="str">
        <f>"19.0704"</f>
        <v>19.0704</v>
      </c>
      <c r="C729" s="4" t="s">
        <v>18238</v>
      </c>
      <c r="D729" s="4" t="s">
        <v>18239</v>
      </c>
      <c r="E729" s="4" t="s">
        <v>10059</v>
      </c>
      <c r="F729" s="4" t="s">
        <v>10060</v>
      </c>
      <c r="G729" s="4" t="s">
        <v>18979</v>
      </c>
      <c r="H729" s="4" t="s">
        <v>18850</v>
      </c>
    </row>
    <row r="730" spans="1:8" x14ac:dyDescent="0.2">
      <c r="A730" s="4" t="str">
        <f t="shared" si="17"/>
        <v>19</v>
      </c>
      <c r="B730" s="4" t="str">
        <f>"19.0706"</f>
        <v>19.0706</v>
      </c>
      <c r="C730" s="4" t="s">
        <v>18238</v>
      </c>
      <c r="D730" s="4" t="s">
        <v>18239</v>
      </c>
      <c r="E730" s="4" t="s">
        <v>10065</v>
      </c>
      <c r="F730" s="4" t="s">
        <v>18980</v>
      </c>
      <c r="H730" s="4" t="s">
        <v>18850</v>
      </c>
    </row>
    <row r="731" spans="1:8" x14ac:dyDescent="0.2">
      <c r="A731" s="4" t="str">
        <f t="shared" si="17"/>
        <v>19</v>
      </c>
      <c r="B731" s="4" t="str">
        <f>"19.0707"</f>
        <v>19.0707</v>
      </c>
      <c r="C731" s="4" t="s">
        <v>18238</v>
      </c>
      <c r="D731" s="4" t="s">
        <v>18239</v>
      </c>
      <c r="E731" s="4" t="s">
        <v>10068</v>
      </c>
      <c r="F731" s="4" t="s">
        <v>18981</v>
      </c>
      <c r="H731" s="4" t="s">
        <v>18850</v>
      </c>
    </row>
    <row r="732" spans="1:8" x14ac:dyDescent="0.2">
      <c r="A732" s="4" t="str">
        <f t="shared" si="17"/>
        <v>19</v>
      </c>
      <c r="B732" s="4" t="str">
        <f>"19.0708"</f>
        <v>19.0708</v>
      </c>
      <c r="C732" s="4" t="s">
        <v>18238</v>
      </c>
      <c r="D732" s="4" t="s">
        <v>18239</v>
      </c>
      <c r="E732" s="4" t="s">
        <v>10074</v>
      </c>
      <c r="F732" s="4" t="s">
        <v>18982</v>
      </c>
      <c r="H732" s="4" t="s">
        <v>18850</v>
      </c>
    </row>
    <row r="733" spans="1:8" x14ac:dyDescent="0.2">
      <c r="A733" s="4" t="str">
        <f t="shared" si="17"/>
        <v>19</v>
      </c>
      <c r="B733" s="4" t="str">
        <f>"19.0709"</f>
        <v>19.0709</v>
      </c>
      <c r="C733" s="4" t="s">
        <v>18238</v>
      </c>
      <c r="D733" s="4" t="s">
        <v>18239</v>
      </c>
      <c r="E733" s="4" t="s">
        <v>10077</v>
      </c>
      <c r="F733" s="4" t="s">
        <v>18983</v>
      </c>
      <c r="H733" s="4" t="s">
        <v>18850</v>
      </c>
    </row>
    <row r="734" spans="1:8" x14ac:dyDescent="0.2">
      <c r="A734" s="4" t="str">
        <f t="shared" si="17"/>
        <v>19</v>
      </c>
      <c r="B734" s="4" t="str">
        <f>"19.0710"</f>
        <v>19.0710</v>
      </c>
      <c r="C734" s="4" t="s">
        <v>18258</v>
      </c>
      <c r="D734" s="4" t="s">
        <v>18239</v>
      </c>
      <c r="E734" s="4" t="s">
        <v>18984</v>
      </c>
      <c r="F734" s="4" t="s">
        <v>18985</v>
      </c>
      <c r="H734" s="4" t="s">
        <v>18850</v>
      </c>
    </row>
    <row r="735" spans="1:8" x14ac:dyDescent="0.2">
      <c r="A735" s="4" t="str">
        <f t="shared" si="17"/>
        <v>19</v>
      </c>
      <c r="B735" s="4" t="str">
        <f>"19.0799"</f>
        <v>19.0799</v>
      </c>
      <c r="C735" s="4" t="s">
        <v>18238</v>
      </c>
      <c r="D735" s="4" t="s">
        <v>18239</v>
      </c>
      <c r="E735" s="4" t="s">
        <v>10079</v>
      </c>
      <c r="F735" s="4" t="s">
        <v>10080</v>
      </c>
      <c r="H735" s="4" t="s">
        <v>18850</v>
      </c>
    </row>
    <row r="736" spans="1:8" x14ac:dyDescent="0.2">
      <c r="A736" s="4" t="str">
        <f t="shared" si="17"/>
        <v>19</v>
      </c>
      <c r="B736" s="4" t="str">
        <f>"19.09"</f>
        <v>19.09</v>
      </c>
      <c r="C736" s="4" t="s">
        <v>18238</v>
      </c>
      <c r="D736" s="4" t="s">
        <v>18239</v>
      </c>
      <c r="E736" s="4" t="s">
        <v>10082</v>
      </c>
      <c r="F736" s="4" t="s">
        <v>18986</v>
      </c>
      <c r="H736" s="4" t="s">
        <v>18850</v>
      </c>
    </row>
    <row r="737" spans="1:8" x14ac:dyDescent="0.2">
      <c r="A737" s="4" t="str">
        <f t="shared" si="17"/>
        <v>19</v>
      </c>
      <c r="B737" s="4" t="str">
        <f>"19.0901"</f>
        <v>19.0901</v>
      </c>
      <c r="C737" s="4" t="s">
        <v>18238</v>
      </c>
      <c r="D737" s="4" t="s">
        <v>18239</v>
      </c>
      <c r="E737" s="4" t="s">
        <v>10085</v>
      </c>
      <c r="F737" s="4" t="s">
        <v>10086</v>
      </c>
      <c r="H737" s="4" t="s">
        <v>18850</v>
      </c>
    </row>
    <row r="738" spans="1:8" x14ac:dyDescent="0.2">
      <c r="A738" s="4" t="str">
        <f t="shared" si="17"/>
        <v>19</v>
      </c>
      <c r="B738" s="4" t="str">
        <f>"19.0902"</f>
        <v>19.0902</v>
      </c>
      <c r="C738" s="4" t="s">
        <v>18238</v>
      </c>
      <c r="D738" s="4" t="s">
        <v>18239</v>
      </c>
      <c r="E738" s="4" t="s">
        <v>10087</v>
      </c>
      <c r="F738" s="4" t="s">
        <v>18987</v>
      </c>
      <c r="G738" s="4" t="s">
        <v>18988</v>
      </c>
      <c r="H738" s="4" t="s">
        <v>18850</v>
      </c>
    </row>
    <row r="739" spans="1:8" x14ac:dyDescent="0.2">
      <c r="A739" s="4" t="str">
        <f t="shared" si="17"/>
        <v>19</v>
      </c>
      <c r="B739" s="4" t="str">
        <f>"19.0904"</f>
        <v>19.0904</v>
      </c>
      <c r="C739" s="4" t="s">
        <v>18238</v>
      </c>
      <c r="D739" s="4" t="s">
        <v>18239</v>
      </c>
      <c r="E739" s="4" t="s">
        <v>9584</v>
      </c>
      <c r="F739" s="4" t="s">
        <v>18989</v>
      </c>
      <c r="G739" s="4" t="s">
        <v>18990</v>
      </c>
      <c r="H739" s="4" t="s">
        <v>18850</v>
      </c>
    </row>
    <row r="740" spans="1:8" x14ac:dyDescent="0.2">
      <c r="A740" s="4" t="str">
        <f t="shared" si="17"/>
        <v>19</v>
      </c>
      <c r="B740" s="4" t="str">
        <f>"19.0905"</f>
        <v>19.0905</v>
      </c>
      <c r="C740" s="4" t="s">
        <v>18238</v>
      </c>
      <c r="D740" s="4" t="s">
        <v>18239</v>
      </c>
      <c r="E740" s="4" t="s">
        <v>9587</v>
      </c>
      <c r="F740" s="4" t="s">
        <v>18991</v>
      </c>
      <c r="G740" s="4" t="s">
        <v>18992</v>
      </c>
      <c r="H740" s="4" t="s">
        <v>18850</v>
      </c>
    </row>
    <row r="741" spans="1:8" x14ac:dyDescent="0.2">
      <c r="A741" s="4" t="str">
        <f t="shared" si="17"/>
        <v>19</v>
      </c>
      <c r="B741" s="4" t="str">
        <f>"19.0906"</f>
        <v>19.0906</v>
      </c>
      <c r="C741" s="4" t="s">
        <v>18238</v>
      </c>
      <c r="D741" s="4" t="s">
        <v>18239</v>
      </c>
      <c r="E741" s="4" t="s">
        <v>9592</v>
      </c>
      <c r="F741" s="4" t="s">
        <v>18993</v>
      </c>
      <c r="H741" s="4" t="s">
        <v>18850</v>
      </c>
    </row>
    <row r="742" spans="1:8" x14ac:dyDescent="0.2">
      <c r="A742" s="4" t="str">
        <f t="shared" si="17"/>
        <v>19</v>
      </c>
      <c r="B742" s="4" t="str">
        <f>"19.0999"</f>
        <v>19.0999</v>
      </c>
      <c r="C742" s="4" t="s">
        <v>18238</v>
      </c>
      <c r="D742" s="4" t="s">
        <v>18239</v>
      </c>
      <c r="E742" s="4" t="s">
        <v>9595</v>
      </c>
      <c r="F742" s="4" t="s">
        <v>18994</v>
      </c>
      <c r="H742" s="4" t="s">
        <v>18850</v>
      </c>
    </row>
    <row r="743" spans="1:8" x14ac:dyDescent="0.2">
      <c r="A743" s="4" t="str">
        <f t="shared" si="17"/>
        <v>19</v>
      </c>
      <c r="B743" s="4" t="str">
        <f>"19.99"</f>
        <v>19.99</v>
      </c>
      <c r="C743" s="4" t="s">
        <v>18238</v>
      </c>
      <c r="D743" s="4" t="s">
        <v>18239</v>
      </c>
      <c r="E743" s="4" t="s">
        <v>9598</v>
      </c>
      <c r="F743" s="4" t="s">
        <v>9599</v>
      </c>
      <c r="H743" s="4" t="s">
        <v>18850</v>
      </c>
    </row>
    <row r="744" spans="1:8" x14ac:dyDescent="0.2">
      <c r="A744" s="4" t="str">
        <f t="shared" si="17"/>
        <v>19</v>
      </c>
      <c r="B744" s="4" t="str">
        <f>"19.9999"</f>
        <v>19.9999</v>
      </c>
      <c r="C744" s="4" t="s">
        <v>18238</v>
      </c>
      <c r="D744" s="4" t="s">
        <v>18239</v>
      </c>
      <c r="E744" s="4" t="s">
        <v>9598</v>
      </c>
      <c r="F744" s="4" t="s">
        <v>9600</v>
      </c>
      <c r="H744" s="4" t="s">
        <v>18850</v>
      </c>
    </row>
    <row r="745" spans="1:8" x14ac:dyDescent="0.2">
      <c r="A745" s="4" t="str">
        <f>"21"</f>
        <v>21</v>
      </c>
      <c r="B745" s="4" t="str">
        <f>"21"</f>
        <v>21</v>
      </c>
      <c r="C745" s="4" t="s">
        <v>6584</v>
      </c>
      <c r="D745" s="4" t="s">
        <v>18239</v>
      </c>
      <c r="E745" s="4" t="s">
        <v>7156</v>
      </c>
      <c r="F745" s="4" t="s">
        <v>6584</v>
      </c>
      <c r="H745" s="4" t="s">
        <v>18850</v>
      </c>
    </row>
    <row r="746" spans="1:8" x14ac:dyDescent="0.2">
      <c r="A746" s="4" t="str">
        <f>"21"</f>
        <v>21</v>
      </c>
      <c r="B746" s="4" t="str">
        <f>"21.01"</f>
        <v>21.01</v>
      </c>
      <c r="C746" s="4" t="s">
        <v>6584</v>
      </c>
      <c r="D746" s="4" t="s">
        <v>18239</v>
      </c>
      <c r="E746" s="4" t="s">
        <v>7159</v>
      </c>
      <c r="F746" s="4" t="s">
        <v>6584</v>
      </c>
      <c r="H746" s="4" t="s">
        <v>18850</v>
      </c>
    </row>
    <row r="747" spans="1:8" x14ac:dyDescent="0.2">
      <c r="A747" s="4" t="str">
        <f>"21"</f>
        <v>21</v>
      </c>
      <c r="B747" s="4" t="str">
        <f>"21.0101"</f>
        <v>21.0101</v>
      </c>
      <c r="C747" s="4" t="s">
        <v>6584</v>
      </c>
      <c r="D747" s="4" t="s">
        <v>18239</v>
      </c>
      <c r="E747" s="4" t="s">
        <v>7161</v>
      </c>
      <c r="F747" s="4" t="s">
        <v>6584</v>
      </c>
      <c r="H747" s="4" t="s">
        <v>18850</v>
      </c>
    </row>
    <row r="748" spans="1:8" x14ac:dyDescent="0.2">
      <c r="A748" s="4" t="str">
        <f>"22"</f>
        <v>22</v>
      </c>
      <c r="B748" s="4" t="str">
        <f>"22"</f>
        <v>22</v>
      </c>
      <c r="C748" s="4" t="s">
        <v>18238</v>
      </c>
      <c r="D748" s="4" t="s">
        <v>18239</v>
      </c>
      <c r="E748" s="4" t="s">
        <v>9607</v>
      </c>
      <c r="F748" s="4" t="s">
        <v>9608</v>
      </c>
      <c r="H748" s="4" t="s">
        <v>18850</v>
      </c>
    </row>
    <row r="749" spans="1:8" x14ac:dyDescent="0.2">
      <c r="A749" s="4" t="str">
        <f t="shared" ref="A749:A774" si="18">"22"</f>
        <v>22</v>
      </c>
      <c r="B749" s="4" t="str">
        <f>"22.00"</f>
        <v>22.00</v>
      </c>
      <c r="C749" s="4" t="s">
        <v>18238</v>
      </c>
      <c r="D749" s="4" t="s">
        <v>18239</v>
      </c>
      <c r="E749" s="4" t="s">
        <v>9610</v>
      </c>
      <c r="F749" s="4" t="s">
        <v>18995</v>
      </c>
      <c r="H749" s="4" t="s">
        <v>18850</v>
      </c>
    </row>
    <row r="750" spans="1:8" x14ac:dyDescent="0.2">
      <c r="A750" s="4" t="str">
        <f t="shared" si="18"/>
        <v>22</v>
      </c>
      <c r="B750" s="4" t="str">
        <f>"22.0000"</f>
        <v>22.0000</v>
      </c>
      <c r="C750" s="4" t="s">
        <v>18238</v>
      </c>
      <c r="D750" s="4" t="s">
        <v>18239</v>
      </c>
      <c r="E750" s="4" t="s">
        <v>9612</v>
      </c>
      <c r="F750" s="4" t="s">
        <v>18996</v>
      </c>
      <c r="H750" s="4" t="s">
        <v>18850</v>
      </c>
    </row>
    <row r="751" spans="1:8" x14ac:dyDescent="0.2">
      <c r="A751" s="4" t="str">
        <f t="shared" si="18"/>
        <v>22</v>
      </c>
      <c r="B751" s="4" t="str">
        <f>"22.0001"</f>
        <v>22.0001</v>
      </c>
      <c r="C751" s="4" t="s">
        <v>18238</v>
      </c>
      <c r="D751" s="4" t="s">
        <v>18239</v>
      </c>
      <c r="E751" s="4" t="s">
        <v>9615</v>
      </c>
      <c r="F751" s="4" t="s">
        <v>18997</v>
      </c>
      <c r="H751" s="4" t="s">
        <v>18850</v>
      </c>
    </row>
    <row r="752" spans="1:8" x14ac:dyDescent="0.2">
      <c r="A752" s="4" t="str">
        <f t="shared" si="18"/>
        <v>22</v>
      </c>
      <c r="B752" s="4" t="str">
        <f>"22.01"</f>
        <v>22.01</v>
      </c>
      <c r="C752" s="4" t="s">
        <v>18238</v>
      </c>
      <c r="D752" s="4" t="s">
        <v>18239</v>
      </c>
      <c r="E752" s="4" t="s">
        <v>18998</v>
      </c>
      <c r="F752" s="4" t="s">
        <v>18999</v>
      </c>
      <c r="H752" s="4" t="s">
        <v>18850</v>
      </c>
    </row>
    <row r="753" spans="1:8" x14ac:dyDescent="0.2">
      <c r="A753" s="4" t="str">
        <f t="shared" si="18"/>
        <v>22</v>
      </c>
      <c r="B753" s="4" t="str">
        <f>"22.0101"</f>
        <v>22.0101</v>
      </c>
      <c r="C753" s="4" t="s">
        <v>18238</v>
      </c>
      <c r="D753" s="4" t="s">
        <v>18239</v>
      </c>
      <c r="E753" s="4" t="s">
        <v>18998</v>
      </c>
      <c r="F753" s="4" t="s">
        <v>19000</v>
      </c>
      <c r="H753" s="4" t="s">
        <v>19001</v>
      </c>
    </row>
    <row r="754" spans="1:8" x14ac:dyDescent="0.2">
      <c r="A754" s="4" t="str">
        <f t="shared" si="18"/>
        <v>22</v>
      </c>
      <c r="B754" s="4" t="str">
        <f>"22.02"</f>
        <v>22.02</v>
      </c>
      <c r="C754" s="4" t="s">
        <v>18238</v>
      </c>
      <c r="D754" s="4" t="s">
        <v>18239</v>
      </c>
      <c r="E754" s="4" t="s">
        <v>19002</v>
      </c>
      <c r="F754" s="4" t="s">
        <v>19003</v>
      </c>
      <c r="H754" s="4" t="s">
        <v>19001</v>
      </c>
    </row>
    <row r="755" spans="1:8" x14ac:dyDescent="0.2">
      <c r="A755" s="4" t="str">
        <f t="shared" si="18"/>
        <v>22</v>
      </c>
      <c r="B755" s="4" t="str">
        <f>"22.0201"</f>
        <v>22.0201</v>
      </c>
      <c r="C755" s="4" t="s">
        <v>18238</v>
      </c>
      <c r="D755" s="4" t="s">
        <v>18239</v>
      </c>
      <c r="E755" s="4" t="s">
        <v>19004</v>
      </c>
      <c r="F755" s="4" t="s">
        <v>19005</v>
      </c>
      <c r="H755" s="4" t="s">
        <v>19006</v>
      </c>
    </row>
    <row r="756" spans="1:8" x14ac:dyDescent="0.2">
      <c r="A756" s="4" t="str">
        <f t="shared" si="18"/>
        <v>22</v>
      </c>
      <c r="B756" s="4" t="str">
        <f>"22.0202"</f>
        <v>22.0202</v>
      </c>
      <c r="C756" s="4" t="s">
        <v>18238</v>
      </c>
      <c r="D756" s="4" t="s">
        <v>18239</v>
      </c>
      <c r="E756" s="4" t="s">
        <v>19007</v>
      </c>
      <c r="F756" s="4" t="s">
        <v>19008</v>
      </c>
      <c r="H756" s="4" t="s">
        <v>19009</v>
      </c>
    </row>
    <row r="757" spans="1:8" x14ac:dyDescent="0.2">
      <c r="A757" s="4" t="str">
        <f t="shared" si="18"/>
        <v>22</v>
      </c>
      <c r="B757" s="4" t="str">
        <f>"22.0203"</f>
        <v>22.0203</v>
      </c>
      <c r="C757" s="4" t="s">
        <v>18238</v>
      </c>
      <c r="D757" s="4" t="s">
        <v>18239</v>
      </c>
      <c r="E757" s="4" t="s">
        <v>19010</v>
      </c>
      <c r="F757" s="4" t="s">
        <v>19011</v>
      </c>
      <c r="H757" s="4" t="s">
        <v>19012</v>
      </c>
    </row>
    <row r="758" spans="1:8" x14ac:dyDescent="0.2">
      <c r="A758" s="4" t="str">
        <f t="shared" si="18"/>
        <v>22</v>
      </c>
      <c r="B758" s="4" t="str">
        <f>"22.0204"</f>
        <v>22.0204</v>
      </c>
      <c r="C758" s="4" t="s">
        <v>18238</v>
      </c>
      <c r="D758" s="4" t="s">
        <v>18239</v>
      </c>
      <c r="E758" s="4" t="s">
        <v>19013</v>
      </c>
      <c r="F758" s="4" t="s">
        <v>19014</v>
      </c>
      <c r="H758" s="4" t="s">
        <v>19015</v>
      </c>
    </row>
    <row r="759" spans="1:8" x14ac:dyDescent="0.2">
      <c r="A759" s="4" t="str">
        <f t="shared" si="18"/>
        <v>22</v>
      </c>
      <c r="B759" s="4" t="str">
        <f>"22.0205"</f>
        <v>22.0205</v>
      </c>
      <c r="C759" s="4" t="s">
        <v>18238</v>
      </c>
      <c r="D759" s="4" t="s">
        <v>18239</v>
      </c>
      <c r="E759" s="4" t="s">
        <v>19016</v>
      </c>
      <c r="F759" s="4" t="s">
        <v>19017</v>
      </c>
      <c r="H759" s="4" t="s">
        <v>19018</v>
      </c>
    </row>
    <row r="760" spans="1:8" x14ac:dyDescent="0.2">
      <c r="A760" s="4" t="str">
        <f t="shared" si="18"/>
        <v>22</v>
      </c>
      <c r="B760" s="4" t="str">
        <f>"22.0206"</f>
        <v>22.0206</v>
      </c>
      <c r="C760" s="4" t="s">
        <v>18238</v>
      </c>
      <c r="D760" s="4" t="s">
        <v>18239</v>
      </c>
      <c r="E760" s="4" t="s">
        <v>19019</v>
      </c>
      <c r="F760" s="4" t="s">
        <v>19020</v>
      </c>
      <c r="H760" s="4" t="s">
        <v>19021</v>
      </c>
    </row>
    <row r="761" spans="1:8" x14ac:dyDescent="0.2">
      <c r="A761" s="4" t="str">
        <f t="shared" si="18"/>
        <v>22</v>
      </c>
      <c r="B761" s="4" t="str">
        <f>"22.0207"</f>
        <v>22.0207</v>
      </c>
      <c r="C761" s="4" t="s">
        <v>18238</v>
      </c>
      <c r="D761" s="4" t="s">
        <v>18239</v>
      </c>
      <c r="E761" s="4" t="s">
        <v>19022</v>
      </c>
      <c r="F761" s="4" t="s">
        <v>19023</v>
      </c>
      <c r="H761" s="4" t="s">
        <v>19024</v>
      </c>
    </row>
    <row r="762" spans="1:8" x14ac:dyDescent="0.2">
      <c r="A762" s="4" t="str">
        <f t="shared" si="18"/>
        <v>22</v>
      </c>
      <c r="B762" s="4" t="str">
        <f>"22.0208"</f>
        <v>22.0208</v>
      </c>
      <c r="C762" s="4" t="s">
        <v>18238</v>
      </c>
      <c r="D762" s="4" t="s">
        <v>18239</v>
      </c>
      <c r="E762" s="4" t="s">
        <v>19025</v>
      </c>
      <c r="F762" s="4" t="s">
        <v>19026</v>
      </c>
      <c r="H762" s="4" t="s">
        <v>19027</v>
      </c>
    </row>
    <row r="763" spans="1:8" x14ac:dyDescent="0.2">
      <c r="A763" s="4" t="str">
        <f t="shared" si="18"/>
        <v>22</v>
      </c>
      <c r="B763" s="4" t="str">
        <f>"22.0209"</f>
        <v>22.0209</v>
      </c>
      <c r="C763" s="4" t="s">
        <v>18238</v>
      </c>
      <c r="D763" s="4" t="s">
        <v>18239</v>
      </c>
      <c r="E763" s="4" t="s">
        <v>19028</v>
      </c>
      <c r="F763" s="4" t="s">
        <v>19029</v>
      </c>
      <c r="H763" s="4" t="s">
        <v>19030</v>
      </c>
    </row>
    <row r="764" spans="1:8" x14ac:dyDescent="0.2">
      <c r="A764" s="4" t="str">
        <f t="shared" si="18"/>
        <v>22</v>
      </c>
      <c r="B764" s="4" t="str">
        <f>"22.0210"</f>
        <v>22.0210</v>
      </c>
      <c r="C764" s="4" t="s">
        <v>18238</v>
      </c>
      <c r="D764" s="4" t="s">
        <v>18239</v>
      </c>
      <c r="E764" s="4" t="s">
        <v>19031</v>
      </c>
      <c r="F764" s="4" t="s">
        <v>19032</v>
      </c>
      <c r="H764" s="4" t="s">
        <v>19033</v>
      </c>
    </row>
    <row r="765" spans="1:8" x14ac:dyDescent="0.2">
      <c r="A765" s="4" t="str">
        <f t="shared" si="18"/>
        <v>22</v>
      </c>
      <c r="B765" s="4" t="str">
        <f>"22.0211"</f>
        <v>22.0211</v>
      </c>
      <c r="C765" s="4" t="s">
        <v>18238</v>
      </c>
      <c r="D765" s="4" t="s">
        <v>18239</v>
      </c>
      <c r="E765" s="4" t="s">
        <v>19034</v>
      </c>
      <c r="F765" s="4" t="s">
        <v>19035</v>
      </c>
      <c r="H765" s="4" t="s">
        <v>19036</v>
      </c>
    </row>
    <row r="766" spans="1:8" x14ac:dyDescent="0.2">
      <c r="A766" s="4" t="str">
        <f t="shared" si="18"/>
        <v>22</v>
      </c>
      <c r="B766" s="4" t="str">
        <f>"22.0212"</f>
        <v>22.0212</v>
      </c>
      <c r="C766" s="4" t="s">
        <v>18258</v>
      </c>
      <c r="D766" s="4" t="s">
        <v>18239</v>
      </c>
      <c r="E766" s="4" t="s">
        <v>19037</v>
      </c>
      <c r="F766" s="4" t="s">
        <v>19038</v>
      </c>
      <c r="H766" s="4" t="s">
        <v>19039</v>
      </c>
    </row>
    <row r="767" spans="1:8" x14ac:dyDescent="0.2">
      <c r="A767" s="4" t="str">
        <f t="shared" si="18"/>
        <v>22</v>
      </c>
      <c r="B767" s="4" t="str">
        <f>"22.0299"</f>
        <v>22.0299</v>
      </c>
      <c r="C767" s="4" t="s">
        <v>18238</v>
      </c>
      <c r="D767" s="4" t="s">
        <v>18239</v>
      </c>
      <c r="E767" s="4" t="s">
        <v>9665</v>
      </c>
      <c r="F767" s="4" t="s">
        <v>19040</v>
      </c>
      <c r="H767" s="4" t="s">
        <v>19039</v>
      </c>
    </row>
    <row r="768" spans="1:8" x14ac:dyDescent="0.2">
      <c r="A768" s="4" t="str">
        <f t="shared" si="18"/>
        <v>22</v>
      </c>
      <c r="B768" s="4" t="str">
        <f>"22.03"</f>
        <v>22.03</v>
      </c>
      <c r="C768" s="4" t="s">
        <v>18238</v>
      </c>
      <c r="D768" s="4" t="s">
        <v>18239</v>
      </c>
      <c r="E768" s="4" t="s">
        <v>9668</v>
      </c>
      <c r="F768" s="4" t="s">
        <v>19041</v>
      </c>
      <c r="H768" s="4" t="s">
        <v>19039</v>
      </c>
    </row>
    <row r="769" spans="1:8" x14ac:dyDescent="0.2">
      <c r="A769" s="4" t="str">
        <f t="shared" si="18"/>
        <v>22</v>
      </c>
      <c r="B769" s="4" t="str">
        <f>"22.0301"</f>
        <v>22.0301</v>
      </c>
      <c r="C769" s="4" t="s">
        <v>18238</v>
      </c>
      <c r="D769" s="4" t="s">
        <v>18239</v>
      </c>
      <c r="E769" s="4" t="s">
        <v>9671</v>
      </c>
      <c r="F769" s="4" t="s">
        <v>19042</v>
      </c>
      <c r="H769" s="4" t="s">
        <v>19039</v>
      </c>
    </row>
    <row r="770" spans="1:8" x14ac:dyDescent="0.2">
      <c r="A770" s="4" t="str">
        <f t="shared" si="18"/>
        <v>22</v>
      </c>
      <c r="B770" s="4" t="str">
        <f>"22.0302"</f>
        <v>22.0302</v>
      </c>
      <c r="C770" s="4" t="s">
        <v>18238</v>
      </c>
      <c r="D770" s="4" t="s">
        <v>18239</v>
      </c>
      <c r="E770" s="4" t="s">
        <v>9674</v>
      </c>
      <c r="F770" s="4" t="s">
        <v>19043</v>
      </c>
      <c r="H770" s="4" t="s">
        <v>19039</v>
      </c>
    </row>
    <row r="771" spans="1:8" x14ac:dyDescent="0.2">
      <c r="A771" s="4" t="str">
        <f t="shared" si="18"/>
        <v>22</v>
      </c>
      <c r="B771" s="4" t="str">
        <f>"22.0303"</f>
        <v>22.0303</v>
      </c>
      <c r="C771" s="4" t="s">
        <v>18238</v>
      </c>
      <c r="D771" s="4" t="s">
        <v>18239</v>
      </c>
      <c r="E771" s="4" t="s">
        <v>9677</v>
      </c>
      <c r="F771" s="4" t="s">
        <v>19044</v>
      </c>
      <c r="H771" s="4" t="s">
        <v>19039</v>
      </c>
    </row>
    <row r="772" spans="1:8" x14ac:dyDescent="0.2">
      <c r="A772" s="4" t="str">
        <f t="shared" si="18"/>
        <v>22</v>
      </c>
      <c r="B772" s="4" t="str">
        <f>"22.0399"</f>
        <v>22.0399</v>
      </c>
      <c r="C772" s="4" t="s">
        <v>18238</v>
      </c>
      <c r="D772" s="4" t="s">
        <v>18239</v>
      </c>
      <c r="E772" s="4" t="s">
        <v>9680</v>
      </c>
      <c r="F772" s="4" t="s">
        <v>19045</v>
      </c>
      <c r="H772" s="4" t="s">
        <v>19039</v>
      </c>
    </row>
    <row r="773" spans="1:8" x14ac:dyDescent="0.2">
      <c r="A773" s="4" t="str">
        <f t="shared" si="18"/>
        <v>22</v>
      </c>
      <c r="B773" s="4" t="str">
        <f>"22.99"</f>
        <v>22.99</v>
      </c>
      <c r="C773" s="4" t="s">
        <v>18238</v>
      </c>
      <c r="D773" s="4" t="s">
        <v>18239</v>
      </c>
      <c r="E773" s="4" t="s">
        <v>9683</v>
      </c>
      <c r="F773" s="4" t="s">
        <v>19046</v>
      </c>
      <c r="H773" s="4" t="s">
        <v>19039</v>
      </c>
    </row>
    <row r="774" spans="1:8" x14ac:dyDescent="0.2">
      <c r="A774" s="4" t="str">
        <f t="shared" si="18"/>
        <v>22</v>
      </c>
      <c r="B774" s="4" t="str">
        <f>"22.9999"</f>
        <v>22.9999</v>
      </c>
      <c r="C774" s="4" t="s">
        <v>18238</v>
      </c>
      <c r="D774" s="4" t="s">
        <v>18239</v>
      </c>
      <c r="E774" s="4" t="s">
        <v>9683</v>
      </c>
      <c r="F774" s="4" t="s">
        <v>19047</v>
      </c>
      <c r="H774" s="4" t="s">
        <v>19039</v>
      </c>
    </row>
    <row r="775" spans="1:8" x14ac:dyDescent="0.2">
      <c r="A775" s="4" t="str">
        <f>"23"</f>
        <v>23</v>
      </c>
      <c r="B775" s="4" t="str">
        <f>"23"</f>
        <v>23</v>
      </c>
      <c r="C775" s="4" t="s">
        <v>18238</v>
      </c>
      <c r="D775" s="4" t="s">
        <v>18239</v>
      </c>
      <c r="E775" s="4" t="s">
        <v>11482</v>
      </c>
      <c r="F775" s="4" t="s">
        <v>9687</v>
      </c>
      <c r="H775" s="4" t="s">
        <v>19039</v>
      </c>
    </row>
    <row r="776" spans="1:8" x14ac:dyDescent="0.2">
      <c r="A776" s="4" t="str">
        <f t="shared" ref="A776:A805" si="19">"23"</f>
        <v>23</v>
      </c>
      <c r="B776" s="4" t="str">
        <f>"23.01"</f>
        <v>23.01</v>
      </c>
      <c r="C776" s="4" t="s">
        <v>18238</v>
      </c>
      <c r="D776" s="4" t="s">
        <v>18239</v>
      </c>
      <c r="E776" s="4" t="s">
        <v>10651</v>
      </c>
      <c r="F776" s="4" t="s">
        <v>9689</v>
      </c>
      <c r="H776" s="4" t="s">
        <v>19039</v>
      </c>
    </row>
    <row r="777" spans="1:8" x14ac:dyDescent="0.2">
      <c r="A777" s="4" t="str">
        <f t="shared" si="19"/>
        <v>23</v>
      </c>
      <c r="B777" s="4" t="str">
        <f>"23.0101"</f>
        <v>23.0101</v>
      </c>
      <c r="C777" s="4" t="s">
        <v>18238</v>
      </c>
      <c r="D777" s="4" t="s">
        <v>18239</v>
      </c>
      <c r="E777" s="4" t="s">
        <v>10651</v>
      </c>
      <c r="F777" s="4" t="s">
        <v>9690</v>
      </c>
      <c r="H777" s="4" t="s">
        <v>19039</v>
      </c>
    </row>
    <row r="778" spans="1:8" x14ac:dyDescent="0.2">
      <c r="A778" s="4" t="str">
        <f t="shared" si="19"/>
        <v>23</v>
      </c>
      <c r="B778" s="4" t="str">
        <f>"23.04"</f>
        <v>23.04</v>
      </c>
      <c r="C778" s="4" t="s">
        <v>6584</v>
      </c>
      <c r="D778" s="4" t="s">
        <v>18239</v>
      </c>
      <c r="E778" s="4" t="s">
        <v>9694</v>
      </c>
      <c r="F778" s="4" t="s">
        <v>6584</v>
      </c>
      <c r="H778" s="4" t="s">
        <v>19039</v>
      </c>
    </row>
    <row r="779" spans="1:8" x14ac:dyDescent="0.2">
      <c r="A779" s="4" t="str">
        <f t="shared" si="19"/>
        <v>23</v>
      </c>
      <c r="B779" s="4" t="str">
        <f>"23.0401"</f>
        <v>23.0401</v>
      </c>
      <c r="C779" s="4" t="s">
        <v>6584</v>
      </c>
      <c r="D779" s="4" t="s">
        <v>18239</v>
      </c>
      <c r="E779" s="4" t="s">
        <v>9694</v>
      </c>
      <c r="F779" s="4" t="s">
        <v>19048</v>
      </c>
      <c r="H779" s="4" t="s">
        <v>19039</v>
      </c>
    </row>
    <row r="780" spans="1:8" x14ac:dyDescent="0.2">
      <c r="A780" s="4" t="str">
        <f t="shared" si="19"/>
        <v>23</v>
      </c>
      <c r="B780" s="4" t="str">
        <f>"23.05"</f>
        <v>23.05</v>
      </c>
      <c r="C780" s="4" t="s">
        <v>6584</v>
      </c>
      <c r="D780" s="4" t="s">
        <v>18239</v>
      </c>
      <c r="E780" s="4" t="s">
        <v>9698</v>
      </c>
      <c r="F780" s="4" t="s">
        <v>6584</v>
      </c>
      <c r="H780" s="4" t="s">
        <v>19039</v>
      </c>
    </row>
    <row r="781" spans="1:8" x14ac:dyDescent="0.2">
      <c r="A781" s="4" t="str">
        <f t="shared" si="19"/>
        <v>23</v>
      </c>
      <c r="B781" s="4" t="str">
        <f>"23.0501"</f>
        <v>23.0501</v>
      </c>
      <c r="C781" s="4" t="s">
        <v>18724</v>
      </c>
      <c r="D781" s="4" t="s">
        <v>18239</v>
      </c>
      <c r="E781" s="4" t="s">
        <v>9698</v>
      </c>
      <c r="F781" s="4" t="s">
        <v>19049</v>
      </c>
      <c r="H781" s="4" t="s">
        <v>19039</v>
      </c>
    </row>
    <row r="782" spans="1:8" x14ac:dyDescent="0.2">
      <c r="A782" s="4" t="str">
        <f t="shared" si="19"/>
        <v>23</v>
      </c>
      <c r="B782" s="4" t="str">
        <f>"23.07"</f>
        <v>23.07</v>
      </c>
      <c r="C782" s="4" t="s">
        <v>6584</v>
      </c>
      <c r="D782" s="4" t="s">
        <v>18239</v>
      </c>
      <c r="E782" s="4" t="s">
        <v>19050</v>
      </c>
      <c r="F782" s="4" t="s">
        <v>6584</v>
      </c>
      <c r="H782" s="4" t="s">
        <v>19039</v>
      </c>
    </row>
    <row r="783" spans="1:8" x14ac:dyDescent="0.2">
      <c r="A783" s="4" t="str">
        <f t="shared" si="19"/>
        <v>23</v>
      </c>
      <c r="B783" s="4" t="str">
        <f>"23.0701"</f>
        <v>23.0701</v>
      </c>
      <c r="C783" s="4" t="s">
        <v>18724</v>
      </c>
      <c r="D783" s="4" t="s">
        <v>18239</v>
      </c>
      <c r="E783" s="4" t="s">
        <v>11570</v>
      </c>
      <c r="F783" s="4" t="s">
        <v>19051</v>
      </c>
      <c r="H783" s="4" t="s">
        <v>19039</v>
      </c>
    </row>
    <row r="784" spans="1:8" x14ac:dyDescent="0.2">
      <c r="A784" s="4" t="str">
        <f t="shared" si="19"/>
        <v>23</v>
      </c>
      <c r="B784" s="4" t="str">
        <f>"23.0702"</f>
        <v>23.0702</v>
      </c>
      <c r="C784" s="4" t="s">
        <v>18724</v>
      </c>
      <c r="D784" s="4" t="s">
        <v>18239</v>
      </c>
      <c r="E784" s="4" t="s">
        <v>11379</v>
      </c>
      <c r="F784" s="4" t="s">
        <v>19052</v>
      </c>
      <c r="H784" s="4" t="s">
        <v>19039</v>
      </c>
    </row>
    <row r="785" spans="1:8" x14ac:dyDescent="0.2">
      <c r="A785" s="4" t="str">
        <f t="shared" si="19"/>
        <v>23</v>
      </c>
      <c r="B785" s="4" t="str">
        <f>"23.08"</f>
        <v>23.08</v>
      </c>
      <c r="C785" s="4" t="s">
        <v>6584</v>
      </c>
      <c r="D785" s="4" t="s">
        <v>18239</v>
      </c>
      <c r="E785" s="4" t="s">
        <v>11375</v>
      </c>
      <c r="F785" s="4" t="s">
        <v>6584</v>
      </c>
      <c r="H785" s="4" t="s">
        <v>19039</v>
      </c>
    </row>
    <row r="786" spans="1:8" x14ac:dyDescent="0.2">
      <c r="A786" s="4" t="str">
        <f t="shared" si="19"/>
        <v>23</v>
      </c>
      <c r="B786" s="4" t="str">
        <f>"23.0801"</f>
        <v>23.0801</v>
      </c>
      <c r="C786" s="4" t="s">
        <v>18724</v>
      </c>
      <c r="D786" s="4" t="s">
        <v>18239</v>
      </c>
      <c r="E786" s="4" t="s">
        <v>11375</v>
      </c>
      <c r="F786" s="4" t="s">
        <v>19053</v>
      </c>
      <c r="H786" s="4" t="s">
        <v>19039</v>
      </c>
    </row>
    <row r="787" spans="1:8" x14ac:dyDescent="0.2">
      <c r="A787" s="4" t="str">
        <f t="shared" si="19"/>
        <v>23</v>
      </c>
      <c r="B787" s="4" t="str">
        <f>"23.10"</f>
        <v>23.10</v>
      </c>
      <c r="C787" s="4" t="s">
        <v>6584</v>
      </c>
      <c r="D787" s="4" t="s">
        <v>18239</v>
      </c>
      <c r="E787" s="4" t="s">
        <v>10742</v>
      </c>
      <c r="F787" s="4" t="s">
        <v>6584</v>
      </c>
      <c r="H787" s="4" t="s">
        <v>19039</v>
      </c>
    </row>
    <row r="788" spans="1:8" x14ac:dyDescent="0.2">
      <c r="A788" s="4" t="str">
        <f t="shared" si="19"/>
        <v>23</v>
      </c>
      <c r="B788" s="4" t="str">
        <f>"23.1001"</f>
        <v>23.1001</v>
      </c>
      <c r="C788" s="4" t="s">
        <v>6584</v>
      </c>
      <c r="D788" s="4" t="s">
        <v>18239</v>
      </c>
      <c r="E788" s="4" t="s">
        <v>10742</v>
      </c>
      <c r="F788" s="4" t="s">
        <v>19054</v>
      </c>
      <c r="H788" s="4" t="s">
        <v>19039</v>
      </c>
    </row>
    <row r="789" spans="1:8" x14ac:dyDescent="0.2">
      <c r="A789" s="4" t="str">
        <f t="shared" si="19"/>
        <v>23</v>
      </c>
      <c r="B789" s="4" t="str">
        <f>"23.11"</f>
        <v>23.11</v>
      </c>
      <c r="C789" s="4" t="s">
        <v>6584</v>
      </c>
      <c r="D789" s="4" t="s">
        <v>18239</v>
      </c>
      <c r="E789" s="4" t="s">
        <v>9713</v>
      </c>
      <c r="F789" s="4" t="s">
        <v>6584</v>
      </c>
      <c r="H789" s="4" t="s">
        <v>19039</v>
      </c>
    </row>
    <row r="790" spans="1:8" x14ac:dyDescent="0.2">
      <c r="A790" s="4" t="str">
        <f t="shared" si="19"/>
        <v>23</v>
      </c>
      <c r="B790" s="4" t="str">
        <f>"23.1101"</f>
        <v>23.1101</v>
      </c>
      <c r="C790" s="4" t="s">
        <v>18724</v>
      </c>
      <c r="D790" s="4" t="s">
        <v>18239</v>
      </c>
      <c r="E790" s="4" t="s">
        <v>9713</v>
      </c>
      <c r="F790" s="4" t="s">
        <v>19055</v>
      </c>
      <c r="H790" s="4" t="s">
        <v>19039</v>
      </c>
    </row>
    <row r="791" spans="1:8" x14ac:dyDescent="0.2">
      <c r="A791" s="4" t="str">
        <f t="shared" si="19"/>
        <v>23</v>
      </c>
      <c r="B791" s="4" t="str">
        <f>"23.13"</f>
        <v>23.13</v>
      </c>
      <c r="C791" s="4" t="s">
        <v>18258</v>
      </c>
      <c r="D791" s="4" t="s">
        <v>18239</v>
      </c>
      <c r="E791" s="4" t="s">
        <v>19056</v>
      </c>
      <c r="F791" s="4" t="s">
        <v>19057</v>
      </c>
      <c r="H791" s="4" t="s">
        <v>19039</v>
      </c>
    </row>
    <row r="792" spans="1:8" x14ac:dyDescent="0.2">
      <c r="A792" s="4" t="str">
        <f t="shared" si="19"/>
        <v>23</v>
      </c>
      <c r="B792" s="4" t="str">
        <f>"23.1301"</f>
        <v>23.1301</v>
      </c>
      <c r="C792" s="4" t="s">
        <v>18258</v>
      </c>
      <c r="D792" s="4" t="s">
        <v>18239</v>
      </c>
      <c r="E792" s="4" t="s">
        <v>19058</v>
      </c>
      <c r="F792" s="4" t="s">
        <v>19059</v>
      </c>
      <c r="H792" s="4" t="s">
        <v>19060</v>
      </c>
    </row>
    <row r="793" spans="1:8" x14ac:dyDescent="0.2">
      <c r="A793" s="4" t="str">
        <f t="shared" si="19"/>
        <v>23</v>
      </c>
      <c r="B793" s="4" t="str">
        <f>"23.1302"</f>
        <v>23.1302</v>
      </c>
      <c r="C793" s="4" t="s">
        <v>19061</v>
      </c>
      <c r="D793" s="4" t="s">
        <v>18239</v>
      </c>
      <c r="E793" s="4" t="s">
        <v>9698</v>
      </c>
      <c r="F793" s="4" t="s">
        <v>9700</v>
      </c>
      <c r="G793" s="4" t="s">
        <v>19062</v>
      </c>
      <c r="H793" s="4" t="s">
        <v>19060</v>
      </c>
    </row>
    <row r="794" spans="1:8" x14ac:dyDescent="0.2">
      <c r="A794" s="4" t="str">
        <f t="shared" si="19"/>
        <v>23</v>
      </c>
      <c r="B794" s="4" t="str">
        <f>"23.1303"</f>
        <v>23.1303</v>
      </c>
      <c r="C794" s="4" t="s">
        <v>19061</v>
      </c>
      <c r="D794" s="4" t="s">
        <v>18307</v>
      </c>
      <c r="E794" s="4" t="s">
        <v>19063</v>
      </c>
      <c r="F794" s="4" t="s">
        <v>19064</v>
      </c>
      <c r="G794" s="4" t="s">
        <v>19065</v>
      </c>
      <c r="H794" s="4" t="s">
        <v>19066</v>
      </c>
    </row>
    <row r="795" spans="1:8" x14ac:dyDescent="0.2">
      <c r="A795" s="4" t="str">
        <f t="shared" si="19"/>
        <v>23</v>
      </c>
      <c r="B795" s="4" t="str">
        <f>"23.1304"</f>
        <v>23.1304</v>
      </c>
      <c r="C795" s="4" t="s">
        <v>18258</v>
      </c>
      <c r="D795" s="4" t="s">
        <v>18239</v>
      </c>
      <c r="E795" s="4" t="s">
        <v>19067</v>
      </c>
      <c r="F795" s="4" t="s">
        <v>19068</v>
      </c>
      <c r="G795" s="4" t="s">
        <v>19069</v>
      </c>
      <c r="H795" s="4" t="s">
        <v>19070</v>
      </c>
    </row>
    <row r="796" spans="1:8" x14ac:dyDescent="0.2">
      <c r="A796" s="4" t="str">
        <f t="shared" si="19"/>
        <v>23</v>
      </c>
      <c r="B796" s="4" t="str">
        <f>"23.1399"</f>
        <v>23.1399</v>
      </c>
      <c r="C796" s="4" t="s">
        <v>18258</v>
      </c>
      <c r="D796" s="4" t="s">
        <v>18239</v>
      </c>
      <c r="E796" s="4" t="s">
        <v>19071</v>
      </c>
      <c r="F796" s="4" t="s">
        <v>19072</v>
      </c>
      <c r="H796" s="4" t="s">
        <v>19070</v>
      </c>
    </row>
    <row r="797" spans="1:8" x14ac:dyDescent="0.2">
      <c r="A797" s="4" t="str">
        <f t="shared" si="19"/>
        <v>23</v>
      </c>
      <c r="B797" s="4" t="str">
        <f>"23.14"</f>
        <v>23.14</v>
      </c>
      <c r="C797" s="4" t="s">
        <v>18258</v>
      </c>
      <c r="D797" s="4" t="s">
        <v>18239</v>
      </c>
      <c r="E797" s="4" t="s">
        <v>19073</v>
      </c>
      <c r="F797" s="4" t="s">
        <v>19074</v>
      </c>
      <c r="H797" s="4" t="s">
        <v>19070</v>
      </c>
    </row>
    <row r="798" spans="1:8" x14ac:dyDescent="0.2">
      <c r="A798" s="4" t="str">
        <f t="shared" si="19"/>
        <v>23</v>
      </c>
      <c r="B798" s="4" t="str">
        <f>"23.1401"</f>
        <v>23.1401</v>
      </c>
      <c r="C798" s="4" t="s">
        <v>18258</v>
      </c>
      <c r="D798" s="4" t="s">
        <v>18239</v>
      </c>
      <c r="E798" s="4" t="s">
        <v>19075</v>
      </c>
      <c r="F798" s="4" t="s">
        <v>19076</v>
      </c>
      <c r="G798" s="4" t="s">
        <v>19077</v>
      </c>
      <c r="H798" s="4" t="s">
        <v>19078</v>
      </c>
    </row>
    <row r="799" spans="1:8" x14ac:dyDescent="0.2">
      <c r="A799" s="4" t="str">
        <f t="shared" si="19"/>
        <v>23</v>
      </c>
      <c r="B799" s="4" t="str">
        <f>"23.1402"</f>
        <v>23.1402</v>
      </c>
      <c r="C799" s="4" t="s">
        <v>19061</v>
      </c>
      <c r="D799" s="4" t="s">
        <v>18239</v>
      </c>
      <c r="E799" s="4" t="s">
        <v>11570</v>
      </c>
      <c r="F799" s="4" t="s">
        <v>9704</v>
      </c>
      <c r="H799" s="4" t="s">
        <v>19078</v>
      </c>
    </row>
    <row r="800" spans="1:8" x14ac:dyDescent="0.2">
      <c r="A800" s="4" t="str">
        <f t="shared" si="19"/>
        <v>23</v>
      </c>
      <c r="B800" s="4" t="str">
        <f>"23.1403"</f>
        <v>23.1403</v>
      </c>
      <c r="C800" s="4" t="s">
        <v>19061</v>
      </c>
      <c r="D800" s="4" t="s">
        <v>18239</v>
      </c>
      <c r="E800" s="4" t="s">
        <v>11379</v>
      </c>
      <c r="F800" s="4" t="s">
        <v>19079</v>
      </c>
      <c r="H800" s="4" t="s">
        <v>19078</v>
      </c>
    </row>
    <row r="801" spans="1:8" x14ac:dyDescent="0.2">
      <c r="A801" s="4" t="str">
        <f t="shared" si="19"/>
        <v>23</v>
      </c>
      <c r="B801" s="4" t="str">
        <f>"23.1404"</f>
        <v>23.1404</v>
      </c>
      <c r="C801" s="4" t="s">
        <v>19061</v>
      </c>
      <c r="D801" s="4" t="s">
        <v>18239</v>
      </c>
      <c r="E801" s="4" t="s">
        <v>11375</v>
      </c>
      <c r="F801" s="4" t="s">
        <v>9708</v>
      </c>
      <c r="H801" s="4" t="s">
        <v>19078</v>
      </c>
    </row>
    <row r="802" spans="1:8" x14ac:dyDescent="0.2">
      <c r="A802" s="4" t="str">
        <f t="shared" si="19"/>
        <v>23</v>
      </c>
      <c r="B802" s="4" t="str">
        <f>"23.1405"</f>
        <v>23.1405</v>
      </c>
      <c r="C802" s="4" t="s">
        <v>18258</v>
      </c>
      <c r="D802" s="4" t="s">
        <v>18239</v>
      </c>
      <c r="E802" s="4" t="s">
        <v>19080</v>
      </c>
      <c r="F802" s="4" t="s">
        <v>19081</v>
      </c>
      <c r="G802" s="4" t="s">
        <v>19082</v>
      </c>
      <c r="H802" s="4" t="s">
        <v>19083</v>
      </c>
    </row>
    <row r="803" spans="1:8" x14ac:dyDescent="0.2">
      <c r="A803" s="4" t="str">
        <f t="shared" si="19"/>
        <v>23</v>
      </c>
      <c r="B803" s="4" t="str">
        <f>"23.1499"</f>
        <v>23.1499</v>
      </c>
      <c r="C803" s="4" t="s">
        <v>18258</v>
      </c>
      <c r="D803" s="4" t="s">
        <v>18239</v>
      </c>
      <c r="E803" s="4" t="s">
        <v>19084</v>
      </c>
      <c r="F803" s="4" t="s">
        <v>19085</v>
      </c>
      <c r="G803" s="4" t="s">
        <v>19077</v>
      </c>
      <c r="H803" s="4" t="s">
        <v>19083</v>
      </c>
    </row>
    <row r="804" spans="1:8" x14ac:dyDescent="0.2">
      <c r="A804" s="4" t="str">
        <f t="shared" si="19"/>
        <v>23</v>
      </c>
      <c r="B804" s="4" t="str">
        <f>"23.99"</f>
        <v>23.99</v>
      </c>
      <c r="C804" s="4" t="s">
        <v>18238</v>
      </c>
      <c r="D804" s="4" t="s">
        <v>18239</v>
      </c>
      <c r="E804" s="4" t="s">
        <v>9717</v>
      </c>
      <c r="F804" s="4" t="s">
        <v>9718</v>
      </c>
      <c r="H804" s="4" t="s">
        <v>19083</v>
      </c>
    </row>
    <row r="805" spans="1:8" x14ac:dyDescent="0.2">
      <c r="A805" s="4" t="str">
        <f t="shared" si="19"/>
        <v>23</v>
      </c>
      <c r="B805" s="4" t="str">
        <f>"23.9999"</f>
        <v>23.9999</v>
      </c>
      <c r="C805" s="4" t="s">
        <v>18238</v>
      </c>
      <c r="D805" s="4" t="s">
        <v>18239</v>
      </c>
      <c r="E805" s="4" t="s">
        <v>9717</v>
      </c>
      <c r="F805" s="4" t="s">
        <v>9719</v>
      </c>
      <c r="H805" s="4" t="s">
        <v>19086</v>
      </c>
    </row>
    <row r="806" spans="1:8" x14ac:dyDescent="0.2">
      <c r="A806" s="4" t="str">
        <f>"24"</f>
        <v>24</v>
      </c>
      <c r="B806" s="4" t="str">
        <f>"24"</f>
        <v>24</v>
      </c>
      <c r="C806" s="4" t="s">
        <v>18238</v>
      </c>
      <c r="D806" s="4" t="s">
        <v>18239</v>
      </c>
      <c r="E806" s="4" t="s">
        <v>9721</v>
      </c>
      <c r="F806" s="4" t="s">
        <v>9722</v>
      </c>
      <c r="H806" s="4" t="s">
        <v>19086</v>
      </c>
    </row>
    <row r="807" spans="1:8" x14ac:dyDescent="0.2">
      <c r="A807" s="4" t="str">
        <f>"24"</f>
        <v>24</v>
      </c>
      <c r="B807" s="4" t="str">
        <f>"24.01"</f>
        <v>24.01</v>
      </c>
      <c r="C807" s="4" t="s">
        <v>18238</v>
      </c>
      <c r="D807" s="4" t="s">
        <v>18239</v>
      </c>
      <c r="E807" s="4" t="s">
        <v>9724</v>
      </c>
      <c r="F807" s="4" t="s">
        <v>19087</v>
      </c>
      <c r="H807" s="4" t="s">
        <v>19086</v>
      </c>
    </row>
    <row r="808" spans="1:8" x14ac:dyDescent="0.2">
      <c r="A808" s="4" t="str">
        <f>"24"</f>
        <v>24</v>
      </c>
      <c r="B808" s="4" t="str">
        <f>"24.0101"</f>
        <v>24.0101</v>
      </c>
      <c r="C808" s="4" t="s">
        <v>18238</v>
      </c>
      <c r="D808" s="4" t="s">
        <v>18239</v>
      </c>
      <c r="E808" s="4" t="s">
        <v>9726</v>
      </c>
      <c r="F808" s="4" t="s">
        <v>9727</v>
      </c>
      <c r="H808" s="4" t="s">
        <v>19086</v>
      </c>
    </row>
    <row r="809" spans="1:8" x14ac:dyDescent="0.2">
      <c r="A809" s="4" t="str">
        <f>"24"</f>
        <v>24</v>
      </c>
      <c r="B809" s="4" t="str">
        <f>"24.0102"</f>
        <v>24.0102</v>
      </c>
      <c r="C809" s="4" t="s">
        <v>18238</v>
      </c>
      <c r="D809" s="4" t="s">
        <v>18239</v>
      </c>
      <c r="E809" s="4" t="s">
        <v>9728</v>
      </c>
      <c r="F809" s="4" t="s">
        <v>9729</v>
      </c>
      <c r="H809" s="4" t="s">
        <v>19088</v>
      </c>
    </row>
    <row r="810" spans="1:8" x14ac:dyDescent="0.2">
      <c r="A810" s="4" t="str">
        <f>"24"</f>
        <v>24</v>
      </c>
      <c r="B810" s="4" t="str">
        <f>"24.0103"</f>
        <v>24.0103</v>
      </c>
      <c r="C810" s="4" t="s">
        <v>18238</v>
      </c>
      <c r="D810" s="4" t="s">
        <v>18239</v>
      </c>
      <c r="E810" s="4" t="s">
        <v>9730</v>
      </c>
      <c r="F810" s="4" t="s">
        <v>9731</v>
      </c>
      <c r="H810" s="4" t="s">
        <v>19088</v>
      </c>
    </row>
    <row r="811" spans="1:8" x14ac:dyDescent="0.2">
      <c r="A811" s="4" t="str">
        <f>"24"</f>
        <v>24</v>
      </c>
      <c r="B811" s="4" t="str">
        <f>"24.0199"</f>
        <v>24.0199</v>
      </c>
      <c r="C811" s="4" t="s">
        <v>18238</v>
      </c>
      <c r="D811" s="4" t="s">
        <v>18239</v>
      </c>
      <c r="E811" s="4" t="s">
        <v>9732</v>
      </c>
      <c r="F811" s="4" t="s">
        <v>9733</v>
      </c>
      <c r="H811" s="4" t="s">
        <v>19088</v>
      </c>
    </row>
    <row r="812" spans="1:8" x14ac:dyDescent="0.2">
      <c r="A812" s="4" t="str">
        <f>"25"</f>
        <v>25</v>
      </c>
      <c r="B812" s="4" t="str">
        <f>"25"</f>
        <v>25</v>
      </c>
      <c r="C812" s="4" t="s">
        <v>18238</v>
      </c>
      <c r="D812" s="4" t="s">
        <v>18239</v>
      </c>
      <c r="E812" s="4" t="s">
        <v>9735</v>
      </c>
      <c r="F812" s="4" t="s">
        <v>9736</v>
      </c>
      <c r="H812" s="4" t="s">
        <v>19088</v>
      </c>
    </row>
    <row r="813" spans="1:8" x14ac:dyDescent="0.2">
      <c r="A813" s="4" t="str">
        <f t="shared" ref="A813:A821" si="20">"25"</f>
        <v>25</v>
      </c>
      <c r="B813" s="4" t="str">
        <f>"25.01"</f>
        <v>25.01</v>
      </c>
      <c r="C813" s="4" t="s">
        <v>18238</v>
      </c>
      <c r="D813" s="4" t="s">
        <v>18307</v>
      </c>
      <c r="E813" s="4" t="s">
        <v>19089</v>
      </c>
      <c r="F813" s="4" t="s">
        <v>19090</v>
      </c>
      <c r="H813" s="4" t="s">
        <v>19088</v>
      </c>
    </row>
    <row r="814" spans="1:8" x14ac:dyDescent="0.2">
      <c r="A814" s="4" t="str">
        <f t="shared" si="20"/>
        <v>25</v>
      </c>
      <c r="B814" s="4" t="str">
        <f>"25.0101"</f>
        <v>25.0101</v>
      </c>
      <c r="C814" s="4" t="s">
        <v>18238</v>
      </c>
      <c r="D814" s="4" t="s">
        <v>18307</v>
      </c>
      <c r="E814" s="4" t="s">
        <v>19091</v>
      </c>
      <c r="F814" s="4" t="s">
        <v>9739</v>
      </c>
      <c r="G814" s="4" t="s">
        <v>19092</v>
      </c>
      <c r="H814" s="4" t="s">
        <v>19093</v>
      </c>
    </row>
    <row r="815" spans="1:8" x14ac:dyDescent="0.2">
      <c r="A815" s="4" t="str">
        <f t="shared" si="20"/>
        <v>25</v>
      </c>
      <c r="B815" s="4" t="str">
        <f>"25.0102"</f>
        <v>25.0102</v>
      </c>
      <c r="C815" s="4" t="s">
        <v>18258</v>
      </c>
      <c r="D815" s="4" t="s">
        <v>18239</v>
      </c>
      <c r="E815" s="4" t="s">
        <v>19094</v>
      </c>
      <c r="F815" s="4" t="s">
        <v>19095</v>
      </c>
      <c r="G815" s="4" t="s">
        <v>19096</v>
      </c>
      <c r="H815" s="4" t="s">
        <v>19097</v>
      </c>
    </row>
    <row r="816" spans="1:8" x14ac:dyDescent="0.2">
      <c r="A816" s="4" t="str">
        <f t="shared" si="20"/>
        <v>25</v>
      </c>
      <c r="B816" s="4" t="str">
        <f>"25.0103"</f>
        <v>25.0103</v>
      </c>
      <c r="C816" s="4" t="s">
        <v>18258</v>
      </c>
      <c r="D816" s="4" t="s">
        <v>18239</v>
      </c>
      <c r="E816" s="4" t="s">
        <v>19098</v>
      </c>
      <c r="F816" s="4" t="s">
        <v>19099</v>
      </c>
      <c r="G816" s="4" t="s">
        <v>19100</v>
      </c>
      <c r="H816" s="4" t="s">
        <v>19101</v>
      </c>
    </row>
    <row r="817" spans="1:8" x14ac:dyDescent="0.2">
      <c r="A817" s="4" t="str">
        <f t="shared" si="20"/>
        <v>25</v>
      </c>
      <c r="B817" s="4" t="str">
        <f>"25.0199"</f>
        <v>25.0199</v>
      </c>
      <c r="C817" s="4" t="s">
        <v>18258</v>
      </c>
      <c r="D817" s="4" t="s">
        <v>18239</v>
      </c>
      <c r="E817" s="4" t="s">
        <v>19102</v>
      </c>
      <c r="F817" s="4" t="s">
        <v>19103</v>
      </c>
      <c r="H817" s="4" t="s">
        <v>19101</v>
      </c>
    </row>
    <row r="818" spans="1:8" x14ac:dyDescent="0.2">
      <c r="A818" s="4" t="str">
        <f t="shared" si="20"/>
        <v>25</v>
      </c>
      <c r="B818" s="4" t="str">
        <f>"25.03"</f>
        <v>25.03</v>
      </c>
      <c r="C818" s="4" t="s">
        <v>18238</v>
      </c>
      <c r="D818" s="4" t="s">
        <v>18307</v>
      </c>
      <c r="E818" s="4" t="s">
        <v>19104</v>
      </c>
      <c r="F818" s="4" t="s">
        <v>9744</v>
      </c>
      <c r="H818" s="4" t="s">
        <v>19101</v>
      </c>
    </row>
    <row r="819" spans="1:8" x14ac:dyDescent="0.2">
      <c r="A819" s="4" t="str">
        <f t="shared" si="20"/>
        <v>25</v>
      </c>
      <c r="B819" s="4" t="str">
        <f>"25.0301"</f>
        <v>25.0301</v>
      </c>
      <c r="C819" s="4" t="s">
        <v>18238</v>
      </c>
      <c r="D819" s="4" t="s">
        <v>18307</v>
      </c>
      <c r="E819" s="4" t="s">
        <v>19104</v>
      </c>
      <c r="F819" s="4" t="s">
        <v>19105</v>
      </c>
      <c r="H819" s="4" t="s">
        <v>19106</v>
      </c>
    </row>
    <row r="820" spans="1:8" x14ac:dyDescent="0.2">
      <c r="A820" s="4" t="str">
        <f t="shared" si="20"/>
        <v>25</v>
      </c>
      <c r="B820" s="4" t="str">
        <f>"25.99"</f>
        <v>25.99</v>
      </c>
      <c r="C820" s="4" t="s">
        <v>18238</v>
      </c>
      <c r="D820" s="4" t="s">
        <v>18239</v>
      </c>
      <c r="E820" s="4" t="s">
        <v>9750</v>
      </c>
      <c r="F820" s="4" t="s">
        <v>9751</v>
      </c>
      <c r="H820" s="4" t="s">
        <v>19106</v>
      </c>
    </row>
    <row r="821" spans="1:8" x14ac:dyDescent="0.2">
      <c r="A821" s="4" t="str">
        <f t="shared" si="20"/>
        <v>25</v>
      </c>
      <c r="B821" s="4" t="str">
        <f>"25.9999"</f>
        <v>25.9999</v>
      </c>
      <c r="C821" s="4" t="s">
        <v>18238</v>
      </c>
      <c r="D821" s="4" t="s">
        <v>18239</v>
      </c>
      <c r="E821" s="4" t="s">
        <v>9750</v>
      </c>
      <c r="F821" s="4" t="s">
        <v>9752</v>
      </c>
      <c r="H821" s="4" t="s">
        <v>19106</v>
      </c>
    </row>
    <row r="822" spans="1:8" x14ac:dyDescent="0.2">
      <c r="A822" s="4" t="str">
        <f>"26"</f>
        <v>26</v>
      </c>
      <c r="B822" s="4" t="str">
        <f>"26"</f>
        <v>26</v>
      </c>
      <c r="C822" s="4" t="s">
        <v>18238</v>
      </c>
      <c r="D822" s="4" t="s">
        <v>18239</v>
      </c>
      <c r="E822" s="4" t="s">
        <v>11578</v>
      </c>
      <c r="F822" s="4" t="s">
        <v>9753</v>
      </c>
      <c r="H822" s="4" t="s">
        <v>19106</v>
      </c>
    </row>
    <row r="823" spans="1:8" x14ac:dyDescent="0.2">
      <c r="A823" s="4" t="str">
        <f t="shared" ref="A823:A886" si="21">"26"</f>
        <v>26</v>
      </c>
      <c r="B823" s="4" t="str">
        <f>"26.01"</f>
        <v>26.01</v>
      </c>
      <c r="C823" s="4" t="s">
        <v>18238</v>
      </c>
      <c r="D823" s="4" t="s">
        <v>18239</v>
      </c>
      <c r="E823" s="4" t="s">
        <v>9757</v>
      </c>
      <c r="F823" s="4" t="s">
        <v>9758</v>
      </c>
      <c r="H823" s="4" t="s">
        <v>19106</v>
      </c>
    </row>
    <row r="824" spans="1:8" x14ac:dyDescent="0.2">
      <c r="A824" s="4" t="str">
        <f t="shared" si="21"/>
        <v>26</v>
      </c>
      <c r="B824" s="4" t="str">
        <f>"26.0101"</f>
        <v>26.0101</v>
      </c>
      <c r="C824" s="4" t="s">
        <v>18238</v>
      </c>
      <c r="D824" s="4" t="s">
        <v>18239</v>
      </c>
      <c r="E824" s="4" t="s">
        <v>10707</v>
      </c>
      <c r="F824" s="4" t="s">
        <v>9759</v>
      </c>
      <c r="H824" s="4" t="s">
        <v>19106</v>
      </c>
    </row>
    <row r="825" spans="1:8" x14ac:dyDescent="0.2">
      <c r="A825" s="4" t="str">
        <f t="shared" si="21"/>
        <v>26</v>
      </c>
      <c r="B825" s="4" t="str">
        <f>"26.0102"</f>
        <v>26.0102</v>
      </c>
      <c r="C825" s="4" t="s">
        <v>18238</v>
      </c>
      <c r="D825" s="4" t="s">
        <v>18239</v>
      </c>
      <c r="E825" s="4" t="s">
        <v>9761</v>
      </c>
      <c r="F825" s="4" t="s">
        <v>19107</v>
      </c>
      <c r="H825" s="4" t="s">
        <v>19106</v>
      </c>
    </row>
    <row r="826" spans="1:8" x14ac:dyDescent="0.2">
      <c r="A826" s="4" t="str">
        <f t="shared" si="21"/>
        <v>26</v>
      </c>
      <c r="B826" s="4" t="str">
        <f>"26.02"</f>
        <v>26.02</v>
      </c>
      <c r="C826" s="4" t="s">
        <v>18238</v>
      </c>
      <c r="D826" s="4" t="s">
        <v>18239</v>
      </c>
      <c r="E826" s="4" t="s">
        <v>9763</v>
      </c>
      <c r="F826" s="4" t="s">
        <v>19108</v>
      </c>
      <c r="H826" s="4" t="s">
        <v>19106</v>
      </c>
    </row>
    <row r="827" spans="1:8" x14ac:dyDescent="0.2">
      <c r="A827" s="4" t="str">
        <f t="shared" si="21"/>
        <v>26</v>
      </c>
      <c r="B827" s="4" t="str">
        <f>"26.0202"</f>
        <v>26.0202</v>
      </c>
      <c r="C827" s="4" t="s">
        <v>18238</v>
      </c>
      <c r="D827" s="4" t="s">
        <v>18239</v>
      </c>
      <c r="E827" s="4" t="s">
        <v>9765</v>
      </c>
      <c r="F827" s="4" t="s">
        <v>9766</v>
      </c>
      <c r="H827" s="4" t="s">
        <v>19106</v>
      </c>
    </row>
    <row r="828" spans="1:8" x14ac:dyDescent="0.2">
      <c r="A828" s="4" t="str">
        <f t="shared" si="21"/>
        <v>26</v>
      </c>
      <c r="B828" s="4" t="str">
        <f>"26.0203"</f>
        <v>26.0203</v>
      </c>
      <c r="C828" s="4" t="s">
        <v>18238</v>
      </c>
      <c r="D828" s="4" t="s">
        <v>18239</v>
      </c>
      <c r="E828" s="4" t="s">
        <v>9767</v>
      </c>
      <c r="F828" s="4" t="s">
        <v>19109</v>
      </c>
      <c r="G828" s="4" t="s">
        <v>19110</v>
      </c>
      <c r="H828" s="4" t="s">
        <v>19106</v>
      </c>
    </row>
    <row r="829" spans="1:8" x14ac:dyDescent="0.2">
      <c r="A829" s="4" t="str">
        <f t="shared" si="21"/>
        <v>26</v>
      </c>
      <c r="B829" s="4" t="str">
        <f>"26.0204"</f>
        <v>26.0204</v>
      </c>
      <c r="C829" s="4" t="s">
        <v>18238</v>
      </c>
      <c r="D829" s="4" t="s">
        <v>18239</v>
      </c>
      <c r="E829" s="4" t="s">
        <v>9770</v>
      </c>
      <c r="F829" s="4" t="s">
        <v>19111</v>
      </c>
      <c r="H829" s="4" t="s">
        <v>19106</v>
      </c>
    </row>
    <row r="830" spans="1:8" x14ac:dyDescent="0.2">
      <c r="A830" s="4" t="str">
        <f t="shared" si="21"/>
        <v>26</v>
      </c>
      <c r="B830" s="4" t="str">
        <f>"26.0205"</f>
        <v>26.0205</v>
      </c>
      <c r="C830" s="4" t="s">
        <v>18238</v>
      </c>
      <c r="D830" s="4" t="s">
        <v>18239</v>
      </c>
      <c r="E830" s="4" t="s">
        <v>9773</v>
      </c>
      <c r="F830" s="4" t="s">
        <v>19112</v>
      </c>
      <c r="H830" s="4" t="s">
        <v>19106</v>
      </c>
    </row>
    <row r="831" spans="1:8" x14ac:dyDescent="0.2">
      <c r="A831" s="4" t="str">
        <f t="shared" si="21"/>
        <v>26</v>
      </c>
      <c r="B831" s="4" t="str">
        <f>"26.0206"</f>
        <v>26.0206</v>
      </c>
      <c r="C831" s="4" t="s">
        <v>18238</v>
      </c>
      <c r="D831" s="4" t="s">
        <v>18239</v>
      </c>
      <c r="E831" s="4" t="s">
        <v>9776</v>
      </c>
      <c r="F831" s="4" t="s">
        <v>19113</v>
      </c>
      <c r="H831" s="4" t="s">
        <v>19106</v>
      </c>
    </row>
    <row r="832" spans="1:8" x14ac:dyDescent="0.2">
      <c r="A832" s="4" t="str">
        <f t="shared" si="21"/>
        <v>26</v>
      </c>
      <c r="B832" s="4" t="str">
        <f>"26.0207"</f>
        <v>26.0207</v>
      </c>
      <c r="C832" s="4" t="s">
        <v>18238</v>
      </c>
      <c r="D832" s="4" t="s">
        <v>18239</v>
      </c>
      <c r="E832" s="4" t="s">
        <v>9779</v>
      </c>
      <c r="F832" s="4" t="s">
        <v>19114</v>
      </c>
      <c r="H832" s="4" t="s">
        <v>19106</v>
      </c>
    </row>
    <row r="833" spans="1:8" x14ac:dyDescent="0.2">
      <c r="A833" s="4" t="str">
        <f t="shared" si="21"/>
        <v>26</v>
      </c>
      <c r="B833" s="4" t="str">
        <f>"26.0208"</f>
        <v>26.0208</v>
      </c>
      <c r="C833" s="4" t="s">
        <v>18238</v>
      </c>
      <c r="D833" s="4" t="s">
        <v>18239</v>
      </c>
      <c r="E833" s="4" t="s">
        <v>9782</v>
      </c>
      <c r="F833" s="4" t="s">
        <v>19115</v>
      </c>
      <c r="H833" s="4" t="s">
        <v>19106</v>
      </c>
    </row>
    <row r="834" spans="1:8" x14ac:dyDescent="0.2">
      <c r="A834" s="4" t="str">
        <f t="shared" si="21"/>
        <v>26</v>
      </c>
      <c r="B834" s="4" t="str">
        <f>"26.0209"</f>
        <v>26.0209</v>
      </c>
      <c r="C834" s="4" t="s">
        <v>18238</v>
      </c>
      <c r="D834" s="4" t="s">
        <v>18239</v>
      </c>
      <c r="E834" s="4" t="s">
        <v>9785</v>
      </c>
      <c r="F834" s="4" t="s">
        <v>19116</v>
      </c>
      <c r="H834" s="4" t="s">
        <v>19106</v>
      </c>
    </row>
    <row r="835" spans="1:8" x14ac:dyDescent="0.2">
      <c r="A835" s="4" t="str">
        <f t="shared" si="21"/>
        <v>26</v>
      </c>
      <c r="B835" s="4" t="str">
        <f>"26.0210"</f>
        <v>26.0210</v>
      </c>
      <c r="C835" s="4" t="s">
        <v>18238</v>
      </c>
      <c r="D835" s="4" t="s">
        <v>18307</v>
      </c>
      <c r="E835" s="4" t="s">
        <v>19117</v>
      </c>
      <c r="F835" s="4" t="s">
        <v>19118</v>
      </c>
      <c r="G835" s="4" t="s">
        <v>19119</v>
      </c>
      <c r="H835" s="4" t="s">
        <v>19106</v>
      </c>
    </row>
    <row r="836" spans="1:8" x14ac:dyDescent="0.2">
      <c r="A836" s="4" t="str">
        <f t="shared" si="21"/>
        <v>26</v>
      </c>
      <c r="B836" s="4" t="str">
        <f>"26.0299"</f>
        <v>26.0299</v>
      </c>
      <c r="C836" s="4" t="s">
        <v>18238</v>
      </c>
      <c r="D836" s="4" t="s">
        <v>18239</v>
      </c>
      <c r="E836" s="4" t="s">
        <v>9791</v>
      </c>
      <c r="F836" s="4" t="s">
        <v>19120</v>
      </c>
      <c r="H836" s="4" t="s">
        <v>19121</v>
      </c>
    </row>
    <row r="837" spans="1:8" x14ac:dyDescent="0.2">
      <c r="A837" s="4" t="str">
        <f t="shared" si="21"/>
        <v>26</v>
      </c>
      <c r="B837" s="4" t="str">
        <f>"26.03"</f>
        <v>26.03</v>
      </c>
      <c r="C837" s="4" t="s">
        <v>18238</v>
      </c>
      <c r="D837" s="4" t="s">
        <v>18239</v>
      </c>
      <c r="E837" s="4" t="s">
        <v>11226</v>
      </c>
      <c r="F837" s="4" t="s">
        <v>19122</v>
      </c>
      <c r="H837" s="4" t="s">
        <v>19121</v>
      </c>
    </row>
    <row r="838" spans="1:8" x14ac:dyDescent="0.2">
      <c r="A838" s="4" t="str">
        <f t="shared" si="21"/>
        <v>26</v>
      </c>
      <c r="B838" s="4" t="str">
        <f>"26.0301"</f>
        <v>26.0301</v>
      </c>
      <c r="C838" s="4" t="s">
        <v>18238</v>
      </c>
      <c r="D838" s="4" t="s">
        <v>18239</v>
      </c>
      <c r="E838" s="4" t="s">
        <v>11226</v>
      </c>
      <c r="F838" s="4" t="s">
        <v>9794</v>
      </c>
      <c r="G838" s="4" t="s">
        <v>19123</v>
      </c>
      <c r="H838" s="4" t="s">
        <v>19121</v>
      </c>
    </row>
    <row r="839" spans="1:8" x14ac:dyDescent="0.2">
      <c r="A839" s="4" t="str">
        <f t="shared" si="21"/>
        <v>26</v>
      </c>
      <c r="B839" s="4" t="str">
        <f>"26.0305"</f>
        <v>26.0305</v>
      </c>
      <c r="C839" s="4" t="s">
        <v>18238</v>
      </c>
      <c r="D839" s="4" t="s">
        <v>18239</v>
      </c>
      <c r="E839" s="4" t="s">
        <v>9795</v>
      </c>
      <c r="F839" s="4" t="s">
        <v>19124</v>
      </c>
      <c r="G839" s="4" t="s">
        <v>19123</v>
      </c>
      <c r="H839" s="4" t="s">
        <v>19121</v>
      </c>
    </row>
    <row r="840" spans="1:8" x14ac:dyDescent="0.2">
      <c r="A840" s="4" t="str">
        <f t="shared" si="21"/>
        <v>26</v>
      </c>
      <c r="B840" s="4" t="str">
        <f>"26.0307"</f>
        <v>26.0307</v>
      </c>
      <c r="C840" s="4" t="s">
        <v>18238</v>
      </c>
      <c r="D840" s="4" t="s">
        <v>18239</v>
      </c>
      <c r="E840" s="4" t="s">
        <v>9797</v>
      </c>
      <c r="F840" s="4" t="s">
        <v>9798</v>
      </c>
      <c r="G840" s="4" t="s">
        <v>19123</v>
      </c>
      <c r="H840" s="4" t="s">
        <v>19121</v>
      </c>
    </row>
    <row r="841" spans="1:8" x14ac:dyDescent="0.2">
      <c r="A841" s="4" t="str">
        <f t="shared" si="21"/>
        <v>26</v>
      </c>
      <c r="B841" s="4" t="str">
        <f>"26.0308"</f>
        <v>26.0308</v>
      </c>
      <c r="C841" s="4" t="s">
        <v>18238</v>
      </c>
      <c r="D841" s="4" t="s">
        <v>18239</v>
      </c>
      <c r="E841" s="4" t="s">
        <v>9800</v>
      </c>
      <c r="F841" s="4" t="s">
        <v>19125</v>
      </c>
      <c r="G841" s="4" t="s">
        <v>19123</v>
      </c>
      <c r="H841" s="4" t="s">
        <v>19121</v>
      </c>
    </row>
    <row r="842" spans="1:8" x14ac:dyDescent="0.2">
      <c r="A842" s="4" t="str">
        <f t="shared" si="21"/>
        <v>26</v>
      </c>
      <c r="B842" s="4" t="str">
        <f>"26.0399"</f>
        <v>26.0399</v>
      </c>
      <c r="C842" s="4" t="s">
        <v>18238</v>
      </c>
      <c r="D842" s="4" t="s">
        <v>18239</v>
      </c>
      <c r="E842" s="4" t="s">
        <v>9802</v>
      </c>
      <c r="F842" s="4" t="s">
        <v>9803</v>
      </c>
      <c r="H842" s="4" t="s">
        <v>19126</v>
      </c>
    </row>
    <row r="843" spans="1:8" x14ac:dyDescent="0.2">
      <c r="A843" s="4" t="str">
        <f t="shared" si="21"/>
        <v>26</v>
      </c>
      <c r="B843" s="4" t="str">
        <f>"26.04"</f>
        <v>26.04</v>
      </c>
      <c r="C843" s="4" t="s">
        <v>18238</v>
      </c>
      <c r="D843" s="4" t="s">
        <v>18239</v>
      </c>
      <c r="E843" s="4" t="s">
        <v>11714</v>
      </c>
      <c r="F843" s="4" t="s">
        <v>19127</v>
      </c>
      <c r="H843" s="4" t="s">
        <v>19126</v>
      </c>
    </row>
    <row r="844" spans="1:8" x14ac:dyDescent="0.2">
      <c r="A844" s="4" t="str">
        <f t="shared" si="21"/>
        <v>26</v>
      </c>
      <c r="B844" s="4" t="str">
        <f>"26.0401"</f>
        <v>26.0401</v>
      </c>
      <c r="C844" s="4" t="s">
        <v>18238</v>
      </c>
      <c r="D844" s="4" t="s">
        <v>18239</v>
      </c>
      <c r="E844" s="4" t="s">
        <v>9806</v>
      </c>
      <c r="F844" s="4" t="s">
        <v>9807</v>
      </c>
      <c r="H844" s="4" t="s">
        <v>19126</v>
      </c>
    </row>
    <row r="845" spans="1:8" x14ac:dyDescent="0.2">
      <c r="A845" s="4" t="str">
        <f t="shared" si="21"/>
        <v>26</v>
      </c>
      <c r="B845" s="4" t="str">
        <f>"26.0403"</f>
        <v>26.0403</v>
      </c>
      <c r="C845" s="4" t="s">
        <v>18238</v>
      </c>
      <c r="D845" s="4" t="s">
        <v>18239</v>
      </c>
      <c r="E845" s="4" t="s">
        <v>9810</v>
      </c>
      <c r="F845" s="4" t="s">
        <v>19128</v>
      </c>
      <c r="H845" s="4" t="s">
        <v>19126</v>
      </c>
    </row>
    <row r="846" spans="1:8" x14ac:dyDescent="0.2">
      <c r="A846" s="4" t="str">
        <f t="shared" si="21"/>
        <v>26</v>
      </c>
      <c r="B846" s="4" t="str">
        <f>"26.0404"</f>
        <v>26.0404</v>
      </c>
      <c r="C846" s="4" t="s">
        <v>18238</v>
      </c>
      <c r="D846" s="4" t="s">
        <v>18239</v>
      </c>
      <c r="E846" s="4" t="s">
        <v>9813</v>
      </c>
      <c r="F846" s="4" t="s">
        <v>19129</v>
      </c>
      <c r="H846" s="4" t="s">
        <v>19126</v>
      </c>
    </row>
    <row r="847" spans="1:8" x14ac:dyDescent="0.2">
      <c r="A847" s="4" t="str">
        <f t="shared" si="21"/>
        <v>26</v>
      </c>
      <c r="B847" s="4" t="str">
        <f>"26.0405"</f>
        <v>26.0405</v>
      </c>
      <c r="C847" s="4" t="s">
        <v>18724</v>
      </c>
      <c r="D847" s="4" t="s">
        <v>18239</v>
      </c>
      <c r="E847" s="4" t="s">
        <v>9816</v>
      </c>
      <c r="F847" s="4" t="s">
        <v>19130</v>
      </c>
      <c r="H847" s="4" t="s">
        <v>19126</v>
      </c>
    </row>
    <row r="848" spans="1:8" x14ac:dyDescent="0.2">
      <c r="A848" s="4" t="str">
        <f t="shared" si="21"/>
        <v>26</v>
      </c>
      <c r="B848" s="4" t="str">
        <f>"26.0406"</f>
        <v>26.0406</v>
      </c>
      <c r="C848" s="4" t="s">
        <v>18238</v>
      </c>
      <c r="D848" s="4" t="s">
        <v>18239</v>
      </c>
      <c r="E848" s="4" t="s">
        <v>9819</v>
      </c>
      <c r="F848" s="4" t="s">
        <v>19131</v>
      </c>
      <c r="H848" s="4" t="s">
        <v>19126</v>
      </c>
    </row>
    <row r="849" spans="1:8" x14ac:dyDescent="0.2">
      <c r="A849" s="4" t="str">
        <f t="shared" si="21"/>
        <v>26</v>
      </c>
      <c r="B849" s="4" t="str">
        <f>"26.0407"</f>
        <v>26.0407</v>
      </c>
      <c r="C849" s="4" t="s">
        <v>18238</v>
      </c>
      <c r="D849" s="4" t="s">
        <v>18239</v>
      </c>
      <c r="E849" s="4" t="s">
        <v>9822</v>
      </c>
      <c r="F849" s="4" t="s">
        <v>19132</v>
      </c>
      <c r="H849" s="4" t="s">
        <v>19126</v>
      </c>
    </row>
    <row r="850" spans="1:8" x14ac:dyDescent="0.2">
      <c r="A850" s="4" t="str">
        <f t="shared" si="21"/>
        <v>26</v>
      </c>
      <c r="B850" s="4" t="str">
        <f>"26.0499"</f>
        <v>26.0499</v>
      </c>
      <c r="C850" s="4" t="s">
        <v>18238</v>
      </c>
      <c r="D850" s="4" t="s">
        <v>18239</v>
      </c>
      <c r="E850" s="4" t="s">
        <v>9824</v>
      </c>
      <c r="F850" s="4" t="s">
        <v>9825</v>
      </c>
      <c r="H850" s="4" t="s">
        <v>19133</v>
      </c>
    </row>
    <row r="851" spans="1:8" x14ac:dyDescent="0.2">
      <c r="A851" s="4" t="str">
        <f t="shared" si="21"/>
        <v>26</v>
      </c>
      <c r="B851" s="4" t="str">
        <f>"26.05"</f>
        <v>26.05</v>
      </c>
      <c r="C851" s="4" t="s">
        <v>18238</v>
      </c>
      <c r="D851" s="4" t="s">
        <v>18239</v>
      </c>
      <c r="E851" s="4" t="s">
        <v>11733</v>
      </c>
      <c r="F851" s="4" t="s">
        <v>19134</v>
      </c>
      <c r="H851" s="4" t="s">
        <v>19133</v>
      </c>
    </row>
    <row r="852" spans="1:8" x14ac:dyDescent="0.2">
      <c r="A852" s="4" t="str">
        <f t="shared" si="21"/>
        <v>26</v>
      </c>
      <c r="B852" s="4" t="str">
        <f>"26.0502"</f>
        <v>26.0502</v>
      </c>
      <c r="C852" s="4" t="s">
        <v>18238</v>
      </c>
      <c r="D852" s="4" t="s">
        <v>18239</v>
      </c>
      <c r="E852" s="4" t="s">
        <v>9830</v>
      </c>
      <c r="F852" s="4" t="s">
        <v>19135</v>
      </c>
      <c r="H852" s="4" t="s">
        <v>19133</v>
      </c>
    </row>
    <row r="853" spans="1:8" x14ac:dyDescent="0.2">
      <c r="A853" s="4" t="str">
        <f t="shared" si="21"/>
        <v>26</v>
      </c>
      <c r="B853" s="4" t="str">
        <f>"26.0503"</f>
        <v>26.0503</v>
      </c>
      <c r="C853" s="4" t="s">
        <v>18238</v>
      </c>
      <c r="D853" s="4" t="s">
        <v>18239</v>
      </c>
      <c r="E853" s="4" t="s">
        <v>9833</v>
      </c>
      <c r="F853" s="4" t="s">
        <v>19136</v>
      </c>
      <c r="H853" s="4" t="s">
        <v>19133</v>
      </c>
    </row>
    <row r="854" spans="1:8" x14ac:dyDescent="0.2">
      <c r="A854" s="4" t="str">
        <f t="shared" si="21"/>
        <v>26</v>
      </c>
      <c r="B854" s="4" t="str">
        <f>"26.0504"</f>
        <v>26.0504</v>
      </c>
      <c r="C854" s="4" t="s">
        <v>18238</v>
      </c>
      <c r="D854" s="4" t="s">
        <v>18239</v>
      </c>
      <c r="E854" s="4" t="s">
        <v>9836</v>
      </c>
      <c r="F854" s="4" t="s">
        <v>19137</v>
      </c>
      <c r="H854" s="4" t="s">
        <v>19133</v>
      </c>
    </row>
    <row r="855" spans="1:8" x14ac:dyDescent="0.2">
      <c r="A855" s="4" t="str">
        <f t="shared" si="21"/>
        <v>26</v>
      </c>
      <c r="B855" s="4" t="str">
        <f>"26.0505"</f>
        <v>26.0505</v>
      </c>
      <c r="C855" s="4" t="s">
        <v>18238</v>
      </c>
      <c r="D855" s="4" t="s">
        <v>18239</v>
      </c>
      <c r="E855" s="4" t="s">
        <v>9839</v>
      </c>
      <c r="F855" s="4" t="s">
        <v>19138</v>
      </c>
      <c r="H855" s="4" t="s">
        <v>19133</v>
      </c>
    </row>
    <row r="856" spans="1:8" x14ac:dyDescent="0.2">
      <c r="A856" s="4" t="str">
        <f t="shared" si="21"/>
        <v>26</v>
      </c>
      <c r="B856" s="4" t="str">
        <f>"26.0506"</f>
        <v>26.0506</v>
      </c>
      <c r="C856" s="4" t="s">
        <v>18238</v>
      </c>
      <c r="D856" s="4" t="s">
        <v>18239</v>
      </c>
      <c r="E856" s="4" t="s">
        <v>9842</v>
      </c>
      <c r="F856" s="4" t="s">
        <v>19139</v>
      </c>
      <c r="H856" s="4" t="s">
        <v>19133</v>
      </c>
    </row>
    <row r="857" spans="1:8" x14ac:dyDescent="0.2">
      <c r="A857" s="4" t="str">
        <f t="shared" si="21"/>
        <v>26</v>
      </c>
      <c r="B857" s="4" t="str">
        <f>"26.0507"</f>
        <v>26.0507</v>
      </c>
      <c r="C857" s="4" t="s">
        <v>18238</v>
      </c>
      <c r="D857" s="4" t="s">
        <v>18239</v>
      </c>
      <c r="E857" s="4" t="s">
        <v>9416</v>
      </c>
      <c r="F857" s="4" t="s">
        <v>19140</v>
      </c>
      <c r="H857" s="4" t="s">
        <v>19133</v>
      </c>
    </row>
    <row r="858" spans="1:8" x14ac:dyDescent="0.2">
      <c r="A858" s="4" t="str">
        <f t="shared" si="21"/>
        <v>26</v>
      </c>
      <c r="B858" s="4" t="str">
        <f>"26.0508"</f>
        <v>26.0508</v>
      </c>
      <c r="C858" s="4" t="s">
        <v>18258</v>
      </c>
      <c r="D858" s="4" t="s">
        <v>18239</v>
      </c>
      <c r="E858" s="4" t="s">
        <v>19141</v>
      </c>
      <c r="F858" s="4" t="s">
        <v>19142</v>
      </c>
      <c r="G858" s="4" t="s">
        <v>19143</v>
      </c>
      <c r="H858" s="4" t="s">
        <v>19144</v>
      </c>
    </row>
    <row r="859" spans="1:8" x14ac:dyDescent="0.2">
      <c r="A859" s="4" t="str">
        <f t="shared" si="21"/>
        <v>26</v>
      </c>
      <c r="B859" s="4" t="str">
        <f>"26.0599"</f>
        <v>26.0599</v>
      </c>
      <c r="C859" s="4" t="s">
        <v>18238</v>
      </c>
      <c r="D859" s="4" t="s">
        <v>18239</v>
      </c>
      <c r="E859" s="4" t="s">
        <v>9419</v>
      </c>
      <c r="F859" s="4" t="s">
        <v>19145</v>
      </c>
      <c r="H859" s="4" t="s">
        <v>19144</v>
      </c>
    </row>
    <row r="860" spans="1:8" x14ac:dyDescent="0.2">
      <c r="A860" s="4" t="str">
        <f t="shared" si="21"/>
        <v>26</v>
      </c>
      <c r="B860" s="4" t="str">
        <f>"26.07"</f>
        <v>26.07</v>
      </c>
      <c r="C860" s="4" t="s">
        <v>18238</v>
      </c>
      <c r="D860" s="4" t="s">
        <v>18239</v>
      </c>
      <c r="E860" s="4" t="s">
        <v>11716</v>
      </c>
      <c r="F860" s="4" t="s">
        <v>19146</v>
      </c>
      <c r="H860" s="4" t="s">
        <v>19144</v>
      </c>
    </row>
    <row r="861" spans="1:8" x14ac:dyDescent="0.2">
      <c r="A861" s="4" t="str">
        <f t="shared" si="21"/>
        <v>26</v>
      </c>
      <c r="B861" s="4" t="str">
        <f>"26.0701"</f>
        <v>26.0701</v>
      </c>
      <c r="C861" s="4" t="s">
        <v>18238</v>
      </c>
      <c r="D861" s="4" t="s">
        <v>18239</v>
      </c>
      <c r="E861" s="4" t="s">
        <v>11716</v>
      </c>
      <c r="F861" s="4" t="s">
        <v>9449</v>
      </c>
      <c r="G861" s="4" t="s">
        <v>19147</v>
      </c>
      <c r="H861" s="4" t="s">
        <v>19144</v>
      </c>
    </row>
    <row r="862" spans="1:8" x14ac:dyDescent="0.2">
      <c r="A862" s="4" t="str">
        <f t="shared" si="21"/>
        <v>26</v>
      </c>
      <c r="B862" s="4" t="str">
        <f>"26.0702"</f>
        <v>26.0702</v>
      </c>
      <c r="C862" s="4" t="s">
        <v>18238</v>
      </c>
      <c r="D862" s="4" t="s">
        <v>18239</v>
      </c>
      <c r="E862" s="4" t="s">
        <v>11757</v>
      </c>
      <c r="F862" s="4" t="s">
        <v>9450</v>
      </c>
      <c r="G862" s="4" t="s">
        <v>19148</v>
      </c>
      <c r="H862" s="4" t="s">
        <v>19144</v>
      </c>
    </row>
    <row r="863" spans="1:8" x14ac:dyDescent="0.2">
      <c r="A863" s="4" t="str">
        <f t="shared" si="21"/>
        <v>26</v>
      </c>
      <c r="B863" s="4" t="str">
        <f>"26.0707"</f>
        <v>26.0707</v>
      </c>
      <c r="C863" s="4" t="s">
        <v>18238</v>
      </c>
      <c r="D863" s="4" t="s">
        <v>18239</v>
      </c>
      <c r="E863" s="4" t="s">
        <v>11747</v>
      </c>
      <c r="F863" s="4" t="s">
        <v>19149</v>
      </c>
      <c r="H863" s="4" t="s">
        <v>19144</v>
      </c>
    </row>
    <row r="864" spans="1:8" x14ac:dyDescent="0.2">
      <c r="A864" s="4" t="str">
        <f t="shared" si="21"/>
        <v>26</v>
      </c>
      <c r="B864" s="4" t="str">
        <f>"26.0708"</f>
        <v>26.0708</v>
      </c>
      <c r="C864" s="4" t="s">
        <v>18238</v>
      </c>
      <c r="D864" s="4" t="s">
        <v>18239</v>
      </c>
      <c r="E864" s="4" t="s">
        <v>9460</v>
      </c>
      <c r="F864" s="4" t="s">
        <v>19150</v>
      </c>
      <c r="H864" s="4" t="s">
        <v>19144</v>
      </c>
    </row>
    <row r="865" spans="1:8" x14ac:dyDescent="0.2">
      <c r="A865" s="4" t="str">
        <f t="shared" si="21"/>
        <v>26</v>
      </c>
      <c r="B865" s="4" t="str">
        <f>"26.0709"</f>
        <v>26.0709</v>
      </c>
      <c r="C865" s="4" t="s">
        <v>18238</v>
      </c>
      <c r="D865" s="4" t="s">
        <v>18239</v>
      </c>
      <c r="E865" s="4" t="s">
        <v>12646</v>
      </c>
      <c r="F865" s="4" t="s">
        <v>19151</v>
      </c>
      <c r="G865" s="4" t="s">
        <v>19152</v>
      </c>
      <c r="H865" s="4" t="s">
        <v>19144</v>
      </c>
    </row>
    <row r="866" spans="1:8" x14ac:dyDescent="0.2">
      <c r="A866" s="4" t="str">
        <f t="shared" si="21"/>
        <v>26</v>
      </c>
      <c r="B866" s="4" t="str">
        <f>"26.0799"</f>
        <v>26.0799</v>
      </c>
      <c r="C866" s="4" t="s">
        <v>18238</v>
      </c>
      <c r="D866" s="4" t="s">
        <v>18239</v>
      </c>
      <c r="E866" s="4" t="s">
        <v>9463</v>
      </c>
      <c r="F866" s="4" t="s">
        <v>9464</v>
      </c>
      <c r="H866" s="4" t="s">
        <v>19144</v>
      </c>
    </row>
    <row r="867" spans="1:8" x14ac:dyDescent="0.2">
      <c r="A867" s="4" t="str">
        <f t="shared" si="21"/>
        <v>26</v>
      </c>
      <c r="B867" s="4" t="str">
        <f>"26.08"</f>
        <v>26.08</v>
      </c>
      <c r="C867" s="4" t="s">
        <v>18238</v>
      </c>
      <c r="D867" s="4" t="s">
        <v>18239</v>
      </c>
      <c r="E867" s="4" t="s">
        <v>12621</v>
      </c>
      <c r="F867" s="4" t="s">
        <v>19153</v>
      </c>
      <c r="H867" s="4" t="s">
        <v>19144</v>
      </c>
    </row>
    <row r="868" spans="1:8" x14ac:dyDescent="0.2">
      <c r="A868" s="4" t="str">
        <f t="shared" si="21"/>
        <v>26</v>
      </c>
      <c r="B868" s="4" t="str">
        <f>"26.0801"</f>
        <v>26.0801</v>
      </c>
      <c r="C868" s="4" t="s">
        <v>18238</v>
      </c>
      <c r="D868" s="4" t="s">
        <v>18239</v>
      </c>
      <c r="E868" s="4" t="s">
        <v>9467</v>
      </c>
      <c r="F868" s="4" t="s">
        <v>19154</v>
      </c>
      <c r="H868" s="4" t="s">
        <v>19144</v>
      </c>
    </row>
    <row r="869" spans="1:8" x14ac:dyDescent="0.2">
      <c r="A869" s="4" t="str">
        <f t="shared" si="21"/>
        <v>26</v>
      </c>
      <c r="B869" s="4" t="str">
        <f>"26.0802"</f>
        <v>26.0802</v>
      </c>
      <c r="C869" s="4" t="s">
        <v>18238</v>
      </c>
      <c r="D869" s="4" t="s">
        <v>18307</v>
      </c>
      <c r="E869" s="4" t="s">
        <v>9470</v>
      </c>
      <c r="F869" s="4" t="s">
        <v>19155</v>
      </c>
      <c r="H869" s="4" t="s">
        <v>19156</v>
      </c>
    </row>
    <row r="870" spans="1:8" x14ac:dyDescent="0.2">
      <c r="A870" s="4" t="str">
        <f t="shared" si="21"/>
        <v>26</v>
      </c>
      <c r="B870" s="4" t="str">
        <f>"26.0803"</f>
        <v>26.0803</v>
      </c>
      <c r="C870" s="4" t="s">
        <v>18238</v>
      </c>
      <c r="D870" s="4" t="s">
        <v>18239</v>
      </c>
      <c r="E870" s="4" t="s">
        <v>9473</v>
      </c>
      <c r="F870" s="4" t="s">
        <v>19157</v>
      </c>
      <c r="H870" s="4" t="s">
        <v>19156</v>
      </c>
    </row>
    <row r="871" spans="1:8" x14ac:dyDescent="0.2">
      <c r="A871" s="4" t="str">
        <f t="shared" si="21"/>
        <v>26</v>
      </c>
      <c r="B871" s="4" t="str">
        <f>"26.0804"</f>
        <v>26.0804</v>
      </c>
      <c r="C871" s="4" t="s">
        <v>18238</v>
      </c>
      <c r="D871" s="4" t="s">
        <v>18239</v>
      </c>
      <c r="E871" s="4" t="s">
        <v>11726</v>
      </c>
      <c r="F871" s="4" t="s">
        <v>19158</v>
      </c>
      <c r="G871" s="4" t="s">
        <v>19159</v>
      </c>
      <c r="H871" s="4" t="s">
        <v>19156</v>
      </c>
    </row>
    <row r="872" spans="1:8" x14ac:dyDescent="0.2">
      <c r="A872" s="4" t="str">
        <f t="shared" si="21"/>
        <v>26</v>
      </c>
      <c r="B872" s="4" t="str">
        <f>"26.0805"</f>
        <v>26.0805</v>
      </c>
      <c r="C872" s="4" t="s">
        <v>18238</v>
      </c>
      <c r="D872" s="4" t="s">
        <v>18239</v>
      </c>
      <c r="E872" s="4" t="s">
        <v>11237</v>
      </c>
      <c r="F872" s="4" t="s">
        <v>19160</v>
      </c>
      <c r="G872" s="4" t="s">
        <v>19161</v>
      </c>
      <c r="H872" s="4" t="s">
        <v>19156</v>
      </c>
    </row>
    <row r="873" spans="1:8" x14ac:dyDescent="0.2">
      <c r="A873" s="4" t="str">
        <f t="shared" si="21"/>
        <v>26</v>
      </c>
      <c r="B873" s="4" t="str">
        <f>"26.0806"</f>
        <v>26.0806</v>
      </c>
      <c r="C873" s="4" t="s">
        <v>18238</v>
      </c>
      <c r="D873" s="4" t="s">
        <v>18239</v>
      </c>
      <c r="E873" s="4" t="s">
        <v>9479</v>
      </c>
      <c r="F873" s="4" t="s">
        <v>19162</v>
      </c>
      <c r="G873" s="4" t="s">
        <v>19163</v>
      </c>
      <c r="H873" s="4" t="s">
        <v>19156</v>
      </c>
    </row>
    <row r="874" spans="1:8" x14ac:dyDescent="0.2">
      <c r="A874" s="4" t="str">
        <f t="shared" si="21"/>
        <v>26</v>
      </c>
      <c r="B874" s="4" t="str">
        <f>"26.0807"</f>
        <v>26.0807</v>
      </c>
      <c r="C874" s="4" t="s">
        <v>18258</v>
      </c>
      <c r="D874" s="4" t="s">
        <v>18239</v>
      </c>
      <c r="E874" s="4" t="s">
        <v>19164</v>
      </c>
      <c r="F874" s="4" t="s">
        <v>19165</v>
      </c>
      <c r="H874" s="4" t="s">
        <v>19156</v>
      </c>
    </row>
    <row r="875" spans="1:8" x14ac:dyDescent="0.2">
      <c r="A875" s="4" t="str">
        <f t="shared" si="21"/>
        <v>26</v>
      </c>
      <c r="B875" s="4" t="str">
        <f>"26.0899"</f>
        <v>26.0899</v>
      </c>
      <c r="C875" s="4" t="s">
        <v>18238</v>
      </c>
      <c r="D875" s="4" t="s">
        <v>18239</v>
      </c>
      <c r="E875" s="4" t="s">
        <v>9486</v>
      </c>
      <c r="F875" s="4" t="s">
        <v>19166</v>
      </c>
      <c r="H875" s="4" t="s">
        <v>19156</v>
      </c>
    </row>
    <row r="876" spans="1:8" x14ac:dyDescent="0.2">
      <c r="A876" s="4" t="str">
        <f t="shared" si="21"/>
        <v>26</v>
      </c>
      <c r="B876" s="4" t="str">
        <f>"26.09"</f>
        <v>26.09</v>
      </c>
      <c r="C876" s="4" t="s">
        <v>18238</v>
      </c>
      <c r="D876" s="4" t="s">
        <v>18239</v>
      </c>
      <c r="E876" s="4" t="s">
        <v>9458</v>
      </c>
      <c r="F876" s="4" t="s">
        <v>19167</v>
      </c>
      <c r="H876" s="4" t="s">
        <v>19156</v>
      </c>
    </row>
    <row r="877" spans="1:8" x14ac:dyDescent="0.2">
      <c r="A877" s="4" t="str">
        <f t="shared" si="21"/>
        <v>26</v>
      </c>
      <c r="B877" s="4" t="str">
        <f>"26.0901"</f>
        <v>26.0901</v>
      </c>
      <c r="C877" s="4" t="s">
        <v>18238</v>
      </c>
      <c r="D877" s="4" t="s">
        <v>18239</v>
      </c>
      <c r="E877" s="4" t="s">
        <v>11239</v>
      </c>
      <c r="F877" s="4" t="s">
        <v>19168</v>
      </c>
      <c r="H877" s="4" t="s">
        <v>19156</v>
      </c>
    </row>
    <row r="878" spans="1:8" x14ac:dyDescent="0.2">
      <c r="A878" s="4" t="str">
        <f t="shared" si="21"/>
        <v>26</v>
      </c>
      <c r="B878" s="4" t="str">
        <f>"26.0902"</f>
        <v>26.0902</v>
      </c>
      <c r="C878" s="4" t="s">
        <v>18238</v>
      </c>
      <c r="D878" s="4" t="s">
        <v>18239</v>
      </c>
      <c r="E878" s="4" t="s">
        <v>11241</v>
      </c>
      <c r="F878" s="4" t="s">
        <v>19169</v>
      </c>
      <c r="H878" s="4" t="s">
        <v>19156</v>
      </c>
    </row>
    <row r="879" spans="1:8" x14ac:dyDescent="0.2">
      <c r="A879" s="4" t="str">
        <f t="shared" si="21"/>
        <v>26</v>
      </c>
      <c r="B879" s="4" t="str">
        <f>"26.0903"</f>
        <v>26.0903</v>
      </c>
      <c r="C879" s="4" t="s">
        <v>18238</v>
      </c>
      <c r="D879" s="4" t="s">
        <v>18239</v>
      </c>
      <c r="E879" s="4" t="s">
        <v>11243</v>
      </c>
      <c r="F879" s="4" t="s">
        <v>19170</v>
      </c>
      <c r="H879" s="4" t="s">
        <v>19156</v>
      </c>
    </row>
    <row r="880" spans="1:8" x14ac:dyDescent="0.2">
      <c r="A880" s="4" t="str">
        <f t="shared" si="21"/>
        <v>26</v>
      </c>
      <c r="B880" s="4" t="str">
        <f>"26.0904"</f>
        <v>26.0904</v>
      </c>
      <c r="C880" s="4" t="s">
        <v>18238</v>
      </c>
      <c r="D880" s="4" t="s">
        <v>18239</v>
      </c>
      <c r="E880" s="4" t="s">
        <v>9494</v>
      </c>
      <c r="F880" s="4" t="s">
        <v>19171</v>
      </c>
      <c r="H880" s="4" t="s">
        <v>19156</v>
      </c>
    </row>
    <row r="881" spans="1:8" x14ac:dyDescent="0.2">
      <c r="A881" s="4" t="str">
        <f t="shared" si="21"/>
        <v>26</v>
      </c>
      <c r="B881" s="4" t="str">
        <f>"26.0905"</f>
        <v>26.0905</v>
      </c>
      <c r="C881" s="4" t="s">
        <v>18238</v>
      </c>
      <c r="D881" s="4" t="s">
        <v>18239</v>
      </c>
      <c r="E881" s="4" t="s">
        <v>9497</v>
      </c>
      <c r="F881" s="4" t="s">
        <v>19172</v>
      </c>
      <c r="H881" s="4" t="s">
        <v>19156</v>
      </c>
    </row>
    <row r="882" spans="1:8" x14ac:dyDescent="0.2">
      <c r="A882" s="4" t="str">
        <f t="shared" si="21"/>
        <v>26</v>
      </c>
      <c r="B882" s="4" t="str">
        <f>"26.0906"</f>
        <v>26.0906</v>
      </c>
      <c r="C882" s="4" t="s">
        <v>18724</v>
      </c>
      <c r="D882" s="4" t="s">
        <v>18239</v>
      </c>
      <c r="E882" s="4" t="s">
        <v>9500</v>
      </c>
      <c r="F882" s="4" t="s">
        <v>19173</v>
      </c>
      <c r="H882" s="4" t="s">
        <v>19156</v>
      </c>
    </row>
    <row r="883" spans="1:8" x14ac:dyDescent="0.2">
      <c r="A883" s="4" t="str">
        <f t="shared" si="21"/>
        <v>26</v>
      </c>
      <c r="B883" s="4" t="str">
        <f>"26.0907"</f>
        <v>26.0907</v>
      </c>
      <c r="C883" s="4" t="s">
        <v>18238</v>
      </c>
      <c r="D883" s="4" t="s">
        <v>18239</v>
      </c>
      <c r="E883" s="4" t="s">
        <v>9505</v>
      </c>
      <c r="F883" s="4" t="s">
        <v>19174</v>
      </c>
      <c r="H883" s="4" t="s">
        <v>19156</v>
      </c>
    </row>
    <row r="884" spans="1:8" x14ac:dyDescent="0.2">
      <c r="A884" s="4" t="str">
        <f t="shared" si="21"/>
        <v>26</v>
      </c>
      <c r="B884" s="4" t="str">
        <f>"26.0908"</f>
        <v>26.0908</v>
      </c>
      <c r="C884" s="4" t="s">
        <v>18238</v>
      </c>
      <c r="D884" s="4" t="s">
        <v>18239</v>
      </c>
      <c r="E884" s="4" t="s">
        <v>9508</v>
      </c>
      <c r="F884" s="4" t="s">
        <v>19175</v>
      </c>
      <c r="G884" s="4" t="s">
        <v>19176</v>
      </c>
      <c r="H884" s="4" t="s">
        <v>19156</v>
      </c>
    </row>
    <row r="885" spans="1:8" x14ac:dyDescent="0.2">
      <c r="A885" s="4" t="str">
        <f t="shared" si="21"/>
        <v>26</v>
      </c>
      <c r="B885" s="4" t="str">
        <f>"26.0909"</f>
        <v>26.0909</v>
      </c>
      <c r="C885" s="4" t="s">
        <v>18238</v>
      </c>
      <c r="D885" s="4" t="s">
        <v>18239</v>
      </c>
      <c r="E885" s="4" t="s">
        <v>9512</v>
      </c>
      <c r="F885" s="4" t="s">
        <v>19177</v>
      </c>
      <c r="H885" s="4" t="s">
        <v>19156</v>
      </c>
    </row>
    <row r="886" spans="1:8" x14ac:dyDescent="0.2">
      <c r="A886" s="4" t="str">
        <f t="shared" si="21"/>
        <v>26</v>
      </c>
      <c r="B886" s="4" t="str">
        <f>"26.0910"</f>
        <v>26.0910</v>
      </c>
      <c r="C886" s="4" t="s">
        <v>18238</v>
      </c>
      <c r="D886" s="4" t="s">
        <v>18239</v>
      </c>
      <c r="E886" s="4" t="s">
        <v>11238</v>
      </c>
      <c r="F886" s="4" t="s">
        <v>19178</v>
      </c>
      <c r="H886" s="4" t="s">
        <v>19156</v>
      </c>
    </row>
    <row r="887" spans="1:8" x14ac:dyDescent="0.2">
      <c r="A887" s="4" t="str">
        <f t="shared" ref="A887:A928" si="22">"26"</f>
        <v>26</v>
      </c>
      <c r="B887" s="4" t="str">
        <f>"26.0911"</f>
        <v>26.0911</v>
      </c>
      <c r="C887" s="4" t="s">
        <v>18238</v>
      </c>
      <c r="D887" s="4" t="s">
        <v>18239</v>
      </c>
      <c r="E887" s="4" t="s">
        <v>9517</v>
      </c>
      <c r="F887" s="4" t="s">
        <v>19179</v>
      </c>
      <c r="H887" s="4" t="s">
        <v>19156</v>
      </c>
    </row>
    <row r="888" spans="1:8" x14ac:dyDescent="0.2">
      <c r="A888" s="4" t="str">
        <f t="shared" si="22"/>
        <v>26</v>
      </c>
      <c r="B888" s="4" t="str">
        <f>"26.0912"</f>
        <v>26.0912</v>
      </c>
      <c r="C888" s="4" t="s">
        <v>18258</v>
      </c>
      <c r="D888" s="4" t="s">
        <v>18239</v>
      </c>
      <c r="E888" s="4" t="s">
        <v>19180</v>
      </c>
      <c r="F888" s="4" t="s">
        <v>19181</v>
      </c>
      <c r="H888" s="4" t="s">
        <v>19156</v>
      </c>
    </row>
    <row r="889" spans="1:8" x14ac:dyDescent="0.2">
      <c r="A889" s="4" t="str">
        <f t="shared" si="22"/>
        <v>26</v>
      </c>
      <c r="B889" s="4" t="str">
        <f>"26.0999"</f>
        <v>26.0999</v>
      </c>
      <c r="C889" s="4" t="s">
        <v>18238</v>
      </c>
      <c r="D889" s="4" t="s">
        <v>18239</v>
      </c>
      <c r="E889" s="4" t="s">
        <v>9520</v>
      </c>
      <c r="F889" s="4" t="s">
        <v>19182</v>
      </c>
      <c r="H889" s="4" t="s">
        <v>19156</v>
      </c>
    </row>
    <row r="890" spans="1:8" x14ac:dyDescent="0.2">
      <c r="A890" s="4" t="str">
        <f t="shared" si="22"/>
        <v>26</v>
      </c>
      <c r="B890" s="4" t="str">
        <f>"26.10"</f>
        <v>26.10</v>
      </c>
      <c r="C890" s="4" t="s">
        <v>18238</v>
      </c>
      <c r="D890" s="4" t="s">
        <v>18239</v>
      </c>
      <c r="E890" s="4" t="s">
        <v>11737</v>
      </c>
      <c r="F890" s="4" t="s">
        <v>19183</v>
      </c>
      <c r="H890" s="4" t="s">
        <v>19156</v>
      </c>
    </row>
    <row r="891" spans="1:8" x14ac:dyDescent="0.2">
      <c r="A891" s="4" t="str">
        <f t="shared" si="22"/>
        <v>26</v>
      </c>
      <c r="B891" s="4" t="str">
        <f>"26.1001"</f>
        <v>26.1001</v>
      </c>
      <c r="C891" s="4" t="s">
        <v>18238</v>
      </c>
      <c r="D891" s="4" t="s">
        <v>18239</v>
      </c>
      <c r="E891" s="4" t="s">
        <v>9453</v>
      </c>
      <c r="F891" s="4" t="s">
        <v>19184</v>
      </c>
      <c r="G891" s="4" t="s">
        <v>19185</v>
      </c>
      <c r="H891" s="4" t="s">
        <v>19156</v>
      </c>
    </row>
    <row r="892" spans="1:8" x14ac:dyDescent="0.2">
      <c r="A892" s="4" t="str">
        <f t="shared" si="22"/>
        <v>26</v>
      </c>
      <c r="B892" s="4" t="str">
        <f>"26.1002"</f>
        <v>26.1002</v>
      </c>
      <c r="C892" s="4" t="s">
        <v>18238</v>
      </c>
      <c r="D892" s="4" t="s">
        <v>18239</v>
      </c>
      <c r="E892" s="4" t="s">
        <v>9527</v>
      </c>
      <c r="F892" s="4" t="s">
        <v>19186</v>
      </c>
      <c r="H892" s="4" t="s">
        <v>19156</v>
      </c>
    </row>
    <row r="893" spans="1:8" x14ac:dyDescent="0.2">
      <c r="A893" s="4" t="str">
        <f t="shared" si="22"/>
        <v>26</v>
      </c>
      <c r="B893" s="4" t="str">
        <f>"26.1003"</f>
        <v>26.1003</v>
      </c>
      <c r="C893" s="4" t="s">
        <v>18238</v>
      </c>
      <c r="D893" s="4" t="s">
        <v>18239</v>
      </c>
      <c r="E893" s="4" t="s">
        <v>9530</v>
      </c>
      <c r="F893" s="4" t="s">
        <v>19187</v>
      </c>
      <c r="H893" s="4" t="s">
        <v>19156</v>
      </c>
    </row>
    <row r="894" spans="1:8" x14ac:dyDescent="0.2">
      <c r="A894" s="4" t="str">
        <f t="shared" si="22"/>
        <v>26</v>
      </c>
      <c r="B894" s="4" t="str">
        <f>"26.1004"</f>
        <v>26.1004</v>
      </c>
      <c r="C894" s="4" t="s">
        <v>18238</v>
      </c>
      <c r="D894" s="4" t="s">
        <v>18239</v>
      </c>
      <c r="E894" s="4" t="s">
        <v>9433</v>
      </c>
      <c r="F894" s="4" t="s">
        <v>19188</v>
      </c>
      <c r="H894" s="4" t="s">
        <v>19156</v>
      </c>
    </row>
    <row r="895" spans="1:8" x14ac:dyDescent="0.2">
      <c r="A895" s="4" t="str">
        <f t="shared" si="22"/>
        <v>26</v>
      </c>
      <c r="B895" s="4" t="str">
        <f>"26.1005"</f>
        <v>26.1005</v>
      </c>
      <c r="C895" s="4" t="s">
        <v>18238</v>
      </c>
      <c r="D895" s="4" t="s">
        <v>18239</v>
      </c>
      <c r="E895" s="4" t="s">
        <v>9535</v>
      </c>
      <c r="F895" s="4" t="s">
        <v>19189</v>
      </c>
      <c r="H895" s="4" t="s">
        <v>19156</v>
      </c>
    </row>
    <row r="896" spans="1:8" x14ac:dyDescent="0.2">
      <c r="A896" s="4" t="str">
        <f t="shared" si="22"/>
        <v>26</v>
      </c>
      <c r="B896" s="4" t="str">
        <f>"26.1006"</f>
        <v>26.1006</v>
      </c>
      <c r="C896" s="4" t="s">
        <v>18238</v>
      </c>
      <c r="D896" s="4" t="s">
        <v>18239</v>
      </c>
      <c r="E896" s="4" t="s">
        <v>9538</v>
      </c>
      <c r="F896" s="4" t="s">
        <v>19190</v>
      </c>
      <c r="H896" s="4" t="s">
        <v>19156</v>
      </c>
    </row>
    <row r="897" spans="1:8" x14ac:dyDescent="0.2">
      <c r="A897" s="4" t="str">
        <f t="shared" si="22"/>
        <v>26</v>
      </c>
      <c r="B897" s="4" t="str">
        <f>"26.1007"</f>
        <v>26.1007</v>
      </c>
      <c r="C897" s="4" t="s">
        <v>18238</v>
      </c>
      <c r="D897" s="4" t="s">
        <v>18239</v>
      </c>
      <c r="E897" s="4" t="s">
        <v>11737</v>
      </c>
      <c r="F897" s="4" t="s">
        <v>19191</v>
      </c>
      <c r="G897" s="4" t="s">
        <v>19192</v>
      </c>
      <c r="H897" s="4" t="s">
        <v>19156</v>
      </c>
    </row>
    <row r="898" spans="1:8" x14ac:dyDescent="0.2">
      <c r="A898" s="4" t="str">
        <f t="shared" si="22"/>
        <v>26</v>
      </c>
      <c r="B898" s="4" t="str">
        <f>"26.1099"</f>
        <v>26.1099</v>
      </c>
      <c r="C898" s="4" t="s">
        <v>18238</v>
      </c>
      <c r="D898" s="4" t="s">
        <v>18239</v>
      </c>
      <c r="E898" s="4" t="s">
        <v>9543</v>
      </c>
      <c r="F898" s="4" t="s">
        <v>19193</v>
      </c>
      <c r="H898" s="4" t="s">
        <v>19156</v>
      </c>
    </row>
    <row r="899" spans="1:8" x14ac:dyDescent="0.2">
      <c r="A899" s="4" t="str">
        <f t="shared" si="22"/>
        <v>26</v>
      </c>
      <c r="B899" s="4" t="str">
        <f>"26.11"</f>
        <v>26.11</v>
      </c>
      <c r="C899" s="4" t="s">
        <v>18238</v>
      </c>
      <c r="D899" s="4" t="s">
        <v>18307</v>
      </c>
      <c r="E899" s="4" t="s">
        <v>19194</v>
      </c>
      <c r="F899" s="4" t="s">
        <v>19195</v>
      </c>
      <c r="H899" s="4" t="s">
        <v>19156</v>
      </c>
    </row>
    <row r="900" spans="1:8" x14ac:dyDescent="0.2">
      <c r="A900" s="4" t="str">
        <f t="shared" si="22"/>
        <v>26</v>
      </c>
      <c r="B900" s="4" t="str">
        <f>"26.1101"</f>
        <v>26.1101</v>
      </c>
      <c r="C900" s="4" t="s">
        <v>18238</v>
      </c>
      <c r="D900" s="4" t="s">
        <v>18239</v>
      </c>
      <c r="E900" s="4" t="s">
        <v>11718</v>
      </c>
      <c r="F900" s="4" t="s">
        <v>19196</v>
      </c>
      <c r="G900" s="4" t="s">
        <v>19197</v>
      </c>
      <c r="H900" s="4" t="s">
        <v>19156</v>
      </c>
    </row>
    <row r="901" spans="1:8" x14ac:dyDescent="0.2">
      <c r="A901" s="4" t="str">
        <f t="shared" si="22"/>
        <v>26</v>
      </c>
      <c r="B901" s="4" t="str">
        <f>"26.1102"</f>
        <v>26.1102</v>
      </c>
      <c r="C901" s="4" t="s">
        <v>18238</v>
      </c>
      <c r="D901" s="4" t="s">
        <v>18239</v>
      </c>
      <c r="E901" s="4" t="s">
        <v>9439</v>
      </c>
      <c r="F901" s="4" t="s">
        <v>19198</v>
      </c>
      <c r="G901" s="4" t="s">
        <v>19199</v>
      </c>
      <c r="H901" s="4" t="s">
        <v>19156</v>
      </c>
    </row>
    <row r="902" spans="1:8" x14ac:dyDescent="0.2">
      <c r="A902" s="4" t="str">
        <f t="shared" si="22"/>
        <v>26</v>
      </c>
      <c r="B902" s="4" t="str">
        <f>"26.1103"</f>
        <v>26.1103</v>
      </c>
      <c r="C902" s="4" t="s">
        <v>18238</v>
      </c>
      <c r="D902" s="4" t="s">
        <v>18239</v>
      </c>
      <c r="E902" s="4" t="s">
        <v>11721</v>
      </c>
      <c r="F902" s="4" t="s">
        <v>19200</v>
      </c>
      <c r="G902" s="4" t="s">
        <v>19201</v>
      </c>
      <c r="H902" s="4" t="s">
        <v>19156</v>
      </c>
    </row>
    <row r="903" spans="1:8" x14ac:dyDescent="0.2">
      <c r="A903" s="4" t="str">
        <f t="shared" si="22"/>
        <v>26</v>
      </c>
      <c r="B903" s="4" t="str">
        <f>"26.1104"</f>
        <v>26.1104</v>
      </c>
      <c r="C903" s="4" t="s">
        <v>18258</v>
      </c>
      <c r="D903" s="4" t="s">
        <v>18239</v>
      </c>
      <c r="E903" s="4" t="s">
        <v>19202</v>
      </c>
      <c r="F903" s="4" t="s">
        <v>19203</v>
      </c>
      <c r="H903" s="4" t="s">
        <v>19204</v>
      </c>
    </row>
    <row r="904" spans="1:8" x14ac:dyDescent="0.2">
      <c r="A904" s="4" t="str">
        <f t="shared" si="22"/>
        <v>26</v>
      </c>
      <c r="B904" s="4" t="str">
        <f>"26.1199"</f>
        <v>26.1199</v>
      </c>
      <c r="C904" s="4" t="s">
        <v>18238</v>
      </c>
      <c r="D904" s="4" t="s">
        <v>18307</v>
      </c>
      <c r="E904" s="4" t="s">
        <v>19205</v>
      </c>
      <c r="F904" s="4" t="s">
        <v>19206</v>
      </c>
      <c r="H904" s="4" t="s">
        <v>19207</v>
      </c>
    </row>
    <row r="905" spans="1:8" x14ac:dyDescent="0.2">
      <c r="A905" s="4" t="str">
        <f t="shared" si="22"/>
        <v>26</v>
      </c>
      <c r="B905" s="4" t="str">
        <f>"26.12"</f>
        <v>26.12</v>
      </c>
      <c r="C905" s="4" t="s">
        <v>18238</v>
      </c>
      <c r="D905" s="4" t="s">
        <v>18239</v>
      </c>
      <c r="E905" s="4" t="s">
        <v>11728</v>
      </c>
      <c r="F905" s="4" t="s">
        <v>19208</v>
      </c>
      <c r="H905" s="4" t="s">
        <v>19207</v>
      </c>
    </row>
    <row r="906" spans="1:8" x14ac:dyDescent="0.2">
      <c r="A906" s="4" t="str">
        <f t="shared" si="22"/>
        <v>26</v>
      </c>
      <c r="B906" s="4" t="str">
        <f>"26.1201"</f>
        <v>26.1201</v>
      </c>
      <c r="C906" s="4" t="s">
        <v>18238</v>
      </c>
      <c r="D906" s="4" t="s">
        <v>18239</v>
      </c>
      <c r="E906" s="4" t="s">
        <v>11728</v>
      </c>
      <c r="F906" s="4" t="s">
        <v>19209</v>
      </c>
      <c r="H906" s="4" t="s">
        <v>19207</v>
      </c>
    </row>
    <row r="907" spans="1:8" x14ac:dyDescent="0.2">
      <c r="A907" s="4" t="str">
        <f t="shared" si="22"/>
        <v>26</v>
      </c>
      <c r="B907" s="4" t="str">
        <f>"26.13"</f>
        <v>26.13</v>
      </c>
      <c r="C907" s="4" t="s">
        <v>18238</v>
      </c>
      <c r="D907" s="4" t="s">
        <v>18239</v>
      </c>
      <c r="E907" s="4" t="s">
        <v>9558</v>
      </c>
      <c r="F907" s="4" t="s">
        <v>19210</v>
      </c>
      <c r="H907" s="4" t="s">
        <v>19207</v>
      </c>
    </row>
    <row r="908" spans="1:8" x14ac:dyDescent="0.2">
      <c r="A908" s="4" t="str">
        <f t="shared" si="22"/>
        <v>26</v>
      </c>
      <c r="B908" s="4" t="str">
        <f>"26.1301"</f>
        <v>26.1301</v>
      </c>
      <c r="C908" s="4" t="s">
        <v>18238</v>
      </c>
      <c r="D908" s="4" t="s">
        <v>18239</v>
      </c>
      <c r="E908" s="4" t="s">
        <v>12617</v>
      </c>
      <c r="F908" s="4" t="s">
        <v>19211</v>
      </c>
      <c r="H908" s="4" t="s">
        <v>19212</v>
      </c>
    </row>
    <row r="909" spans="1:8" x14ac:dyDescent="0.2">
      <c r="A909" s="4" t="str">
        <f t="shared" si="22"/>
        <v>26</v>
      </c>
      <c r="B909" s="4" t="str">
        <f>"26.1302"</f>
        <v>26.1302</v>
      </c>
      <c r="C909" s="4" t="s">
        <v>18238</v>
      </c>
      <c r="D909" s="4" t="s">
        <v>18239</v>
      </c>
      <c r="E909" s="4" t="s">
        <v>12588</v>
      </c>
      <c r="F909" s="4" t="s">
        <v>19213</v>
      </c>
      <c r="G909" s="4" t="s">
        <v>19214</v>
      </c>
      <c r="H909" s="4" t="s">
        <v>19212</v>
      </c>
    </row>
    <row r="910" spans="1:8" x14ac:dyDescent="0.2">
      <c r="A910" s="4" t="str">
        <f t="shared" si="22"/>
        <v>26</v>
      </c>
      <c r="B910" s="4" t="str">
        <f>"26.1303"</f>
        <v>26.1303</v>
      </c>
      <c r="C910" s="4" t="s">
        <v>18238</v>
      </c>
      <c r="D910" s="4" t="s">
        <v>18239</v>
      </c>
      <c r="E910" s="4" t="s">
        <v>9442</v>
      </c>
      <c r="F910" s="4" t="s">
        <v>19215</v>
      </c>
      <c r="H910" s="4" t="s">
        <v>19212</v>
      </c>
    </row>
    <row r="911" spans="1:8" x14ac:dyDescent="0.2">
      <c r="A911" s="4" t="str">
        <f t="shared" si="22"/>
        <v>26</v>
      </c>
      <c r="B911" s="4" t="str">
        <f>"26.1304"</f>
        <v>26.1304</v>
      </c>
      <c r="C911" s="4" t="s">
        <v>18238</v>
      </c>
      <c r="D911" s="4" t="s">
        <v>18239</v>
      </c>
      <c r="E911" s="4" t="s">
        <v>12590</v>
      </c>
      <c r="F911" s="4" t="s">
        <v>19216</v>
      </c>
      <c r="G911" s="4" t="s">
        <v>19217</v>
      </c>
      <c r="H911" s="4" t="s">
        <v>19218</v>
      </c>
    </row>
    <row r="912" spans="1:8" x14ac:dyDescent="0.2">
      <c r="A912" s="4" t="str">
        <f t="shared" si="22"/>
        <v>26</v>
      </c>
      <c r="B912" s="4" t="str">
        <f>"26.1305"</f>
        <v>26.1305</v>
      </c>
      <c r="C912" s="4" t="s">
        <v>18238</v>
      </c>
      <c r="D912" s="4" t="s">
        <v>18239</v>
      </c>
      <c r="E912" s="4" t="s">
        <v>11291</v>
      </c>
      <c r="F912" s="4" t="s">
        <v>19219</v>
      </c>
      <c r="G912" s="4" t="s">
        <v>19220</v>
      </c>
      <c r="H912" s="4" t="s">
        <v>19221</v>
      </c>
    </row>
    <row r="913" spans="1:8" x14ac:dyDescent="0.2">
      <c r="A913" s="4" t="str">
        <f t="shared" si="22"/>
        <v>26</v>
      </c>
      <c r="B913" s="4" t="str">
        <f>"26.1306"</f>
        <v>26.1306</v>
      </c>
      <c r="C913" s="4" t="s">
        <v>18238</v>
      </c>
      <c r="D913" s="4" t="s">
        <v>18239</v>
      </c>
      <c r="E913" s="4" t="s">
        <v>9567</v>
      </c>
      <c r="F913" s="4" t="s">
        <v>19222</v>
      </c>
      <c r="H913" s="4" t="s">
        <v>19221</v>
      </c>
    </row>
    <row r="914" spans="1:8" x14ac:dyDescent="0.2">
      <c r="A914" s="4" t="str">
        <f t="shared" si="22"/>
        <v>26</v>
      </c>
      <c r="B914" s="4" t="str">
        <f>"26.1307"</f>
        <v>26.1307</v>
      </c>
      <c r="C914" s="4" t="s">
        <v>18238</v>
      </c>
      <c r="D914" s="4" t="s">
        <v>18239</v>
      </c>
      <c r="E914" s="4" t="s">
        <v>11289</v>
      </c>
      <c r="F914" s="4" t="s">
        <v>19223</v>
      </c>
      <c r="G914" s="4" t="s">
        <v>19224</v>
      </c>
      <c r="H914" s="4" t="s">
        <v>19221</v>
      </c>
    </row>
    <row r="915" spans="1:8" x14ac:dyDescent="0.2">
      <c r="A915" s="4" t="str">
        <f t="shared" si="22"/>
        <v>26</v>
      </c>
      <c r="B915" s="4" t="str">
        <f>"26.1308"</f>
        <v>26.1308</v>
      </c>
      <c r="C915" s="4" t="s">
        <v>18238</v>
      </c>
      <c r="D915" s="4" t="s">
        <v>18239</v>
      </c>
      <c r="E915" s="4" t="s">
        <v>9571</v>
      </c>
      <c r="F915" s="4" t="s">
        <v>19225</v>
      </c>
      <c r="H915" s="4" t="s">
        <v>19221</v>
      </c>
    </row>
    <row r="916" spans="1:8" x14ac:dyDescent="0.2">
      <c r="A916" s="4" t="str">
        <f t="shared" si="22"/>
        <v>26</v>
      </c>
      <c r="B916" s="4" t="str">
        <f>"26.1309"</f>
        <v>26.1309</v>
      </c>
      <c r="C916" s="4" t="s">
        <v>18238</v>
      </c>
      <c r="D916" s="4" t="s">
        <v>18239</v>
      </c>
      <c r="E916" s="4" t="s">
        <v>9574</v>
      </c>
      <c r="F916" s="4" t="s">
        <v>19226</v>
      </c>
      <c r="G916" s="4" t="s">
        <v>19227</v>
      </c>
      <c r="H916" s="4" t="s">
        <v>19221</v>
      </c>
    </row>
    <row r="917" spans="1:8" x14ac:dyDescent="0.2">
      <c r="A917" s="4" t="str">
        <f t="shared" si="22"/>
        <v>26</v>
      </c>
      <c r="B917" s="4" t="str">
        <f>"26.1310"</f>
        <v>26.1310</v>
      </c>
      <c r="C917" s="4" t="s">
        <v>18258</v>
      </c>
      <c r="D917" s="4" t="s">
        <v>18239</v>
      </c>
      <c r="E917" s="4" t="s">
        <v>19228</v>
      </c>
      <c r="F917" s="4" t="s">
        <v>19229</v>
      </c>
      <c r="G917" s="4" t="s">
        <v>19230</v>
      </c>
      <c r="H917" s="4" t="s">
        <v>19221</v>
      </c>
    </row>
    <row r="918" spans="1:8" x14ac:dyDescent="0.2">
      <c r="A918" s="4" t="str">
        <f t="shared" si="22"/>
        <v>26</v>
      </c>
      <c r="B918" s="4" t="str">
        <f>"26.1399"</f>
        <v>26.1399</v>
      </c>
      <c r="C918" s="4" t="s">
        <v>18238</v>
      </c>
      <c r="D918" s="4" t="s">
        <v>18239</v>
      </c>
      <c r="E918" s="4" t="s">
        <v>9577</v>
      </c>
      <c r="F918" s="4" t="s">
        <v>19231</v>
      </c>
      <c r="H918" s="4" t="s">
        <v>19221</v>
      </c>
    </row>
    <row r="919" spans="1:8" x14ac:dyDescent="0.2">
      <c r="A919" s="4" t="str">
        <f t="shared" si="22"/>
        <v>26</v>
      </c>
      <c r="B919" s="4" t="str">
        <f>"26.14"</f>
        <v>26.14</v>
      </c>
      <c r="C919" s="4" t="s">
        <v>18258</v>
      </c>
      <c r="D919" s="4" t="s">
        <v>18239</v>
      </c>
      <c r="E919" s="4" t="s">
        <v>19232</v>
      </c>
      <c r="F919" s="4" t="s">
        <v>19233</v>
      </c>
      <c r="H919" s="4" t="s">
        <v>19221</v>
      </c>
    </row>
    <row r="920" spans="1:8" x14ac:dyDescent="0.2">
      <c r="A920" s="4" t="str">
        <f t="shared" si="22"/>
        <v>26</v>
      </c>
      <c r="B920" s="4" t="str">
        <f>"26.1401"</f>
        <v>26.1401</v>
      </c>
      <c r="C920" s="4" t="s">
        <v>18258</v>
      </c>
      <c r="D920" s="4" t="s">
        <v>18239</v>
      </c>
      <c r="E920" s="4" t="s">
        <v>19232</v>
      </c>
      <c r="F920" s="4" t="s">
        <v>19234</v>
      </c>
      <c r="H920" s="4" t="s">
        <v>19221</v>
      </c>
    </row>
    <row r="921" spans="1:8" x14ac:dyDescent="0.2">
      <c r="A921" s="4" t="str">
        <f t="shared" si="22"/>
        <v>26</v>
      </c>
      <c r="B921" s="4" t="str">
        <f>"26.15"</f>
        <v>26.15</v>
      </c>
      <c r="C921" s="4" t="s">
        <v>18258</v>
      </c>
      <c r="D921" s="4" t="s">
        <v>18239</v>
      </c>
      <c r="E921" s="4" t="s">
        <v>19235</v>
      </c>
      <c r="F921" s="4" t="s">
        <v>19236</v>
      </c>
      <c r="H921" s="4" t="s">
        <v>19221</v>
      </c>
    </row>
    <row r="922" spans="1:8" x14ac:dyDescent="0.2">
      <c r="A922" s="4" t="str">
        <f t="shared" si="22"/>
        <v>26</v>
      </c>
      <c r="B922" s="4" t="str">
        <f>"26.1501"</f>
        <v>26.1501</v>
      </c>
      <c r="C922" s="4" t="s">
        <v>19061</v>
      </c>
      <c r="D922" s="4" t="s">
        <v>18239</v>
      </c>
      <c r="E922" s="4" t="s">
        <v>9428</v>
      </c>
      <c r="F922" s="4" t="s">
        <v>19237</v>
      </c>
      <c r="H922" s="4" t="s">
        <v>19238</v>
      </c>
    </row>
    <row r="923" spans="1:8" x14ac:dyDescent="0.2">
      <c r="A923" s="4" t="str">
        <f t="shared" si="22"/>
        <v>26</v>
      </c>
      <c r="B923" s="4" t="str">
        <f>"26.1502"</f>
        <v>26.1502</v>
      </c>
      <c r="C923" s="4" t="s">
        <v>19061</v>
      </c>
      <c r="D923" s="4" t="s">
        <v>18307</v>
      </c>
      <c r="E923" s="4" t="s">
        <v>9816</v>
      </c>
      <c r="F923" s="4" t="s">
        <v>19239</v>
      </c>
      <c r="H923" s="4" t="s">
        <v>19238</v>
      </c>
    </row>
    <row r="924" spans="1:8" x14ac:dyDescent="0.2">
      <c r="A924" s="4" t="str">
        <f t="shared" si="22"/>
        <v>26</v>
      </c>
      <c r="B924" s="4" t="str">
        <f>"26.1503"</f>
        <v>26.1503</v>
      </c>
      <c r="C924" s="4" t="s">
        <v>19061</v>
      </c>
      <c r="D924" s="4" t="s">
        <v>18307</v>
      </c>
      <c r="E924" s="4" t="s">
        <v>19240</v>
      </c>
      <c r="F924" s="4" t="s">
        <v>19241</v>
      </c>
      <c r="H924" s="4" t="s">
        <v>19242</v>
      </c>
    </row>
    <row r="925" spans="1:8" x14ac:dyDescent="0.2">
      <c r="A925" s="4" t="str">
        <f t="shared" si="22"/>
        <v>26</v>
      </c>
      <c r="B925" s="4" t="str">
        <f>"26.1504"</f>
        <v>26.1504</v>
      </c>
      <c r="C925" s="4" t="s">
        <v>18258</v>
      </c>
      <c r="D925" s="4" t="s">
        <v>18239</v>
      </c>
      <c r="E925" s="4" t="s">
        <v>19243</v>
      </c>
      <c r="F925" s="4" t="s">
        <v>19244</v>
      </c>
      <c r="H925" s="4" t="s">
        <v>19242</v>
      </c>
    </row>
    <row r="926" spans="1:8" x14ac:dyDescent="0.2">
      <c r="A926" s="4" t="str">
        <f t="shared" si="22"/>
        <v>26</v>
      </c>
      <c r="B926" s="4" t="str">
        <f>"26.1599"</f>
        <v>26.1599</v>
      </c>
      <c r="C926" s="4" t="s">
        <v>18258</v>
      </c>
      <c r="D926" s="4" t="s">
        <v>18239</v>
      </c>
      <c r="E926" s="4" t="s">
        <v>19245</v>
      </c>
      <c r="F926" s="4" t="s">
        <v>19246</v>
      </c>
      <c r="H926" s="4" t="s">
        <v>19247</v>
      </c>
    </row>
    <row r="927" spans="1:8" x14ac:dyDescent="0.2">
      <c r="A927" s="4" t="str">
        <f t="shared" si="22"/>
        <v>26</v>
      </c>
      <c r="B927" s="4" t="str">
        <f>"26.99"</f>
        <v>26.99</v>
      </c>
      <c r="C927" s="4" t="s">
        <v>18238</v>
      </c>
      <c r="D927" s="4" t="s">
        <v>18239</v>
      </c>
      <c r="E927" s="4" t="s">
        <v>9580</v>
      </c>
      <c r="F927" s="4" t="s">
        <v>9141</v>
      </c>
      <c r="H927" s="4" t="s">
        <v>19247</v>
      </c>
    </row>
    <row r="928" spans="1:8" x14ac:dyDescent="0.2">
      <c r="A928" s="4" t="str">
        <f t="shared" si="22"/>
        <v>26</v>
      </c>
      <c r="B928" s="4" t="str">
        <f>"26.9999"</f>
        <v>26.9999</v>
      </c>
      <c r="C928" s="4" t="s">
        <v>18238</v>
      </c>
      <c r="D928" s="4" t="s">
        <v>18239</v>
      </c>
      <c r="E928" s="4" t="s">
        <v>9580</v>
      </c>
      <c r="F928" s="4" t="s">
        <v>9142</v>
      </c>
      <c r="H928" s="4" t="s">
        <v>19247</v>
      </c>
    </row>
    <row r="929" spans="1:8" x14ac:dyDescent="0.2">
      <c r="A929" s="4" t="str">
        <f>"27"</f>
        <v>27</v>
      </c>
      <c r="B929" s="4" t="str">
        <f>"27"</f>
        <v>27</v>
      </c>
      <c r="C929" s="4" t="s">
        <v>18238</v>
      </c>
      <c r="D929" s="4" t="s">
        <v>18239</v>
      </c>
      <c r="E929" s="4" t="s">
        <v>9143</v>
      </c>
      <c r="F929" s="4" t="s">
        <v>9144</v>
      </c>
      <c r="H929" s="4" t="s">
        <v>19247</v>
      </c>
    </row>
    <row r="930" spans="1:8" x14ac:dyDescent="0.2">
      <c r="A930" s="4" t="str">
        <f t="shared" ref="A930:A950" si="23">"27"</f>
        <v>27</v>
      </c>
      <c r="B930" s="4" t="str">
        <f>"27.01"</f>
        <v>27.01</v>
      </c>
      <c r="C930" s="4" t="s">
        <v>18238</v>
      </c>
      <c r="D930" s="4" t="s">
        <v>18239</v>
      </c>
      <c r="E930" s="4" t="s">
        <v>9146</v>
      </c>
      <c r="F930" s="4" t="s">
        <v>9147</v>
      </c>
      <c r="H930" s="4" t="s">
        <v>19247</v>
      </c>
    </row>
    <row r="931" spans="1:8" x14ac:dyDescent="0.2">
      <c r="A931" s="4" t="str">
        <f t="shared" si="23"/>
        <v>27</v>
      </c>
      <c r="B931" s="4" t="str">
        <f>"27.0101"</f>
        <v>27.0101</v>
      </c>
      <c r="C931" s="4" t="s">
        <v>18238</v>
      </c>
      <c r="D931" s="4" t="s">
        <v>18239</v>
      </c>
      <c r="E931" s="4" t="s">
        <v>9148</v>
      </c>
      <c r="F931" s="4" t="s">
        <v>9149</v>
      </c>
      <c r="H931" s="4" t="s">
        <v>19247</v>
      </c>
    </row>
    <row r="932" spans="1:8" x14ac:dyDescent="0.2">
      <c r="A932" s="4" t="str">
        <f t="shared" si="23"/>
        <v>27</v>
      </c>
      <c r="B932" s="4" t="str">
        <f>"27.0102"</f>
        <v>27.0102</v>
      </c>
      <c r="C932" s="4" t="s">
        <v>18238</v>
      </c>
      <c r="D932" s="4" t="s">
        <v>18239</v>
      </c>
      <c r="E932" s="4" t="s">
        <v>9151</v>
      </c>
      <c r="F932" s="4" t="s">
        <v>19248</v>
      </c>
      <c r="H932" s="4" t="s">
        <v>19247</v>
      </c>
    </row>
    <row r="933" spans="1:8" x14ac:dyDescent="0.2">
      <c r="A933" s="4" t="str">
        <f t="shared" si="23"/>
        <v>27</v>
      </c>
      <c r="B933" s="4" t="str">
        <f>"27.0103"</f>
        <v>27.0103</v>
      </c>
      <c r="C933" s="4" t="s">
        <v>18238</v>
      </c>
      <c r="D933" s="4" t="s">
        <v>18239</v>
      </c>
      <c r="E933" s="4" t="s">
        <v>9154</v>
      </c>
      <c r="F933" s="4" t="s">
        <v>19249</v>
      </c>
      <c r="H933" s="4" t="s">
        <v>19247</v>
      </c>
    </row>
    <row r="934" spans="1:8" x14ac:dyDescent="0.2">
      <c r="A934" s="4" t="str">
        <f t="shared" si="23"/>
        <v>27</v>
      </c>
      <c r="B934" s="4" t="str">
        <f>"27.0104"</f>
        <v>27.0104</v>
      </c>
      <c r="C934" s="4" t="s">
        <v>18238</v>
      </c>
      <c r="D934" s="4" t="s">
        <v>18239</v>
      </c>
      <c r="E934" s="4" t="s">
        <v>9157</v>
      </c>
      <c r="F934" s="4" t="s">
        <v>19250</v>
      </c>
      <c r="H934" s="4" t="s">
        <v>19247</v>
      </c>
    </row>
    <row r="935" spans="1:8" x14ac:dyDescent="0.2">
      <c r="A935" s="4" t="str">
        <f t="shared" si="23"/>
        <v>27</v>
      </c>
      <c r="B935" s="4" t="str">
        <f>"27.0105"</f>
        <v>27.0105</v>
      </c>
      <c r="C935" s="4" t="s">
        <v>18238</v>
      </c>
      <c r="D935" s="4" t="s">
        <v>18239</v>
      </c>
      <c r="E935" s="4" t="s">
        <v>9160</v>
      </c>
      <c r="F935" s="4" t="s">
        <v>19251</v>
      </c>
      <c r="H935" s="4" t="s">
        <v>19247</v>
      </c>
    </row>
    <row r="936" spans="1:8" x14ac:dyDescent="0.2">
      <c r="A936" s="4" t="str">
        <f t="shared" si="23"/>
        <v>27</v>
      </c>
      <c r="B936" s="4" t="str">
        <f>"27.0199"</f>
        <v>27.0199</v>
      </c>
      <c r="C936" s="4" t="s">
        <v>18238</v>
      </c>
      <c r="D936" s="4" t="s">
        <v>18239</v>
      </c>
      <c r="E936" s="4" t="s">
        <v>9163</v>
      </c>
      <c r="F936" s="4" t="s">
        <v>19252</v>
      </c>
      <c r="H936" s="4" t="s">
        <v>19247</v>
      </c>
    </row>
    <row r="937" spans="1:8" x14ac:dyDescent="0.2">
      <c r="A937" s="4" t="str">
        <f t="shared" si="23"/>
        <v>27</v>
      </c>
      <c r="B937" s="4" t="str">
        <f>"27.03"</f>
        <v>27.03</v>
      </c>
      <c r="C937" s="4" t="s">
        <v>18238</v>
      </c>
      <c r="D937" s="4" t="s">
        <v>18239</v>
      </c>
      <c r="E937" s="4" t="s">
        <v>9166</v>
      </c>
      <c r="F937" s="4" t="s">
        <v>19253</v>
      </c>
      <c r="H937" s="4" t="s">
        <v>19247</v>
      </c>
    </row>
    <row r="938" spans="1:8" x14ac:dyDescent="0.2">
      <c r="A938" s="4" t="str">
        <f t="shared" si="23"/>
        <v>27</v>
      </c>
      <c r="B938" s="4" t="str">
        <f>"27.0301"</f>
        <v>27.0301</v>
      </c>
      <c r="C938" s="4" t="s">
        <v>18238</v>
      </c>
      <c r="D938" s="4" t="s">
        <v>18307</v>
      </c>
      <c r="E938" s="4" t="s">
        <v>19254</v>
      </c>
      <c r="F938" s="4" t="s">
        <v>9168</v>
      </c>
      <c r="H938" s="4" t="s">
        <v>19255</v>
      </c>
    </row>
    <row r="939" spans="1:8" x14ac:dyDescent="0.2">
      <c r="A939" s="4" t="str">
        <f t="shared" si="23"/>
        <v>27</v>
      </c>
      <c r="B939" s="4" t="str">
        <f>"27.0303"</f>
        <v>27.0303</v>
      </c>
      <c r="C939" s="4" t="s">
        <v>18238</v>
      </c>
      <c r="D939" s="4" t="s">
        <v>18239</v>
      </c>
      <c r="E939" s="4" t="s">
        <v>11220</v>
      </c>
      <c r="F939" s="4" t="s">
        <v>19256</v>
      </c>
      <c r="H939" s="4" t="s">
        <v>19255</v>
      </c>
    </row>
    <row r="940" spans="1:8" x14ac:dyDescent="0.2">
      <c r="A940" s="4" t="str">
        <f t="shared" si="23"/>
        <v>27</v>
      </c>
      <c r="B940" s="4" t="str">
        <f>"27.0304"</f>
        <v>27.0304</v>
      </c>
      <c r="C940" s="4" t="s">
        <v>18258</v>
      </c>
      <c r="D940" s="4" t="s">
        <v>18239</v>
      </c>
      <c r="E940" s="4" t="s">
        <v>19257</v>
      </c>
      <c r="F940" s="4" t="s">
        <v>19258</v>
      </c>
      <c r="G940" s="4" t="s">
        <v>19259</v>
      </c>
      <c r="H940" s="4" t="s">
        <v>19255</v>
      </c>
    </row>
    <row r="941" spans="1:8" x14ac:dyDescent="0.2">
      <c r="A941" s="4" t="str">
        <f t="shared" si="23"/>
        <v>27</v>
      </c>
      <c r="B941" s="4" t="str">
        <f>"27.0305"</f>
        <v>27.0305</v>
      </c>
      <c r="C941" s="4" t="s">
        <v>18258</v>
      </c>
      <c r="D941" s="4" t="s">
        <v>18239</v>
      </c>
      <c r="E941" s="4" t="s">
        <v>19260</v>
      </c>
      <c r="F941" s="4" t="s">
        <v>19261</v>
      </c>
      <c r="H941" s="4" t="s">
        <v>19262</v>
      </c>
    </row>
    <row r="942" spans="1:8" x14ac:dyDescent="0.2">
      <c r="A942" s="4" t="str">
        <f t="shared" si="23"/>
        <v>27</v>
      </c>
      <c r="B942" s="4" t="str">
        <f>"27.0306"</f>
        <v>27.0306</v>
      </c>
      <c r="C942" s="4" t="s">
        <v>18258</v>
      </c>
      <c r="D942" s="4" t="s">
        <v>18239</v>
      </c>
      <c r="E942" s="4" t="s">
        <v>19263</v>
      </c>
      <c r="F942" s="4" t="s">
        <v>19264</v>
      </c>
      <c r="G942" s="4" t="s">
        <v>19265</v>
      </c>
      <c r="H942" s="4" t="s">
        <v>19262</v>
      </c>
    </row>
    <row r="943" spans="1:8" x14ac:dyDescent="0.2">
      <c r="A943" s="4" t="str">
        <f t="shared" si="23"/>
        <v>27</v>
      </c>
      <c r="B943" s="4" t="str">
        <f>"27.0399"</f>
        <v>27.0399</v>
      </c>
      <c r="C943" s="4" t="s">
        <v>18238</v>
      </c>
      <c r="D943" s="4" t="s">
        <v>18239</v>
      </c>
      <c r="E943" s="4" t="s">
        <v>9171</v>
      </c>
      <c r="F943" s="4" t="s">
        <v>9172</v>
      </c>
      <c r="H943" s="4" t="s">
        <v>19262</v>
      </c>
    </row>
    <row r="944" spans="1:8" x14ac:dyDescent="0.2">
      <c r="A944" s="4" t="str">
        <f t="shared" si="23"/>
        <v>27</v>
      </c>
      <c r="B944" s="4" t="str">
        <f>"27.05"</f>
        <v>27.05</v>
      </c>
      <c r="C944" s="4" t="s">
        <v>18238</v>
      </c>
      <c r="D944" s="4" t="s">
        <v>18239</v>
      </c>
      <c r="E944" s="4" t="s">
        <v>9174</v>
      </c>
      <c r="F944" s="4" t="s">
        <v>19266</v>
      </c>
      <c r="H944" s="4" t="s">
        <v>19262</v>
      </c>
    </row>
    <row r="945" spans="1:8" x14ac:dyDescent="0.2">
      <c r="A945" s="4" t="str">
        <f t="shared" si="23"/>
        <v>27</v>
      </c>
      <c r="B945" s="4" t="str">
        <f>"27.0501"</f>
        <v>27.0501</v>
      </c>
      <c r="C945" s="4" t="s">
        <v>18238</v>
      </c>
      <c r="D945" s="4" t="s">
        <v>18239</v>
      </c>
      <c r="E945" s="4" t="s">
        <v>9176</v>
      </c>
      <c r="F945" s="4" t="s">
        <v>9177</v>
      </c>
      <c r="G945" s="4" t="s">
        <v>19267</v>
      </c>
      <c r="H945" s="4" t="s">
        <v>19262</v>
      </c>
    </row>
    <row r="946" spans="1:8" x14ac:dyDescent="0.2">
      <c r="A946" s="4" t="str">
        <f t="shared" si="23"/>
        <v>27</v>
      </c>
      <c r="B946" s="4" t="str">
        <f>"27.0502"</f>
        <v>27.0502</v>
      </c>
      <c r="C946" s="4" t="s">
        <v>18238</v>
      </c>
      <c r="D946" s="4" t="s">
        <v>18239</v>
      </c>
      <c r="E946" s="4" t="s">
        <v>9183</v>
      </c>
      <c r="F946" s="4" t="s">
        <v>19268</v>
      </c>
      <c r="H946" s="4" t="s">
        <v>19262</v>
      </c>
    </row>
    <row r="947" spans="1:8" x14ac:dyDescent="0.2">
      <c r="A947" s="4" t="str">
        <f t="shared" si="23"/>
        <v>27</v>
      </c>
      <c r="B947" s="4" t="str">
        <f>"27.0503"</f>
        <v>27.0503</v>
      </c>
      <c r="C947" s="4" t="s">
        <v>18258</v>
      </c>
      <c r="D947" s="4" t="s">
        <v>18239</v>
      </c>
      <c r="E947" s="4" t="s">
        <v>6492</v>
      </c>
      <c r="F947" s="4" t="s">
        <v>19269</v>
      </c>
      <c r="G947" s="4" t="s">
        <v>19270</v>
      </c>
      <c r="H947" s="4" t="s">
        <v>19262</v>
      </c>
    </row>
    <row r="948" spans="1:8" x14ac:dyDescent="0.2">
      <c r="A948" s="4" t="str">
        <f t="shared" si="23"/>
        <v>27</v>
      </c>
      <c r="B948" s="4" t="str">
        <f>"27.0599"</f>
        <v>27.0599</v>
      </c>
      <c r="C948" s="4" t="s">
        <v>18238</v>
      </c>
      <c r="D948" s="4" t="s">
        <v>18239</v>
      </c>
      <c r="E948" s="4" t="s">
        <v>9186</v>
      </c>
      <c r="F948" s="4" t="s">
        <v>19271</v>
      </c>
      <c r="H948" s="4" t="s">
        <v>19262</v>
      </c>
    </row>
    <row r="949" spans="1:8" x14ac:dyDescent="0.2">
      <c r="A949" s="4" t="str">
        <f t="shared" si="23"/>
        <v>27</v>
      </c>
      <c r="B949" s="4" t="str">
        <f>"27.99"</f>
        <v>27.99</v>
      </c>
      <c r="C949" s="4" t="s">
        <v>18238</v>
      </c>
      <c r="D949" s="4" t="s">
        <v>18239</v>
      </c>
      <c r="E949" s="4" t="s">
        <v>9189</v>
      </c>
      <c r="F949" s="4" t="s">
        <v>9190</v>
      </c>
      <c r="H949" s="4" t="s">
        <v>19262</v>
      </c>
    </row>
    <row r="950" spans="1:8" x14ac:dyDescent="0.2">
      <c r="A950" s="4" t="str">
        <f t="shared" si="23"/>
        <v>27</v>
      </c>
      <c r="B950" s="4" t="str">
        <f>"27.9999"</f>
        <v>27.9999</v>
      </c>
      <c r="C950" s="4" t="s">
        <v>18238</v>
      </c>
      <c r="D950" s="4" t="s">
        <v>18239</v>
      </c>
      <c r="E950" s="4" t="s">
        <v>9189</v>
      </c>
      <c r="F950" s="4" t="s">
        <v>9191</v>
      </c>
      <c r="H950" s="4" t="s">
        <v>19272</v>
      </c>
    </row>
    <row r="951" spans="1:8" x14ac:dyDescent="0.2">
      <c r="A951" s="4" t="str">
        <f>"28"</f>
        <v>28</v>
      </c>
      <c r="B951" s="4" t="str">
        <f>"28"</f>
        <v>28</v>
      </c>
      <c r="C951" s="4" t="s">
        <v>18238</v>
      </c>
      <c r="D951" s="4" t="s">
        <v>18307</v>
      </c>
      <c r="E951" s="4" t="s">
        <v>19273</v>
      </c>
      <c r="F951" s="4" t="s">
        <v>19274</v>
      </c>
      <c r="H951" s="4" t="s">
        <v>19272</v>
      </c>
    </row>
    <row r="952" spans="1:8" x14ac:dyDescent="0.2">
      <c r="A952" s="4" t="str">
        <f t="shared" ref="A952:A982" si="24">"28"</f>
        <v>28</v>
      </c>
      <c r="B952" s="4" t="str">
        <f>"28.01"</f>
        <v>28.01</v>
      </c>
      <c r="C952" s="4" t="s">
        <v>18238</v>
      </c>
      <c r="D952" s="4" t="s">
        <v>18307</v>
      </c>
      <c r="E952" s="4" t="s">
        <v>19275</v>
      </c>
      <c r="F952" s="4" t="s">
        <v>19276</v>
      </c>
      <c r="H952" s="4" t="s">
        <v>19272</v>
      </c>
    </row>
    <row r="953" spans="1:8" x14ac:dyDescent="0.2">
      <c r="A953" s="4" t="str">
        <f t="shared" si="24"/>
        <v>28</v>
      </c>
      <c r="B953" s="4" t="str">
        <f>"28.0101"</f>
        <v>28.0101</v>
      </c>
      <c r="C953" s="4" t="s">
        <v>18238</v>
      </c>
      <c r="D953" s="4" t="s">
        <v>18239</v>
      </c>
      <c r="E953" s="4" t="s">
        <v>7166</v>
      </c>
      <c r="F953" s="4" t="s">
        <v>19277</v>
      </c>
      <c r="H953" s="4" t="s">
        <v>19272</v>
      </c>
    </row>
    <row r="954" spans="1:8" x14ac:dyDescent="0.2">
      <c r="A954" s="4" t="str">
        <f t="shared" si="24"/>
        <v>28</v>
      </c>
      <c r="B954" s="4" t="str">
        <f>"28.0199"</f>
        <v>28.0199</v>
      </c>
      <c r="C954" s="4" t="s">
        <v>18258</v>
      </c>
      <c r="D954" s="4" t="s">
        <v>18239</v>
      </c>
      <c r="E954" s="4" t="s">
        <v>19278</v>
      </c>
      <c r="F954" s="4" t="s">
        <v>19279</v>
      </c>
      <c r="H954" s="4" t="s">
        <v>19272</v>
      </c>
    </row>
    <row r="955" spans="1:8" x14ac:dyDescent="0.2">
      <c r="A955" s="4" t="str">
        <f t="shared" si="24"/>
        <v>28</v>
      </c>
      <c r="B955" s="4" t="str">
        <f>"28.03"</f>
        <v>28.03</v>
      </c>
      <c r="C955" s="4" t="s">
        <v>18238</v>
      </c>
      <c r="D955" s="4" t="s">
        <v>18307</v>
      </c>
      <c r="E955" s="4" t="s">
        <v>19280</v>
      </c>
      <c r="F955" s="4" t="s">
        <v>19281</v>
      </c>
      <c r="H955" s="4" t="s">
        <v>19272</v>
      </c>
    </row>
    <row r="956" spans="1:8" x14ac:dyDescent="0.2">
      <c r="A956" s="4" t="str">
        <f t="shared" si="24"/>
        <v>28</v>
      </c>
      <c r="B956" s="4" t="str">
        <f>"28.0301"</f>
        <v>28.0301</v>
      </c>
      <c r="C956" s="4" t="s">
        <v>18238</v>
      </c>
      <c r="D956" s="4" t="s">
        <v>18239</v>
      </c>
      <c r="E956" s="4" t="s">
        <v>7170</v>
      </c>
      <c r="F956" s="4" t="s">
        <v>19282</v>
      </c>
      <c r="H956" s="4" t="s">
        <v>19272</v>
      </c>
    </row>
    <row r="957" spans="1:8" x14ac:dyDescent="0.2">
      <c r="A957" s="4" t="str">
        <f t="shared" si="24"/>
        <v>28</v>
      </c>
      <c r="B957" s="4" t="str">
        <f>"28.0399"</f>
        <v>28.0399</v>
      </c>
      <c r="C957" s="4" t="s">
        <v>18258</v>
      </c>
      <c r="D957" s="4" t="s">
        <v>18239</v>
      </c>
      <c r="E957" s="4" t="s">
        <v>19283</v>
      </c>
      <c r="F957" s="4" t="s">
        <v>19284</v>
      </c>
      <c r="H957" s="4" t="s">
        <v>19272</v>
      </c>
    </row>
    <row r="958" spans="1:8" x14ac:dyDescent="0.2">
      <c r="A958" s="4" t="str">
        <f t="shared" si="24"/>
        <v>28</v>
      </c>
      <c r="B958" s="4" t="str">
        <f>"28.04"</f>
        <v>28.04</v>
      </c>
      <c r="C958" s="4" t="s">
        <v>18238</v>
      </c>
      <c r="D958" s="4" t="s">
        <v>18307</v>
      </c>
      <c r="E958" s="4" t="s">
        <v>19285</v>
      </c>
      <c r="F958" s="4" t="s">
        <v>19286</v>
      </c>
      <c r="H958" s="4" t="s">
        <v>19272</v>
      </c>
    </row>
    <row r="959" spans="1:8" x14ac:dyDescent="0.2">
      <c r="A959" s="4" t="str">
        <f t="shared" si="24"/>
        <v>28</v>
      </c>
      <c r="B959" s="4" t="str">
        <f>"28.0401"</f>
        <v>28.0401</v>
      </c>
      <c r="C959" s="4" t="s">
        <v>18238</v>
      </c>
      <c r="D959" s="4" t="s">
        <v>18239</v>
      </c>
      <c r="E959" s="4" t="s">
        <v>7174</v>
      </c>
      <c r="F959" s="4" t="s">
        <v>19287</v>
      </c>
      <c r="H959" s="4" t="s">
        <v>19272</v>
      </c>
    </row>
    <row r="960" spans="1:8" x14ac:dyDescent="0.2">
      <c r="A960" s="4" t="str">
        <f t="shared" si="24"/>
        <v>28</v>
      </c>
      <c r="B960" s="4" t="str">
        <f>"28.0499"</f>
        <v>28.0499</v>
      </c>
      <c r="C960" s="4" t="s">
        <v>18258</v>
      </c>
      <c r="D960" s="4" t="s">
        <v>18239</v>
      </c>
      <c r="E960" s="4" t="s">
        <v>19288</v>
      </c>
      <c r="F960" s="4" t="s">
        <v>19289</v>
      </c>
      <c r="H960" s="4" t="s">
        <v>19272</v>
      </c>
    </row>
    <row r="961" spans="1:8" x14ac:dyDescent="0.2">
      <c r="A961" s="4" t="str">
        <f t="shared" si="24"/>
        <v>28</v>
      </c>
      <c r="B961" s="4" t="str">
        <f>"28.05"</f>
        <v>28.05</v>
      </c>
      <c r="C961" s="4" t="s">
        <v>18258</v>
      </c>
      <c r="D961" s="4" t="s">
        <v>18239</v>
      </c>
      <c r="E961" s="4" t="s">
        <v>19290</v>
      </c>
      <c r="F961" s="4" t="s">
        <v>19291</v>
      </c>
      <c r="H961" s="4" t="s">
        <v>19272</v>
      </c>
    </row>
    <row r="962" spans="1:8" x14ac:dyDescent="0.2">
      <c r="A962" s="4" t="str">
        <f t="shared" si="24"/>
        <v>28</v>
      </c>
      <c r="B962" s="4" t="str">
        <f>"28.0501"</f>
        <v>28.0501</v>
      </c>
      <c r="C962" s="4" t="s">
        <v>18258</v>
      </c>
      <c r="D962" s="4" t="s">
        <v>18239</v>
      </c>
      <c r="E962" s="4" t="s">
        <v>19292</v>
      </c>
      <c r="F962" s="4" t="s">
        <v>19293</v>
      </c>
      <c r="H962" s="4" t="s">
        <v>19294</v>
      </c>
    </row>
    <row r="963" spans="1:8" x14ac:dyDescent="0.2">
      <c r="A963" s="4" t="str">
        <f t="shared" si="24"/>
        <v>28</v>
      </c>
      <c r="B963" s="4" t="str">
        <f>"28.0502"</f>
        <v>28.0502</v>
      </c>
      <c r="C963" s="4" t="s">
        <v>18258</v>
      </c>
      <c r="D963" s="4" t="s">
        <v>18239</v>
      </c>
      <c r="E963" s="4" t="s">
        <v>19295</v>
      </c>
      <c r="F963" s="4" t="s">
        <v>19296</v>
      </c>
      <c r="H963" s="4" t="s">
        <v>19294</v>
      </c>
    </row>
    <row r="964" spans="1:8" x14ac:dyDescent="0.2">
      <c r="A964" s="4" t="str">
        <f t="shared" si="24"/>
        <v>28</v>
      </c>
      <c r="B964" s="4" t="str">
        <f>"28.0503"</f>
        <v>28.0503</v>
      </c>
      <c r="C964" s="4" t="s">
        <v>18258</v>
      </c>
      <c r="D964" s="4" t="s">
        <v>18239</v>
      </c>
      <c r="E964" s="4" t="s">
        <v>19297</v>
      </c>
      <c r="F964" s="4" t="s">
        <v>19298</v>
      </c>
      <c r="H964" s="4" t="s">
        <v>19294</v>
      </c>
    </row>
    <row r="965" spans="1:8" x14ac:dyDescent="0.2">
      <c r="A965" s="4" t="str">
        <f t="shared" si="24"/>
        <v>28</v>
      </c>
      <c r="B965" s="4" t="str">
        <f>"28.0504"</f>
        <v>28.0504</v>
      </c>
      <c r="C965" s="4" t="s">
        <v>18258</v>
      </c>
      <c r="D965" s="4" t="s">
        <v>18239</v>
      </c>
      <c r="E965" s="4" t="s">
        <v>19299</v>
      </c>
      <c r="F965" s="4" t="s">
        <v>19300</v>
      </c>
      <c r="H965" s="4" t="s">
        <v>19294</v>
      </c>
    </row>
    <row r="966" spans="1:8" x14ac:dyDescent="0.2">
      <c r="A966" s="4" t="str">
        <f t="shared" si="24"/>
        <v>28</v>
      </c>
      <c r="B966" s="4" t="str">
        <f>"28.0505"</f>
        <v>28.0505</v>
      </c>
      <c r="C966" s="4" t="s">
        <v>18258</v>
      </c>
      <c r="D966" s="4" t="s">
        <v>18239</v>
      </c>
      <c r="E966" s="4" t="s">
        <v>19301</v>
      </c>
      <c r="F966" s="4" t="s">
        <v>19302</v>
      </c>
      <c r="H966" s="4" t="s">
        <v>19294</v>
      </c>
    </row>
    <row r="967" spans="1:8" x14ac:dyDescent="0.2">
      <c r="A967" s="4" t="str">
        <f t="shared" si="24"/>
        <v>28</v>
      </c>
      <c r="B967" s="4" t="str">
        <f>"28.0506"</f>
        <v>28.0506</v>
      </c>
      <c r="C967" s="4" t="s">
        <v>18258</v>
      </c>
      <c r="D967" s="4" t="s">
        <v>18239</v>
      </c>
      <c r="E967" s="4" t="s">
        <v>19303</v>
      </c>
      <c r="F967" s="4" t="s">
        <v>19304</v>
      </c>
      <c r="H967" s="4" t="s">
        <v>19305</v>
      </c>
    </row>
    <row r="968" spans="1:8" x14ac:dyDescent="0.2">
      <c r="A968" s="4" t="str">
        <f t="shared" si="24"/>
        <v>28</v>
      </c>
      <c r="B968" s="4" t="str">
        <f>"28.0599"</f>
        <v>28.0599</v>
      </c>
      <c r="C968" s="4" t="s">
        <v>18258</v>
      </c>
      <c r="D968" s="4" t="s">
        <v>18239</v>
      </c>
      <c r="E968" s="4" t="s">
        <v>19306</v>
      </c>
      <c r="F968" s="4" t="s">
        <v>19307</v>
      </c>
      <c r="H968" s="4" t="s">
        <v>19305</v>
      </c>
    </row>
    <row r="969" spans="1:8" x14ac:dyDescent="0.2">
      <c r="A969" s="4" t="str">
        <f t="shared" si="24"/>
        <v>28</v>
      </c>
      <c r="B969" s="4" t="str">
        <f>"28.06"</f>
        <v>28.06</v>
      </c>
      <c r="C969" s="4" t="s">
        <v>18258</v>
      </c>
      <c r="D969" s="4" t="s">
        <v>18239</v>
      </c>
      <c r="E969" s="4" t="s">
        <v>19308</v>
      </c>
      <c r="F969" s="4" t="s">
        <v>19309</v>
      </c>
      <c r="H969" s="4" t="s">
        <v>19305</v>
      </c>
    </row>
    <row r="970" spans="1:8" x14ac:dyDescent="0.2">
      <c r="A970" s="4" t="str">
        <f t="shared" si="24"/>
        <v>28</v>
      </c>
      <c r="B970" s="4" t="str">
        <f>"28.0601"</f>
        <v>28.0601</v>
      </c>
      <c r="C970" s="4" t="s">
        <v>18258</v>
      </c>
      <c r="D970" s="4" t="s">
        <v>18239</v>
      </c>
      <c r="E970" s="4" t="s">
        <v>19310</v>
      </c>
      <c r="F970" s="4" t="s">
        <v>19311</v>
      </c>
      <c r="G970" s="4" t="s">
        <v>19312</v>
      </c>
      <c r="H970" s="4" t="s">
        <v>19305</v>
      </c>
    </row>
    <row r="971" spans="1:8" x14ac:dyDescent="0.2">
      <c r="A971" s="4" t="str">
        <f t="shared" si="24"/>
        <v>28</v>
      </c>
      <c r="B971" s="4" t="str">
        <f>"28.0602"</f>
        <v>28.0602</v>
      </c>
      <c r="C971" s="4" t="s">
        <v>18258</v>
      </c>
      <c r="D971" s="4" t="s">
        <v>18239</v>
      </c>
      <c r="E971" s="4" t="s">
        <v>19313</v>
      </c>
      <c r="F971" s="4" t="s">
        <v>19314</v>
      </c>
      <c r="H971" s="4" t="s">
        <v>19305</v>
      </c>
    </row>
    <row r="972" spans="1:8" x14ac:dyDescent="0.2">
      <c r="A972" s="4" t="str">
        <f t="shared" si="24"/>
        <v>28</v>
      </c>
      <c r="B972" s="4" t="str">
        <f>"28.0603"</f>
        <v>28.0603</v>
      </c>
      <c r="C972" s="4" t="s">
        <v>18258</v>
      </c>
      <c r="D972" s="4" t="s">
        <v>18239</v>
      </c>
      <c r="E972" s="4" t="s">
        <v>19315</v>
      </c>
      <c r="F972" s="4" t="s">
        <v>19316</v>
      </c>
      <c r="H972" s="4" t="s">
        <v>19305</v>
      </c>
    </row>
    <row r="973" spans="1:8" x14ac:dyDescent="0.2">
      <c r="A973" s="4" t="str">
        <f t="shared" si="24"/>
        <v>28</v>
      </c>
      <c r="B973" s="4" t="str">
        <f>"28.0604"</f>
        <v>28.0604</v>
      </c>
      <c r="C973" s="4" t="s">
        <v>18258</v>
      </c>
      <c r="D973" s="4" t="s">
        <v>18239</v>
      </c>
      <c r="E973" s="4" t="s">
        <v>19317</v>
      </c>
      <c r="F973" s="4" t="s">
        <v>19318</v>
      </c>
      <c r="H973" s="4" t="s">
        <v>19319</v>
      </c>
    </row>
    <row r="974" spans="1:8" x14ac:dyDescent="0.2">
      <c r="A974" s="4" t="str">
        <f t="shared" si="24"/>
        <v>28</v>
      </c>
      <c r="B974" s="4" t="str">
        <f>"28.0605"</f>
        <v>28.0605</v>
      </c>
      <c r="C974" s="4" t="s">
        <v>18258</v>
      </c>
      <c r="D974" s="4" t="s">
        <v>18239</v>
      </c>
      <c r="E974" s="4" t="s">
        <v>19320</v>
      </c>
      <c r="F974" s="4" t="s">
        <v>19321</v>
      </c>
      <c r="H974" s="4" t="s">
        <v>19322</v>
      </c>
    </row>
    <row r="975" spans="1:8" x14ac:dyDescent="0.2">
      <c r="A975" s="4" t="str">
        <f t="shared" si="24"/>
        <v>28</v>
      </c>
      <c r="B975" s="4" t="str">
        <f>"28.0699"</f>
        <v>28.0699</v>
      </c>
      <c r="C975" s="4" t="s">
        <v>18258</v>
      </c>
      <c r="D975" s="4" t="s">
        <v>18239</v>
      </c>
      <c r="E975" s="4" t="s">
        <v>19323</v>
      </c>
      <c r="F975" s="4" t="s">
        <v>19324</v>
      </c>
      <c r="H975" s="4" t="s">
        <v>19322</v>
      </c>
    </row>
    <row r="976" spans="1:8" x14ac:dyDescent="0.2">
      <c r="A976" s="4" t="str">
        <f t="shared" si="24"/>
        <v>28</v>
      </c>
      <c r="B976" s="4" t="str">
        <f>"28.07"</f>
        <v>28.07</v>
      </c>
      <c r="C976" s="4" t="s">
        <v>18258</v>
      </c>
      <c r="D976" s="4" t="s">
        <v>18239</v>
      </c>
      <c r="E976" s="4" t="s">
        <v>19325</v>
      </c>
      <c r="F976" s="4" t="s">
        <v>19326</v>
      </c>
      <c r="H976" s="4" t="s">
        <v>19322</v>
      </c>
    </row>
    <row r="977" spans="1:8" x14ac:dyDescent="0.2">
      <c r="A977" s="4" t="str">
        <f t="shared" si="24"/>
        <v>28</v>
      </c>
      <c r="B977" s="4" t="str">
        <f>"28.0701"</f>
        <v>28.0701</v>
      </c>
      <c r="C977" s="4" t="s">
        <v>18258</v>
      </c>
      <c r="D977" s="4" t="s">
        <v>18239</v>
      </c>
      <c r="E977" s="4" t="s">
        <v>19327</v>
      </c>
      <c r="F977" s="4" t="s">
        <v>19328</v>
      </c>
      <c r="H977" s="4" t="s">
        <v>19322</v>
      </c>
    </row>
    <row r="978" spans="1:8" x14ac:dyDescent="0.2">
      <c r="A978" s="4" t="str">
        <f t="shared" si="24"/>
        <v>28</v>
      </c>
      <c r="B978" s="4" t="str">
        <f>"28.0702"</f>
        <v>28.0702</v>
      </c>
      <c r="C978" s="4" t="s">
        <v>18258</v>
      </c>
      <c r="D978" s="4" t="s">
        <v>18239</v>
      </c>
      <c r="E978" s="4" t="s">
        <v>19329</v>
      </c>
      <c r="F978" s="4" t="s">
        <v>19330</v>
      </c>
      <c r="H978" s="4" t="s">
        <v>19322</v>
      </c>
    </row>
    <row r="979" spans="1:8" x14ac:dyDescent="0.2">
      <c r="A979" s="4" t="str">
        <f t="shared" si="24"/>
        <v>28</v>
      </c>
      <c r="B979" s="4" t="str">
        <f>"28.0703"</f>
        <v>28.0703</v>
      </c>
      <c r="C979" s="4" t="s">
        <v>18258</v>
      </c>
      <c r="D979" s="4" t="s">
        <v>18239</v>
      </c>
      <c r="E979" s="4" t="s">
        <v>19331</v>
      </c>
      <c r="F979" s="4" t="s">
        <v>19332</v>
      </c>
      <c r="H979" s="4" t="s">
        <v>19322</v>
      </c>
    </row>
    <row r="980" spans="1:8" x14ac:dyDescent="0.2">
      <c r="A980" s="4" t="str">
        <f t="shared" si="24"/>
        <v>28</v>
      </c>
      <c r="B980" s="4" t="str">
        <f>"28.0799"</f>
        <v>28.0799</v>
      </c>
      <c r="C980" s="4" t="s">
        <v>18258</v>
      </c>
      <c r="D980" s="4" t="s">
        <v>18239</v>
      </c>
      <c r="E980" s="4" t="s">
        <v>19333</v>
      </c>
      <c r="F980" s="4" t="s">
        <v>19334</v>
      </c>
      <c r="H980" s="4" t="s">
        <v>19322</v>
      </c>
    </row>
    <row r="981" spans="1:8" x14ac:dyDescent="0.2">
      <c r="A981" s="4" t="str">
        <f t="shared" si="24"/>
        <v>28</v>
      </c>
      <c r="B981" s="4" t="str">
        <f>"28.99"</f>
        <v>28.99</v>
      </c>
      <c r="C981" s="4" t="s">
        <v>18258</v>
      </c>
      <c r="D981" s="4" t="s">
        <v>18239</v>
      </c>
      <c r="E981" s="4" t="s">
        <v>19335</v>
      </c>
      <c r="F981" s="4" t="s">
        <v>19336</v>
      </c>
      <c r="H981" s="4" t="s">
        <v>19322</v>
      </c>
    </row>
    <row r="982" spans="1:8" x14ac:dyDescent="0.2">
      <c r="A982" s="4" t="str">
        <f t="shared" si="24"/>
        <v>28</v>
      </c>
      <c r="B982" s="4" t="str">
        <f>"28.9999"</f>
        <v>28.9999</v>
      </c>
      <c r="C982" s="4" t="s">
        <v>18258</v>
      </c>
      <c r="D982" s="4" t="s">
        <v>18239</v>
      </c>
      <c r="E982" s="4" t="s">
        <v>19335</v>
      </c>
      <c r="F982" s="4" t="s">
        <v>19337</v>
      </c>
      <c r="H982" s="4" t="s">
        <v>19322</v>
      </c>
    </row>
    <row r="983" spans="1:8" x14ac:dyDescent="0.2">
      <c r="A983" s="4" t="str">
        <f>"29"</f>
        <v>29</v>
      </c>
      <c r="B983" s="4" t="str">
        <f>"29"</f>
        <v>29</v>
      </c>
      <c r="C983" s="4" t="s">
        <v>18238</v>
      </c>
      <c r="D983" s="4" t="s">
        <v>18307</v>
      </c>
      <c r="E983" s="4" t="s">
        <v>19338</v>
      </c>
      <c r="F983" s="4" t="s">
        <v>19339</v>
      </c>
      <c r="H983" s="4" t="s">
        <v>19322</v>
      </c>
    </row>
    <row r="984" spans="1:8" x14ac:dyDescent="0.2">
      <c r="A984" s="4" t="str">
        <f t="shared" ref="A984:A1016" si="25">"29"</f>
        <v>29</v>
      </c>
      <c r="B984" s="4" t="str">
        <f>"29.01"</f>
        <v>29.01</v>
      </c>
      <c r="C984" s="4" t="s">
        <v>6584</v>
      </c>
      <c r="D984" s="4" t="s">
        <v>18239</v>
      </c>
      <c r="E984" s="4" t="s">
        <v>9198</v>
      </c>
      <c r="F984" s="4" t="s">
        <v>6584</v>
      </c>
      <c r="H984" s="4" t="s">
        <v>19322</v>
      </c>
    </row>
    <row r="985" spans="1:8" x14ac:dyDescent="0.2">
      <c r="A985" s="4" t="str">
        <f t="shared" si="25"/>
        <v>29</v>
      </c>
      <c r="B985" s="4" t="str">
        <f>"29.0101"</f>
        <v>29.0101</v>
      </c>
      <c r="C985" s="4" t="s">
        <v>6584</v>
      </c>
      <c r="D985" s="4" t="s">
        <v>18239</v>
      </c>
      <c r="E985" s="4" t="s">
        <v>9198</v>
      </c>
      <c r="F985" s="4" t="s">
        <v>19340</v>
      </c>
      <c r="H985" s="4" t="s">
        <v>19322</v>
      </c>
    </row>
    <row r="986" spans="1:8" x14ac:dyDescent="0.2">
      <c r="A986" s="4" t="str">
        <f t="shared" si="25"/>
        <v>29</v>
      </c>
      <c r="B986" s="4" t="str">
        <f>"29.02"</f>
        <v>29.02</v>
      </c>
      <c r="C986" s="4" t="s">
        <v>18258</v>
      </c>
      <c r="D986" s="4" t="s">
        <v>18239</v>
      </c>
      <c r="E986" s="4" t="s">
        <v>19341</v>
      </c>
      <c r="F986" s="4" t="s">
        <v>19342</v>
      </c>
      <c r="H986" s="4" t="s">
        <v>19322</v>
      </c>
    </row>
    <row r="987" spans="1:8" x14ac:dyDescent="0.2">
      <c r="A987" s="4" t="str">
        <f t="shared" si="25"/>
        <v>29</v>
      </c>
      <c r="B987" s="4" t="str">
        <f>"29.0201"</f>
        <v>29.0201</v>
      </c>
      <c r="C987" s="4" t="s">
        <v>18258</v>
      </c>
      <c r="D987" s="4" t="s">
        <v>18239</v>
      </c>
      <c r="E987" s="4" t="s">
        <v>19343</v>
      </c>
      <c r="F987" s="4" t="s">
        <v>19344</v>
      </c>
      <c r="H987" s="4" t="s">
        <v>19322</v>
      </c>
    </row>
    <row r="988" spans="1:8" x14ac:dyDescent="0.2">
      <c r="A988" s="4" t="str">
        <f t="shared" si="25"/>
        <v>29</v>
      </c>
      <c r="B988" s="4" t="str">
        <f>"29.0202"</f>
        <v>29.0202</v>
      </c>
      <c r="C988" s="4" t="s">
        <v>18258</v>
      </c>
      <c r="D988" s="4" t="s">
        <v>18239</v>
      </c>
      <c r="E988" s="4" t="s">
        <v>19345</v>
      </c>
      <c r="F988" s="4" t="s">
        <v>19346</v>
      </c>
      <c r="H988" s="4" t="s">
        <v>19322</v>
      </c>
    </row>
    <row r="989" spans="1:8" x14ac:dyDescent="0.2">
      <c r="A989" s="4" t="str">
        <f t="shared" si="25"/>
        <v>29</v>
      </c>
      <c r="B989" s="4" t="str">
        <f>"29.0203"</f>
        <v>29.0203</v>
      </c>
      <c r="C989" s="4" t="s">
        <v>18258</v>
      </c>
      <c r="D989" s="4" t="s">
        <v>18239</v>
      </c>
      <c r="E989" s="4" t="s">
        <v>19347</v>
      </c>
      <c r="F989" s="4" t="s">
        <v>19348</v>
      </c>
      <c r="H989" s="4" t="s">
        <v>19349</v>
      </c>
    </row>
    <row r="990" spans="1:8" x14ac:dyDescent="0.2">
      <c r="A990" s="4" t="str">
        <f t="shared" si="25"/>
        <v>29</v>
      </c>
      <c r="B990" s="4" t="str">
        <f>"29.0204"</f>
        <v>29.0204</v>
      </c>
      <c r="C990" s="4" t="s">
        <v>18258</v>
      </c>
      <c r="D990" s="4" t="s">
        <v>18239</v>
      </c>
      <c r="E990" s="4" t="s">
        <v>19350</v>
      </c>
      <c r="F990" s="4" t="s">
        <v>19351</v>
      </c>
      <c r="H990" s="4" t="s">
        <v>19349</v>
      </c>
    </row>
    <row r="991" spans="1:8" x14ac:dyDescent="0.2">
      <c r="A991" s="4" t="str">
        <f t="shared" si="25"/>
        <v>29</v>
      </c>
      <c r="B991" s="4" t="str">
        <f>"29.0205"</f>
        <v>29.0205</v>
      </c>
      <c r="C991" s="4" t="s">
        <v>18258</v>
      </c>
      <c r="D991" s="4" t="s">
        <v>18239</v>
      </c>
      <c r="E991" s="4" t="s">
        <v>19352</v>
      </c>
      <c r="F991" s="4" t="s">
        <v>19353</v>
      </c>
      <c r="H991" s="4" t="s">
        <v>19349</v>
      </c>
    </row>
    <row r="992" spans="1:8" x14ac:dyDescent="0.2">
      <c r="A992" s="4" t="str">
        <f t="shared" si="25"/>
        <v>29</v>
      </c>
      <c r="B992" s="4" t="str">
        <f>"29.0206"</f>
        <v>29.0206</v>
      </c>
      <c r="C992" s="4" t="s">
        <v>18258</v>
      </c>
      <c r="D992" s="4" t="s">
        <v>18239</v>
      </c>
      <c r="E992" s="4" t="s">
        <v>19354</v>
      </c>
      <c r="F992" s="4" t="s">
        <v>19355</v>
      </c>
      <c r="H992" s="4" t="s">
        <v>19349</v>
      </c>
    </row>
    <row r="993" spans="1:8" x14ac:dyDescent="0.2">
      <c r="A993" s="4" t="str">
        <f t="shared" si="25"/>
        <v>29</v>
      </c>
      <c r="B993" s="4" t="str">
        <f>"29.0207"</f>
        <v>29.0207</v>
      </c>
      <c r="C993" s="4" t="s">
        <v>18258</v>
      </c>
      <c r="D993" s="4" t="s">
        <v>18239</v>
      </c>
      <c r="E993" s="4" t="s">
        <v>19356</v>
      </c>
      <c r="F993" s="4" t="s">
        <v>19357</v>
      </c>
      <c r="H993" s="4" t="s">
        <v>19358</v>
      </c>
    </row>
    <row r="994" spans="1:8" x14ac:dyDescent="0.2">
      <c r="A994" s="4" t="str">
        <f t="shared" si="25"/>
        <v>29</v>
      </c>
      <c r="B994" s="4" t="str">
        <f>"29.0299"</f>
        <v>29.0299</v>
      </c>
      <c r="C994" s="4" t="s">
        <v>18258</v>
      </c>
      <c r="D994" s="4" t="s">
        <v>18239</v>
      </c>
      <c r="E994" s="4" t="s">
        <v>19359</v>
      </c>
      <c r="F994" s="4" t="s">
        <v>19360</v>
      </c>
      <c r="H994" s="4" t="s">
        <v>19358</v>
      </c>
    </row>
    <row r="995" spans="1:8" x14ac:dyDescent="0.2">
      <c r="A995" s="4" t="str">
        <f t="shared" si="25"/>
        <v>29</v>
      </c>
      <c r="B995" s="4" t="str">
        <f>"29.03"</f>
        <v>29.03</v>
      </c>
      <c r="C995" s="4" t="s">
        <v>18258</v>
      </c>
      <c r="D995" s="4" t="s">
        <v>18239</v>
      </c>
      <c r="E995" s="4" t="s">
        <v>19361</v>
      </c>
      <c r="F995" s="4" t="s">
        <v>19362</v>
      </c>
      <c r="H995" s="4" t="s">
        <v>19358</v>
      </c>
    </row>
    <row r="996" spans="1:8" x14ac:dyDescent="0.2">
      <c r="A996" s="4" t="str">
        <f t="shared" si="25"/>
        <v>29</v>
      </c>
      <c r="B996" s="4" t="str">
        <f>"29.0301"</f>
        <v>29.0301</v>
      </c>
      <c r="C996" s="4" t="s">
        <v>18258</v>
      </c>
      <c r="D996" s="4" t="s">
        <v>18239</v>
      </c>
      <c r="E996" s="4" t="s">
        <v>19363</v>
      </c>
      <c r="F996" s="4" t="s">
        <v>19364</v>
      </c>
      <c r="H996" s="4" t="s">
        <v>19358</v>
      </c>
    </row>
    <row r="997" spans="1:8" x14ac:dyDescent="0.2">
      <c r="A997" s="4" t="str">
        <f t="shared" si="25"/>
        <v>29</v>
      </c>
      <c r="B997" s="4" t="str">
        <f>"29.0302"</f>
        <v>29.0302</v>
      </c>
      <c r="C997" s="4" t="s">
        <v>18258</v>
      </c>
      <c r="D997" s="4" t="s">
        <v>18239</v>
      </c>
      <c r="E997" s="4" t="s">
        <v>19365</v>
      </c>
      <c r="F997" s="4" t="s">
        <v>19366</v>
      </c>
      <c r="H997" s="4" t="s">
        <v>19358</v>
      </c>
    </row>
    <row r="998" spans="1:8" x14ac:dyDescent="0.2">
      <c r="A998" s="4" t="str">
        <f t="shared" si="25"/>
        <v>29</v>
      </c>
      <c r="B998" s="4" t="str">
        <f>"29.0303"</f>
        <v>29.0303</v>
      </c>
      <c r="C998" s="4" t="s">
        <v>18258</v>
      </c>
      <c r="D998" s="4" t="s">
        <v>18239</v>
      </c>
      <c r="E998" s="4" t="s">
        <v>19367</v>
      </c>
      <c r="F998" s="4" t="s">
        <v>19368</v>
      </c>
      <c r="H998" s="4" t="s">
        <v>19358</v>
      </c>
    </row>
    <row r="999" spans="1:8" x14ac:dyDescent="0.2">
      <c r="A999" s="4" t="str">
        <f t="shared" si="25"/>
        <v>29</v>
      </c>
      <c r="B999" s="4" t="str">
        <f>"29.0304"</f>
        <v>29.0304</v>
      </c>
      <c r="C999" s="4" t="s">
        <v>18258</v>
      </c>
      <c r="D999" s="4" t="s">
        <v>18239</v>
      </c>
      <c r="E999" s="4" t="s">
        <v>19369</v>
      </c>
      <c r="F999" s="4" t="s">
        <v>19370</v>
      </c>
      <c r="H999" s="4" t="s">
        <v>19358</v>
      </c>
    </row>
    <row r="1000" spans="1:8" x14ac:dyDescent="0.2">
      <c r="A1000" s="4" t="str">
        <f t="shared" si="25"/>
        <v>29</v>
      </c>
      <c r="B1000" s="4" t="str">
        <f>"29.0305"</f>
        <v>29.0305</v>
      </c>
      <c r="C1000" s="4" t="s">
        <v>18258</v>
      </c>
      <c r="D1000" s="4" t="s">
        <v>18239</v>
      </c>
      <c r="E1000" s="4" t="s">
        <v>19371</v>
      </c>
      <c r="F1000" s="4" t="s">
        <v>19372</v>
      </c>
      <c r="H1000" s="4" t="s">
        <v>19358</v>
      </c>
    </row>
    <row r="1001" spans="1:8" x14ac:dyDescent="0.2">
      <c r="A1001" s="4" t="str">
        <f t="shared" si="25"/>
        <v>29</v>
      </c>
      <c r="B1001" s="4" t="str">
        <f>"29.0306"</f>
        <v>29.0306</v>
      </c>
      <c r="C1001" s="4" t="s">
        <v>18258</v>
      </c>
      <c r="D1001" s="4" t="s">
        <v>18239</v>
      </c>
      <c r="E1001" s="4" t="s">
        <v>19373</v>
      </c>
      <c r="F1001" s="4" t="s">
        <v>19374</v>
      </c>
      <c r="H1001" s="4" t="s">
        <v>19358</v>
      </c>
    </row>
    <row r="1002" spans="1:8" x14ac:dyDescent="0.2">
      <c r="A1002" s="4" t="str">
        <f t="shared" si="25"/>
        <v>29</v>
      </c>
      <c r="B1002" s="4" t="str">
        <f>"29.0307"</f>
        <v>29.0307</v>
      </c>
      <c r="C1002" s="4" t="s">
        <v>18258</v>
      </c>
      <c r="D1002" s="4" t="s">
        <v>18239</v>
      </c>
      <c r="E1002" s="4" t="s">
        <v>19375</v>
      </c>
      <c r="F1002" s="4" t="s">
        <v>19376</v>
      </c>
      <c r="H1002" s="4" t="s">
        <v>19358</v>
      </c>
    </row>
    <row r="1003" spans="1:8" x14ac:dyDescent="0.2">
      <c r="A1003" s="4" t="str">
        <f t="shared" si="25"/>
        <v>29</v>
      </c>
      <c r="B1003" s="4" t="str">
        <f>"29.0399"</f>
        <v>29.0399</v>
      </c>
      <c r="C1003" s="4" t="s">
        <v>18258</v>
      </c>
      <c r="D1003" s="4" t="s">
        <v>18239</v>
      </c>
      <c r="E1003" s="4" t="s">
        <v>19377</v>
      </c>
      <c r="F1003" s="4" t="s">
        <v>19378</v>
      </c>
      <c r="H1003" s="4" t="s">
        <v>19358</v>
      </c>
    </row>
    <row r="1004" spans="1:8" x14ac:dyDescent="0.2">
      <c r="A1004" s="4" t="str">
        <f t="shared" si="25"/>
        <v>29</v>
      </c>
      <c r="B1004" s="4" t="str">
        <f>"29.04"</f>
        <v>29.04</v>
      </c>
      <c r="C1004" s="4" t="s">
        <v>18258</v>
      </c>
      <c r="D1004" s="4" t="s">
        <v>18239</v>
      </c>
      <c r="E1004" s="4" t="s">
        <v>19379</v>
      </c>
      <c r="F1004" s="4" t="s">
        <v>19380</v>
      </c>
      <c r="H1004" s="4" t="s">
        <v>19358</v>
      </c>
    </row>
    <row r="1005" spans="1:8" x14ac:dyDescent="0.2">
      <c r="A1005" s="4" t="str">
        <f t="shared" si="25"/>
        <v>29</v>
      </c>
      <c r="B1005" s="4" t="str">
        <f>"29.0401"</f>
        <v>29.0401</v>
      </c>
      <c r="C1005" s="4" t="s">
        <v>18258</v>
      </c>
      <c r="D1005" s="4" t="s">
        <v>18239</v>
      </c>
      <c r="E1005" s="4" t="s">
        <v>19381</v>
      </c>
      <c r="F1005" s="4" t="s">
        <v>19382</v>
      </c>
      <c r="H1005" s="4" t="s">
        <v>19358</v>
      </c>
    </row>
    <row r="1006" spans="1:8" x14ac:dyDescent="0.2">
      <c r="A1006" s="4" t="str">
        <f t="shared" si="25"/>
        <v>29</v>
      </c>
      <c r="B1006" s="4" t="str">
        <f>"29.0402"</f>
        <v>29.0402</v>
      </c>
      <c r="C1006" s="4" t="s">
        <v>18258</v>
      </c>
      <c r="D1006" s="4" t="s">
        <v>18239</v>
      </c>
      <c r="E1006" s="4" t="s">
        <v>19383</v>
      </c>
      <c r="F1006" s="4" t="s">
        <v>19384</v>
      </c>
      <c r="H1006" s="4" t="s">
        <v>19358</v>
      </c>
    </row>
    <row r="1007" spans="1:8" x14ac:dyDescent="0.2">
      <c r="A1007" s="4" t="str">
        <f t="shared" si="25"/>
        <v>29</v>
      </c>
      <c r="B1007" s="4" t="str">
        <f>"29.0403"</f>
        <v>29.0403</v>
      </c>
      <c r="C1007" s="4" t="s">
        <v>18258</v>
      </c>
      <c r="D1007" s="4" t="s">
        <v>18239</v>
      </c>
      <c r="E1007" s="4" t="s">
        <v>19385</v>
      </c>
      <c r="F1007" s="4" t="s">
        <v>19386</v>
      </c>
      <c r="H1007" s="4" t="s">
        <v>19358</v>
      </c>
    </row>
    <row r="1008" spans="1:8" x14ac:dyDescent="0.2">
      <c r="A1008" s="4" t="str">
        <f t="shared" si="25"/>
        <v>29</v>
      </c>
      <c r="B1008" s="4" t="str">
        <f>"29.0404"</f>
        <v>29.0404</v>
      </c>
      <c r="C1008" s="4" t="s">
        <v>18258</v>
      </c>
      <c r="D1008" s="4" t="s">
        <v>18239</v>
      </c>
      <c r="E1008" s="4" t="s">
        <v>19387</v>
      </c>
      <c r="F1008" s="4" t="s">
        <v>19388</v>
      </c>
      <c r="H1008" s="4" t="s">
        <v>19358</v>
      </c>
    </row>
    <row r="1009" spans="1:8" x14ac:dyDescent="0.2">
      <c r="A1009" s="4" t="str">
        <f t="shared" si="25"/>
        <v>29</v>
      </c>
      <c r="B1009" s="4" t="str">
        <f>"29.0405"</f>
        <v>29.0405</v>
      </c>
      <c r="C1009" s="4" t="s">
        <v>18258</v>
      </c>
      <c r="D1009" s="4" t="s">
        <v>18239</v>
      </c>
      <c r="E1009" s="4" t="s">
        <v>19389</v>
      </c>
      <c r="F1009" s="4" t="s">
        <v>19390</v>
      </c>
      <c r="H1009" s="4" t="s">
        <v>19358</v>
      </c>
    </row>
    <row r="1010" spans="1:8" x14ac:dyDescent="0.2">
      <c r="A1010" s="4" t="str">
        <f t="shared" si="25"/>
        <v>29</v>
      </c>
      <c r="B1010" s="4" t="str">
        <f>"29.0406"</f>
        <v>29.0406</v>
      </c>
      <c r="C1010" s="4" t="s">
        <v>18258</v>
      </c>
      <c r="D1010" s="4" t="s">
        <v>18239</v>
      </c>
      <c r="E1010" s="4" t="s">
        <v>19391</v>
      </c>
      <c r="F1010" s="4" t="s">
        <v>19392</v>
      </c>
      <c r="H1010" s="4" t="s">
        <v>19358</v>
      </c>
    </row>
    <row r="1011" spans="1:8" x14ac:dyDescent="0.2">
      <c r="A1011" s="4" t="str">
        <f t="shared" si="25"/>
        <v>29</v>
      </c>
      <c r="B1011" s="4" t="str">
        <f>"29.0407"</f>
        <v>29.0407</v>
      </c>
      <c r="C1011" s="4" t="s">
        <v>18258</v>
      </c>
      <c r="D1011" s="4" t="s">
        <v>18239</v>
      </c>
      <c r="E1011" s="4" t="s">
        <v>19393</v>
      </c>
      <c r="F1011" s="4" t="s">
        <v>19394</v>
      </c>
      <c r="H1011" s="4" t="s">
        <v>19358</v>
      </c>
    </row>
    <row r="1012" spans="1:8" x14ac:dyDescent="0.2">
      <c r="A1012" s="4" t="str">
        <f t="shared" si="25"/>
        <v>29</v>
      </c>
      <c r="B1012" s="4" t="str">
        <f>"29.0408"</f>
        <v>29.0408</v>
      </c>
      <c r="C1012" s="4" t="s">
        <v>18258</v>
      </c>
      <c r="D1012" s="4" t="s">
        <v>18239</v>
      </c>
      <c r="E1012" s="4" t="s">
        <v>19395</v>
      </c>
      <c r="F1012" s="4" t="s">
        <v>19396</v>
      </c>
      <c r="H1012" s="4" t="s">
        <v>19358</v>
      </c>
    </row>
    <row r="1013" spans="1:8" x14ac:dyDescent="0.2">
      <c r="A1013" s="4" t="str">
        <f t="shared" si="25"/>
        <v>29</v>
      </c>
      <c r="B1013" s="4" t="str">
        <f>"29.0409"</f>
        <v>29.0409</v>
      </c>
      <c r="C1013" s="4" t="s">
        <v>18258</v>
      </c>
      <c r="D1013" s="4" t="s">
        <v>18239</v>
      </c>
      <c r="E1013" s="4" t="s">
        <v>19397</v>
      </c>
      <c r="F1013" s="4" t="s">
        <v>19398</v>
      </c>
      <c r="H1013" s="4" t="s">
        <v>19358</v>
      </c>
    </row>
    <row r="1014" spans="1:8" x14ac:dyDescent="0.2">
      <c r="A1014" s="4" t="str">
        <f t="shared" si="25"/>
        <v>29</v>
      </c>
      <c r="B1014" s="4" t="str">
        <f>"29.0499"</f>
        <v>29.0499</v>
      </c>
      <c r="C1014" s="4" t="s">
        <v>18258</v>
      </c>
      <c r="D1014" s="4" t="s">
        <v>18239</v>
      </c>
      <c r="E1014" s="4" t="s">
        <v>19399</v>
      </c>
      <c r="F1014" s="4" t="s">
        <v>19400</v>
      </c>
      <c r="H1014" s="4" t="s">
        <v>19358</v>
      </c>
    </row>
    <row r="1015" spans="1:8" x14ac:dyDescent="0.2">
      <c r="A1015" s="4" t="str">
        <f t="shared" si="25"/>
        <v>29</v>
      </c>
      <c r="B1015" s="4" t="str">
        <f>"29.99"</f>
        <v>29.99</v>
      </c>
      <c r="C1015" s="4" t="s">
        <v>18258</v>
      </c>
      <c r="D1015" s="4" t="s">
        <v>18239</v>
      </c>
      <c r="E1015" s="4" t="s">
        <v>19401</v>
      </c>
      <c r="F1015" s="4" t="s">
        <v>19402</v>
      </c>
      <c r="H1015" s="4" t="s">
        <v>19358</v>
      </c>
    </row>
    <row r="1016" spans="1:8" x14ac:dyDescent="0.2">
      <c r="A1016" s="4" t="str">
        <f t="shared" si="25"/>
        <v>29</v>
      </c>
      <c r="B1016" s="4" t="str">
        <f>"29.9999"</f>
        <v>29.9999</v>
      </c>
      <c r="C1016" s="4" t="s">
        <v>18258</v>
      </c>
      <c r="D1016" s="4" t="s">
        <v>18239</v>
      </c>
      <c r="E1016" s="4" t="s">
        <v>19401</v>
      </c>
      <c r="F1016" s="4" t="s">
        <v>19403</v>
      </c>
      <c r="H1016" s="4" t="s">
        <v>19358</v>
      </c>
    </row>
    <row r="1017" spans="1:8" x14ac:dyDescent="0.2">
      <c r="A1017" s="4" t="str">
        <f>"30"</f>
        <v>30</v>
      </c>
      <c r="B1017" s="4" t="str">
        <f>"30"</f>
        <v>30</v>
      </c>
      <c r="C1017" s="4" t="s">
        <v>18238</v>
      </c>
      <c r="D1017" s="4" t="s">
        <v>18239</v>
      </c>
      <c r="E1017" s="4" t="s">
        <v>9201</v>
      </c>
      <c r="F1017" s="4" t="s">
        <v>9202</v>
      </c>
      <c r="H1017" s="4" t="s">
        <v>19358</v>
      </c>
    </row>
    <row r="1018" spans="1:8" x14ac:dyDescent="0.2">
      <c r="A1018" s="4" t="str">
        <f t="shared" ref="A1018:A1080" si="26">"30"</f>
        <v>30</v>
      </c>
      <c r="B1018" s="4" t="str">
        <f>"30.00"</f>
        <v>30.00</v>
      </c>
      <c r="C1018" s="4" t="s">
        <v>18258</v>
      </c>
      <c r="D1018" s="4" t="s">
        <v>18239</v>
      </c>
      <c r="E1018" s="4" t="s">
        <v>19404</v>
      </c>
      <c r="F1018" s="4" t="s">
        <v>19405</v>
      </c>
      <c r="H1018" s="4" t="s">
        <v>19358</v>
      </c>
    </row>
    <row r="1019" spans="1:8" x14ac:dyDescent="0.2">
      <c r="A1019" s="4" t="str">
        <f t="shared" si="26"/>
        <v>30</v>
      </c>
      <c r="B1019" s="4" t="str">
        <f>"30.0000"</f>
        <v>30.0000</v>
      </c>
      <c r="C1019" s="4" t="s">
        <v>18258</v>
      </c>
      <c r="D1019" s="4" t="s">
        <v>18239</v>
      </c>
      <c r="E1019" s="4" t="s">
        <v>19404</v>
      </c>
      <c r="F1019" s="4" t="s">
        <v>19406</v>
      </c>
      <c r="H1019" s="4" t="s">
        <v>19407</v>
      </c>
    </row>
    <row r="1020" spans="1:8" x14ac:dyDescent="0.2">
      <c r="A1020" s="4" t="str">
        <f t="shared" si="26"/>
        <v>30</v>
      </c>
      <c r="B1020" s="4" t="str">
        <f>"30.01"</f>
        <v>30.01</v>
      </c>
      <c r="C1020" s="4" t="s">
        <v>18238</v>
      </c>
      <c r="D1020" s="4" t="s">
        <v>18239</v>
      </c>
      <c r="E1020" s="4" t="s">
        <v>10678</v>
      </c>
      <c r="F1020" s="4" t="s">
        <v>9204</v>
      </c>
      <c r="H1020" s="4" t="s">
        <v>19407</v>
      </c>
    </row>
    <row r="1021" spans="1:8" x14ac:dyDescent="0.2">
      <c r="A1021" s="4" t="str">
        <f t="shared" si="26"/>
        <v>30</v>
      </c>
      <c r="B1021" s="4" t="str">
        <f>"30.0101"</f>
        <v>30.0101</v>
      </c>
      <c r="C1021" s="4" t="s">
        <v>18238</v>
      </c>
      <c r="D1021" s="4" t="s">
        <v>18239</v>
      </c>
      <c r="E1021" s="4" t="s">
        <v>10678</v>
      </c>
      <c r="F1021" s="4" t="s">
        <v>9205</v>
      </c>
      <c r="G1021" s="4" t="s">
        <v>19408</v>
      </c>
      <c r="H1021" s="4" t="s">
        <v>19409</v>
      </c>
    </row>
    <row r="1022" spans="1:8" x14ac:dyDescent="0.2">
      <c r="A1022" s="4" t="str">
        <f t="shared" si="26"/>
        <v>30</v>
      </c>
      <c r="B1022" s="4" t="str">
        <f>"30.05"</f>
        <v>30.05</v>
      </c>
      <c r="C1022" s="4" t="s">
        <v>18238</v>
      </c>
      <c r="D1022" s="4" t="s">
        <v>18239</v>
      </c>
      <c r="E1022" s="4" t="s">
        <v>9207</v>
      </c>
      <c r="F1022" s="4" t="s">
        <v>9208</v>
      </c>
      <c r="H1022" s="4" t="s">
        <v>19409</v>
      </c>
    </row>
    <row r="1023" spans="1:8" x14ac:dyDescent="0.2">
      <c r="A1023" s="4" t="str">
        <f t="shared" si="26"/>
        <v>30</v>
      </c>
      <c r="B1023" s="4" t="str">
        <f>"30.0501"</f>
        <v>30.0501</v>
      </c>
      <c r="C1023" s="4" t="s">
        <v>18238</v>
      </c>
      <c r="D1023" s="4" t="s">
        <v>18239</v>
      </c>
      <c r="E1023" s="4" t="s">
        <v>9207</v>
      </c>
      <c r="F1023" s="4" t="s">
        <v>9209</v>
      </c>
      <c r="G1023" s="4" t="s">
        <v>19410</v>
      </c>
      <c r="H1023" s="4" t="s">
        <v>19409</v>
      </c>
    </row>
    <row r="1024" spans="1:8" x14ac:dyDescent="0.2">
      <c r="A1024" s="4" t="str">
        <f t="shared" si="26"/>
        <v>30</v>
      </c>
      <c r="B1024" s="4" t="str">
        <f>"30.06"</f>
        <v>30.06</v>
      </c>
      <c r="C1024" s="4" t="s">
        <v>18238</v>
      </c>
      <c r="D1024" s="4" t="s">
        <v>18239</v>
      </c>
      <c r="E1024" s="4" t="s">
        <v>11192</v>
      </c>
      <c r="F1024" s="4" t="s">
        <v>9212</v>
      </c>
      <c r="H1024" s="4" t="s">
        <v>19409</v>
      </c>
    </row>
    <row r="1025" spans="1:8" x14ac:dyDescent="0.2">
      <c r="A1025" s="4" t="str">
        <f t="shared" si="26"/>
        <v>30</v>
      </c>
      <c r="B1025" s="4" t="str">
        <f>"30.0601"</f>
        <v>30.0601</v>
      </c>
      <c r="C1025" s="4" t="s">
        <v>18238</v>
      </c>
      <c r="D1025" s="4" t="s">
        <v>18239</v>
      </c>
      <c r="E1025" s="4" t="s">
        <v>11192</v>
      </c>
      <c r="F1025" s="4" t="s">
        <v>9213</v>
      </c>
      <c r="G1025" s="4" t="s">
        <v>18524</v>
      </c>
      <c r="H1025" s="4" t="s">
        <v>19409</v>
      </c>
    </row>
    <row r="1026" spans="1:8" x14ac:dyDescent="0.2">
      <c r="A1026" s="4" t="str">
        <f t="shared" si="26"/>
        <v>30</v>
      </c>
      <c r="B1026" s="4" t="str">
        <f>"30.08"</f>
        <v>30.08</v>
      </c>
      <c r="C1026" s="4" t="s">
        <v>18238</v>
      </c>
      <c r="D1026" s="4" t="s">
        <v>18239</v>
      </c>
      <c r="E1026" s="4" t="s">
        <v>9215</v>
      </c>
      <c r="F1026" s="4" t="s">
        <v>9216</v>
      </c>
      <c r="H1026" s="4" t="s">
        <v>19409</v>
      </c>
    </row>
    <row r="1027" spans="1:8" x14ac:dyDescent="0.2">
      <c r="A1027" s="4" t="str">
        <f t="shared" si="26"/>
        <v>30</v>
      </c>
      <c r="B1027" s="4" t="str">
        <f>"30.0801"</f>
        <v>30.0801</v>
      </c>
      <c r="C1027" s="4" t="s">
        <v>18238</v>
      </c>
      <c r="D1027" s="4" t="s">
        <v>18239</v>
      </c>
      <c r="E1027" s="4" t="s">
        <v>9215</v>
      </c>
      <c r="F1027" s="4" t="s">
        <v>9217</v>
      </c>
      <c r="G1027" s="4" t="s">
        <v>19411</v>
      </c>
      <c r="H1027" s="4" t="s">
        <v>19409</v>
      </c>
    </row>
    <row r="1028" spans="1:8" x14ac:dyDescent="0.2">
      <c r="A1028" s="4" t="str">
        <f t="shared" si="26"/>
        <v>30</v>
      </c>
      <c r="B1028" s="4" t="str">
        <f>"30.10"</f>
        <v>30.10</v>
      </c>
      <c r="C1028" s="4" t="s">
        <v>18238</v>
      </c>
      <c r="D1028" s="4" t="s">
        <v>18239</v>
      </c>
      <c r="E1028" s="4" t="s">
        <v>9503</v>
      </c>
      <c r="F1028" s="4" t="s">
        <v>9219</v>
      </c>
      <c r="H1028" s="4" t="s">
        <v>19409</v>
      </c>
    </row>
    <row r="1029" spans="1:8" x14ac:dyDescent="0.2">
      <c r="A1029" s="4" t="str">
        <f t="shared" si="26"/>
        <v>30</v>
      </c>
      <c r="B1029" s="4" t="str">
        <f>"30.1001"</f>
        <v>30.1001</v>
      </c>
      <c r="C1029" s="4" t="s">
        <v>18238</v>
      </c>
      <c r="D1029" s="4" t="s">
        <v>18239</v>
      </c>
      <c r="E1029" s="4" t="s">
        <v>9503</v>
      </c>
      <c r="F1029" s="4" t="s">
        <v>9220</v>
      </c>
      <c r="G1029" s="4" t="s">
        <v>19412</v>
      </c>
      <c r="H1029" s="4" t="s">
        <v>19409</v>
      </c>
    </row>
    <row r="1030" spans="1:8" x14ac:dyDescent="0.2">
      <c r="A1030" s="4" t="str">
        <f t="shared" si="26"/>
        <v>30</v>
      </c>
      <c r="B1030" s="4" t="str">
        <f>"30.11"</f>
        <v>30.11</v>
      </c>
      <c r="C1030" s="4" t="s">
        <v>18238</v>
      </c>
      <c r="D1030" s="4" t="s">
        <v>18239</v>
      </c>
      <c r="E1030" s="4" t="s">
        <v>10056</v>
      </c>
      <c r="F1030" s="4" t="s">
        <v>9223</v>
      </c>
      <c r="H1030" s="4" t="s">
        <v>19409</v>
      </c>
    </row>
    <row r="1031" spans="1:8" x14ac:dyDescent="0.2">
      <c r="A1031" s="4" t="str">
        <f t="shared" si="26"/>
        <v>30</v>
      </c>
      <c r="B1031" s="4" t="str">
        <f>"30.1101"</f>
        <v>30.1101</v>
      </c>
      <c r="C1031" s="4" t="s">
        <v>18238</v>
      </c>
      <c r="D1031" s="4" t="s">
        <v>18239</v>
      </c>
      <c r="E1031" s="4" t="s">
        <v>10056</v>
      </c>
      <c r="F1031" s="4" t="s">
        <v>9224</v>
      </c>
      <c r="G1031" s="4" t="s">
        <v>19413</v>
      </c>
      <c r="H1031" s="4" t="s">
        <v>19409</v>
      </c>
    </row>
    <row r="1032" spans="1:8" x14ac:dyDescent="0.2">
      <c r="A1032" s="4" t="str">
        <f t="shared" si="26"/>
        <v>30</v>
      </c>
      <c r="B1032" s="4" t="str">
        <f>"30.12"</f>
        <v>30.12</v>
      </c>
      <c r="C1032" s="4" t="s">
        <v>18238</v>
      </c>
      <c r="D1032" s="4" t="s">
        <v>18239</v>
      </c>
      <c r="E1032" s="4" t="s">
        <v>11540</v>
      </c>
      <c r="F1032" s="4" t="s">
        <v>19414</v>
      </c>
      <c r="H1032" s="4" t="s">
        <v>19409</v>
      </c>
    </row>
    <row r="1033" spans="1:8" x14ac:dyDescent="0.2">
      <c r="A1033" s="4" t="str">
        <f t="shared" si="26"/>
        <v>30</v>
      </c>
      <c r="B1033" s="4" t="str">
        <f>"30.1201"</f>
        <v>30.1201</v>
      </c>
      <c r="C1033" s="4" t="s">
        <v>18238</v>
      </c>
      <c r="D1033" s="4" t="s">
        <v>18239</v>
      </c>
      <c r="E1033" s="4" t="s">
        <v>11540</v>
      </c>
      <c r="F1033" s="4" t="s">
        <v>9229</v>
      </c>
      <c r="H1033" s="4" t="s">
        <v>19409</v>
      </c>
    </row>
    <row r="1034" spans="1:8" x14ac:dyDescent="0.2">
      <c r="A1034" s="4" t="str">
        <f t="shared" si="26"/>
        <v>30</v>
      </c>
      <c r="B1034" s="4" t="str">
        <f>"30.1202"</f>
        <v>30.1202</v>
      </c>
      <c r="C1034" s="4" t="s">
        <v>18238</v>
      </c>
      <c r="D1034" s="4" t="s">
        <v>18239</v>
      </c>
      <c r="E1034" s="4" t="s">
        <v>11542</v>
      </c>
      <c r="F1034" s="4" t="s">
        <v>19415</v>
      </c>
      <c r="G1034" s="4" t="s">
        <v>19100</v>
      </c>
      <c r="H1034" s="4" t="s">
        <v>19409</v>
      </c>
    </row>
    <row r="1035" spans="1:8" x14ac:dyDescent="0.2">
      <c r="A1035" s="4" t="str">
        <f t="shared" si="26"/>
        <v>30</v>
      </c>
      <c r="B1035" s="4" t="str">
        <f>"30.1299"</f>
        <v>30.1299</v>
      </c>
      <c r="C1035" s="4" t="s">
        <v>18238</v>
      </c>
      <c r="D1035" s="4" t="s">
        <v>18239</v>
      </c>
      <c r="E1035" s="4" t="s">
        <v>9232</v>
      </c>
      <c r="F1035" s="4" t="s">
        <v>19416</v>
      </c>
      <c r="H1035" s="4" t="s">
        <v>19409</v>
      </c>
    </row>
    <row r="1036" spans="1:8" x14ac:dyDescent="0.2">
      <c r="A1036" s="4" t="str">
        <f t="shared" si="26"/>
        <v>30</v>
      </c>
      <c r="B1036" s="4" t="str">
        <f>"30.13"</f>
        <v>30.13</v>
      </c>
      <c r="C1036" s="4" t="s">
        <v>18238</v>
      </c>
      <c r="D1036" s="4" t="s">
        <v>18239</v>
      </c>
      <c r="E1036" s="4" t="s">
        <v>11350</v>
      </c>
      <c r="F1036" s="4" t="s">
        <v>9235</v>
      </c>
      <c r="H1036" s="4" t="s">
        <v>19409</v>
      </c>
    </row>
    <row r="1037" spans="1:8" x14ac:dyDescent="0.2">
      <c r="A1037" s="4" t="str">
        <f t="shared" si="26"/>
        <v>30</v>
      </c>
      <c r="B1037" s="4" t="str">
        <f>"30.1301"</f>
        <v>30.1301</v>
      </c>
      <c r="C1037" s="4" t="s">
        <v>18238</v>
      </c>
      <c r="D1037" s="4" t="s">
        <v>18307</v>
      </c>
      <c r="E1037" s="4" t="s">
        <v>11350</v>
      </c>
      <c r="F1037" s="4" t="s">
        <v>19417</v>
      </c>
      <c r="H1037" s="4" t="s">
        <v>19418</v>
      </c>
    </row>
    <row r="1038" spans="1:8" x14ac:dyDescent="0.2">
      <c r="A1038" s="4" t="str">
        <f t="shared" si="26"/>
        <v>30</v>
      </c>
      <c r="B1038" s="4" t="str">
        <f>"30.14"</f>
        <v>30.14</v>
      </c>
      <c r="C1038" s="4" t="s">
        <v>18238</v>
      </c>
      <c r="D1038" s="4" t="s">
        <v>18239</v>
      </c>
      <c r="E1038" s="4" t="s">
        <v>9748</v>
      </c>
      <c r="F1038" s="4" t="s">
        <v>9238</v>
      </c>
      <c r="H1038" s="4" t="s">
        <v>19418</v>
      </c>
    </row>
    <row r="1039" spans="1:8" x14ac:dyDescent="0.2">
      <c r="A1039" s="4" t="str">
        <f t="shared" si="26"/>
        <v>30</v>
      </c>
      <c r="B1039" s="4" t="str">
        <f>"30.1401"</f>
        <v>30.1401</v>
      </c>
      <c r="C1039" s="4" t="s">
        <v>18238</v>
      </c>
      <c r="D1039" s="4" t="s">
        <v>18239</v>
      </c>
      <c r="E1039" s="4" t="s">
        <v>9748</v>
      </c>
      <c r="F1039" s="4" t="s">
        <v>9239</v>
      </c>
      <c r="G1039" s="4" t="s">
        <v>19419</v>
      </c>
      <c r="H1039" s="4" t="s">
        <v>19418</v>
      </c>
    </row>
    <row r="1040" spans="1:8" x14ac:dyDescent="0.2">
      <c r="A1040" s="4" t="str">
        <f t="shared" si="26"/>
        <v>30</v>
      </c>
      <c r="B1040" s="4" t="str">
        <f>"30.15"</f>
        <v>30.15</v>
      </c>
      <c r="C1040" s="4" t="s">
        <v>18238</v>
      </c>
      <c r="D1040" s="4" t="s">
        <v>18239</v>
      </c>
      <c r="E1040" s="4" t="s">
        <v>9241</v>
      </c>
      <c r="F1040" s="4" t="s">
        <v>9242</v>
      </c>
      <c r="H1040" s="4" t="s">
        <v>19418</v>
      </c>
    </row>
    <row r="1041" spans="1:8" x14ac:dyDescent="0.2">
      <c r="A1041" s="4" t="str">
        <f t="shared" si="26"/>
        <v>30</v>
      </c>
      <c r="B1041" s="4" t="str">
        <f>"30.1501"</f>
        <v>30.1501</v>
      </c>
      <c r="C1041" s="4" t="s">
        <v>18238</v>
      </c>
      <c r="D1041" s="4" t="s">
        <v>18239</v>
      </c>
      <c r="E1041" s="4" t="s">
        <v>9241</v>
      </c>
      <c r="F1041" s="4" t="s">
        <v>9243</v>
      </c>
      <c r="G1041" s="4" t="s">
        <v>19420</v>
      </c>
      <c r="H1041" s="4" t="s">
        <v>19421</v>
      </c>
    </row>
    <row r="1042" spans="1:8" x14ac:dyDescent="0.2">
      <c r="A1042" s="4" t="str">
        <f t="shared" si="26"/>
        <v>30</v>
      </c>
      <c r="B1042" s="4" t="str">
        <f>"30.16"</f>
        <v>30.16</v>
      </c>
      <c r="C1042" s="4" t="s">
        <v>18238</v>
      </c>
      <c r="D1042" s="4" t="s">
        <v>18239</v>
      </c>
      <c r="E1042" s="4" t="s">
        <v>9245</v>
      </c>
      <c r="F1042" s="4" t="s">
        <v>19422</v>
      </c>
      <c r="H1042" s="4" t="s">
        <v>19421</v>
      </c>
    </row>
    <row r="1043" spans="1:8" x14ac:dyDescent="0.2">
      <c r="A1043" s="4" t="str">
        <f t="shared" si="26"/>
        <v>30</v>
      </c>
      <c r="B1043" s="4" t="str">
        <f>"30.1601"</f>
        <v>30.1601</v>
      </c>
      <c r="C1043" s="4" t="s">
        <v>18238</v>
      </c>
      <c r="D1043" s="4" t="s">
        <v>18239</v>
      </c>
      <c r="E1043" s="4" t="s">
        <v>9245</v>
      </c>
      <c r="F1043" s="4" t="s">
        <v>19423</v>
      </c>
      <c r="G1043" s="4" t="s">
        <v>19424</v>
      </c>
      <c r="H1043" s="4" t="s">
        <v>19421</v>
      </c>
    </row>
    <row r="1044" spans="1:8" x14ac:dyDescent="0.2">
      <c r="A1044" s="4" t="str">
        <f t="shared" si="26"/>
        <v>30</v>
      </c>
      <c r="B1044" s="4" t="str">
        <f>"30.17"</f>
        <v>30.17</v>
      </c>
      <c r="C1044" s="4" t="s">
        <v>18238</v>
      </c>
      <c r="D1044" s="4" t="s">
        <v>18239</v>
      </c>
      <c r="E1044" s="4" t="s">
        <v>9250</v>
      </c>
      <c r="F1044" s="4" t="s">
        <v>19425</v>
      </c>
      <c r="H1044" s="4" t="s">
        <v>19421</v>
      </c>
    </row>
    <row r="1045" spans="1:8" x14ac:dyDescent="0.2">
      <c r="A1045" s="4" t="str">
        <f t="shared" si="26"/>
        <v>30</v>
      </c>
      <c r="B1045" s="4" t="str">
        <f>"30.1701"</f>
        <v>30.1701</v>
      </c>
      <c r="C1045" s="4" t="s">
        <v>18238</v>
      </c>
      <c r="D1045" s="4" t="s">
        <v>18239</v>
      </c>
      <c r="E1045" s="4" t="s">
        <v>9250</v>
      </c>
      <c r="F1045" s="4" t="s">
        <v>19426</v>
      </c>
      <c r="G1045" s="4" t="s">
        <v>19427</v>
      </c>
      <c r="H1045" s="4" t="s">
        <v>19421</v>
      </c>
    </row>
    <row r="1046" spans="1:8" x14ac:dyDescent="0.2">
      <c r="A1046" s="4" t="str">
        <f t="shared" si="26"/>
        <v>30</v>
      </c>
      <c r="B1046" s="4" t="str">
        <f>"30.18"</f>
        <v>30.18</v>
      </c>
      <c r="C1046" s="4" t="s">
        <v>18238</v>
      </c>
      <c r="D1046" s="4" t="s">
        <v>18239</v>
      </c>
      <c r="E1046" s="4" t="s">
        <v>9255</v>
      </c>
      <c r="F1046" s="4" t="s">
        <v>19428</v>
      </c>
      <c r="H1046" s="4" t="s">
        <v>19421</v>
      </c>
    </row>
    <row r="1047" spans="1:8" x14ac:dyDescent="0.2">
      <c r="A1047" s="4" t="str">
        <f t="shared" si="26"/>
        <v>30</v>
      </c>
      <c r="B1047" s="4" t="str">
        <f>"30.1801"</f>
        <v>30.1801</v>
      </c>
      <c r="C1047" s="4" t="s">
        <v>18238</v>
      </c>
      <c r="D1047" s="4" t="s">
        <v>18239</v>
      </c>
      <c r="E1047" s="4" t="s">
        <v>9255</v>
      </c>
      <c r="F1047" s="4" t="s">
        <v>19429</v>
      </c>
      <c r="H1047" s="4" t="s">
        <v>19421</v>
      </c>
    </row>
    <row r="1048" spans="1:8" x14ac:dyDescent="0.2">
      <c r="A1048" s="4" t="str">
        <f t="shared" si="26"/>
        <v>30</v>
      </c>
      <c r="B1048" s="4" t="str">
        <f>"30.19"</f>
        <v>30.19</v>
      </c>
      <c r="C1048" s="4" t="s">
        <v>18238</v>
      </c>
      <c r="D1048" s="4" t="s">
        <v>18239</v>
      </c>
      <c r="E1048" s="4" t="s">
        <v>11744</v>
      </c>
      <c r="F1048" s="4" t="s">
        <v>19430</v>
      </c>
      <c r="H1048" s="4" t="s">
        <v>19421</v>
      </c>
    </row>
    <row r="1049" spans="1:8" x14ac:dyDescent="0.2">
      <c r="A1049" s="4" t="str">
        <f t="shared" si="26"/>
        <v>30</v>
      </c>
      <c r="B1049" s="4" t="str">
        <f>"30.1901"</f>
        <v>30.1901</v>
      </c>
      <c r="C1049" s="4" t="s">
        <v>18238</v>
      </c>
      <c r="D1049" s="4" t="s">
        <v>18239</v>
      </c>
      <c r="E1049" s="4" t="s">
        <v>11744</v>
      </c>
      <c r="F1049" s="4" t="s">
        <v>19431</v>
      </c>
      <c r="G1049" s="4" t="s">
        <v>19432</v>
      </c>
      <c r="H1049" s="4" t="s">
        <v>19421</v>
      </c>
    </row>
    <row r="1050" spans="1:8" x14ac:dyDescent="0.2">
      <c r="A1050" s="4" t="str">
        <f t="shared" si="26"/>
        <v>30</v>
      </c>
      <c r="B1050" s="4" t="str">
        <f>"30.20"</f>
        <v>30.20</v>
      </c>
      <c r="C1050" s="4" t="s">
        <v>18238</v>
      </c>
      <c r="D1050" s="4" t="s">
        <v>18239</v>
      </c>
      <c r="E1050" s="4" t="s">
        <v>9263</v>
      </c>
      <c r="F1050" s="4" t="s">
        <v>19433</v>
      </c>
      <c r="H1050" s="4" t="s">
        <v>19421</v>
      </c>
    </row>
    <row r="1051" spans="1:8" x14ac:dyDescent="0.2">
      <c r="A1051" s="4" t="str">
        <f t="shared" si="26"/>
        <v>30</v>
      </c>
      <c r="B1051" s="4" t="str">
        <f>"30.2001"</f>
        <v>30.2001</v>
      </c>
      <c r="C1051" s="4" t="s">
        <v>18238</v>
      </c>
      <c r="D1051" s="4" t="s">
        <v>18239</v>
      </c>
      <c r="E1051" s="4" t="s">
        <v>9263</v>
      </c>
      <c r="F1051" s="4" t="s">
        <v>19434</v>
      </c>
      <c r="G1051" s="4" t="s">
        <v>19435</v>
      </c>
      <c r="H1051" s="4" t="s">
        <v>19421</v>
      </c>
    </row>
    <row r="1052" spans="1:8" x14ac:dyDescent="0.2">
      <c r="A1052" s="4" t="str">
        <f t="shared" si="26"/>
        <v>30</v>
      </c>
      <c r="B1052" s="4" t="str">
        <f>"30.21"</f>
        <v>30.21</v>
      </c>
      <c r="C1052" s="4" t="s">
        <v>18238</v>
      </c>
      <c r="D1052" s="4" t="s">
        <v>18239</v>
      </c>
      <c r="E1052" s="4" t="s">
        <v>11343</v>
      </c>
      <c r="F1052" s="4" t="s">
        <v>19436</v>
      </c>
      <c r="H1052" s="4" t="s">
        <v>19421</v>
      </c>
    </row>
    <row r="1053" spans="1:8" x14ac:dyDescent="0.2">
      <c r="A1053" s="4" t="str">
        <f t="shared" si="26"/>
        <v>30</v>
      </c>
      <c r="B1053" s="4" t="str">
        <f>"30.2101"</f>
        <v>30.2101</v>
      </c>
      <c r="C1053" s="4" t="s">
        <v>18238</v>
      </c>
      <c r="D1053" s="4" t="s">
        <v>18239</v>
      </c>
      <c r="E1053" s="4" t="s">
        <v>11343</v>
      </c>
      <c r="F1053" s="4" t="s">
        <v>19437</v>
      </c>
      <c r="G1053" s="4" t="s">
        <v>19438</v>
      </c>
      <c r="H1053" s="4" t="s">
        <v>19421</v>
      </c>
    </row>
    <row r="1054" spans="1:8" x14ac:dyDescent="0.2">
      <c r="A1054" s="4" t="str">
        <f t="shared" si="26"/>
        <v>30</v>
      </c>
      <c r="B1054" s="4" t="str">
        <f>"30.22"</f>
        <v>30.22</v>
      </c>
      <c r="C1054" s="4" t="s">
        <v>18238</v>
      </c>
      <c r="D1054" s="4" t="s">
        <v>18239</v>
      </c>
      <c r="E1054" s="4" t="s">
        <v>9270</v>
      </c>
      <c r="F1054" s="4" t="s">
        <v>19439</v>
      </c>
      <c r="H1054" s="4" t="s">
        <v>19421</v>
      </c>
    </row>
    <row r="1055" spans="1:8" x14ac:dyDescent="0.2">
      <c r="A1055" s="4" t="str">
        <f t="shared" si="26"/>
        <v>30</v>
      </c>
      <c r="B1055" s="4" t="str">
        <f>"30.2201"</f>
        <v>30.2201</v>
      </c>
      <c r="C1055" s="4" t="s">
        <v>18238</v>
      </c>
      <c r="D1055" s="4" t="s">
        <v>18239</v>
      </c>
      <c r="E1055" s="4" t="s">
        <v>9897</v>
      </c>
      <c r="F1055" s="4" t="s">
        <v>19440</v>
      </c>
      <c r="H1055" s="4" t="s">
        <v>19421</v>
      </c>
    </row>
    <row r="1056" spans="1:8" x14ac:dyDescent="0.2">
      <c r="A1056" s="4" t="str">
        <f t="shared" si="26"/>
        <v>30</v>
      </c>
      <c r="B1056" s="4" t="str">
        <f>"30.2202"</f>
        <v>30.2202</v>
      </c>
      <c r="C1056" s="4" t="s">
        <v>18238</v>
      </c>
      <c r="D1056" s="4" t="s">
        <v>18239</v>
      </c>
      <c r="E1056" s="4" t="s">
        <v>9274</v>
      </c>
      <c r="F1056" s="4" t="s">
        <v>19441</v>
      </c>
      <c r="G1056" s="4" t="s">
        <v>19442</v>
      </c>
      <c r="H1056" s="4" t="s">
        <v>19421</v>
      </c>
    </row>
    <row r="1057" spans="1:8" x14ac:dyDescent="0.2">
      <c r="A1057" s="4" t="str">
        <f t="shared" si="26"/>
        <v>30</v>
      </c>
      <c r="B1057" s="4" t="str">
        <f>"30.23"</f>
        <v>30.23</v>
      </c>
      <c r="C1057" s="4" t="s">
        <v>18238</v>
      </c>
      <c r="D1057" s="4" t="s">
        <v>18239</v>
      </c>
      <c r="E1057" s="4" t="s">
        <v>9277</v>
      </c>
      <c r="F1057" s="4" t="s">
        <v>19443</v>
      </c>
      <c r="H1057" s="4" t="s">
        <v>19421</v>
      </c>
    </row>
    <row r="1058" spans="1:8" x14ac:dyDescent="0.2">
      <c r="A1058" s="4" t="str">
        <f t="shared" si="26"/>
        <v>30</v>
      </c>
      <c r="B1058" s="4" t="str">
        <f>"30.2301"</f>
        <v>30.2301</v>
      </c>
      <c r="C1058" s="4" t="s">
        <v>18238</v>
      </c>
      <c r="D1058" s="4" t="s">
        <v>18239</v>
      </c>
      <c r="E1058" s="4" t="s">
        <v>9277</v>
      </c>
      <c r="F1058" s="4" t="s">
        <v>19444</v>
      </c>
      <c r="G1058" s="4" t="s">
        <v>19445</v>
      </c>
      <c r="H1058" s="4" t="s">
        <v>19421</v>
      </c>
    </row>
    <row r="1059" spans="1:8" x14ac:dyDescent="0.2">
      <c r="A1059" s="4" t="str">
        <f t="shared" si="26"/>
        <v>30</v>
      </c>
      <c r="B1059" s="4" t="str">
        <f>"30.24"</f>
        <v>30.24</v>
      </c>
      <c r="C1059" s="4" t="s">
        <v>6584</v>
      </c>
      <c r="D1059" s="4" t="s">
        <v>18239</v>
      </c>
      <c r="E1059" s="4" t="s">
        <v>9428</v>
      </c>
      <c r="F1059" s="4" t="s">
        <v>6584</v>
      </c>
      <c r="H1059" s="4" t="s">
        <v>19421</v>
      </c>
    </row>
    <row r="1060" spans="1:8" x14ac:dyDescent="0.2">
      <c r="A1060" s="4" t="str">
        <f t="shared" si="26"/>
        <v>30</v>
      </c>
      <c r="B1060" s="4" t="str">
        <f>"30.2401"</f>
        <v>30.2401</v>
      </c>
      <c r="C1060" s="4" t="s">
        <v>18724</v>
      </c>
      <c r="D1060" s="4" t="s">
        <v>18239</v>
      </c>
      <c r="E1060" s="4" t="s">
        <v>9428</v>
      </c>
      <c r="F1060" s="4" t="s">
        <v>19446</v>
      </c>
      <c r="H1060" s="4" t="s">
        <v>19421</v>
      </c>
    </row>
    <row r="1061" spans="1:8" x14ac:dyDescent="0.2">
      <c r="A1061" s="4" t="str">
        <f t="shared" si="26"/>
        <v>30</v>
      </c>
      <c r="B1061" s="4" t="str">
        <f>"30.25"</f>
        <v>30.25</v>
      </c>
      <c r="C1061" s="4" t="s">
        <v>18238</v>
      </c>
      <c r="D1061" s="4" t="s">
        <v>18239</v>
      </c>
      <c r="E1061" s="4" t="s">
        <v>11194</v>
      </c>
      <c r="F1061" s="4" t="s">
        <v>19447</v>
      </c>
      <c r="H1061" s="4" t="s">
        <v>19421</v>
      </c>
    </row>
    <row r="1062" spans="1:8" x14ac:dyDescent="0.2">
      <c r="A1062" s="4" t="str">
        <f t="shared" si="26"/>
        <v>30</v>
      </c>
      <c r="B1062" s="4" t="str">
        <f>"30.2501"</f>
        <v>30.2501</v>
      </c>
      <c r="C1062" s="4" t="s">
        <v>18238</v>
      </c>
      <c r="D1062" s="4" t="s">
        <v>18239</v>
      </c>
      <c r="E1062" s="4" t="s">
        <v>11194</v>
      </c>
      <c r="F1062" s="4" t="s">
        <v>19448</v>
      </c>
      <c r="G1062" s="4" t="s">
        <v>19449</v>
      </c>
      <c r="H1062" s="4" t="s">
        <v>19421</v>
      </c>
    </row>
    <row r="1063" spans="1:8" x14ac:dyDescent="0.2">
      <c r="A1063" s="4" t="str">
        <f t="shared" si="26"/>
        <v>30</v>
      </c>
      <c r="B1063" s="4" t="str">
        <f>"30.26"</f>
        <v>30.26</v>
      </c>
      <c r="C1063" s="4" t="s">
        <v>18258</v>
      </c>
      <c r="D1063" s="4" t="s">
        <v>18239</v>
      </c>
      <c r="E1063" s="4" t="s">
        <v>19450</v>
      </c>
      <c r="F1063" s="4" t="s">
        <v>19451</v>
      </c>
      <c r="H1063" s="4" t="s">
        <v>19421</v>
      </c>
    </row>
    <row r="1064" spans="1:8" x14ac:dyDescent="0.2">
      <c r="A1064" s="4" t="str">
        <f t="shared" si="26"/>
        <v>30</v>
      </c>
      <c r="B1064" s="4" t="str">
        <f>"30.2601"</f>
        <v>30.2601</v>
      </c>
      <c r="C1064" s="4" t="s">
        <v>18258</v>
      </c>
      <c r="D1064" s="4" t="s">
        <v>18239</v>
      </c>
      <c r="E1064" s="4" t="s">
        <v>19450</v>
      </c>
      <c r="F1064" s="4" t="s">
        <v>19452</v>
      </c>
      <c r="H1064" s="4" t="s">
        <v>19453</v>
      </c>
    </row>
    <row r="1065" spans="1:8" x14ac:dyDescent="0.2">
      <c r="A1065" s="4" t="str">
        <f t="shared" si="26"/>
        <v>30</v>
      </c>
      <c r="B1065" s="4" t="str">
        <f>"30.27"</f>
        <v>30.27</v>
      </c>
      <c r="C1065" s="4" t="s">
        <v>18258</v>
      </c>
      <c r="D1065" s="4" t="s">
        <v>18239</v>
      </c>
      <c r="E1065" s="4" t="s">
        <v>19454</v>
      </c>
      <c r="F1065" s="4" t="s">
        <v>19455</v>
      </c>
      <c r="H1065" s="4" t="s">
        <v>19453</v>
      </c>
    </row>
    <row r="1066" spans="1:8" x14ac:dyDescent="0.2">
      <c r="A1066" s="4" t="str">
        <f t="shared" si="26"/>
        <v>30</v>
      </c>
      <c r="B1066" s="4" t="str">
        <f>"30.2701"</f>
        <v>30.2701</v>
      </c>
      <c r="C1066" s="4" t="s">
        <v>18258</v>
      </c>
      <c r="D1066" s="4" t="s">
        <v>18239</v>
      </c>
      <c r="E1066" s="4" t="s">
        <v>19454</v>
      </c>
      <c r="F1066" s="4" t="s">
        <v>19456</v>
      </c>
      <c r="H1066" s="4" t="s">
        <v>19457</v>
      </c>
    </row>
    <row r="1067" spans="1:8" x14ac:dyDescent="0.2">
      <c r="A1067" s="4" t="str">
        <f t="shared" si="26"/>
        <v>30</v>
      </c>
      <c r="B1067" s="4" t="str">
        <f>"30.28"</f>
        <v>30.28</v>
      </c>
      <c r="C1067" s="4" t="s">
        <v>18258</v>
      </c>
      <c r="D1067" s="4" t="s">
        <v>18239</v>
      </c>
      <c r="E1067" s="4" t="s">
        <v>19458</v>
      </c>
      <c r="F1067" s="4" t="s">
        <v>19459</v>
      </c>
      <c r="H1067" s="4" t="s">
        <v>19457</v>
      </c>
    </row>
    <row r="1068" spans="1:8" x14ac:dyDescent="0.2">
      <c r="A1068" s="4" t="str">
        <f t="shared" si="26"/>
        <v>30</v>
      </c>
      <c r="B1068" s="4" t="str">
        <f>"30.2801"</f>
        <v>30.2801</v>
      </c>
      <c r="C1068" s="4" t="s">
        <v>18258</v>
      </c>
      <c r="D1068" s="4" t="s">
        <v>18239</v>
      </c>
      <c r="E1068" s="4" t="s">
        <v>19458</v>
      </c>
      <c r="F1068" s="4" t="s">
        <v>19460</v>
      </c>
      <c r="G1068" s="4" t="s">
        <v>19461</v>
      </c>
      <c r="H1068" s="4" t="s">
        <v>19462</v>
      </c>
    </row>
    <row r="1069" spans="1:8" x14ac:dyDescent="0.2">
      <c r="A1069" s="4" t="str">
        <f t="shared" si="26"/>
        <v>30</v>
      </c>
      <c r="B1069" s="4" t="str">
        <f>"30.29"</f>
        <v>30.29</v>
      </c>
      <c r="C1069" s="4" t="s">
        <v>18258</v>
      </c>
      <c r="D1069" s="4" t="s">
        <v>18239</v>
      </c>
      <c r="E1069" s="4" t="s">
        <v>19463</v>
      </c>
      <c r="F1069" s="4" t="s">
        <v>19464</v>
      </c>
      <c r="H1069" s="4" t="s">
        <v>19462</v>
      </c>
    </row>
    <row r="1070" spans="1:8" x14ac:dyDescent="0.2">
      <c r="A1070" s="4" t="str">
        <f t="shared" si="26"/>
        <v>30</v>
      </c>
      <c r="B1070" s="4" t="str">
        <f>"30.2901"</f>
        <v>30.2901</v>
      </c>
      <c r="C1070" s="4" t="s">
        <v>18258</v>
      </c>
      <c r="D1070" s="4" t="s">
        <v>18239</v>
      </c>
      <c r="E1070" s="4" t="s">
        <v>19463</v>
      </c>
      <c r="F1070" s="4" t="s">
        <v>19465</v>
      </c>
      <c r="H1070" s="4" t="s">
        <v>19462</v>
      </c>
    </row>
    <row r="1071" spans="1:8" x14ac:dyDescent="0.2">
      <c r="A1071" s="4" t="str">
        <f t="shared" si="26"/>
        <v>30</v>
      </c>
      <c r="B1071" s="4" t="str">
        <f>"30.30"</f>
        <v>30.30</v>
      </c>
      <c r="C1071" s="4" t="s">
        <v>18258</v>
      </c>
      <c r="D1071" s="4" t="s">
        <v>18239</v>
      </c>
      <c r="E1071" s="4" t="s">
        <v>19466</v>
      </c>
      <c r="F1071" s="4" t="s">
        <v>19467</v>
      </c>
      <c r="H1071" s="4" t="s">
        <v>19462</v>
      </c>
    </row>
    <row r="1072" spans="1:8" x14ac:dyDescent="0.2">
      <c r="A1072" s="4" t="str">
        <f t="shared" si="26"/>
        <v>30</v>
      </c>
      <c r="B1072" s="4" t="str">
        <f>"30.3001"</f>
        <v>30.3001</v>
      </c>
      <c r="C1072" s="4" t="s">
        <v>18258</v>
      </c>
      <c r="D1072" s="4" t="s">
        <v>18239</v>
      </c>
      <c r="E1072" s="4" t="s">
        <v>19466</v>
      </c>
      <c r="F1072" s="4" t="s">
        <v>19468</v>
      </c>
      <c r="G1072" s="4" t="s">
        <v>19469</v>
      </c>
      <c r="H1072" s="4" t="s">
        <v>19470</v>
      </c>
    </row>
    <row r="1073" spans="1:8" x14ac:dyDescent="0.2">
      <c r="A1073" s="4" t="str">
        <f t="shared" si="26"/>
        <v>30</v>
      </c>
      <c r="B1073" s="4" t="str">
        <f>"30.31"</f>
        <v>30.31</v>
      </c>
      <c r="C1073" s="4" t="s">
        <v>18258</v>
      </c>
      <c r="D1073" s="4" t="s">
        <v>18239</v>
      </c>
      <c r="E1073" s="4" t="s">
        <v>19471</v>
      </c>
      <c r="F1073" s="4" t="s">
        <v>19472</v>
      </c>
      <c r="H1073" s="4" t="s">
        <v>19470</v>
      </c>
    </row>
    <row r="1074" spans="1:8" x14ac:dyDescent="0.2">
      <c r="A1074" s="4" t="str">
        <f t="shared" si="26"/>
        <v>30</v>
      </c>
      <c r="B1074" s="4" t="str">
        <f>"30.3101"</f>
        <v>30.3101</v>
      </c>
      <c r="C1074" s="4" t="s">
        <v>18258</v>
      </c>
      <c r="D1074" s="4" t="s">
        <v>18239</v>
      </c>
      <c r="E1074" s="4" t="s">
        <v>19471</v>
      </c>
      <c r="F1074" s="4" t="s">
        <v>19473</v>
      </c>
      <c r="H1074" s="4" t="s">
        <v>19470</v>
      </c>
    </row>
    <row r="1075" spans="1:8" x14ac:dyDescent="0.2">
      <c r="A1075" s="4" t="str">
        <f t="shared" si="26"/>
        <v>30</v>
      </c>
      <c r="B1075" s="4" t="str">
        <f>"30.32"</f>
        <v>30.32</v>
      </c>
      <c r="C1075" s="4" t="s">
        <v>18258</v>
      </c>
      <c r="D1075" s="4" t="s">
        <v>18239</v>
      </c>
      <c r="E1075" s="4" t="s">
        <v>19474</v>
      </c>
      <c r="F1075" s="4" t="s">
        <v>19475</v>
      </c>
      <c r="H1075" s="4" t="s">
        <v>19470</v>
      </c>
    </row>
    <row r="1076" spans="1:8" x14ac:dyDescent="0.2">
      <c r="A1076" s="4" t="str">
        <f t="shared" si="26"/>
        <v>30</v>
      </c>
      <c r="B1076" s="4" t="str">
        <f>"30.3201"</f>
        <v>30.3201</v>
      </c>
      <c r="C1076" s="4" t="s">
        <v>18258</v>
      </c>
      <c r="D1076" s="4" t="s">
        <v>18239</v>
      </c>
      <c r="E1076" s="4" t="s">
        <v>19474</v>
      </c>
      <c r="F1076" s="4" t="s">
        <v>19476</v>
      </c>
      <c r="G1076" s="4" t="s">
        <v>19477</v>
      </c>
      <c r="H1076" s="4" t="s">
        <v>19470</v>
      </c>
    </row>
    <row r="1077" spans="1:8" x14ac:dyDescent="0.2">
      <c r="A1077" s="4" t="str">
        <f t="shared" si="26"/>
        <v>30</v>
      </c>
      <c r="B1077" s="4" t="str">
        <f>"30.33"</f>
        <v>30.33</v>
      </c>
      <c r="C1077" s="4" t="s">
        <v>18258</v>
      </c>
      <c r="D1077" s="4" t="s">
        <v>18239</v>
      </c>
      <c r="E1077" s="4" t="s">
        <v>19478</v>
      </c>
      <c r="F1077" s="4" t="s">
        <v>19479</v>
      </c>
      <c r="H1077" s="4" t="s">
        <v>19470</v>
      </c>
    </row>
    <row r="1078" spans="1:8" x14ac:dyDescent="0.2">
      <c r="A1078" s="4" t="str">
        <f t="shared" si="26"/>
        <v>30</v>
      </c>
      <c r="B1078" s="4" t="str">
        <f>"30.3301"</f>
        <v>30.3301</v>
      </c>
      <c r="C1078" s="4" t="s">
        <v>18258</v>
      </c>
      <c r="D1078" s="4" t="s">
        <v>18239</v>
      </c>
      <c r="E1078" s="4" t="s">
        <v>19478</v>
      </c>
      <c r="F1078" s="4" t="s">
        <v>19480</v>
      </c>
      <c r="G1078" s="4" t="s">
        <v>19481</v>
      </c>
      <c r="H1078" s="4" t="s">
        <v>19482</v>
      </c>
    </row>
    <row r="1079" spans="1:8" x14ac:dyDescent="0.2">
      <c r="A1079" s="4" t="str">
        <f t="shared" si="26"/>
        <v>30</v>
      </c>
      <c r="B1079" s="4" t="str">
        <f>"30.99"</f>
        <v>30.99</v>
      </c>
      <c r="C1079" s="4" t="s">
        <v>18238</v>
      </c>
      <c r="D1079" s="4" t="s">
        <v>18239</v>
      </c>
      <c r="E1079" s="4" t="s">
        <v>9287</v>
      </c>
      <c r="F1079" s="4" t="s">
        <v>9288</v>
      </c>
      <c r="H1079" s="4" t="s">
        <v>19482</v>
      </c>
    </row>
    <row r="1080" spans="1:8" x14ac:dyDescent="0.2">
      <c r="A1080" s="4" t="str">
        <f t="shared" si="26"/>
        <v>30</v>
      </c>
      <c r="B1080" s="4" t="str">
        <f>"30.9999"</f>
        <v>30.9999</v>
      </c>
      <c r="C1080" s="4" t="s">
        <v>18238</v>
      </c>
      <c r="D1080" s="4" t="s">
        <v>18239</v>
      </c>
      <c r="E1080" s="4" t="s">
        <v>9289</v>
      </c>
      <c r="F1080" s="4" t="s">
        <v>9290</v>
      </c>
      <c r="H1080" s="4" t="s">
        <v>19482</v>
      </c>
    </row>
    <row r="1081" spans="1:8" x14ac:dyDescent="0.2">
      <c r="A1081" s="4" t="str">
        <f>"31"</f>
        <v>31</v>
      </c>
      <c r="B1081" s="4" t="str">
        <f>"31"</f>
        <v>31</v>
      </c>
      <c r="C1081" s="4" t="s">
        <v>18238</v>
      </c>
      <c r="D1081" s="4" t="s">
        <v>18239</v>
      </c>
      <c r="E1081" s="4" t="s">
        <v>11276</v>
      </c>
      <c r="F1081" s="4" t="s">
        <v>9291</v>
      </c>
      <c r="H1081" s="4" t="s">
        <v>19482</v>
      </c>
    </row>
    <row r="1082" spans="1:8" x14ac:dyDescent="0.2">
      <c r="A1082" s="4" t="str">
        <f t="shared" ref="A1082:A1098" si="27">"31"</f>
        <v>31</v>
      </c>
      <c r="B1082" s="4" t="str">
        <f>"31.01"</f>
        <v>31.01</v>
      </c>
      <c r="C1082" s="4" t="s">
        <v>18238</v>
      </c>
      <c r="D1082" s="4" t="s">
        <v>18239</v>
      </c>
      <c r="E1082" s="4" t="s">
        <v>9293</v>
      </c>
      <c r="F1082" s="4" t="s">
        <v>9294</v>
      </c>
      <c r="H1082" s="4" t="s">
        <v>19482</v>
      </c>
    </row>
    <row r="1083" spans="1:8" x14ac:dyDescent="0.2">
      <c r="A1083" s="4" t="str">
        <f t="shared" si="27"/>
        <v>31</v>
      </c>
      <c r="B1083" s="4" t="str">
        <f>"31.0101"</f>
        <v>31.0101</v>
      </c>
      <c r="C1083" s="4" t="s">
        <v>18238</v>
      </c>
      <c r="D1083" s="4" t="s">
        <v>18239</v>
      </c>
      <c r="E1083" s="4" t="s">
        <v>9293</v>
      </c>
      <c r="F1083" s="4" t="s">
        <v>9295</v>
      </c>
      <c r="H1083" s="4" t="s">
        <v>19482</v>
      </c>
    </row>
    <row r="1084" spans="1:8" x14ac:dyDescent="0.2">
      <c r="A1084" s="4" t="str">
        <f t="shared" si="27"/>
        <v>31</v>
      </c>
      <c r="B1084" s="4" t="str">
        <f>"31.03"</f>
        <v>31.03</v>
      </c>
      <c r="C1084" s="4" t="s">
        <v>18238</v>
      </c>
      <c r="D1084" s="4" t="s">
        <v>18239</v>
      </c>
      <c r="E1084" s="4" t="s">
        <v>12644</v>
      </c>
      <c r="F1084" s="4" t="s">
        <v>19483</v>
      </c>
      <c r="H1084" s="4" t="s">
        <v>19482</v>
      </c>
    </row>
    <row r="1085" spans="1:8" x14ac:dyDescent="0.2">
      <c r="A1085" s="4" t="str">
        <f t="shared" si="27"/>
        <v>31</v>
      </c>
      <c r="B1085" s="4" t="str">
        <f>"31.0301"</f>
        <v>31.0301</v>
      </c>
      <c r="C1085" s="4" t="s">
        <v>18238</v>
      </c>
      <c r="D1085" s="4" t="s">
        <v>18239</v>
      </c>
      <c r="E1085" s="4" t="s">
        <v>19484</v>
      </c>
      <c r="F1085" s="4" t="s">
        <v>9298</v>
      </c>
      <c r="G1085" s="4" t="s">
        <v>19485</v>
      </c>
      <c r="H1085" s="4" t="s">
        <v>19482</v>
      </c>
    </row>
    <row r="1086" spans="1:8" x14ac:dyDescent="0.2">
      <c r="A1086" s="4" t="str">
        <f t="shared" si="27"/>
        <v>31</v>
      </c>
      <c r="B1086" s="4" t="str">
        <f>"31.0302"</f>
        <v>31.0302</v>
      </c>
      <c r="C1086" s="4" t="s">
        <v>18258</v>
      </c>
      <c r="D1086" s="4" t="s">
        <v>18239</v>
      </c>
      <c r="E1086" s="4" t="s">
        <v>19486</v>
      </c>
      <c r="F1086" s="4" t="s">
        <v>19487</v>
      </c>
      <c r="H1086" s="4" t="s">
        <v>19482</v>
      </c>
    </row>
    <row r="1087" spans="1:8" x14ac:dyDescent="0.2">
      <c r="A1087" s="4" t="str">
        <f t="shared" si="27"/>
        <v>31</v>
      </c>
      <c r="B1087" s="4" t="str">
        <f>"31.0399"</f>
        <v>31.0399</v>
      </c>
      <c r="C1087" s="4" t="s">
        <v>18258</v>
      </c>
      <c r="D1087" s="4" t="s">
        <v>18239</v>
      </c>
      <c r="E1087" s="4" t="s">
        <v>19488</v>
      </c>
      <c r="F1087" s="4" t="s">
        <v>19489</v>
      </c>
      <c r="H1087" s="4" t="s">
        <v>19482</v>
      </c>
    </row>
    <row r="1088" spans="1:8" x14ac:dyDescent="0.2">
      <c r="A1088" s="4" t="str">
        <f t="shared" si="27"/>
        <v>31</v>
      </c>
      <c r="B1088" s="4" t="str">
        <f>"31.05"</f>
        <v>31.05</v>
      </c>
      <c r="C1088" s="4" t="s">
        <v>18238</v>
      </c>
      <c r="D1088" s="4" t="s">
        <v>18239</v>
      </c>
      <c r="E1088" s="4" t="s">
        <v>9300</v>
      </c>
      <c r="F1088" s="4" t="s">
        <v>19490</v>
      </c>
      <c r="H1088" s="4" t="s">
        <v>19482</v>
      </c>
    </row>
    <row r="1089" spans="1:8" x14ac:dyDescent="0.2">
      <c r="A1089" s="4" t="str">
        <f t="shared" si="27"/>
        <v>31</v>
      </c>
      <c r="B1089" s="4" t="str">
        <f>"31.0501"</f>
        <v>31.0501</v>
      </c>
      <c r="C1089" s="4" t="s">
        <v>18238</v>
      </c>
      <c r="D1089" s="4" t="s">
        <v>18239</v>
      </c>
      <c r="E1089" s="4" t="s">
        <v>19491</v>
      </c>
      <c r="F1089" s="4" t="s">
        <v>9302</v>
      </c>
      <c r="G1089" s="4" t="s">
        <v>19492</v>
      </c>
      <c r="H1089" s="4" t="s">
        <v>19493</v>
      </c>
    </row>
    <row r="1090" spans="1:8" x14ac:dyDescent="0.2">
      <c r="A1090" s="4" t="str">
        <f t="shared" si="27"/>
        <v>31</v>
      </c>
      <c r="B1090" s="4" t="str">
        <f>"31.0504"</f>
        <v>31.0504</v>
      </c>
      <c r="C1090" s="4" t="s">
        <v>18238</v>
      </c>
      <c r="D1090" s="4" t="s">
        <v>18239</v>
      </c>
      <c r="E1090" s="4" t="s">
        <v>9307</v>
      </c>
      <c r="F1090" s="4" t="s">
        <v>9308</v>
      </c>
      <c r="G1090" s="4" t="s">
        <v>19494</v>
      </c>
      <c r="H1090" s="4" t="s">
        <v>19493</v>
      </c>
    </row>
    <row r="1091" spans="1:8" x14ac:dyDescent="0.2">
      <c r="A1091" s="4" t="str">
        <f t="shared" si="27"/>
        <v>31</v>
      </c>
      <c r="B1091" s="4" t="str">
        <f>"31.0505"</f>
        <v>31.0505</v>
      </c>
      <c r="C1091" s="4" t="s">
        <v>18238</v>
      </c>
      <c r="D1091" s="4" t="s">
        <v>18239</v>
      </c>
      <c r="E1091" s="4" t="s">
        <v>9510</v>
      </c>
      <c r="F1091" s="4" t="s">
        <v>19495</v>
      </c>
      <c r="G1091" s="4" t="s">
        <v>19496</v>
      </c>
      <c r="H1091" s="4" t="s">
        <v>19493</v>
      </c>
    </row>
    <row r="1092" spans="1:8" x14ac:dyDescent="0.2">
      <c r="A1092" s="4" t="str">
        <f t="shared" si="27"/>
        <v>31</v>
      </c>
      <c r="B1092" s="4" t="str">
        <f>"31.0507"</f>
        <v>31.0507</v>
      </c>
      <c r="C1092" s="4" t="s">
        <v>18258</v>
      </c>
      <c r="D1092" s="4" t="s">
        <v>18239</v>
      </c>
      <c r="E1092" s="4" t="s">
        <v>19497</v>
      </c>
      <c r="F1092" s="4" t="s">
        <v>19498</v>
      </c>
      <c r="G1092" s="4" t="s">
        <v>19499</v>
      </c>
      <c r="H1092" s="4" t="s">
        <v>19500</v>
      </c>
    </row>
    <row r="1093" spans="1:8" x14ac:dyDescent="0.2">
      <c r="A1093" s="4" t="str">
        <f t="shared" si="27"/>
        <v>31</v>
      </c>
      <c r="B1093" s="4" t="str">
        <f>"31.0508"</f>
        <v>31.0508</v>
      </c>
      <c r="C1093" s="4" t="s">
        <v>18258</v>
      </c>
      <c r="D1093" s="4" t="s">
        <v>18239</v>
      </c>
      <c r="E1093" s="4" t="s">
        <v>19501</v>
      </c>
      <c r="F1093" s="4" t="s">
        <v>19502</v>
      </c>
      <c r="G1093" s="4" t="s">
        <v>19503</v>
      </c>
      <c r="H1093" s="4" t="s">
        <v>19504</v>
      </c>
    </row>
    <row r="1094" spans="1:8" x14ac:dyDescent="0.2">
      <c r="A1094" s="4" t="str">
        <f t="shared" si="27"/>
        <v>31</v>
      </c>
      <c r="B1094" s="4" t="str">
        <f>"31.0599"</f>
        <v>31.0599</v>
      </c>
      <c r="C1094" s="4" t="s">
        <v>18238</v>
      </c>
      <c r="D1094" s="4" t="s">
        <v>18239</v>
      </c>
      <c r="E1094" s="4" t="s">
        <v>9312</v>
      </c>
      <c r="F1094" s="4" t="s">
        <v>9313</v>
      </c>
      <c r="H1094" s="4" t="s">
        <v>19504</v>
      </c>
    </row>
    <row r="1095" spans="1:8" x14ac:dyDescent="0.2">
      <c r="A1095" s="4" t="str">
        <f t="shared" si="27"/>
        <v>31</v>
      </c>
      <c r="B1095" s="4" t="str">
        <f>"31.06"</f>
        <v>31.06</v>
      </c>
      <c r="C1095" s="4" t="s">
        <v>18258</v>
      </c>
      <c r="D1095" s="4" t="s">
        <v>18239</v>
      </c>
      <c r="E1095" s="4" t="s">
        <v>19505</v>
      </c>
      <c r="F1095" s="4" t="s">
        <v>19506</v>
      </c>
      <c r="H1095" s="4" t="s">
        <v>19504</v>
      </c>
    </row>
    <row r="1096" spans="1:8" x14ac:dyDescent="0.2">
      <c r="A1096" s="4" t="str">
        <f t="shared" si="27"/>
        <v>31</v>
      </c>
      <c r="B1096" s="4" t="str">
        <f>"31.0601"</f>
        <v>31.0601</v>
      </c>
      <c r="C1096" s="4" t="s">
        <v>18258</v>
      </c>
      <c r="D1096" s="4" t="s">
        <v>18239</v>
      </c>
      <c r="E1096" s="4" t="s">
        <v>19505</v>
      </c>
      <c r="F1096" s="4" t="s">
        <v>19507</v>
      </c>
      <c r="G1096" s="4" t="s">
        <v>19508</v>
      </c>
      <c r="H1096" s="4" t="s">
        <v>19504</v>
      </c>
    </row>
    <row r="1097" spans="1:8" x14ac:dyDescent="0.2">
      <c r="A1097" s="4" t="str">
        <f t="shared" si="27"/>
        <v>31</v>
      </c>
      <c r="B1097" s="4" t="str">
        <f>"31.99"</f>
        <v>31.99</v>
      </c>
      <c r="C1097" s="4" t="s">
        <v>18238</v>
      </c>
      <c r="D1097" s="4" t="s">
        <v>18239</v>
      </c>
      <c r="E1097" s="4" t="s">
        <v>9315</v>
      </c>
      <c r="F1097" s="4" t="s">
        <v>9316</v>
      </c>
      <c r="H1097" s="4" t="s">
        <v>19504</v>
      </c>
    </row>
    <row r="1098" spans="1:8" x14ac:dyDescent="0.2">
      <c r="A1098" s="4" t="str">
        <f t="shared" si="27"/>
        <v>31</v>
      </c>
      <c r="B1098" s="4" t="str">
        <f>"31.9999"</f>
        <v>31.9999</v>
      </c>
      <c r="C1098" s="4" t="s">
        <v>18238</v>
      </c>
      <c r="D1098" s="4" t="s">
        <v>18239</v>
      </c>
      <c r="E1098" s="4" t="s">
        <v>9315</v>
      </c>
      <c r="F1098" s="4" t="s">
        <v>9317</v>
      </c>
      <c r="H1098" s="4" t="s">
        <v>19504</v>
      </c>
    </row>
    <row r="1099" spans="1:8" x14ac:dyDescent="0.2">
      <c r="A1099" s="4" t="str">
        <f>"32"</f>
        <v>32</v>
      </c>
      <c r="B1099" s="4" t="str">
        <f>"32"</f>
        <v>32</v>
      </c>
      <c r="C1099" s="4" t="s">
        <v>18238</v>
      </c>
      <c r="D1099" s="4" t="s">
        <v>18307</v>
      </c>
      <c r="E1099" s="4" t="s">
        <v>19509</v>
      </c>
      <c r="F1099" s="4" t="s">
        <v>19510</v>
      </c>
      <c r="H1099" s="4" t="s">
        <v>19504</v>
      </c>
    </row>
    <row r="1100" spans="1:8" x14ac:dyDescent="0.2">
      <c r="A1100" s="4" t="str">
        <f t="shared" ref="A1100:A1109" si="28">"32"</f>
        <v>32</v>
      </c>
      <c r="B1100" s="4" t="str">
        <f>"32.01"</f>
        <v>32.01</v>
      </c>
      <c r="C1100" s="4" t="s">
        <v>18238</v>
      </c>
      <c r="D1100" s="4" t="s">
        <v>18307</v>
      </c>
      <c r="E1100" s="4" t="s">
        <v>19511</v>
      </c>
      <c r="F1100" s="4" t="s">
        <v>19512</v>
      </c>
      <c r="H1100" s="4" t="s">
        <v>19504</v>
      </c>
    </row>
    <row r="1101" spans="1:8" x14ac:dyDescent="0.2">
      <c r="A1101" s="4" t="str">
        <f t="shared" si="28"/>
        <v>32</v>
      </c>
      <c r="B1101" s="4" t="str">
        <f>"32.0101"</f>
        <v>32.0101</v>
      </c>
      <c r="C1101" s="4" t="s">
        <v>18238</v>
      </c>
      <c r="D1101" s="4" t="s">
        <v>18307</v>
      </c>
      <c r="E1101" s="4" t="s">
        <v>19513</v>
      </c>
      <c r="F1101" s="4" t="s">
        <v>19514</v>
      </c>
      <c r="H1101" s="4" t="s">
        <v>19515</v>
      </c>
    </row>
    <row r="1102" spans="1:8" x14ac:dyDescent="0.2">
      <c r="A1102" s="4" t="str">
        <f t="shared" si="28"/>
        <v>32</v>
      </c>
      <c r="B1102" s="4" t="str">
        <f>"32.0104"</f>
        <v>32.0104</v>
      </c>
      <c r="C1102" s="4" t="s">
        <v>18238</v>
      </c>
      <c r="D1102" s="4" t="s">
        <v>18307</v>
      </c>
      <c r="E1102" s="4" t="s">
        <v>19516</v>
      </c>
      <c r="F1102" s="4" t="s">
        <v>19517</v>
      </c>
      <c r="H1102" s="4" t="s">
        <v>19518</v>
      </c>
    </row>
    <row r="1103" spans="1:8" x14ac:dyDescent="0.2">
      <c r="A1103" s="4" t="str">
        <f t="shared" si="28"/>
        <v>32</v>
      </c>
      <c r="B1103" s="4" t="str">
        <f>"32.0105"</f>
        <v>32.0105</v>
      </c>
      <c r="C1103" s="4" t="s">
        <v>18238</v>
      </c>
      <c r="D1103" s="4" t="s">
        <v>18239</v>
      </c>
      <c r="E1103" s="4" t="s">
        <v>7187</v>
      </c>
      <c r="F1103" s="4" t="s">
        <v>19519</v>
      </c>
      <c r="H1103" s="4" t="s">
        <v>19518</v>
      </c>
    </row>
    <row r="1104" spans="1:8" x14ac:dyDescent="0.2">
      <c r="A1104" s="4" t="str">
        <f t="shared" si="28"/>
        <v>32</v>
      </c>
      <c r="B1104" s="4" t="str">
        <f>"32.0107"</f>
        <v>32.0107</v>
      </c>
      <c r="C1104" s="4" t="s">
        <v>18238</v>
      </c>
      <c r="D1104" s="4" t="s">
        <v>18239</v>
      </c>
      <c r="E1104" s="4" t="s">
        <v>7189</v>
      </c>
      <c r="F1104" s="4" t="s">
        <v>19520</v>
      </c>
      <c r="H1104" s="4" t="s">
        <v>19518</v>
      </c>
    </row>
    <row r="1105" spans="1:8" x14ac:dyDescent="0.2">
      <c r="A1105" s="4" t="str">
        <f t="shared" si="28"/>
        <v>32</v>
      </c>
      <c r="B1105" s="4" t="str">
        <f>"32.0108"</f>
        <v>32.0108</v>
      </c>
      <c r="C1105" s="4" t="s">
        <v>18238</v>
      </c>
      <c r="D1105" s="4" t="s">
        <v>18307</v>
      </c>
      <c r="E1105" s="4" t="s">
        <v>19521</v>
      </c>
      <c r="F1105" s="4" t="s">
        <v>19522</v>
      </c>
      <c r="H1105" s="4" t="s">
        <v>19523</v>
      </c>
    </row>
    <row r="1106" spans="1:8" x14ac:dyDescent="0.2">
      <c r="A1106" s="4" t="str">
        <f t="shared" si="28"/>
        <v>32</v>
      </c>
      <c r="B1106" s="4" t="str">
        <f>"32.0109"</f>
        <v>32.0109</v>
      </c>
      <c r="C1106" s="4" t="s">
        <v>18238</v>
      </c>
      <c r="D1106" s="4" t="s">
        <v>18239</v>
      </c>
      <c r="E1106" s="4" t="s">
        <v>7194</v>
      </c>
      <c r="F1106" s="4" t="s">
        <v>19524</v>
      </c>
      <c r="H1106" s="4" t="s">
        <v>19525</v>
      </c>
    </row>
    <row r="1107" spans="1:8" x14ac:dyDescent="0.2">
      <c r="A1107" s="4" t="str">
        <f t="shared" si="28"/>
        <v>32</v>
      </c>
      <c r="B1107" s="4" t="str">
        <f>"32.0110"</f>
        <v>32.0110</v>
      </c>
      <c r="C1107" s="4" t="s">
        <v>18258</v>
      </c>
      <c r="D1107" s="4" t="s">
        <v>18239</v>
      </c>
      <c r="E1107" s="4" t="s">
        <v>19526</v>
      </c>
      <c r="F1107" s="4" t="s">
        <v>19527</v>
      </c>
      <c r="H1107" s="4" t="s">
        <v>19528</v>
      </c>
    </row>
    <row r="1108" spans="1:8" x14ac:dyDescent="0.2">
      <c r="A1108" s="4" t="str">
        <f t="shared" si="28"/>
        <v>32</v>
      </c>
      <c r="B1108" s="4" t="str">
        <f>"32.0111"</f>
        <v>32.0111</v>
      </c>
      <c r="C1108" s="4" t="s">
        <v>18258</v>
      </c>
      <c r="D1108" s="4" t="s">
        <v>18239</v>
      </c>
      <c r="E1108" s="4" t="s">
        <v>19529</v>
      </c>
      <c r="F1108" s="4" t="s">
        <v>19530</v>
      </c>
      <c r="H1108" s="4" t="s">
        <v>19528</v>
      </c>
    </row>
    <row r="1109" spans="1:8" x14ac:dyDescent="0.2">
      <c r="A1109" s="4" t="str">
        <f t="shared" si="28"/>
        <v>32</v>
      </c>
      <c r="B1109" s="4" t="str">
        <f>"32.0199"</f>
        <v>32.0199</v>
      </c>
      <c r="C1109" s="4" t="s">
        <v>18238</v>
      </c>
      <c r="D1109" s="4" t="s">
        <v>18307</v>
      </c>
      <c r="E1109" s="4" t="s">
        <v>19531</v>
      </c>
      <c r="F1109" s="4" t="s">
        <v>19532</v>
      </c>
      <c r="H1109" s="4" t="s">
        <v>19528</v>
      </c>
    </row>
    <row r="1110" spans="1:8" x14ac:dyDescent="0.2">
      <c r="A1110" s="4" t="str">
        <f>"33"</f>
        <v>33</v>
      </c>
      <c r="B1110" s="4" t="str">
        <f>"33"</f>
        <v>33</v>
      </c>
      <c r="C1110" s="4" t="s">
        <v>18238</v>
      </c>
      <c r="D1110" s="4" t="s">
        <v>18239</v>
      </c>
      <c r="E1110" s="4" t="s">
        <v>7199</v>
      </c>
      <c r="F1110" s="4" t="s">
        <v>19533</v>
      </c>
      <c r="H1110" s="4" t="s">
        <v>19528</v>
      </c>
    </row>
    <row r="1111" spans="1:8" x14ac:dyDescent="0.2">
      <c r="A1111" s="4" t="str">
        <f t="shared" ref="A1111:A1117" si="29">"33"</f>
        <v>33</v>
      </c>
      <c r="B1111" s="4" t="str">
        <f>"33.01"</f>
        <v>33.01</v>
      </c>
      <c r="C1111" s="4" t="s">
        <v>18238</v>
      </c>
      <c r="D1111" s="4" t="s">
        <v>18239</v>
      </c>
      <c r="E1111" s="4" t="s">
        <v>7202</v>
      </c>
      <c r="F1111" s="4" t="s">
        <v>19534</v>
      </c>
      <c r="H1111" s="4" t="s">
        <v>19528</v>
      </c>
    </row>
    <row r="1112" spans="1:8" x14ac:dyDescent="0.2">
      <c r="A1112" s="4" t="str">
        <f t="shared" si="29"/>
        <v>33</v>
      </c>
      <c r="B1112" s="4" t="str">
        <f>"33.0101"</f>
        <v>33.0101</v>
      </c>
      <c r="C1112" s="4" t="s">
        <v>18238</v>
      </c>
      <c r="D1112" s="4" t="s">
        <v>18239</v>
      </c>
      <c r="E1112" s="4" t="s">
        <v>7204</v>
      </c>
      <c r="F1112" s="4" t="s">
        <v>19535</v>
      </c>
      <c r="H1112" s="4" t="s">
        <v>19528</v>
      </c>
    </row>
    <row r="1113" spans="1:8" x14ac:dyDescent="0.2">
      <c r="A1113" s="4" t="str">
        <f t="shared" si="29"/>
        <v>33</v>
      </c>
      <c r="B1113" s="4" t="str">
        <f>"33.0102"</f>
        <v>33.0102</v>
      </c>
      <c r="C1113" s="4" t="s">
        <v>18238</v>
      </c>
      <c r="D1113" s="4" t="s">
        <v>18239</v>
      </c>
      <c r="E1113" s="4" t="s">
        <v>7206</v>
      </c>
      <c r="F1113" s="4" t="s">
        <v>19536</v>
      </c>
      <c r="H1113" s="4" t="s">
        <v>19528</v>
      </c>
    </row>
    <row r="1114" spans="1:8" x14ac:dyDescent="0.2">
      <c r="A1114" s="4" t="str">
        <f t="shared" si="29"/>
        <v>33</v>
      </c>
      <c r="B1114" s="4" t="str">
        <f>"33.0103"</f>
        <v>33.0103</v>
      </c>
      <c r="C1114" s="4" t="s">
        <v>18238</v>
      </c>
      <c r="D1114" s="4" t="s">
        <v>18239</v>
      </c>
      <c r="E1114" s="4" t="s">
        <v>7208</v>
      </c>
      <c r="F1114" s="4" t="s">
        <v>19537</v>
      </c>
      <c r="H1114" s="4" t="s">
        <v>19528</v>
      </c>
    </row>
    <row r="1115" spans="1:8" x14ac:dyDescent="0.2">
      <c r="A1115" s="4" t="str">
        <f t="shared" si="29"/>
        <v>33</v>
      </c>
      <c r="B1115" s="4" t="str">
        <f>"33.0104"</f>
        <v>33.0104</v>
      </c>
      <c r="C1115" s="4" t="s">
        <v>18238</v>
      </c>
      <c r="D1115" s="4" t="s">
        <v>18239</v>
      </c>
      <c r="E1115" s="4" t="s">
        <v>7210</v>
      </c>
      <c r="F1115" s="4" t="s">
        <v>19538</v>
      </c>
      <c r="H1115" s="4" t="s">
        <v>19528</v>
      </c>
    </row>
    <row r="1116" spans="1:8" x14ac:dyDescent="0.2">
      <c r="A1116" s="4" t="str">
        <f t="shared" si="29"/>
        <v>33</v>
      </c>
      <c r="B1116" s="4" t="str">
        <f>"33.0105"</f>
        <v>33.0105</v>
      </c>
      <c r="C1116" s="4" t="s">
        <v>18238</v>
      </c>
      <c r="D1116" s="4" t="s">
        <v>18239</v>
      </c>
      <c r="E1116" s="4" t="s">
        <v>7213</v>
      </c>
      <c r="F1116" s="4" t="s">
        <v>19539</v>
      </c>
      <c r="H1116" s="4" t="s">
        <v>19528</v>
      </c>
    </row>
    <row r="1117" spans="1:8" x14ac:dyDescent="0.2">
      <c r="A1117" s="4" t="str">
        <f t="shared" si="29"/>
        <v>33</v>
      </c>
      <c r="B1117" s="4" t="str">
        <f>"33.0199"</f>
        <v>33.0199</v>
      </c>
      <c r="C1117" s="4" t="s">
        <v>18238</v>
      </c>
      <c r="D1117" s="4" t="s">
        <v>18239</v>
      </c>
      <c r="E1117" s="4" t="s">
        <v>7215</v>
      </c>
      <c r="F1117" s="4" t="s">
        <v>19540</v>
      </c>
      <c r="H1117" s="4" t="s">
        <v>19528</v>
      </c>
    </row>
    <row r="1118" spans="1:8" x14ac:dyDescent="0.2">
      <c r="A1118" s="4" t="str">
        <f>"34"</f>
        <v>34</v>
      </c>
      <c r="B1118" s="4" t="str">
        <f>"34"</f>
        <v>34</v>
      </c>
      <c r="C1118" s="4" t="s">
        <v>18238</v>
      </c>
      <c r="D1118" s="4" t="s">
        <v>18239</v>
      </c>
      <c r="E1118" s="4" t="s">
        <v>7218</v>
      </c>
      <c r="F1118" s="4" t="s">
        <v>19541</v>
      </c>
      <c r="H1118" s="4" t="s">
        <v>19528</v>
      </c>
    </row>
    <row r="1119" spans="1:8" x14ac:dyDescent="0.2">
      <c r="A1119" s="4" t="str">
        <f>"34"</f>
        <v>34</v>
      </c>
      <c r="B1119" s="4" t="str">
        <f>"34.01"</f>
        <v>34.01</v>
      </c>
      <c r="C1119" s="4" t="s">
        <v>18238</v>
      </c>
      <c r="D1119" s="4" t="s">
        <v>18239</v>
      </c>
      <c r="E1119" s="4" t="s">
        <v>7221</v>
      </c>
      <c r="F1119" s="4" t="s">
        <v>19542</v>
      </c>
      <c r="H1119" s="4" t="s">
        <v>19528</v>
      </c>
    </row>
    <row r="1120" spans="1:8" x14ac:dyDescent="0.2">
      <c r="A1120" s="4" t="str">
        <f>"34"</f>
        <v>34</v>
      </c>
      <c r="B1120" s="4" t="str">
        <f>"34.0102"</f>
        <v>34.0102</v>
      </c>
      <c r="C1120" s="4" t="s">
        <v>18238</v>
      </c>
      <c r="D1120" s="4" t="s">
        <v>18239</v>
      </c>
      <c r="E1120" s="4" t="s">
        <v>7223</v>
      </c>
      <c r="F1120" s="4" t="s">
        <v>19543</v>
      </c>
      <c r="H1120" s="4" t="s">
        <v>19528</v>
      </c>
    </row>
    <row r="1121" spans="1:8" x14ac:dyDescent="0.2">
      <c r="A1121" s="4" t="str">
        <f>"34"</f>
        <v>34</v>
      </c>
      <c r="B1121" s="4" t="str">
        <f>"34.0103"</f>
        <v>34.0103</v>
      </c>
      <c r="C1121" s="4" t="s">
        <v>18238</v>
      </c>
      <c r="D1121" s="4" t="s">
        <v>18239</v>
      </c>
      <c r="E1121" s="4" t="s">
        <v>7225</v>
      </c>
      <c r="F1121" s="4" t="s">
        <v>19544</v>
      </c>
      <c r="H1121" s="4" t="s">
        <v>19528</v>
      </c>
    </row>
    <row r="1122" spans="1:8" x14ac:dyDescent="0.2">
      <c r="A1122" s="4" t="str">
        <f>"34"</f>
        <v>34</v>
      </c>
      <c r="B1122" s="4" t="str">
        <f>"34.0104"</f>
        <v>34.0104</v>
      </c>
      <c r="C1122" s="4" t="s">
        <v>18238</v>
      </c>
      <c r="D1122" s="4" t="s">
        <v>18239</v>
      </c>
      <c r="E1122" s="4" t="s">
        <v>7227</v>
      </c>
      <c r="F1122" s="4" t="s">
        <v>19545</v>
      </c>
      <c r="H1122" s="4" t="s">
        <v>19528</v>
      </c>
    </row>
    <row r="1123" spans="1:8" x14ac:dyDescent="0.2">
      <c r="A1123" s="4" t="str">
        <f>"34"</f>
        <v>34</v>
      </c>
      <c r="B1123" s="4" t="str">
        <f>"34.0199"</f>
        <v>34.0199</v>
      </c>
      <c r="C1123" s="4" t="s">
        <v>18238</v>
      </c>
      <c r="D1123" s="4" t="s">
        <v>18239</v>
      </c>
      <c r="E1123" s="4" t="s">
        <v>7229</v>
      </c>
      <c r="F1123" s="4" t="s">
        <v>19546</v>
      </c>
      <c r="H1123" s="4" t="s">
        <v>19547</v>
      </c>
    </row>
    <row r="1124" spans="1:8" x14ac:dyDescent="0.2">
      <c r="A1124" s="4" t="str">
        <f>"35"</f>
        <v>35</v>
      </c>
      <c r="B1124" s="4" t="str">
        <f>"35"</f>
        <v>35</v>
      </c>
      <c r="C1124" s="4" t="s">
        <v>18238</v>
      </c>
      <c r="D1124" s="4" t="s">
        <v>18239</v>
      </c>
      <c r="E1124" s="4" t="s">
        <v>7232</v>
      </c>
      <c r="F1124" s="4" t="s">
        <v>19548</v>
      </c>
      <c r="H1124" s="4" t="s">
        <v>19547</v>
      </c>
    </row>
    <row r="1125" spans="1:8" x14ac:dyDescent="0.2">
      <c r="A1125" s="4" t="str">
        <f>"35"</f>
        <v>35</v>
      </c>
      <c r="B1125" s="4" t="str">
        <f>"35.01"</f>
        <v>35.01</v>
      </c>
      <c r="C1125" s="4" t="s">
        <v>18238</v>
      </c>
      <c r="D1125" s="4" t="s">
        <v>18239</v>
      </c>
      <c r="E1125" s="4" t="s">
        <v>7235</v>
      </c>
      <c r="F1125" s="4" t="s">
        <v>19549</v>
      </c>
      <c r="H1125" s="4" t="s">
        <v>19547</v>
      </c>
    </row>
    <row r="1126" spans="1:8" x14ac:dyDescent="0.2">
      <c r="A1126" s="4" t="str">
        <f>"35"</f>
        <v>35</v>
      </c>
      <c r="B1126" s="4" t="str">
        <f>"35.0101"</f>
        <v>35.0101</v>
      </c>
      <c r="C1126" s="4" t="s">
        <v>18238</v>
      </c>
      <c r="D1126" s="4" t="s">
        <v>18239</v>
      </c>
      <c r="E1126" s="4" t="s">
        <v>7237</v>
      </c>
      <c r="F1126" s="4" t="s">
        <v>19550</v>
      </c>
      <c r="H1126" s="4" t="s">
        <v>19547</v>
      </c>
    </row>
    <row r="1127" spans="1:8" x14ac:dyDescent="0.2">
      <c r="A1127" s="4" t="str">
        <f>"35"</f>
        <v>35</v>
      </c>
      <c r="B1127" s="4" t="str">
        <f>"35.0102"</f>
        <v>35.0102</v>
      </c>
      <c r="C1127" s="4" t="s">
        <v>18238</v>
      </c>
      <c r="D1127" s="4" t="s">
        <v>18239</v>
      </c>
      <c r="E1127" s="4" t="s">
        <v>7239</v>
      </c>
      <c r="F1127" s="4" t="s">
        <v>19551</v>
      </c>
      <c r="H1127" s="4" t="s">
        <v>19547</v>
      </c>
    </row>
    <row r="1128" spans="1:8" x14ac:dyDescent="0.2">
      <c r="A1128" s="4" t="str">
        <f>"35"</f>
        <v>35</v>
      </c>
      <c r="B1128" s="4" t="str">
        <f>"35.0103"</f>
        <v>35.0103</v>
      </c>
      <c r="C1128" s="4" t="s">
        <v>18238</v>
      </c>
      <c r="D1128" s="4" t="s">
        <v>18239</v>
      </c>
      <c r="E1128" s="4" t="s">
        <v>7241</v>
      </c>
      <c r="F1128" s="4" t="s">
        <v>19552</v>
      </c>
      <c r="H1128" s="4" t="s">
        <v>19547</v>
      </c>
    </row>
    <row r="1129" spans="1:8" x14ac:dyDescent="0.2">
      <c r="A1129" s="4" t="str">
        <f>"35"</f>
        <v>35</v>
      </c>
      <c r="B1129" s="4" t="str">
        <f>"35.0199"</f>
        <v>35.0199</v>
      </c>
      <c r="C1129" s="4" t="s">
        <v>18238</v>
      </c>
      <c r="D1129" s="4" t="s">
        <v>18239</v>
      </c>
      <c r="E1129" s="4" t="s">
        <v>7243</v>
      </c>
      <c r="F1129" s="4" t="s">
        <v>19553</v>
      </c>
      <c r="H1129" s="4" t="s">
        <v>19547</v>
      </c>
    </row>
    <row r="1130" spans="1:8" x14ac:dyDescent="0.2">
      <c r="A1130" s="4" t="str">
        <f>"36"</f>
        <v>36</v>
      </c>
      <c r="B1130" s="4" t="str">
        <f>"36"</f>
        <v>36</v>
      </c>
      <c r="C1130" s="4" t="s">
        <v>18238</v>
      </c>
      <c r="D1130" s="4" t="s">
        <v>18239</v>
      </c>
      <c r="E1130" s="4" t="s">
        <v>7246</v>
      </c>
      <c r="F1130" s="4" t="s">
        <v>19554</v>
      </c>
      <c r="H1130" s="4" t="s">
        <v>19547</v>
      </c>
    </row>
    <row r="1131" spans="1:8" x14ac:dyDescent="0.2">
      <c r="A1131" s="4" t="str">
        <f t="shared" ref="A1131:A1150" si="30">"36"</f>
        <v>36</v>
      </c>
      <c r="B1131" s="4" t="str">
        <f>"36.01"</f>
        <v>36.01</v>
      </c>
      <c r="C1131" s="4" t="s">
        <v>18238</v>
      </c>
      <c r="D1131" s="4" t="s">
        <v>18239</v>
      </c>
      <c r="E1131" s="4" t="s">
        <v>7249</v>
      </c>
      <c r="F1131" s="4" t="s">
        <v>19555</v>
      </c>
      <c r="H1131" s="4" t="s">
        <v>19547</v>
      </c>
    </row>
    <row r="1132" spans="1:8" x14ac:dyDescent="0.2">
      <c r="A1132" s="4" t="str">
        <f t="shared" si="30"/>
        <v>36</v>
      </c>
      <c r="B1132" s="4" t="str">
        <f>"36.0101"</f>
        <v>36.0101</v>
      </c>
      <c r="C1132" s="4" t="s">
        <v>18238</v>
      </c>
      <c r="D1132" s="4" t="s">
        <v>18239</v>
      </c>
      <c r="E1132" s="4" t="s">
        <v>7251</v>
      </c>
      <c r="F1132" s="4" t="s">
        <v>19556</v>
      </c>
      <c r="H1132" s="4" t="s">
        <v>19547</v>
      </c>
    </row>
    <row r="1133" spans="1:8" x14ac:dyDescent="0.2">
      <c r="A1133" s="4" t="str">
        <f t="shared" si="30"/>
        <v>36</v>
      </c>
      <c r="B1133" s="4" t="str">
        <f>"36.0102"</f>
        <v>36.0102</v>
      </c>
      <c r="C1133" s="4" t="s">
        <v>18238</v>
      </c>
      <c r="D1133" s="4" t="s">
        <v>18239</v>
      </c>
      <c r="E1133" s="4" t="s">
        <v>7253</v>
      </c>
      <c r="F1133" s="4" t="s">
        <v>19557</v>
      </c>
      <c r="H1133" s="4" t="s">
        <v>19547</v>
      </c>
    </row>
    <row r="1134" spans="1:8" x14ac:dyDescent="0.2">
      <c r="A1134" s="4" t="str">
        <f t="shared" si="30"/>
        <v>36</v>
      </c>
      <c r="B1134" s="4" t="str">
        <f>"36.0103"</f>
        <v>36.0103</v>
      </c>
      <c r="C1134" s="4" t="s">
        <v>18238</v>
      </c>
      <c r="D1134" s="4" t="s">
        <v>18239</v>
      </c>
      <c r="E1134" s="4" t="s">
        <v>7255</v>
      </c>
      <c r="F1134" s="4" t="s">
        <v>19558</v>
      </c>
      <c r="H1134" s="4" t="s">
        <v>19547</v>
      </c>
    </row>
    <row r="1135" spans="1:8" x14ac:dyDescent="0.2">
      <c r="A1135" s="4" t="str">
        <f t="shared" si="30"/>
        <v>36</v>
      </c>
      <c r="B1135" s="4" t="str">
        <f>"36.0105"</f>
        <v>36.0105</v>
      </c>
      <c r="C1135" s="4" t="s">
        <v>18238</v>
      </c>
      <c r="D1135" s="4" t="s">
        <v>18239</v>
      </c>
      <c r="E1135" s="4" t="s">
        <v>7257</v>
      </c>
      <c r="F1135" s="4" t="s">
        <v>19559</v>
      </c>
      <c r="H1135" s="4" t="s">
        <v>19547</v>
      </c>
    </row>
    <row r="1136" spans="1:8" x14ac:dyDescent="0.2">
      <c r="A1136" s="4" t="str">
        <f t="shared" si="30"/>
        <v>36</v>
      </c>
      <c r="B1136" s="4" t="str">
        <f>"36.0106"</f>
        <v>36.0106</v>
      </c>
      <c r="C1136" s="4" t="s">
        <v>18238</v>
      </c>
      <c r="D1136" s="4" t="s">
        <v>18239</v>
      </c>
      <c r="E1136" s="4" t="s">
        <v>7259</v>
      </c>
      <c r="F1136" s="4" t="s">
        <v>19560</v>
      </c>
      <c r="H1136" s="4" t="s">
        <v>19547</v>
      </c>
    </row>
    <row r="1137" spans="1:8" x14ac:dyDescent="0.2">
      <c r="A1137" s="4" t="str">
        <f t="shared" si="30"/>
        <v>36</v>
      </c>
      <c r="B1137" s="4" t="str">
        <f>"36.0107"</f>
        <v>36.0107</v>
      </c>
      <c r="C1137" s="4" t="s">
        <v>18238</v>
      </c>
      <c r="D1137" s="4" t="s">
        <v>18239</v>
      </c>
      <c r="E1137" s="4" t="s">
        <v>7261</v>
      </c>
      <c r="F1137" s="4" t="s">
        <v>19561</v>
      </c>
      <c r="H1137" s="4" t="s">
        <v>19547</v>
      </c>
    </row>
    <row r="1138" spans="1:8" x14ac:dyDescent="0.2">
      <c r="A1138" s="4" t="str">
        <f t="shared" si="30"/>
        <v>36</v>
      </c>
      <c r="B1138" s="4" t="str">
        <f>"36.0108"</f>
        <v>36.0108</v>
      </c>
      <c r="C1138" s="4" t="s">
        <v>18238</v>
      </c>
      <c r="D1138" s="4" t="s">
        <v>18239</v>
      </c>
      <c r="E1138" s="4" t="s">
        <v>7263</v>
      </c>
      <c r="F1138" s="4" t="s">
        <v>19562</v>
      </c>
      <c r="H1138" s="4" t="s">
        <v>19547</v>
      </c>
    </row>
    <row r="1139" spans="1:8" x14ac:dyDescent="0.2">
      <c r="A1139" s="4" t="str">
        <f t="shared" si="30"/>
        <v>36</v>
      </c>
      <c r="B1139" s="4" t="str">
        <f>"36.0109"</f>
        <v>36.0109</v>
      </c>
      <c r="C1139" s="4" t="s">
        <v>18238</v>
      </c>
      <c r="D1139" s="4" t="s">
        <v>18239</v>
      </c>
      <c r="E1139" s="4" t="s">
        <v>7265</v>
      </c>
      <c r="F1139" s="4" t="s">
        <v>19563</v>
      </c>
      <c r="H1139" s="4" t="s">
        <v>19547</v>
      </c>
    </row>
    <row r="1140" spans="1:8" x14ac:dyDescent="0.2">
      <c r="A1140" s="4" t="str">
        <f t="shared" si="30"/>
        <v>36</v>
      </c>
      <c r="B1140" s="4" t="str">
        <f>"36.0110"</f>
        <v>36.0110</v>
      </c>
      <c r="C1140" s="4" t="s">
        <v>18238</v>
      </c>
      <c r="D1140" s="4" t="s">
        <v>18239</v>
      </c>
      <c r="E1140" s="4" t="s">
        <v>7267</v>
      </c>
      <c r="F1140" s="4" t="s">
        <v>19564</v>
      </c>
      <c r="H1140" s="4" t="s">
        <v>19547</v>
      </c>
    </row>
    <row r="1141" spans="1:8" x14ac:dyDescent="0.2">
      <c r="A1141" s="4" t="str">
        <f t="shared" si="30"/>
        <v>36</v>
      </c>
      <c r="B1141" s="4" t="str">
        <f>"36.0111"</f>
        <v>36.0111</v>
      </c>
      <c r="C1141" s="4" t="s">
        <v>18238</v>
      </c>
      <c r="D1141" s="4" t="s">
        <v>18239</v>
      </c>
      <c r="E1141" s="4" t="s">
        <v>7269</v>
      </c>
      <c r="F1141" s="4" t="s">
        <v>19565</v>
      </c>
      <c r="H1141" s="4" t="s">
        <v>19547</v>
      </c>
    </row>
    <row r="1142" spans="1:8" x14ac:dyDescent="0.2">
      <c r="A1142" s="4" t="str">
        <f t="shared" si="30"/>
        <v>36</v>
      </c>
      <c r="B1142" s="4" t="str">
        <f>"36.0112"</f>
        <v>36.0112</v>
      </c>
      <c r="C1142" s="4" t="s">
        <v>18238</v>
      </c>
      <c r="D1142" s="4" t="s">
        <v>18239</v>
      </c>
      <c r="E1142" s="4" t="s">
        <v>7271</v>
      </c>
      <c r="F1142" s="4" t="s">
        <v>19566</v>
      </c>
      <c r="H1142" s="4" t="s">
        <v>19547</v>
      </c>
    </row>
    <row r="1143" spans="1:8" x14ac:dyDescent="0.2">
      <c r="A1143" s="4" t="str">
        <f t="shared" si="30"/>
        <v>36</v>
      </c>
      <c r="B1143" s="4" t="str">
        <f>"36.0113"</f>
        <v>36.0113</v>
      </c>
      <c r="C1143" s="4" t="s">
        <v>18238</v>
      </c>
      <c r="D1143" s="4" t="s">
        <v>18307</v>
      </c>
      <c r="E1143" s="4" t="s">
        <v>7273</v>
      </c>
      <c r="F1143" s="4" t="s">
        <v>19567</v>
      </c>
      <c r="H1143" s="4" t="s">
        <v>19547</v>
      </c>
    </row>
    <row r="1144" spans="1:8" x14ac:dyDescent="0.2">
      <c r="A1144" s="4" t="str">
        <f t="shared" si="30"/>
        <v>36</v>
      </c>
      <c r="B1144" s="4" t="str">
        <f>"36.0114"</f>
        <v>36.0114</v>
      </c>
      <c r="C1144" s="4" t="s">
        <v>18238</v>
      </c>
      <c r="D1144" s="4" t="s">
        <v>18239</v>
      </c>
      <c r="E1144" s="4" t="s">
        <v>7275</v>
      </c>
      <c r="F1144" s="4" t="s">
        <v>19568</v>
      </c>
      <c r="H1144" s="4" t="s">
        <v>19547</v>
      </c>
    </row>
    <row r="1145" spans="1:8" x14ac:dyDescent="0.2">
      <c r="A1145" s="4" t="str">
        <f t="shared" si="30"/>
        <v>36</v>
      </c>
      <c r="B1145" s="4" t="str">
        <f>"36.0115"</f>
        <v>36.0115</v>
      </c>
      <c r="C1145" s="4" t="s">
        <v>18238</v>
      </c>
      <c r="D1145" s="4" t="s">
        <v>18239</v>
      </c>
      <c r="E1145" s="4" t="s">
        <v>10671</v>
      </c>
      <c r="F1145" s="4" t="s">
        <v>19569</v>
      </c>
      <c r="H1145" s="4" t="s">
        <v>19547</v>
      </c>
    </row>
    <row r="1146" spans="1:8" x14ac:dyDescent="0.2">
      <c r="A1146" s="4" t="str">
        <f t="shared" si="30"/>
        <v>36</v>
      </c>
      <c r="B1146" s="4" t="str">
        <f>"36.0116"</f>
        <v>36.0116</v>
      </c>
      <c r="C1146" s="4" t="s">
        <v>18238</v>
      </c>
      <c r="D1146" s="4" t="s">
        <v>18239</v>
      </c>
      <c r="E1146" s="4" t="s">
        <v>7278</v>
      </c>
      <c r="F1146" s="4" t="s">
        <v>19570</v>
      </c>
      <c r="H1146" s="4" t="s">
        <v>19547</v>
      </c>
    </row>
    <row r="1147" spans="1:8" x14ac:dyDescent="0.2">
      <c r="A1147" s="4" t="str">
        <f t="shared" si="30"/>
        <v>36</v>
      </c>
      <c r="B1147" s="4" t="str">
        <f>"36.0117"</f>
        <v>36.0117</v>
      </c>
      <c r="C1147" s="4" t="s">
        <v>18238</v>
      </c>
      <c r="D1147" s="4" t="s">
        <v>18239</v>
      </c>
      <c r="E1147" s="4" t="s">
        <v>7280</v>
      </c>
      <c r="F1147" s="4" t="s">
        <v>19571</v>
      </c>
      <c r="H1147" s="4" t="s">
        <v>19547</v>
      </c>
    </row>
    <row r="1148" spans="1:8" x14ac:dyDescent="0.2">
      <c r="A1148" s="4" t="str">
        <f t="shared" si="30"/>
        <v>36</v>
      </c>
      <c r="B1148" s="4" t="str">
        <f>"36.0118"</f>
        <v>36.0118</v>
      </c>
      <c r="C1148" s="4" t="s">
        <v>18238</v>
      </c>
      <c r="D1148" s="4" t="s">
        <v>18239</v>
      </c>
      <c r="E1148" s="4" t="s">
        <v>7282</v>
      </c>
      <c r="F1148" s="4" t="s">
        <v>19572</v>
      </c>
      <c r="H1148" s="4" t="s">
        <v>19547</v>
      </c>
    </row>
    <row r="1149" spans="1:8" x14ac:dyDescent="0.2">
      <c r="A1149" s="4" t="str">
        <f t="shared" si="30"/>
        <v>36</v>
      </c>
      <c r="B1149" s="4" t="str">
        <f>"36.0119"</f>
        <v>36.0119</v>
      </c>
      <c r="C1149" s="4" t="s">
        <v>18238</v>
      </c>
      <c r="D1149" s="4" t="s">
        <v>18239</v>
      </c>
      <c r="E1149" s="4" t="s">
        <v>8714</v>
      </c>
      <c r="F1149" s="4" t="s">
        <v>19573</v>
      </c>
      <c r="H1149" s="4" t="s">
        <v>19547</v>
      </c>
    </row>
    <row r="1150" spans="1:8" x14ac:dyDescent="0.2">
      <c r="A1150" s="4" t="str">
        <f t="shared" si="30"/>
        <v>36</v>
      </c>
      <c r="B1150" s="4" t="str">
        <f>"36.0199"</f>
        <v>36.0199</v>
      </c>
      <c r="C1150" s="4" t="s">
        <v>18238</v>
      </c>
      <c r="D1150" s="4" t="s">
        <v>18239</v>
      </c>
      <c r="E1150" s="4" t="s">
        <v>6428</v>
      </c>
      <c r="F1150" s="4" t="s">
        <v>19574</v>
      </c>
      <c r="H1150" s="4" t="s">
        <v>19547</v>
      </c>
    </row>
    <row r="1151" spans="1:8" x14ac:dyDescent="0.2">
      <c r="A1151" s="4" t="str">
        <f>"37"</f>
        <v>37</v>
      </c>
      <c r="B1151" s="4" t="str">
        <f>"37"</f>
        <v>37</v>
      </c>
      <c r="C1151" s="4" t="s">
        <v>18238</v>
      </c>
      <c r="D1151" s="4" t="s">
        <v>18239</v>
      </c>
      <c r="E1151" s="4" t="s">
        <v>6431</v>
      </c>
      <c r="F1151" s="4" t="s">
        <v>19575</v>
      </c>
      <c r="H1151" s="4" t="s">
        <v>19547</v>
      </c>
    </row>
    <row r="1152" spans="1:8" x14ac:dyDescent="0.2">
      <c r="A1152" s="4" t="str">
        <f t="shared" ref="A1152:A1157" si="31">"37"</f>
        <v>37</v>
      </c>
      <c r="B1152" s="4" t="str">
        <f>"37.01"</f>
        <v>37.01</v>
      </c>
      <c r="C1152" s="4" t="s">
        <v>18238</v>
      </c>
      <c r="D1152" s="4" t="s">
        <v>18239</v>
      </c>
      <c r="E1152" s="4" t="s">
        <v>6434</v>
      </c>
      <c r="F1152" s="4" t="s">
        <v>19576</v>
      </c>
      <c r="H1152" s="4" t="s">
        <v>19547</v>
      </c>
    </row>
    <row r="1153" spans="1:8" x14ac:dyDescent="0.2">
      <c r="A1153" s="4" t="str">
        <f t="shared" si="31"/>
        <v>37</v>
      </c>
      <c r="B1153" s="4" t="str">
        <f>"37.0101"</f>
        <v>37.0101</v>
      </c>
      <c r="C1153" s="4" t="s">
        <v>18238</v>
      </c>
      <c r="D1153" s="4" t="s">
        <v>18239</v>
      </c>
      <c r="E1153" s="4" t="s">
        <v>6436</v>
      </c>
      <c r="F1153" s="4" t="s">
        <v>19577</v>
      </c>
      <c r="H1153" s="4" t="s">
        <v>19547</v>
      </c>
    </row>
    <row r="1154" spans="1:8" x14ac:dyDescent="0.2">
      <c r="A1154" s="4" t="str">
        <f t="shared" si="31"/>
        <v>37</v>
      </c>
      <c r="B1154" s="4" t="str">
        <f>"37.0102"</f>
        <v>37.0102</v>
      </c>
      <c r="C1154" s="4" t="s">
        <v>18238</v>
      </c>
      <c r="D1154" s="4" t="s">
        <v>18239</v>
      </c>
      <c r="E1154" s="4" t="s">
        <v>6438</v>
      </c>
      <c r="F1154" s="4" t="s">
        <v>19578</v>
      </c>
      <c r="H1154" s="4" t="s">
        <v>19547</v>
      </c>
    </row>
    <row r="1155" spans="1:8" x14ac:dyDescent="0.2">
      <c r="A1155" s="4" t="str">
        <f t="shared" si="31"/>
        <v>37</v>
      </c>
      <c r="B1155" s="4" t="str">
        <f>"37.0103"</f>
        <v>37.0103</v>
      </c>
      <c r="C1155" s="4" t="s">
        <v>18238</v>
      </c>
      <c r="D1155" s="4" t="s">
        <v>18239</v>
      </c>
      <c r="E1155" s="4" t="s">
        <v>6440</v>
      </c>
      <c r="F1155" s="4" t="s">
        <v>19579</v>
      </c>
      <c r="H1155" s="4" t="s">
        <v>19547</v>
      </c>
    </row>
    <row r="1156" spans="1:8" x14ac:dyDescent="0.2">
      <c r="A1156" s="4" t="str">
        <f t="shared" si="31"/>
        <v>37</v>
      </c>
      <c r="B1156" s="4" t="str">
        <f>"37.0104"</f>
        <v>37.0104</v>
      </c>
      <c r="C1156" s="4" t="s">
        <v>18238</v>
      </c>
      <c r="D1156" s="4" t="s">
        <v>18239</v>
      </c>
      <c r="E1156" s="4" t="s">
        <v>6442</v>
      </c>
      <c r="F1156" s="4" t="s">
        <v>19580</v>
      </c>
      <c r="H1156" s="4" t="s">
        <v>19547</v>
      </c>
    </row>
    <row r="1157" spans="1:8" x14ac:dyDescent="0.2">
      <c r="A1157" s="4" t="str">
        <f t="shared" si="31"/>
        <v>37</v>
      </c>
      <c r="B1157" s="4" t="str">
        <f>"37.0199"</f>
        <v>37.0199</v>
      </c>
      <c r="C1157" s="4" t="s">
        <v>18238</v>
      </c>
      <c r="D1157" s="4" t="s">
        <v>18239</v>
      </c>
      <c r="E1157" s="4" t="s">
        <v>6444</v>
      </c>
      <c r="F1157" s="4" t="s">
        <v>19581</v>
      </c>
      <c r="H1157" s="4" t="s">
        <v>19547</v>
      </c>
    </row>
    <row r="1158" spans="1:8" x14ac:dyDescent="0.2">
      <c r="A1158" s="4" t="str">
        <f>"38"</f>
        <v>38</v>
      </c>
      <c r="B1158" s="4" t="str">
        <f>"38"</f>
        <v>38</v>
      </c>
      <c r="C1158" s="4" t="s">
        <v>18238</v>
      </c>
      <c r="D1158" s="4" t="s">
        <v>18239</v>
      </c>
      <c r="E1158" s="4" t="s">
        <v>9322</v>
      </c>
      <c r="F1158" s="4" t="s">
        <v>9323</v>
      </c>
      <c r="H1158" s="4" t="s">
        <v>19547</v>
      </c>
    </row>
    <row r="1159" spans="1:8" x14ac:dyDescent="0.2">
      <c r="A1159" s="4" t="str">
        <f t="shared" ref="A1159:A1176" si="32">"38"</f>
        <v>38</v>
      </c>
      <c r="B1159" s="4" t="str">
        <f>"38.00"</f>
        <v>38.00</v>
      </c>
      <c r="C1159" s="4" t="s">
        <v>18258</v>
      </c>
      <c r="D1159" s="4" t="s">
        <v>18239</v>
      </c>
      <c r="E1159" s="4" t="s">
        <v>19582</v>
      </c>
      <c r="F1159" s="4" t="s">
        <v>19583</v>
      </c>
      <c r="H1159" s="4" t="s">
        <v>19547</v>
      </c>
    </row>
    <row r="1160" spans="1:8" x14ac:dyDescent="0.2">
      <c r="A1160" s="4" t="str">
        <f t="shared" si="32"/>
        <v>38</v>
      </c>
      <c r="B1160" s="4" t="str">
        <f>"38.0001"</f>
        <v>38.0001</v>
      </c>
      <c r="C1160" s="4" t="s">
        <v>18258</v>
      </c>
      <c r="D1160" s="4" t="s">
        <v>18239</v>
      </c>
      <c r="E1160" s="4" t="s">
        <v>19582</v>
      </c>
      <c r="F1160" s="4" t="s">
        <v>19584</v>
      </c>
      <c r="G1160" s="4" t="s">
        <v>19585</v>
      </c>
      <c r="H1160" s="4" t="s">
        <v>19547</v>
      </c>
    </row>
    <row r="1161" spans="1:8" x14ac:dyDescent="0.2">
      <c r="A1161" s="4" t="str">
        <f t="shared" si="32"/>
        <v>38</v>
      </c>
      <c r="B1161" s="4" t="str">
        <f>"38.01"</f>
        <v>38.01</v>
      </c>
      <c r="C1161" s="4" t="s">
        <v>18238</v>
      </c>
      <c r="D1161" s="4" t="s">
        <v>18239</v>
      </c>
      <c r="E1161" s="4" t="s">
        <v>9327</v>
      </c>
      <c r="F1161" s="4" t="s">
        <v>19586</v>
      </c>
      <c r="H1161" s="4" t="s">
        <v>19547</v>
      </c>
    </row>
    <row r="1162" spans="1:8" x14ac:dyDescent="0.2">
      <c r="A1162" s="4" t="str">
        <f t="shared" si="32"/>
        <v>38</v>
      </c>
      <c r="B1162" s="4" t="str">
        <f>"38.0101"</f>
        <v>38.0101</v>
      </c>
      <c r="C1162" s="4" t="s">
        <v>18238</v>
      </c>
      <c r="D1162" s="4" t="s">
        <v>18239</v>
      </c>
      <c r="E1162" s="4" t="s">
        <v>9327</v>
      </c>
      <c r="F1162" s="4" t="s">
        <v>9329</v>
      </c>
      <c r="H1162" s="4" t="s">
        <v>19547</v>
      </c>
    </row>
    <row r="1163" spans="1:8" x14ac:dyDescent="0.2">
      <c r="A1163" s="4" t="str">
        <f t="shared" si="32"/>
        <v>38</v>
      </c>
      <c r="B1163" s="4" t="str">
        <f>"38.0102"</f>
        <v>38.0102</v>
      </c>
      <c r="C1163" s="4" t="s">
        <v>18238</v>
      </c>
      <c r="D1163" s="4" t="s">
        <v>18239</v>
      </c>
      <c r="E1163" s="4" t="s">
        <v>9331</v>
      </c>
      <c r="F1163" s="4" t="s">
        <v>19587</v>
      </c>
      <c r="H1163" s="4" t="s">
        <v>19547</v>
      </c>
    </row>
    <row r="1164" spans="1:8" x14ac:dyDescent="0.2">
      <c r="A1164" s="4" t="str">
        <f t="shared" si="32"/>
        <v>38</v>
      </c>
      <c r="B1164" s="4" t="str">
        <f>"38.0103"</f>
        <v>38.0103</v>
      </c>
      <c r="C1164" s="4" t="s">
        <v>18238</v>
      </c>
      <c r="D1164" s="4" t="s">
        <v>18239</v>
      </c>
      <c r="E1164" s="4" t="s">
        <v>9334</v>
      </c>
      <c r="F1164" s="4" t="s">
        <v>19588</v>
      </c>
      <c r="H1164" s="4" t="s">
        <v>19547</v>
      </c>
    </row>
    <row r="1165" spans="1:8" x14ac:dyDescent="0.2">
      <c r="A1165" s="4" t="str">
        <f t="shared" si="32"/>
        <v>38</v>
      </c>
      <c r="B1165" s="4" t="str">
        <f>"38.0104"</f>
        <v>38.0104</v>
      </c>
      <c r="C1165" s="4" t="s">
        <v>18258</v>
      </c>
      <c r="D1165" s="4" t="s">
        <v>18239</v>
      </c>
      <c r="E1165" s="4" t="s">
        <v>19589</v>
      </c>
      <c r="F1165" s="4" t="s">
        <v>19590</v>
      </c>
      <c r="G1165" s="4" t="s">
        <v>19591</v>
      </c>
      <c r="H1165" s="4" t="s">
        <v>19592</v>
      </c>
    </row>
    <row r="1166" spans="1:8" x14ac:dyDescent="0.2">
      <c r="A1166" s="4" t="str">
        <f t="shared" si="32"/>
        <v>38</v>
      </c>
      <c r="B1166" s="4" t="str">
        <f>"38.0199"</f>
        <v>38.0199</v>
      </c>
      <c r="C1166" s="4" t="s">
        <v>18238</v>
      </c>
      <c r="D1166" s="4" t="s">
        <v>18239</v>
      </c>
      <c r="E1166" s="4" t="s">
        <v>9337</v>
      </c>
      <c r="F1166" s="4" t="s">
        <v>19593</v>
      </c>
      <c r="H1166" s="4" t="s">
        <v>19592</v>
      </c>
    </row>
    <row r="1167" spans="1:8" x14ac:dyDescent="0.2">
      <c r="A1167" s="4" t="str">
        <f t="shared" si="32"/>
        <v>38</v>
      </c>
      <c r="B1167" s="4" t="str">
        <f>"38.02"</f>
        <v>38.02</v>
      </c>
      <c r="C1167" s="4" t="s">
        <v>18238</v>
      </c>
      <c r="D1167" s="4" t="s">
        <v>18239</v>
      </c>
      <c r="E1167" s="4" t="s">
        <v>9340</v>
      </c>
      <c r="F1167" s="4" t="s">
        <v>9341</v>
      </c>
      <c r="H1167" s="4" t="s">
        <v>19592</v>
      </c>
    </row>
    <row r="1168" spans="1:8" x14ac:dyDescent="0.2">
      <c r="A1168" s="4" t="str">
        <f t="shared" si="32"/>
        <v>38</v>
      </c>
      <c r="B1168" s="4" t="str">
        <f>"38.0201"</f>
        <v>38.0201</v>
      </c>
      <c r="C1168" s="4" t="s">
        <v>18238</v>
      </c>
      <c r="D1168" s="4" t="s">
        <v>18239</v>
      </c>
      <c r="E1168" s="4" t="s">
        <v>9340</v>
      </c>
      <c r="F1168" s="4" t="s">
        <v>9342</v>
      </c>
      <c r="H1168" s="4" t="s">
        <v>19592</v>
      </c>
    </row>
    <row r="1169" spans="1:8" x14ac:dyDescent="0.2">
      <c r="A1169" s="4" t="str">
        <f t="shared" si="32"/>
        <v>38</v>
      </c>
      <c r="B1169" s="4" t="str">
        <f>"38.0202"</f>
        <v>38.0202</v>
      </c>
      <c r="C1169" s="4" t="s">
        <v>18238</v>
      </c>
      <c r="D1169" s="4" t="s">
        <v>18239</v>
      </c>
      <c r="E1169" s="4" t="s">
        <v>11323</v>
      </c>
      <c r="F1169" s="4" t="s">
        <v>19594</v>
      </c>
      <c r="H1169" s="4" t="s">
        <v>19592</v>
      </c>
    </row>
    <row r="1170" spans="1:8" x14ac:dyDescent="0.2">
      <c r="A1170" s="4" t="str">
        <f t="shared" si="32"/>
        <v>38</v>
      </c>
      <c r="B1170" s="4" t="str">
        <f>"38.0203"</f>
        <v>38.0203</v>
      </c>
      <c r="C1170" s="4" t="s">
        <v>18238</v>
      </c>
      <c r="D1170" s="4" t="s">
        <v>18239</v>
      </c>
      <c r="E1170" s="4" t="s">
        <v>9345</v>
      </c>
      <c r="F1170" s="4" t="s">
        <v>19595</v>
      </c>
      <c r="G1170" s="4" t="s">
        <v>19596</v>
      </c>
      <c r="H1170" s="4" t="s">
        <v>19592</v>
      </c>
    </row>
    <row r="1171" spans="1:8" x14ac:dyDescent="0.2">
      <c r="A1171" s="4" t="str">
        <f t="shared" si="32"/>
        <v>38</v>
      </c>
      <c r="B1171" s="4" t="str">
        <f>"38.0204"</f>
        <v>38.0204</v>
      </c>
      <c r="C1171" s="4" t="s">
        <v>18238</v>
      </c>
      <c r="D1171" s="4" t="s">
        <v>18239</v>
      </c>
      <c r="E1171" s="4" t="s">
        <v>10273</v>
      </c>
      <c r="F1171" s="4" t="s">
        <v>19597</v>
      </c>
      <c r="H1171" s="4" t="s">
        <v>19592</v>
      </c>
    </row>
    <row r="1172" spans="1:8" x14ac:dyDescent="0.2">
      <c r="A1172" s="4" t="str">
        <f t="shared" si="32"/>
        <v>38</v>
      </c>
      <c r="B1172" s="4" t="str">
        <f>"38.0205"</f>
        <v>38.0205</v>
      </c>
      <c r="C1172" s="4" t="s">
        <v>18238</v>
      </c>
      <c r="D1172" s="4" t="s">
        <v>18239</v>
      </c>
      <c r="E1172" s="4" t="s">
        <v>11325</v>
      </c>
      <c r="F1172" s="4" t="s">
        <v>19598</v>
      </c>
      <c r="H1172" s="4" t="s">
        <v>19592</v>
      </c>
    </row>
    <row r="1173" spans="1:8" x14ac:dyDescent="0.2">
      <c r="A1173" s="4" t="str">
        <f t="shared" si="32"/>
        <v>38</v>
      </c>
      <c r="B1173" s="4" t="str">
        <f>"38.0206"</f>
        <v>38.0206</v>
      </c>
      <c r="C1173" s="4" t="s">
        <v>18238</v>
      </c>
      <c r="D1173" s="4" t="s">
        <v>18239</v>
      </c>
      <c r="E1173" s="4" t="s">
        <v>11327</v>
      </c>
      <c r="F1173" s="4" t="s">
        <v>19599</v>
      </c>
      <c r="G1173" s="4" t="s">
        <v>19600</v>
      </c>
      <c r="H1173" s="4" t="s">
        <v>19592</v>
      </c>
    </row>
    <row r="1174" spans="1:8" x14ac:dyDescent="0.2">
      <c r="A1174" s="4" t="str">
        <f t="shared" si="32"/>
        <v>38</v>
      </c>
      <c r="B1174" s="4" t="str">
        <f>"38.0299"</f>
        <v>38.0299</v>
      </c>
      <c r="C1174" s="4" t="s">
        <v>18238</v>
      </c>
      <c r="D1174" s="4" t="s">
        <v>18239</v>
      </c>
      <c r="E1174" s="4" t="s">
        <v>9351</v>
      </c>
      <c r="F1174" s="4" t="s">
        <v>19601</v>
      </c>
      <c r="H1174" s="4" t="s">
        <v>19592</v>
      </c>
    </row>
    <row r="1175" spans="1:8" x14ac:dyDescent="0.2">
      <c r="A1175" s="4" t="str">
        <f t="shared" si="32"/>
        <v>38</v>
      </c>
      <c r="B1175" s="4" t="str">
        <f>"38.99"</f>
        <v>38.99</v>
      </c>
      <c r="C1175" s="4" t="s">
        <v>18238</v>
      </c>
      <c r="D1175" s="4" t="s">
        <v>18239</v>
      </c>
      <c r="E1175" s="4" t="s">
        <v>9354</v>
      </c>
      <c r="F1175" s="4" t="s">
        <v>9355</v>
      </c>
      <c r="H1175" s="4" t="s">
        <v>19592</v>
      </c>
    </row>
    <row r="1176" spans="1:8" x14ac:dyDescent="0.2">
      <c r="A1176" s="4" t="str">
        <f t="shared" si="32"/>
        <v>38</v>
      </c>
      <c r="B1176" s="4" t="str">
        <f>"38.9999"</f>
        <v>38.9999</v>
      </c>
      <c r="C1176" s="4" t="s">
        <v>18238</v>
      </c>
      <c r="D1176" s="4" t="s">
        <v>18239</v>
      </c>
      <c r="E1176" s="4" t="s">
        <v>9354</v>
      </c>
      <c r="F1176" s="4" t="s">
        <v>9356</v>
      </c>
      <c r="H1176" s="4" t="s">
        <v>19592</v>
      </c>
    </row>
    <row r="1177" spans="1:8" x14ac:dyDescent="0.2">
      <c r="A1177" s="4" t="str">
        <f>"39"</f>
        <v>39</v>
      </c>
      <c r="B1177" s="4" t="str">
        <f>"39"</f>
        <v>39</v>
      </c>
      <c r="C1177" s="4" t="s">
        <v>18238</v>
      </c>
      <c r="D1177" s="4" t="s">
        <v>18239</v>
      </c>
      <c r="E1177" s="4" t="s">
        <v>9325</v>
      </c>
      <c r="F1177" s="4" t="s">
        <v>9357</v>
      </c>
      <c r="H1177" s="4" t="s">
        <v>19592</v>
      </c>
    </row>
    <row r="1178" spans="1:8" x14ac:dyDescent="0.2">
      <c r="A1178" s="4" t="str">
        <f t="shared" ref="A1178:A1201" si="33">"39"</f>
        <v>39</v>
      </c>
      <c r="B1178" s="4" t="str">
        <f>"39.02"</f>
        <v>39.02</v>
      </c>
      <c r="C1178" s="4" t="s">
        <v>18238</v>
      </c>
      <c r="D1178" s="4" t="s">
        <v>18239</v>
      </c>
      <c r="E1178" s="4" t="s">
        <v>9888</v>
      </c>
      <c r="F1178" s="4" t="s">
        <v>9362</v>
      </c>
      <c r="H1178" s="4" t="s">
        <v>19592</v>
      </c>
    </row>
    <row r="1179" spans="1:8" x14ac:dyDescent="0.2">
      <c r="A1179" s="4" t="str">
        <f t="shared" si="33"/>
        <v>39</v>
      </c>
      <c r="B1179" s="4" t="str">
        <f>"39.0201"</f>
        <v>39.0201</v>
      </c>
      <c r="C1179" s="4" t="s">
        <v>18238</v>
      </c>
      <c r="D1179" s="4" t="s">
        <v>18239</v>
      </c>
      <c r="E1179" s="4" t="s">
        <v>9888</v>
      </c>
      <c r="F1179" s="4" t="s">
        <v>9363</v>
      </c>
      <c r="G1179" s="4" t="s">
        <v>19602</v>
      </c>
      <c r="H1179" s="4" t="s">
        <v>19592</v>
      </c>
    </row>
    <row r="1180" spans="1:8" x14ac:dyDescent="0.2">
      <c r="A1180" s="4" t="str">
        <f t="shared" si="33"/>
        <v>39</v>
      </c>
      <c r="B1180" s="4" t="str">
        <f>"39.03"</f>
        <v>39.03</v>
      </c>
      <c r="C1180" s="4" t="s">
        <v>18238</v>
      </c>
      <c r="D1180" s="4" t="s">
        <v>18239</v>
      </c>
      <c r="E1180" s="4" t="s">
        <v>9365</v>
      </c>
      <c r="F1180" s="4" t="s">
        <v>9366</v>
      </c>
      <c r="H1180" s="4" t="s">
        <v>19592</v>
      </c>
    </row>
    <row r="1181" spans="1:8" x14ac:dyDescent="0.2">
      <c r="A1181" s="4" t="str">
        <f t="shared" si="33"/>
        <v>39</v>
      </c>
      <c r="B1181" s="4" t="str">
        <f>"39.0301"</f>
        <v>39.0301</v>
      </c>
      <c r="C1181" s="4" t="s">
        <v>18238</v>
      </c>
      <c r="D1181" s="4" t="s">
        <v>18239</v>
      </c>
      <c r="E1181" s="4" t="s">
        <v>9365</v>
      </c>
      <c r="F1181" s="4" t="s">
        <v>9367</v>
      </c>
      <c r="H1181" s="4" t="s">
        <v>19592</v>
      </c>
    </row>
    <row r="1182" spans="1:8" x14ac:dyDescent="0.2">
      <c r="A1182" s="4" t="str">
        <f t="shared" si="33"/>
        <v>39</v>
      </c>
      <c r="B1182" s="4" t="str">
        <f>"39.04"</f>
        <v>39.04</v>
      </c>
      <c r="C1182" s="4" t="s">
        <v>18238</v>
      </c>
      <c r="D1182" s="4" t="s">
        <v>18239</v>
      </c>
      <c r="E1182" s="4" t="s">
        <v>9369</v>
      </c>
      <c r="F1182" s="4" t="s">
        <v>9370</v>
      </c>
      <c r="H1182" s="4" t="s">
        <v>19592</v>
      </c>
    </row>
    <row r="1183" spans="1:8" x14ac:dyDescent="0.2">
      <c r="A1183" s="4" t="str">
        <f t="shared" si="33"/>
        <v>39</v>
      </c>
      <c r="B1183" s="4" t="str">
        <f>"39.0401"</f>
        <v>39.0401</v>
      </c>
      <c r="C1183" s="4" t="s">
        <v>18238</v>
      </c>
      <c r="D1183" s="4" t="s">
        <v>18239</v>
      </c>
      <c r="E1183" s="4" t="s">
        <v>9369</v>
      </c>
      <c r="F1183" s="4" t="s">
        <v>19603</v>
      </c>
      <c r="H1183" s="4" t="s">
        <v>19592</v>
      </c>
    </row>
    <row r="1184" spans="1:8" x14ac:dyDescent="0.2">
      <c r="A1184" s="4" t="str">
        <f t="shared" si="33"/>
        <v>39</v>
      </c>
      <c r="B1184" s="4" t="str">
        <f>"39.05"</f>
        <v>39.05</v>
      </c>
      <c r="C1184" s="4" t="s">
        <v>18238</v>
      </c>
      <c r="D1184" s="4" t="s">
        <v>18239</v>
      </c>
      <c r="E1184" s="4" t="s">
        <v>9373</v>
      </c>
      <c r="F1184" s="4" t="s">
        <v>9374</v>
      </c>
      <c r="H1184" s="4" t="s">
        <v>19592</v>
      </c>
    </row>
    <row r="1185" spans="1:8" x14ac:dyDescent="0.2">
      <c r="A1185" s="4" t="str">
        <f t="shared" si="33"/>
        <v>39</v>
      </c>
      <c r="B1185" s="4" t="str">
        <f>"39.0501"</f>
        <v>39.0501</v>
      </c>
      <c r="C1185" s="4" t="s">
        <v>18238</v>
      </c>
      <c r="D1185" s="4" t="s">
        <v>18239</v>
      </c>
      <c r="E1185" s="4" t="s">
        <v>9373</v>
      </c>
      <c r="F1185" s="4" t="s">
        <v>19604</v>
      </c>
      <c r="H1185" s="4" t="s">
        <v>19592</v>
      </c>
    </row>
    <row r="1186" spans="1:8" x14ac:dyDescent="0.2">
      <c r="A1186" s="4" t="str">
        <f t="shared" si="33"/>
        <v>39</v>
      </c>
      <c r="B1186" s="4" t="str">
        <f>"39.06"</f>
        <v>39.06</v>
      </c>
      <c r="C1186" s="4" t="s">
        <v>18238</v>
      </c>
      <c r="D1186" s="4" t="s">
        <v>18239</v>
      </c>
      <c r="E1186" s="4" t="s">
        <v>9377</v>
      </c>
      <c r="F1186" s="4" t="s">
        <v>19605</v>
      </c>
      <c r="H1186" s="4" t="s">
        <v>19592</v>
      </c>
    </row>
    <row r="1187" spans="1:8" x14ac:dyDescent="0.2">
      <c r="A1187" s="4" t="str">
        <f t="shared" si="33"/>
        <v>39</v>
      </c>
      <c r="B1187" s="4" t="str">
        <f>"39.0601"</f>
        <v>39.0601</v>
      </c>
      <c r="C1187" s="4" t="s">
        <v>18238</v>
      </c>
      <c r="D1187" s="4" t="s">
        <v>18239</v>
      </c>
      <c r="E1187" s="4" t="s">
        <v>9379</v>
      </c>
      <c r="F1187" s="4" t="s">
        <v>9380</v>
      </c>
      <c r="H1187" s="4" t="s">
        <v>19592</v>
      </c>
    </row>
    <row r="1188" spans="1:8" x14ac:dyDescent="0.2">
      <c r="A1188" s="4" t="str">
        <f t="shared" si="33"/>
        <v>39</v>
      </c>
      <c r="B1188" s="4" t="str">
        <f>"39.0602"</f>
        <v>39.0602</v>
      </c>
      <c r="C1188" s="4" t="s">
        <v>18238</v>
      </c>
      <c r="D1188" s="4" t="s">
        <v>18239</v>
      </c>
      <c r="E1188" s="4" t="s">
        <v>19606</v>
      </c>
      <c r="F1188" s="4" t="s">
        <v>19607</v>
      </c>
      <c r="H1188" s="4" t="s">
        <v>19608</v>
      </c>
    </row>
    <row r="1189" spans="1:8" x14ac:dyDescent="0.2">
      <c r="A1189" s="4" t="str">
        <f t="shared" si="33"/>
        <v>39</v>
      </c>
      <c r="B1189" s="4" t="str">
        <f>"39.0604"</f>
        <v>39.0604</v>
      </c>
      <c r="C1189" s="4" t="s">
        <v>18238</v>
      </c>
      <c r="D1189" s="4" t="s">
        <v>18239</v>
      </c>
      <c r="E1189" s="4" t="s">
        <v>9384</v>
      </c>
      <c r="F1189" s="4" t="s">
        <v>9385</v>
      </c>
      <c r="H1189" s="4" t="s">
        <v>19608</v>
      </c>
    </row>
    <row r="1190" spans="1:8" x14ac:dyDescent="0.2">
      <c r="A1190" s="4" t="str">
        <f t="shared" si="33"/>
        <v>39</v>
      </c>
      <c r="B1190" s="4" t="str">
        <f>"39.0605"</f>
        <v>39.0605</v>
      </c>
      <c r="C1190" s="4" t="s">
        <v>18238</v>
      </c>
      <c r="D1190" s="4" t="s">
        <v>18239</v>
      </c>
      <c r="E1190" s="4" t="s">
        <v>19609</v>
      </c>
      <c r="F1190" s="4" t="s">
        <v>19610</v>
      </c>
      <c r="G1190" s="4" t="s">
        <v>19438</v>
      </c>
      <c r="H1190" s="4" t="s">
        <v>19611</v>
      </c>
    </row>
    <row r="1191" spans="1:8" x14ac:dyDescent="0.2">
      <c r="A1191" s="4" t="str">
        <f t="shared" si="33"/>
        <v>39</v>
      </c>
      <c r="B1191" s="4" t="str">
        <f>"39.0606"</f>
        <v>39.0606</v>
      </c>
      <c r="C1191" s="4" t="s">
        <v>18238</v>
      </c>
      <c r="D1191" s="4" t="s">
        <v>18239</v>
      </c>
      <c r="E1191" s="4" t="s">
        <v>9884</v>
      </c>
      <c r="F1191" s="4" t="s">
        <v>19612</v>
      </c>
      <c r="G1191" s="4" t="s">
        <v>19438</v>
      </c>
      <c r="H1191" s="4" t="s">
        <v>19611</v>
      </c>
    </row>
    <row r="1192" spans="1:8" x14ac:dyDescent="0.2">
      <c r="A1192" s="4" t="str">
        <f t="shared" si="33"/>
        <v>39</v>
      </c>
      <c r="B1192" s="4" t="str">
        <f>"39.0699"</f>
        <v>39.0699</v>
      </c>
      <c r="C1192" s="4" t="s">
        <v>18238</v>
      </c>
      <c r="D1192" s="4" t="s">
        <v>18239</v>
      </c>
      <c r="E1192" s="4" t="s">
        <v>9388</v>
      </c>
      <c r="F1192" s="4" t="s">
        <v>9389</v>
      </c>
      <c r="H1192" s="4" t="s">
        <v>19611</v>
      </c>
    </row>
    <row r="1193" spans="1:8" x14ac:dyDescent="0.2">
      <c r="A1193" s="4" t="str">
        <f t="shared" si="33"/>
        <v>39</v>
      </c>
      <c r="B1193" s="4" t="str">
        <f>"39.07"</f>
        <v>39.07</v>
      </c>
      <c r="C1193" s="4" t="s">
        <v>18238</v>
      </c>
      <c r="D1193" s="4" t="s">
        <v>18239</v>
      </c>
      <c r="E1193" s="4" t="s">
        <v>11075</v>
      </c>
      <c r="F1193" s="4" t="s">
        <v>19613</v>
      </c>
      <c r="H1193" s="4" t="s">
        <v>19611</v>
      </c>
    </row>
    <row r="1194" spans="1:8" x14ac:dyDescent="0.2">
      <c r="A1194" s="4" t="str">
        <f t="shared" si="33"/>
        <v>39</v>
      </c>
      <c r="B1194" s="4" t="str">
        <f>"39.0701"</f>
        <v>39.0701</v>
      </c>
      <c r="C1194" s="4" t="s">
        <v>18238</v>
      </c>
      <c r="D1194" s="4" t="s">
        <v>18239</v>
      </c>
      <c r="E1194" s="4" t="s">
        <v>9391</v>
      </c>
      <c r="F1194" s="4" t="s">
        <v>9392</v>
      </c>
      <c r="G1194" s="4" t="s">
        <v>19614</v>
      </c>
      <c r="H1194" s="4" t="s">
        <v>19611</v>
      </c>
    </row>
    <row r="1195" spans="1:8" x14ac:dyDescent="0.2">
      <c r="A1195" s="4" t="str">
        <f t="shared" si="33"/>
        <v>39</v>
      </c>
      <c r="B1195" s="4" t="str">
        <f>"39.0702"</f>
        <v>39.0702</v>
      </c>
      <c r="C1195" s="4" t="s">
        <v>18238</v>
      </c>
      <c r="D1195" s="4" t="s">
        <v>18239</v>
      </c>
      <c r="E1195" s="4" t="s">
        <v>9396</v>
      </c>
      <c r="F1195" s="4" t="s">
        <v>19615</v>
      </c>
      <c r="H1195" s="4" t="s">
        <v>19616</v>
      </c>
    </row>
    <row r="1196" spans="1:8" x14ac:dyDescent="0.2">
      <c r="A1196" s="4" t="str">
        <f t="shared" si="33"/>
        <v>39</v>
      </c>
      <c r="B1196" s="4" t="str">
        <f>"39.0703"</f>
        <v>39.0703</v>
      </c>
      <c r="C1196" s="4" t="s">
        <v>18258</v>
      </c>
      <c r="D1196" s="4" t="s">
        <v>18239</v>
      </c>
      <c r="E1196" s="4" t="s">
        <v>19617</v>
      </c>
      <c r="F1196" s="4" t="s">
        <v>19618</v>
      </c>
      <c r="H1196" s="4" t="s">
        <v>19616</v>
      </c>
    </row>
    <row r="1197" spans="1:8" x14ac:dyDescent="0.2">
      <c r="A1197" s="4" t="str">
        <f t="shared" si="33"/>
        <v>39</v>
      </c>
      <c r="B1197" s="4" t="str">
        <f>"39.0704"</f>
        <v>39.0704</v>
      </c>
      <c r="C1197" s="4" t="s">
        <v>18258</v>
      </c>
      <c r="D1197" s="4" t="s">
        <v>18239</v>
      </c>
      <c r="E1197" s="4" t="s">
        <v>19619</v>
      </c>
      <c r="F1197" s="4" t="s">
        <v>19620</v>
      </c>
      <c r="H1197" s="4" t="s">
        <v>19616</v>
      </c>
    </row>
    <row r="1198" spans="1:8" x14ac:dyDescent="0.2">
      <c r="A1198" s="4" t="str">
        <f t="shared" si="33"/>
        <v>39</v>
      </c>
      <c r="B1198" s="4" t="str">
        <f>"39.0705"</f>
        <v>39.0705</v>
      </c>
      <c r="C1198" s="4" t="s">
        <v>18258</v>
      </c>
      <c r="D1198" s="4" t="s">
        <v>18239</v>
      </c>
      <c r="E1198" s="4" t="s">
        <v>19621</v>
      </c>
      <c r="F1198" s="4" t="s">
        <v>19622</v>
      </c>
      <c r="H1198" s="4" t="s">
        <v>19616</v>
      </c>
    </row>
    <row r="1199" spans="1:8" x14ac:dyDescent="0.2">
      <c r="A1199" s="4" t="str">
        <f t="shared" si="33"/>
        <v>39</v>
      </c>
      <c r="B1199" s="4" t="str">
        <f>"39.0799"</f>
        <v>39.0799</v>
      </c>
      <c r="C1199" s="4" t="s">
        <v>18238</v>
      </c>
      <c r="D1199" s="4" t="s">
        <v>18239</v>
      </c>
      <c r="E1199" s="4" t="s">
        <v>9399</v>
      </c>
      <c r="F1199" s="4" t="s">
        <v>19623</v>
      </c>
      <c r="H1199" s="4" t="s">
        <v>19616</v>
      </c>
    </row>
    <row r="1200" spans="1:8" x14ac:dyDescent="0.2">
      <c r="A1200" s="4" t="str">
        <f t="shared" si="33"/>
        <v>39</v>
      </c>
      <c r="B1200" s="4" t="str">
        <f>"39.99"</f>
        <v>39.99</v>
      </c>
      <c r="C1200" s="4" t="s">
        <v>18238</v>
      </c>
      <c r="D1200" s="4" t="s">
        <v>18239</v>
      </c>
      <c r="E1200" s="4" t="s">
        <v>9402</v>
      </c>
      <c r="F1200" s="4" t="s">
        <v>9403</v>
      </c>
      <c r="H1200" s="4" t="s">
        <v>19616</v>
      </c>
    </row>
    <row r="1201" spans="1:8" x14ac:dyDescent="0.2">
      <c r="A1201" s="4" t="str">
        <f t="shared" si="33"/>
        <v>39</v>
      </c>
      <c r="B1201" s="4" t="str">
        <f>"39.9999"</f>
        <v>39.9999</v>
      </c>
      <c r="C1201" s="4" t="s">
        <v>18238</v>
      </c>
      <c r="D1201" s="4" t="s">
        <v>18239</v>
      </c>
      <c r="E1201" s="4" t="s">
        <v>9402</v>
      </c>
      <c r="F1201" s="4" t="s">
        <v>9404</v>
      </c>
      <c r="H1201" s="4" t="s">
        <v>19624</v>
      </c>
    </row>
    <row r="1202" spans="1:8" x14ac:dyDescent="0.2">
      <c r="A1202" s="4" t="str">
        <f>"40"</f>
        <v>40</v>
      </c>
      <c r="B1202" s="4" t="str">
        <f>"40"</f>
        <v>40</v>
      </c>
      <c r="C1202" s="4" t="s">
        <v>18238</v>
      </c>
      <c r="D1202" s="4" t="s">
        <v>18239</v>
      </c>
      <c r="E1202" s="4" t="s">
        <v>10286</v>
      </c>
      <c r="F1202" s="4" t="s">
        <v>9405</v>
      </c>
      <c r="H1202" s="4" t="s">
        <v>19624</v>
      </c>
    </row>
    <row r="1203" spans="1:8" x14ac:dyDescent="0.2">
      <c r="A1203" s="4" t="str">
        <f t="shared" ref="A1203:A1253" si="34">"40"</f>
        <v>40</v>
      </c>
      <c r="B1203" s="4" t="str">
        <f>"40.01"</f>
        <v>40.01</v>
      </c>
      <c r="C1203" s="4" t="s">
        <v>18238</v>
      </c>
      <c r="D1203" s="4" t="s">
        <v>18239</v>
      </c>
      <c r="E1203" s="4" t="s">
        <v>9407</v>
      </c>
      <c r="F1203" s="4" t="s">
        <v>9408</v>
      </c>
      <c r="H1203" s="4" t="s">
        <v>19624</v>
      </c>
    </row>
    <row r="1204" spans="1:8" x14ac:dyDescent="0.2">
      <c r="A1204" s="4" t="str">
        <f t="shared" si="34"/>
        <v>40</v>
      </c>
      <c r="B1204" s="4" t="str">
        <f>"40.0101"</f>
        <v>40.0101</v>
      </c>
      <c r="C1204" s="4" t="s">
        <v>18238</v>
      </c>
      <c r="D1204" s="4" t="s">
        <v>18239</v>
      </c>
      <c r="E1204" s="4" t="s">
        <v>9407</v>
      </c>
      <c r="F1204" s="4" t="s">
        <v>9409</v>
      </c>
      <c r="H1204" s="4" t="s">
        <v>19624</v>
      </c>
    </row>
    <row r="1205" spans="1:8" x14ac:dyDescent="0.2">
      <c r="A1205" s="4" t="str">
        <f t="shared" si="34"/>
        <v>40</v>
      </c>
      <c r="B1205" s="4" t="str">
        <f>"40.02"</f>
        <v>40.02</v>
      </c>
      <c r="C1205" s="4" t="s">
        <v>18238</v>
      </c>
      <c r="D1205" s="4" t="s">
        <v>18239</v>
      </c>
      <c r="E1205" s="4" t="s">
        <v>9411</v>
      </c>
      <c r="F1205" s="4" t="s">
        <v>19625</v>
      </c>
      <c r="H1205" s="4" t="s">
        <v>19624</v>
      </c>
    </row>
    <row r="1206" spans="1:8" x14ac:dyDescent="0.2">
      <c r="A1206" s="4" t="str">
        <f t="shared" si="34"/>
        <v>40</v>
      </c>
      <c r="B1206" s="4" t="str">
        <f>"40.0201"</f>
        <v>40.0201</v>
      </c>
      <c r="C1206" s="4" t="s">
        <v>18238</v>
      </c>
      <c r="D1206" s="4" t="s">
        <v>18239</v>
      </c>
      <c r="E1206" s="4" t="s">
        <v>9413</v>
      </c>
      <c r="F1206" s="4" t="s">
        <v>8951</v>
      </c>
      <c r="H1206" s="4" t="s">
        <v>19624</v>
      </c>
    </row>
    <row r="1207" spans="1:8" x14ac:dyDescent="0.2">
      <c r="A1207" s="4" t="str">
        <f t="shared" si="34"/>
        <v>40</v>
      </c>
      <c r="B1207" s="4" t="str">
        <f>"40.0202"</f>
        <v>40.0202</v>
      </c>
      <c r="C1207" s="4" t="s">
        <v>18238</v>
      </c>
      <c r="D1207" s="4" t="s">
        <v>18239</v>
      </c>
      <c r="E1207" s="4" t="s">
        <v>8953</v>
      </c>
      <c r="F1207" s="4" t="s">
        <v>19626</v>
      </c>
      <c r="H1207" s="4" t="s">
        <v>19624</v>
      </c>
    </row>
    <row r="1208" spans="1:8" x14ac:dyDescent="0.2">
      <c r="A1208" s="4" t="str">
        <f t="shared" si="34"/>
        <v>40</v>
      </c>
      <c r="B1208" s="4" t="str">
        <f>"40.0203"</f>
        <v>40.0203</v>
      </c>
      <c r="C1208" s="4" t="s">
        <v>18238</v>
      </c>
      <c r="D1208" s="4" t="s">
        <v>18239</v>
      </c>
      <c r="E1208" s="4" t="s">
        <v>8956</v>
      </c>
      <c r="F1208" s="4" t="s">
        <v>19627</v>
      </c>
      <c r="H1208" s="4" t="s">
        <v>19624</v>
      </c>
    </row>
    <row r="1209" spans="1:8" x14ac:dyDescent="0.2">
      <c r="A1209" s="4" t="str">
        <f t="shared" si="34"/>
        <v>40</v>
      </c>
      <c r="B1209" s="4" t="str">
        <f>"40.0299"</f>
        <v>40.0299</v>
      </c>
      <c r="C1209" s="4" t="s">
        <v>18238</v>
      </c>
      <c r="D1209" s="4" t="s">
        <v>18239</v>
      </c>
      <c r="E1209" s="4" t="s">
        <v>8959</v>
      </c>
      <c r="F1209" s="4" t="s">
        <v>19628</v>
      </c>
      <c r="H1209" s="4" t="s">
        <v>19624</v>
      </c>
    </row>
    <row r="1210" spans="1:8" x14ac:dyDescent="0.2">
      <c r="A1210" s="4" t="str">
        <f t="shared" si="34"/>
        <v>40</v>
      </c>
      <c r="B1210" s="4" t="str">
        <f>"40.04"</f>
        <v>40.04</v>
      </c>
      <c r="C1210" s="4" t="s">
        <v>18238</v>
      </c>
      <c r="D1210" s="4" t="s">
        <v>18239</v>
      </c>
      <c r="E1210" s="4" t="s">
        <v>8964</v>
      </c>
      <c r="F1210" s="4" t="s">
        <v>19629</v>
      </c>
      <c r="H1210" s="4" t="s">
        <v>19624</v>
      </c>
    </row>
    <row r="1211" spans="1:8" x14ac:dyDescent="0.2">
      <c r="A1211" s="4" t="str">
        <f t="shared" si="34"/>
        <v>40</v>
      </c>
      <c r="B1211" s="4" t="str">
        <f>"40.0401"</f>
        <v>40.0401</v>
      </c>
      <c r="C1211" s="4" t="s">
        <v>18238</v>
      </c>
      <c r="D1211" s="4" t="s">
        <v>18239</v>
      </c>
      <c r="E1211" s="4" t="s">
        <v>8966</v>
      </c>
      <c r="F1211" s="4" t="s">
        <v>8967</v>
      </c>
      <c r="H1211" s="4" t="s">
        <v>19624</v>
      </c>
    </row>
    <row r="1212" spans="1:8" x14ac:dyDescent="0.2">
      <c r="A1212" s="4" t="str">
        <f t="shared" si="34"/>
        <v>40</v>
      </c>
      <c r="B1212" s="4" t="str">
        <f>"40.0402"</f>
        <v>40.0402</v>
      </c>
      <c r="C1212" s="4" t="s">
        <v>18238</v>
      </c>
      <c r="D1212" s="4" t="s">
        <v>18239</v>
      </c>
      <c r="E1212" s="4" t="s">
        <v>8969</v>
      </c>
      <c r="F1212" s="4" t="s">
        <v>19630</v>
      </c>
      <c r="H1212" s="4" t="s">
        <v>19624</v>
      </c>
    </row>
    <row r="1213" spans="1:8" x14ac:dyDescent="0.2">
      <c r="A1213" s="4" t="str">
        <f t="shared" si="34"/>
        <v>40</v>
      </c>
      <c r="B1213" s="4" t="str">
        <f>"40.0403"</f>
        <v>40.0403</v>
      </c>
      <c r="C1213" s="4" t="s">
        <v>18238</v>
      </c>
      <c r="D1213" s="4" t="s">
        <v>18239</v>
      </c>
      <c r="E1213" s="4" t="s">
        <v>8972</v>
      </c>
      <c r="F1213" s="4" t="s">
        <v>19631</v>
      </c>
      <c r="H1213" s="4" t="s">
        <v>19632</v>
      </c>
    </row>
    <row r="1214" spans="1:8" x14ac:dyDescent="0.2">
      <c r="A1214" s="4" t="str">
        <f t="shared" si="34"/>
        <v>40</v>
      </c>
      <c r="B1214" s="4" t="str">
        <f>"40.0404"</f>
        <v>40.0404</v>
      </c>
      <c r="C1214" s="4" t="s">
        <v>18238</v>
      </c>
      <c r="D1214" s="4" t="s">
        <v>18239</v>
      </c>
      <c r="E1214" s="4" t="s">
        <v>8975</v>
      </c>
      <c r="F1214" s="4" t="s">
        <v>19633</v>
      </c>
      <c r="H1214" s="4" t="s">
        <v>19632</v>
      </c>
    </row>
    <row r="1215" spans="1:8" x14ac:dyDescent="0.2">
      <c r="A1215" s="4" t="str">
        <f t="shared" si="34"/>
        <v>40</v>
      </c>
      <c r="B1215" s="4" t="str">
        <f>"40.0499"</f>
        <v>40.0499</v>
      </c>
      <c r="C1215" s="4" t="s">
        <v>18238</v>
      </c>
      <c r="D1215" s="4" t="s">
        <v>18239</v>
      </c>
      <c r="E1215" s="4" t="s">
        <v>8978</v>
      </c>
      <c r="F1215" s="4" t="s">
        <v>19634</v>
      </c>
      <c r="H1215" s="4" t="s">
        <v>19632</v>
      </c>
    </row>
    <row r="1216" spans="1:8" x14ac:dyDescent="0.2">
      <c r="A1216" s="4" t="str">
        <f t="shared" si="34"/>
        <v>40</v>
      </c>
      <c r="B1216" s="4" t="str">
        <f>"40.05"</f>
        <v>40.05</v>
      </c>
      <c r="C1216" s="4" t="s">
        <v>18238</v>
      </c>
      <c r="D1216" s="4" t="s">
        <v>18239</v>
      </c>
      <c r="E1216" s="4" t="s">
        <v>10319</v>
      </c>
      <c r="F1216" s="4" t="s">
        <v>19635</v>
      </c>
      <c r="H1216" s="4" t="s">
        <v>19632</v>
      </c>
    </row>
    <row r="1217" spans="1:8" x14ac:dyDescent="0.2">
      <c r="A1217" s="4" t="str">
        <f t="shared" si="34"/>
        <v>40</v>
      </c>
      <c r="B1217" s="4" t="str">
        <f>"40.0501"</f>
        <v>40.0501</v>
      </c>
      <c r="C1217" s="4" t="s">
        <v>18238</v>
      </c>
      <c r="D1217" s="4" t="s">
        <v>18239</v>
      </c>
      <c r="E1217" s="4" t="s">
        <v>10710</v>
      </c>
      <c r="F1217" s="4" t="s">
        <v>8981</v>
      </c>
      <c r="G1217" s="4" t="s">
        <v>19636</v>
      </c>
      <c r="H1217" s="4" t="s">
        <v>19632</v>
      </c>
    </row>
    <row r="1218" spans="1:8" x14ac:dyDescent="0.2">
      <c r="A1218" s="4" t="str">
        <f t="shared" si="34"/>
        <v>40</v>
      </c>
      <c r="B1218" s="4" t="str">
        <f>"40.0502"</f>
        <v>40.0502</v>
      </c>
      <c r="C1218" s="4" t="s">
        <v>18238</v>
      </c>
      <c r="D1218" s="4" t="s">
        <v>18239</v>
      </c>
      <c r="E1218" s="4" t="s">
        <v>8982</v>
      </c>
      <c r="F1218" s="4" t="s">
        <v>8983</v>
      </c>
      <c r="H1218" s="4" t="s">
        <v>19632</v>
      </c>
    </row>
    <row r="1219" spans="1:8" x14ac:dyDescent="0.2">
      <c r="A1219" s="4" t="str">
        <f t="shared" si="34"/>
        <v>40</v>
      </c>
      <c r="B1219" s="4" t="str">
        <f>"40.0503"</f>
        <v>40.0503</v>
      </c>
      <c r="C1219" s="4" t="s">
        <v>18238</v>
      </c>
      <c r="D1219" s="4" t="s">
        <v>18239</v>
      </c>
      <c r="E1219" s="4" t="s">
        <v>8984</v>
      </c>
      <c r="F1219" s="4" t="s">
        <v>8985</v>
      </c>
      <c r="H1219" s="4" t="s">
        <v>19632</v>
      </c>
    </row>
    <row r="1220" spans="1:8" x14ac:dyDescent="0.2">
      <c r="A1220" s="4" t="str">
        <f t="shared" si="34"/>
        <v>40</v>
      </c>
      <c r="B1220" s="4" t="str">
        <f>"40.0504"</f>
        <v>40.0504</v>
      </c>
      <c r="C1220" s="4" t="s">
        <v>18238</v>
      </c>
      <c r="D1220" s="4" t="s">
        <v>18307</v>
      </c>
      <c r="E1220" s="4" t="s">
        <v>8986</v>
      </c>
      <c r="F1220" s="4" t="s">
        <v>19637</v>
      </c>
      <c r="H1220" s="4" t="s">
        <v>19632</v>
      </c>
    </row>
    <row r="1221" spans="1:8" x14ac:dyDescent="0.2">
      <c r="A1221" s="4" t="str">
        <f t="shared" si="34"/>
        <v>40</v>
      </c>
      <c r="B1221" s="4" t="str">
        <f>"40.0506"</f>
        <v>40.0506</v>
      </c>
      <c r="C1221" s="4" t="s">
        <v>18238</v>
      </c>
      <c r="D1221" s="4" t="s">
        <v>18307</v>
      </c>
      <c r="E1221" s="4" t="s">
        <v>19638</v>
      </c>
      <c r="F1221" s="4" t="s">
        <v>19639</v>
      </c>
      <c r="H1221" s="4" t="s">
        <v>19632</v>
      </c>
    </row>
    <row r="1222" spans="1:8" x14ac:dyDescent="0.2">
      <c r="A1222" s="4" t="str">
        <f t="shared" si="34"/>
        <v>40</v>
      </c>
      <c r="B1222" s="4" t="str">
        <f>"40.0507"</f>
        <v>40.0507</v>
      </c>
      <c r="C1222" s="4" t="s">
        <v>18238</v>
      </c>
      <c r="D1222" s="4" t="s">
        <v>18239</v>
      </c>
      <c r="E1222" s="4" t="s">
        <v>10435</v>
      </c>
      <c r="F1222" s="4" t="s">
        <v>19640</v>
      </c>
      <c r="G1222" s="4" t="s">
        <v>19641</v>
      </c>
      <c r="H1222" s="4" t="s">
        <v>19632</v>
      </c>
    </row>
    <row r="1223" spans="1:8" x14ac:dyDescent="0.2">
      <c r="A1223" s="4" t="str">
        <f t="shared" si="34"/>
        <v>40</v>
      </c>
      <c r="B1223" s="4" t="str">
        <f>"40.0508"</f>
        <v>40.0508</v>
      </c>
      <c r="C1223" s="4" t="s">
        <v>18238</v>
      </c>
      <c r="D1223" s="4" t="s">
        <v>18307</v>
      </c>
      <c r="E1223" s="4" t="s">
        <v>8994</v>
      </c>
      <c r="F1223" s="4" t="s">
        <v>19642</v>
      </c>
      <c r="H1223" s="4" t="s">
        <v>19632</v>
      </c>
    </row>
    <row r="1224" spans="1:8" x14ac:dyDescent="0.2">
      <c r="A1224" s="4" t="str">
        <f t="shared" si="34"/>
        <v>40</v>
      </c>
      <c r="B1224" s="4" t="str">
        <f>"40.0509"</f>
        <v>40.0509</v>
      </c>
      <c r="C1224" s="4" t="s">
        <v>18258</v>
      </c>
      <c r="D1224" s="4" t="s">
        <v>18239</v>
      </c>
      <c r="E1224" s="4" t="s">
        <v>19643</v>
      </c>
      <c r="F1224" s="4" t="s">
        <v>19644</v>
      </c>
      <c r="H1224" s="4" t="s">
        <v>19632</v>
      </c>
    </row>
    <row r="1225" spans="1:8" x14ac:dyDescent="0.2">
      <c r="A1225" s="4" t="str">
        <f t="shared" si="34"/>
        <v>40</v>
      </c>
      <c r="B1225" s="4" t="str">
        <f>"40.0510"</f>
        <v>40.0510</v>
      </c>
      <c r="C1225" s="4" t="s">
        <v>18258</v>
      </c>
      <c r="D1225" s="4" t="s">
        <v>18239</v>
      </c>
      <c r="E1225" s="4" t="s">
        <v>19645</v>
      </c>
      <c r="F1225" s="4" t="s">
        <v>19646</v>
      </c>
      <c r="G1225" s="4" t="s">
        <v>19647</v>
      </c>
      <c r="H1225" s="4" t="s">
        <v>19632</v>
      </c>
    </row>
    <row r="1226" spans="1:8" x14ac:dyDescent="0.2">
      <c r="A1226" s="4" t="str">
        <f t="shared" si="34"/>
        <v>40</v>
      </c>
      <c r="B1226" s="4" t="str">
        <f>"40.0511"</f>
        <v>40.0511</v>
      </c>
      <c r="C1226" s="4" t="s">
        <v>18258</v>
      </c>
      <c r="D1226" s="4" t="s">
        <v>18239</v>
      </c>
      <c r="E1226" s="4" t="s">
        <v>19648</v>
      </c>
      <c r="F1226" s="4" t="s">
        <v>19649</v>
      </c>
      <c r="H1226" s="4" t="s">
        <v>19632</v>
      </c>
    </row>
    <row r="1227" spans="1:8" x14ac:dyDescent="0.2">
      <c r="A1227" s="4" t="str">
        <f t="shared" si="34"/>
        <v>40</v>
      </c>
      <c r="B1227" s="4" t="str">
        <f>"40.0599"</f>
        <v>40.0599</v>
      </c>
      <c r="C1227" s="4" t="s">
        <v>18238</v>
      </c>
      <c r="D1227" s="4" t="s">
        <v>18239</v>
      </c>
      <c r="E1227" s="4" t="s">
        <v>8996</v>
      </c>
      <c r="F1227" s="4" t="s">
        <v>8997</v>
      </c>
      <c r="H1227" s="4" t="s">
        <v>19632</v>
      </c>
    </row>
    <row r="1228" spans="1:8" x14ac:dyDescent="0.2">
      <c r="A1228" s="4" t="str">
        <f t="shared" si="34"/>
        <v>40</v>
      </c>
      <c r="B1228" s="4" t="str">
        <f>"40.06"</f>
        <v>40.06</v>
      </c>
      <c r="C1228" s="4" t="s">
        <v>18238</v>
      </c>
      <c r="D1228" s="4" t="s">
        <v>18239</v>
      </c>
      <c r="E1228" s="4" t="s">
        <v>8999</v>
      </c>
      <c r="F1228" s="4" t="s">
        <v>9000</v>
      </c>
      <c r="H1228" s="4" t="s">
        <v>19632</v>
      </c>
    </row>
    <row r="1229" spans="1:8" x14ac:dyDescent="0.2">
      <c r="A1229" s="4" t="str">
        <f t="shared" si="34"/>
        <v>40</v>
      </c>
      <c r="B1229" s="4" t="str">
        <f>"40.0601"</f>
        <v>40.0601</v>
      </c>
      <c r="C1229" s="4" t="s">
        <v>18238</v>
      </c>
      <c r="D1229" s="4" t="s">
        <v>18239</v>
      </c>
      <c r="E1229" s="4" t="s">
        <v>9001</v>
      </c>
      <c r="F1229" s="4" t="s">
        <v>9002</v>
      </c>
      <c r="G1229" s="4" t="s">
        <v>19650</v>
      </c>
      <c r="H1229" s="4" t="s">
        <v>19632</v>
      </c>
    </row>
    <row r="1230" spans="1:8" x14ac:dyDescent="0.2">
      <c r="A1230" s="4" t="str">
        <f t="shared" si="34"/>
        <v>40</v>
      </c>
      <c r="B1230" s="4" t="str">
        <f>"40.0602"</f>
        <v>40.0602</v>
      </c>
      <c r="C1230" s="4" t="s">
        <v>18238</v>
      </c>
      <c r="D1230" s="4" t="s">
        <v>18239</v>
      </c>
      <c r="E1230" s="4" t="s">
        <v>9003</v>
      </c>
      <c r="F1230" s="4" t="s">
        <v>9004</v>
      </c>
      <c r="H1230" s="4" t="s">
        <v>19632</v>
      </c>
    </row>
    <row r="1231" spans="1:8" x14ac:dyDescent="0.2">
      <c r="A1231" s="4" t="str">
        <f t="shared" si="34"/>
        <v>40</v>
      </c>
      <c r="B1231" s="4" t="str">
        <f>"40.0603"</f>
        <v>40.0603</v>
      </c>
      <c r="C1231" s="4" t="s">
        <v>18238</v>
      </c>
      <c r="D1231" s="4" t="s">
        <v>18239</v>
      </c>
      <c r="E1231" s="4" t="s">
        <v>10555</v>
      </c>
      <c r="F1231" s="4" t="s">
        <v>9005</v>
      </c>
      <c r="H1231" s="4" t="s">
        <v>19632</v>
      </c>
    </row>
    <row r="1232" spans="1:8" x14ac:dyDescent="0.2">
      <c r="A1232" s="4" t="str">
        <f t="shared" si="34"/>
        <v>40</v>
      </c>
      <c r="B1232" s="4" t="str">
        <f>"40.0604"</f>
        <v>40.0604</v>
      </c>
      <c r="C1232" s="4" t="s">
        <v>18238</v>
      </c>
      <c r="D1232" s="4" t="s">
        <v>18239</v>
      </c>
      <c r="E1232" s="4" t="s">
        <v>9006</v>
      </c>
      <c r="F1232" s="4" t="s">
        <v>9007</v>
      </c>
      <c r="H1232" s="4" t="s">
        <v>19632</v>
      </c>
    </row>
    <row r="1233" spans="1:8" x14ac:dyDescent="0.2">
      <c r="A1233" s="4" t="str">
        <f t="shared" si="34"/>
        <v>40</v>
      </c>
      <c r="B1233" s="4" t="str">
        <f>"40.0605"</f>
        <v>40.0605</v>
      </c>
      <c r="C1233" s="4" t="s">
        <v>18238</v>
      </c>
      <c r="D1233" s="4" t="s">
        <v>18239</v>
      </c>
      <c r="E1233" s="4" t="s">
        <v>11259</v>
      </c>
      <c r="F1233" s="4" t="s">
        <v>19651</v>
      </c>
      <c r="G1233" s="4" t="s">
        <v>19652</v>
      </c>
      <c r="H1233" s="4" t="s">
        <v>19653</v>
      </c>
    </row>
    <row r="1234" spans="1:8" x14ac:dyDescent="0.2">
      <c r="A1234" s="4" t="str">
        <f t="shared" si="34"/>
        <v>40</v>
      </c>
      <c r="B1234" s="4" t="str">
        <f>"40.0606"</f>
        <v>40.0606</v>
      </c>
      <c r="C1234" s="4" t="s">
        <v>18238</v>
      </c>
      <c r="D1234" s="4" t="s">
        <v>18239</v>
      </c>
      <c r="E1234" s="4" t="s">
        <v>9010</v>
      </c>
      <c r="F1234" s="4" t="s">
        <v>19654</v>
      </c>
      <c r="H1234" s="4" t="s">
        <v>19653</v>
      </c>
    </row>
    <row r="1235" spans="1:8" x14ac:dyDescent="0.2">
      <c r="A1235" s="4" t="str">
        <f t="shared" si="34"/>
        <v>40</v>
      </c>
      <c r="B1235" s="4" t="str">
        <f>"40.0607"</f>
        <v>40.0607</v>
      </c>
      <c r="C1235" s="4" t="s">
        <v>18238</v>
      </c>
      <c r="D1235" s="4" t="s">
        <v>18239</v>
      </c>
      <c r="E1235" s="4" t="s">
        <v>9012</v>
      </c>
      <c r="F1235" s="4" t="s">
        <v>19655</v>
      </c>
      <c r="G1235" s="4" t="s">
        <v>19477</v>
      </c>
      <c r="H1235" s="4" t="s">
        <v>19653</v>
      </c>
    </row>
    <row r="1236" spans="1:8" x14ac:dyDescent="0.2">
      <c r="A1236" s="4" t="str">
        <f t="shared" si="34"/>
        <v>40</v>
      </c>
      <c r="B1236" s="4" t="str">
        <f>"40.0699"</f>
        <v>40.0699</v>
      </c>
      <c r="C1236" s="4" t="s">
        <v>18238</v>
      </c>
      <c r="D1236" s="4" t="s">
        <v>18239</v>
      </c>
      <c r="E1236" s="4" t="s">
        <v>9014</v>
      </c>
      <c r="F1236" s="4" t="s">
        <v>9015</v>
      </c>
      <c r="H1236" s="4" t="s">
        <v>19656</v>
      </c>
    </row>
    <row r="1237" spans="1:8" x14ac:dyDescent="0.2">
      <c r="A1237" s="4" t="str">
        <f t="shared" si="34"/>
        <v>40</v>
      </c>
      <c r="B1237" s="4" t="str">
        <f>"40.08"</f>
        <v>40.08</v>
      </c>
      <c r="C1237" s="4" t="s">
        <v>18238</v>
      </c>
      <c r="D1237" s="4" t="s">
        <v>18239</v>
      </c>
      <c r="E1237" s="4" t="s">
        <v>10736</v>
      </c>
      <c r="F1237" s="4" t="s">
        <v>19657</v>
      </c>
      <c r="H1237" s="4" t="s">
        <v>19656</v>
      </c>
    </row>
    <row r="1238" spans="1:8" x14ac:dyDescent="0.2">
      <c r="A1238" s="4" t="str">
        <f t="shared" si="34"/>
        <v>40</v>
      </c>
      <c r="B1238" s="4" t="str">
        <f>"40.0801"</f>
        <v>40.0801</v>
      </c>
      <c r="C1238" s="4" t="s">
        <v>18238</v>
      </c>
      <c r="D1238" s="4" t="s">
        <v>18239</v>
      </c>
      <c r="E1238" s="4" t="s">
        <v>9025</v>
      </c>
      <c r="F1238" s="4" t="s">
        <v>9026</v>
      </c>
      <c r="G1238" s="4" t="s">
        <v>19658</v>
      </c>
      <c r="H1238" s="4" t="s">
        <v>19656</v>
      </c>
    </row>
    <row r="1239" spans="1:8" x14ac:dyDescent="0.2">
      <c r="A1239" s="4" t="str">
        <f t="shared" si="34"/>
        <v>40</v>
      </c>
      <c r="B1239" s="4" t="str">
        <f>"40.0802"</f>
        <v>40.0802</v>
      </c>
      <c r="C1239" s="4" t="s">
        <v>18238</v>
      </c>
      <c r="D1239" s="4" t="s">
        <v>18307</v>
      </c>
      <c r="E1239" s="4" t="s">
        <v>9028</v>
      </c>
      <c r="F1239" s="4" t="s">
        <v>19659</v>
      </c>
      <c r="H1239" s="4" t="s">
        <v>19656</v>
      </c>
    </row>
    <row r="1240" spans="1:8" x14ac:dyDescent="0.2">
      <c r="A1240" s="4" t="str">
        <f t="shared" si="34"/>
        <v>40</v>
      </c>
      <c r="B1240" s="4" t="str">
        <f>"40.0804"</f>
        <v>40.0804</v>
      </c>
      <c r="C1240" s="4" t="s">
        <v>18238</v>
      </c>
      <c r="D1240" s="4" t="s">
        <v>18239</v>
      </c>
      <c r="E1240" s="4" t="s">
        <v>9030</v>
      </c>
      <c r="F1240" s="4" t="s">
        <v>9031</v>
      </c>
      <c r="H1240" s="4" t="s">
        <v>19656</v>
      </c>
    </row>
    <row r="1241" spans="1:8" x14ac:dyDescent="0.2">
      <c r="A1241" s="4" t="str">
        <f t="shared" si="34"/>
        <v>40</v>
      </c>
      <c r="B1241" s="4" t="str">
        <f>"40.0805"</f>
        <v>40.0805</v>
      </c>
      <c r="C1241" s="4" t="s">
        <v>18238</v>
      </c>
      <c r="D1241" s="4" t="s">
        <v>18239</v>
      </c>
      <c r="E1241" s="4" t="s">
        <v>9032</v>
      </c>
      <c r="F1241" s="4" t="s">
        <v>9033</v>
      </c>
      <c r="H1241" s="4" t="s">
        <v>19656</v>
      </c>
    </row>
    <row r="1242" spans="1:8" x14ac:dyDescent="0.2">
      <c r="A1242" s="4" t="str">
        <f t="shared" si="34"/>
        <v>40</v>
      </c>
      <c r="B1242" s="4" t="str">
        <f>"40.0806"</f>
        <v>40.0806</v>
      </c>
      <c r="C1242" s="4" t="s">
        <v>18238</v>
      </c>
      <c r="D1242" s="4" t="s">
        <v>18307</v>
      </c>
      <c r="E1242" s="4" t="s">
        <v>10402</v>
      </c>
      <c r="F1242" s="4" t="s">
        <v>19660</v>
      </c>
      <c r="G1242" s="4" t="s">
        <v>19661</v>
      </c>
      <c r="H1242" s="4" t="s">
        <v>19662</v>
      </c>
    </row>
    <row r="1243" spans="1:8" x14ac:dyDescent="0.2">
      <c r="A1243" s="4" t="str">
        <f t="shared" si="34"/>
        <v>40</v>
      </c>
      <c r="B1243" s="4" t="str">
        <f>"40.0807"</f>
        <v>40.0807</v>
      </c>
      <c r="C1243" s="4" t="s">
        <v>18238</v>
      </c>
      <c r="D1243" s="4" t="s">
        <v>18239</v>
      </c>
      <c r="E1243" s="4" t="s">
        <v>9035</v>
      </c>
      <c r="F1243" s="4" t="s">
        <v>9036</v>
      </c>
      <c r="G1243" s="4" t="s">
        <v>19663</v>
      </c>
      <c r="H1243" s="4" t="s">
        <v>19664</v>
      </c>
    </row>
    <row r="1244" spans="1:8" x14ac:dyDescent="0.2">
      <c r="A1244" s="4" t="str">
        <f t="shared" si="34"/>
        <v>40</v>
      </c>
      <c r="B1244" s="4" t="str">
        <f>"40.0808"</f>
        <v>40.0808</v>
      </c>
      <c r="C1244" s="4" t="s">
        <v>18238</v>
      </c>
      <c r="D1244" s="4" t="s">
        <v>18307</v>
      </c>
      <c r="E1244" s="4" t="s">
        <v>19665</v>
      </c>
      <c r="F1244" s="4" t="s">
        <v>19666</v>
      </c>
      <c r="H1244" s="4" t="s">
        <v>19664</v>
      </c>
    </row>
    <row r="1245" spans="1:8" x14ac:dyDescent="0.2">
      <c r="A1245" s="4" t="str">
        <f t="shared" si="34"/>
        <v>40</v>
      </c>
      <c r="B1245" s="4" t="str">
        <f>"40.0809"</f>
        <v>40.0809</v>
      </c>
      <c r="C1245" s="4" t="s">
        <v>18238</v>
      </c>
      <c r="D1245" s="4" t="s">
        <v>18239</v>
      </c>
      <c r="E1245" s="4" t="s">
        <v>9039</v>
      </c>
      <c r="F1245" s="4" t="s">
        <v>9040</v>
      </c>
      <c r="H1245" s="4" t="s">
        <v>19664</v>
      </c>
    </row>
    <row r="1246" spans="1:8" x14ac:dyDescent="0.2">
      <c r="A1246" s="4" t="str">
        <f t="shared" si="34"/>
        <v>40</v>
      </c>
      <c r="B1246" s="4" t="str">
        <f>"40.0810"</f>
        <v>40.0810</v>
      </c>
      <c r="C1246" s="4" t="s">
        <v>18238</v>
      </c>
      <c r="D1246" s="4" t="s">
        <v>18239</v>
      </c>
      <c r="E1246" s="4" t="s">
        <v>9041</v>
      </c>
      <c r="F1246" s="4" t="s">
        <v>9042</v>
      </c>
      <c r="H1246" s="4" t="s">
        <v>19664</v>
      </c>
    </row>
    <row r="1247" spans="1:8" x14ac:dyDescent="0.2">
      <c r="A1247" s="4" t="str">
        <f t="shared" si="34"/>
        <v>40</v>
      </c>
      <c r="B1247" s="4" t="str">
        <f>"40.0899"</f>
        <v>40.0899</v>
      </c>
      <c r="C1247" s="4" t="s">
        <v>18238</v>
      </c>
      <c r="D1247" s="4" t="s">
        <v>18239</v>
      </c>
      <c r="E1247" s="4" t="s">
        <v>9043</v>
      </c>
      <c r="F1247" s="4" t="s">
        <v>9044</v>
      </c>
      <c r="H1247" s="4" t="s">
        <v>19667</v>
      </c>
    </row>
    <row r="1248" spans="1:8" x14ac:dyDescent="0.2">
      <c r="A1248" s="4" t="str">
        <f t="shared" si="34"/>
        <v>40</v>
      </c>
      <c r="B1248" s="4" t="str">
        <f>"40.10"</f>
        <v>40.10</v>
      </c>
      <c r="C1248" s="4" t="s">
        <v>19061</v>
      </c>
      <c r="D1248" s="4" t="s">
        <v>18239</v>
      </c>
      <c r="E1248" s="4" t="s">
        <v>19668</v>
      </c>
      <c r="F1248" s="4" t="s">
        <v>19669</v>
      </c>
      <c r="H1248" s="4" t="s">
        <v>19667</v>
      </c>
    </row>
    <row r="1249" spans="1:8" x14ac:dyDescent="0.2">
      <c r="A1249" s="4" t="str">
        <f t="shared" si="34"/>
        <v>40</v>
      </c>
      <c r="B1249" s="4" t="str">
        <f>"40.1001"</f>
        <v>40.1001</v>
      </c>
      <c r="C1249" s="4" t="s">
        <v>19061</v>
      </c>
      <c r="D1249" s="4" t="s">
        <v>18239</v>
      </c>
      <c r="E1249" s="4" t="s">
        <v>10379</v>
      </c>
      <c r="F1249" s="4" t="s">
        <v>10429</v>
      </c>
      <c r="G1249" s="4" t="s">
        <v>19670</v>
      </c>
      <c r="H1249" s="4" t="s">
        <v>19671</v>
      </c>
    </row>
    <row r="1250" spans="1:8" x14ac:dyDescent="0.2">
      <c r="A1250" s="4" t="str">
        <f t="shared" si="34"/>
        <v>40</v>
      </c>
      <c r="B1250" s="4" t="str">
        <f>"40.1002"</f>
        <v>40.1002</v>
      </c>
      <c r="C1250" s="4" t="s">
        <v>18258</v>
      </c>
      <c r="D1250" s="4" t="s">
        <v>18239</v>
      </c>
      <c r="E1250" s="4" t="s">
        <v>19672</v>
      </c>
      <c r="F1250" s="4" t="s">
        <v>19673</v>
      </c>
      <c r="G1250" s="4" t="s">
        <v>19674</v>
      </c>
      <c r="H1250" s="4" t="s">
        <v>19671</v>
      </c>
    </row>
    <row r="1251" spans="1:8" x14ac:dyDescent="0.2">
      <c r="A1251" s="4" t="str">
        <f t="shared" si="34"/>
        <v>40</v>
      </c>
      <c r="B1251" s="4" t="str">
        <f>"40.1099"</f>
        <v>40.1099</v>
      </c>
      <c r="C1251" s="4" t="s">
        <v>18258</v>
      </c>
      <c r="D1251" s="4" t="s">
        <v>18239</v>
      </c>
      <c r="E1251" s="4" t="s">
        <v>19675</v>
      </c>
      <c r="F1251" s="4" t="s">
        <v>19676</v>
      </c>
      <c r="H1251" s="4" t="s">
        <v>19671</v>
      </c>
    </row>
    <row r="1252" spans="1:8" x14ac:dyDescent="0.2">
      <c r="A1252" s="4" t="str">
        <f t="shared" si="34"/>
        <v>40</v>
      </c>
      <c r="B1252" s="4" t="str">
        <f>"40.99"</f>
        <v>40.99</v>
      </c>
      <c r="C1252" s="4" t="s">
        <v>18238</v>
      </c>
      <c r="D1252" s="4" t="s">
        <v>18239</v>
      </c>
      <c r="E1252" s="4" t="s">
        <v>9046</v>
      </c>
      <c r="F1252" s="4" t="s">
        <v>9047</v>
      </c>
      <c r="H1252" s="4" t="s">
        <v>19671</v>
      </c>
    </row>
    <row r="1253" spans="1:8" x14ac:dyDescent="0.2">
      <c r="A1253" s="4" t="str">
        <f t="shared" si="34"/>
        <v>40</v>
      </c>
      <c r="B1253" s="4" t="str">
        <f>"40.9999"</f>
        <v>40.9999</v>
      </c>
      <c r="C1253" s="4" t="s">
        <v>18238</v>
      </c>
      <c r="D1253" s="4" t="s">
        <v>18239</v>
      </c>
      <c r="E1253" s="4" t="s">
        <v>9046</v>
      </c>
      <c r="F1253" s="4" t="s">
        <v>9048</v>
      </c>
      <c r="H1253" s="4" t="s">
        <v>19671</v>
      </c>
    </row>
    <row r="1254" spans="1:8" x14ac:dyDescent="0.2">
      <c r="A1254" s="4" t="str">
        <f>"41"</f>
        <v>41</v>
      </c>
      <c r="B1254" s="4" t="str">
        <f>"41"</f>
        <v>41</v>
      </c>
      <c r="C1254" s="4" t="s">
        <v>18238</v>
      </c>
      <c r="D1254" s="4" t="s">
        <v>18239</v>
      </c>
      <c r="E1254" s="4" t="s">
        <v>9049</v>
      </c>
      <c r="F1254" s="4" t="s">
        <v>9050</v>
      </c>
      <c r="H1254" s="4" t="s">
        <v>19671</v>
      </c>
    </row>
    <row r="1255" spans="1:8" x14ac:dyDescent="0.2">
      <c r="A1255" s="4" t="str">
        <f t="shared" ref="A1255:A1268" si="35">"41"</f>
        <v>41</v>
      </c>
      <c r="B1255" s="4" t="str">
        <f>"41.00"</f>
        <v>41.00</v>
      </c>
      <c r="C1255" s="4" t="s">
        <v>18258</v>
      </c>
      <c r="D1255" s="4" t="s">
        <v>18239</v>
      </c>
      <c r="E1255" s="4" t="s">
        <v>19677</v>
      </c>
      <c r="F1255" s="4" t="s">
        <v>19678</v>
      </c>
      <c r="H1255" s="4" t="s">
        <v>19671</v>
      </c>
    </row>
    <row r="1256" spans="1:8" x14ac:dyDescent="0.2">
      <c r="A1256" s="4" t="str">
        <f t="shared" si="35"/>
        <v>41</v>
      </c>
      <c r="B1256" s="4" t="str">
        <f>"41.0000"</f>
        <v>41.0000</v>
      </c>
      <c r="C1256" s="4" t="s">
        <v>18258</v>
      </c>
      <c r="D1256" s="4" t="s">
        <v>18239</v>
      </c>
      <c r="E1256" s="4" t="s">
        <v>19677</v>
      </c>
      <c r="F1256" s="4" t="s">
        <v>19679</v>
      </c>
      <c r="H1256" s="4" t="s">
        <v>19680</v>
      </c>
    </row>
    <row r="1257" spans="1:8" x14ac:dyDescent="0.2">
      <c r="A1257" s="4" t="str">
        <f t="shared" si="35"/>
        <v>41</v>
      </c>
      <c r="B1257" s="4" t="str">
        <f>"41.01"</f>
        <v>41.01</v>
      </c>
      <c r="C1257" s="4" t="s">
        <v>18238</v>
      </c>
      <c r="D1257" s="4" t="s">
        <v>18239</v>
      </c>
      <c r="E1257" s="4" t="s">
        <v>10308</v>
      </c>
      <c r="F1257" s="4" t="s">
        <v>9052</v>
      </c>
      <c r="H1257" s="4" t="s">
        <v>19680</v>
      </c>
    </row>
    <row r="1258" spans="1:8" x14ac:dyDescent="0.2">
      <c r="A1258" s="4" t="str">
        <f t="shared" si="35"/>
        <v>41</v>
      </c>
      <c r="B1258" s="4" t="str">
        <f>"41.0101"</f>
        <v>41.0101</v>
      </c>
      <c r="C1258" s="4" t="s">
        <v>18238</v>
      </c>
      <c r="D1258" s="4" t="s">
        <v>18239</v>
      </c>
      <c r="E1258" s="4" t="s">
        <v>10308</v>
      </c>
      <c r="F1258" s="4" t="s">
        <v>9053</v>
      </c>
      <c r="G1258" s="4" t="s">
        <v>19681</v>
      </c>
      <c r="H1258" s="4" t="s">
        <v>19680</v>
      </c>
    </row>
    <row r="1259" spans="1:8" x14ac:dyDescent="0.2">
      <c r="A1259" s="4" t="str">
        <f t="shared" si="35"/>
        <v>41</v>
      </c>
      <c r="B1259" s="4" t="str">
        <f>"41.02"</f>
        <v>41.02</v>
      </c>
      <c r="C1259" s="4" t="s">
        <v>18238</v>
      </c>
      <c r="D1259" s="4" t="s">
        <v>18239</v>
      </c>
      <c r="E1259" s="4" t="s">
        <v>9055</v>
      </c>
      <c r="F1259" s="4" t="s">
        <v>9056</v>
      </c>
      <c r="H1259" s="4" t="s">
        <v>19680</v>
      </c>
    </row>
    <row r="1260" spans="1:8" x14ac:dyDescent="0.2">
      <c r="A1260" s="4" t="str">
        <f t="shared" si="35"/>
        <v>41</v>
      </c>
      <c r="B1260" s="4" t="str">
        <f>"41.0204"</f>
        <v>41.0204</v>
      </c>
      <c r="C1260" s="4" t="s">
        <v>18238</v>
      </c>
      <c r="D1260" s="4" t="s">
        <v>18239</v>
      </c>
      <c r="E1260" s="4" t="s">
        <v>9057</v>
      </c>
      <c r="F1260" s="4" t="s">
        <v>9058</v>
      </c>
      <c r="H1260" s="4" t="s">
        <v>19680</v>
      </c>
    </row>
    <row r="1261" spans="1:8" x14ac:dyDescent="0.2">
      <c r="A1261" s="4" t="str">
        <f t="shared" si="35"/>
        <v>41</v>
      </c>
      <c r="B1261" s="4" t="str">
        <f>"41.0205"</f>
        <v>41.0205</v>
      </c>
      <c r="C1261" s="4" t="s">
        <v>18238</v>
      </c>
      <c r="D1261" s="4" t="s">
        <v>18239</v>
      </c>
      <c r="E1261" s="4" t="s">
        <v>10403</v>
      </c>
      <c r="F1261" s="4" t="s">
        <v>9059</v>
      </c>
      <c r="H1261" s="4" t="s">
        <v>19680</v>
      </c>
    </row>
    <row r="1262" spans="1:8" x14ac:dyDescent="0.2">
      <c r="A1262" s="4" t="str">
        <f t="shared" si="35"/>
        <v>41</v>
      </c>
      <c r="B1262" s="4" t="str">
        <f>"41.0299"</f>
        <v>41.0299</v>
      </c>
      <c r="C1262" s="4" t="s">
        <v>18238</v>
      </c>
      <c r="D1262" s="4" t="s">
        <v>18239</v>
      </c>
      <c r="E1262" s="4" t="s">
        <v>9060</v>
      </c>
      <c r="F1262" s="4" t="s">
        <v>9061</v>
      </c>
      <c r="H1262" s="4" t="s">
        <v>19680</v>
      </c>
    </row>
    <row r="1263" spans="1:8" x14ac:dyDescent="0.2">
      <c r="A1263" s="4" t="str">
        <f t="shared" si="35"/>
        <v>41</v>
      </c>
      <c r="B1263" s="4" t="str">
        <f>"41.03"</f>
        <v>41.03</v>
      </c>
      <c r="C1263" s="4" t="s">
        <v>18238</v>
      </c>
      <c r="D1263" s="4" t="s">
        <v>18239</v>
      </c>
      <c r="E1263" s="4" t="s">
        <v>9063</v>
      </c>
      <c r="F1263" s="4" t="s">
        <v>9064</v>
      </c>
      <c r="H1263" s="4" t="s">
        <v>19680</v>
      </c>
    </row>
    <row r="1264" spans="1:8" x14ac:dyDescent="0.2">
      <c r="A1264" s="4" t="str">
        <f t="shared" si="35"/>
        <v>41</v>
      </c>
      <c r="B1264" s="4" t="str">
        <f>"41.0301"</f>
        <v>41.0301</v>
      </c>
      <c r="C1264" s="4" t="s">
        <v>18238</v>
      </c>
      <c r="D1264" s="4" t="s">
        <v>18239</v>
      </c>
      <c r="E1264" s="4" t="s">
        <v>10320</v>
      </c>
      <c r="F1264" s="4" t="s">
        <v>9065</v>
      </c>
      <c r="H1264" s="4" t="s">
        <v>19680</v>
      </c>
    </row>
    <row r="1265" spans="1:8" x14ac:dyDescent="0.2">
      <c r="A1265" s="4" t="str">
        <f t="shared" si="35"/>
        <v>41</v>
      </c>
      <c r="B1265" s="4" t="str">
        <f>"41.0303"</f>
        <v>41.0303</v>
      </c>
      <c r="C1265" s="4" t="s">
        <v>18258</v>
      </c>
      <c r="D1265" s="4" t="s">
        <v>18239</v>
      </c>
      <c r="E1265" s="4" t="s">
        <v>19682</v>
      </c>
      <c r="F1265" s="4" t="s">
        <v>19683</v>
      </c>
      <c r="H1265" s="4" t="s">
        <v>19684</v>
      </c>
    </row>
    <row r="1266" spans="1:8" x14ac:dyDescent="0.2">
      <c r="A1266" s="4" t="str">
        <f t="shared" si="35"/>
        <v>41</v>
      </c>
      <c r="B1266" s="4" t="str">
        <f>"41.0399"</f>
        <v>41.0399</v>
      </c>
      <c r="C1266" s="4" t="s">
        <v>18238</v>
      </c>
      <c r="D1266" s="4" t="s">
        <v>18239</v>
      </c>
      <c r="E1266" s="4" t="s">
        <v>9066</v>
      </c>
      <c r="F1266" s="4" t="s">
        <v>9067</v>
      </c>
      <c r="H1266" s="4" t="s">
        <v>19684</v>
      </c>
    </row>
    <row r="1267" spans="1:8" x14ac:dyDescent="0.2">
      <c r="A1267" s="4" t="str">
        <f t="shared" si="35"/>
        <v>41</v>
      </c>
      <c r="B1267" s="4" t="str">
        <f>"41.99"</f>
        <v>41.99</v>
      </c>
      <c r="C1267" s="4" t="s">
        <v>18238</v>
      </c>
      <c r="D1267" s="4" t="s">
        <v>18239</v>
      </c>
      <c r="E1267" s="4" t="s">
        <v>9069</v>
      </c>
      <c r="F1267" s="4" t="s">
        <v>9070</v>
      </c>
      <c r="H1267" s="4" t="s">
        <v>19684</v>
      </c>
    </row>
    <row r="1268" spans="1:8" x14ac:dyDescent="0.2">
      <c r="A1268" s="4" t="str">
        <f t="shared" si="35"/>
        <v>41</v>
      </c>
      <c r="B1268" s="4" t="str">
        <f>"41.9999"</f>
        <v>41.9999</v>
      </c>
      <c r="C1268" s="4" t="s">
        <v>18238</v>
      </c>
      <c r="D1268" s="4" t="s">
        <v>18239</v>
      </c>
      <c r="E1268" s="4" t="s">
        <v>9069</v>
      </c>
      <c r="F1268" s="4" t="s">
        <v>9071</v>
      </c>
      <c r="H1268" s="4" t="s">
        <v>19684</v>
      </c>
    </row>
    <row r="1269" spans="1:8" x14ac:dyDescent="0.2">
      <c r="A1269" s="4" t="str">
        <f>"42"</f>
        <v>42</v>
      </c>
      <c r="B1269" s="4" t="str">
        <f>"42"</f>
        <v>42</v>
      </c>
      <c r="C1269" s="4" t="s">
        <v>18238</v>
      </c>
      <c r="D1269" s="4" t="s">
        <v>18239</v>
      </c>
      <c r="E1269" s="4" t="s">
        <v>10921</v>
      </c>
      <c r="F1269" s="4" t="s">
        <v>9072</v>
      </c>
      <c r="H1269" s="4" t="s">
        <v>19684</v>
      </c>
    </row>
    <row r="1270" spans="1:8" x14ac:dyDescent="0.2">
      <c r="A1270" s="4" t="str">
        <f t="shared" ref="A1270:A1333" si="36">"42"</f>
        <v>42</v>
      </c>
      <c r="B1270" s="4" t="str">
        <f>"42.01"</f>
        <v>42.01</v>
      </c>
      <c r="C1270" s="4" t="s">
        <v>18238</v>
      </c>
      <c r="D1270" s="4" t="s">
        <v>18239</v>
      </c>
      <c r="E1270" s="4" t="s">
        <v>10681</v>
      </c>
      <c r="F1270" s="4" t="s">
        <v>9074</v>
      </c>
      <c r="H1270" s="4" t="s">
        <v>19684</v>
      </c>
    </row>
    <row r="1271" spans="1:8" x14ac:dyDescent="0.2">
      <c r="A1271" s="4" t="str">
        <f t="shared" si="36"/>
        <v>42</v>
      </c>
      <c r="B1271" s="4" t="str">
        <f>"42.0101"</f>
        <v>42.0101</v>
      </c>
      <c r="C1271" s="4" t="s">
        <v>18238</v>
      </c>
      <c r="D1271" s="4" t="s">
        <v>18239</v>
      </c>
      <c r="E1271" s="4" t="s">
        <v>10681</v>
      </c>
      <c r="F1271" s="4" t="s">
        <v>9075</v>
      </c>
      <c r="G1271" s="4" t="s">
        <v>19685</v>
      </c>
      <c r="H1271" s="4" t="s">
        <v>19684</v>
      </c>
    </row>
    <row r="1272" spans="1:8" x14ac:dyDescent="0.2">
      <c r="A1272" s="4" t="str">
        <f t="shared" si="36"/>
        <v>42</v>
      </c>
      <c r="B1272" s="4" t="str">
        <f>"42.02"</f>
        <v>42.02</v>
      </c>
      <c r="C1272" s="4" t="s">
        <v>6584</v>
      </c>
      <c r="D1272" s="4" t="s">
        <v>18239</v>
      </c>
      <c r="E1272" s="4" t="s">
        <v>9077</v>
      </c>
      <c r="F1272" s="4" t="s">
        <v>6584</v>
      </c>
      <c r="H1272" s="4" t="s">
        <v>19684</v>
      </c>
    </row>
    <row r="1273" spans="1:8" x14ac:dyDescent="0.2">
      <c r="A1273" s="4" t="str">
        <f t="shared" si="36"/>
        <v>42</v>
      </c>
      <c r="B1273" s="4" t="str">
        <f>"42.0201"</f>
        <v>42.0201</v>
      </c>
      <c r="C1273" s="4" t="s">
        <v>18724</v>
      </c>
      <c r="D1273" s="4" t="s">
        <v>18239</v>
      </c>
      <c r="E1273" s="4" t="s">
        <v>9077</v>
      </c>
      <c r="F1273" s="4" t="s">
        <v>19686</v>
      </c>
      <c r="H1273" s="4" t="s">
        <v>19684</v>
      </c>
    </row>
    <row r="1274" spans="1:8" x14ac:dyDescent="0.2">
      <c r="A1274" s="4" t="str">
        <f t="shared" si="36"/>
        <v>42</v>
      </c>
      <c r="B1274" s="4" t="str">
        <f>"42.03"</f>
        <v>42.03</v>
      </c>
      <c r="C1274" s="4" t="s">
        <v>6584</v>
      </c>
      <c r="D1274" s="4" t="s">
        <v>18239</v>
      </c>
      <c r="E1274" s="4" t="s">
        <v>10193</v>
      </c>
      <c r="F1274" s="4" t="s">
        <v>6584</v>
      </c>
      <c r="H1274" s="4" t="s">
        <v>19684</v>
      </c>
    </row>
    <row r="1275" spans="1:8" x14ac:dyDescent="0.2">
      <c r="A1275" s="4" t="str">
        <f t="shared" si="36"/>
        <v>42</v>
      </c>
      <c r="B1275" s="4" t="str">
        <f>"42.0301"</f>
        <v>42.0301</v>
      </c>
      <c r="C1275" s="4" t="s">
        <v>18724</v>
      </c>
      <c r="D1275" s="4" t="s">
        <v>18239</v>
      </c>
      <c r="E1275" s="4" t="s">
        <v>10193</v>
      </c>
      <c r="F1275" s="4" t="s">
        <v>19687</v>
      </c>
      <c r="H1275" s="4" t="s">
        <v>19684</v>
      </c>
    </row>
    <row r="1276" spans="1:8" x14ac:dyDescent="0.2">
      <c r="A1276" s="4" t="str">
        <f t="shared" si="36"/>
        <v>42</v>
      </c>
      <c r="B1276" s="4" t="str">
        <f>"42.04"</f>
        <v>42.04</v>
      </c>
      <c r="C1276" s="4" t="s">
        <v>6584</v>
      </c>
      <c r="D1276" s="4" t="s">
        <v>18239</v>
      </c>
      <c r="E1276" s="4" t="s">
        <v>10588</v>
      </c>
      <c r="F1276" s="4" t="s">
        <v>6584</v>
      </c>
      <c r="H1276" s="4" t="s">
        <v>19684</v>
      </c>
    </row>
    <row r="1277" spans="1:8" x14ac:dyDescent="0.2">
      <c r="A1277" s="4" t="str">
        <f t="shared" si="36"/>
        <v>42</v>
      </c>
      <c r="B1277" s="4" t="str">
        <f>"42.0401"</f>
        <v>42.0401</v>
      </c>
      <c r="C1277" s="4" t="s">
        <v>18724</v>
      </c>
      <c r="D1277" s="4" t="s">
        <v>18239</v>
      </c>
      <c r="E1277" s="4" t="s">
        <v>10588</v>
      </c>
      <c r="F1277" s="4" t="s">
        <v>19688</v>
      </c>
      <c r="H1277" s="4" t="s">
        <v>19684</v>
      </c>
    </row>
    <row r="1278" spans="1:8" x14ac:dyDescent="0.2">
      <c r="A1278" s="4" t="str">
        <f t="shared" si="36"/>
        <v>42</v>
      </c>
      <c r="B1278" s="4" t="str">
        <f>"42.05"</f>
        <v>42.05</v>
      </c>
      <c r="C1278" s="4" t="s">
        <v>6584</v>
      </c>
      <c r="D1278" s="4" t="s">
        <v>18239</v>
      </c>
      <c r="E1278" s="4" t="s">
        <v>10595</v>
      </c>
      <c r="F1278" s="4" t="s">
        <v>6584</v>
      </c>
      <c r="H1278" s="4" t="s">
        <v>19684</v>
      </c>
    </row>
    <row r="1279" spans="1:8" x14ac:dyDescent="0.2">
      <c r="A1279" s="4" t="str">
        <f t="shared" si="36"/>
        <v>42</v>
      </c>
      <c r="B1279" s="4" t="str">
        <f>"42.0501"</f>
        <v>42.0501</v>
      </c>
      <c r="C1279" s="4" t="s">
        <v>18724</v>
      </c>
      <c r="D1279" s="4" t="s">
        <v>18239</v>
      </c>
      <c r="E1279" s="4" t="s">
        <v>10595</v>
      </c>
      <c r="F1279" s="4" t="s">
        <v>19689</v>
      </c>
      <c r="H1279" s="4" t="s">
        <v>19684</v>
      </c>
    </row>
    <row r="1280" spans="1:8" x14ac:dyDescent="0.2">
      <c r="A1280" s="4" t="str">
        <f t="shared" si="36"/>
        <v>42</v>
      </c>
      <c r="B1280" s="4" t="str">
        <f>"42.06"</f>
        <v>42.06</v>
      </c>
      <c r="C1280" s="4" t="s">
        <v>6584</v>
      </c>
      <c r="D1280" s="4" t="s">
        <v>18239</v>
      </c>
      <c r="E1280" s="4" t="s">
        <v>10600</v>
      </c>
      <c r="F1280" s="4" t="s">
        <v>6584</v>
      </c>
      <c r="H1280" s="4" t="s">
        <v>19684</v>
      </c>
    </row>
    <row r="1281" spans="1:8" x14ac:dyDescent="0.2">
      <c r="A1281" s="4" t="str">
        <f t="shared" si="36"/>
        <v>42</v>
      </c>
      <c r="B1281" s="4" t="str">
        <f>"42.0601"</f>
        <v>42.0601</v>
      </c>
      <c r="C1281" s="4" t="s">
        <v>18724</v>
      </c>
      <c r="D1281" s="4" t="s">
        <v>18239</v>
      </c>
      <c r="E1281" s="4" t="s">
        <v>10600</v>
      </c>
      <c r="F1281" s="4" t="s">
        <v>19690</v>
      </c>
      <c r="H1281" s="4" t="s">
        <v>19684</v>
      </c>
    </row>
    <row r="1282" spans="1:8" x14ac:dyDescent="0.2">
      <c r="A1282" s="4" t="str">
        <f t="shared" si="36"/>
        <v>42</v>
      </c>
      <c r="B1282" s="4" t="str">
        <f>"42.07"</f>
        <v>42.07</v>
      </c>
      <c r="C1282" s="4" t="s">
        <v>6584</v>
      </c>
      <c r="D1282" s="4" t="s">
        <v>18239</v>
      </c>
      <c r="E1282" s="4" t="s">
        <v>11077</v>
      </c>
      <c r="F1282" s="4" t="s">
        <v>6584</v>
      </c>
      <c r="H1282" s="4" t="s">
        <v>19684</v>
      </c>
    </row>
    <row r="1283" spans="1:8" x14ac:dyDescent="0.2">
      <c r="A1283" s="4" t="str">
        <f t="shared" si="36"/>
        <v>42</v>
      </c>
      <c r="B1283" s="4" t="str">
        <f>"42.0701"</f>
        <v>42.0701</v>
      </c>
      <c r="C1283" s="4" t="s">
        <v>18724</v>
      </c>
      <c r="D1283" s="4" t="s">
        <v>18239</v>
      </c>
      <c r="E1283" s="4" t="s">
        <v>11077</v>
      </c>
      <c r="F1283" s="4" t="s">
        <v>19691</v>
      </c>
      <c r="H1283" s="4" t="s">
        <v>19684</v>
      </c>
    </row>
    <row r="1284" spans="1:8" x14ac:dyDescent="0.2">
      <c r="A1284" s="4" t="str">
        <f t="shared" si="36"/>
        <v>42</v>
      </c>
      <c r="B1284" s="4" t="str">
        <f>"42.08"</f>
        <v>42.08</v>
      </c>
      <c r="C1284" s="4" t="s">
        <v>6584</v>
      </c>
      <c r="D1284" s="4" t="s">
        <v>18239</v>
      </c>
      <c r="E1284" s="4" t="s">
        <v>11083</v>
      </c>
      <c r="F1284" s="4" t="s">
        <v>6584</v>
      </c>
      <c r="H1284" s="4" t="s">
        <v>19684</v>
      </c>
    </row>
    <row r="1285" spans="1:8" x14ac:dyDescent="0.2">
      <c r="A1285" s="4" t="str">
        <f t="shared" si="36"/>
        <v>42</v>
      </c>
      <c r="B1285" s="4" t="str">
        <f>"42.0801"</f>
        <v>42.0801</v>
      </c>
      <c r="C1285" s="4" t="s">
        <v>18724</v>
      </c>
      <c r="D1285" s="4" t="s">
        <v>18239</v>
      </c>
      <c r="E1285" s="4" t="s">
        <v>11083</v>
      </c>
      <c r="F1285" s="4" t="s">
        <v>19692</v>
      </c>
      <c r="H1285" s="4" t="s">
        <v>19684</v>
      </c>
    </row>
    <row r="1286" spans="1:8" x14ac:dyDescent="0.2">
      <c r="A1286" s="4" t="str">
        <f t="shared" si="36"/>
        <v>42</v>
      </c>
      <c r="B1286" s="4" t="str">
        <f>"42.09"</f>
        <v>42.09</v>
      </c>
      <c r="C1286" s="4" t="s">
        <v>6584</v>
      </c>
      <c r="D1286" s="4" t="s">
        <v>18239</v>
      </c>
      <c r="E1286" s="4" t="s">
        <v>11087</v>
      </c>
      <c r="F1286" s="4" t="s">
        <v>6584</v>
      </c>
      <c r="H1286" s="4" t="s">
        <v>19684</v>
      </c>
    </row>
    <row r="1287" spans="1:8" x14ac:dyDescent="0.2">
      <c r="A1287" s="4" t="str">
        <f t="shared" si="36"/>
        <v>42</v>
      </c>
      <c r="B1287" s="4" t="str">
        <f>"42.0901"</f>
        <v>42.0901</v>
      </c>
      <c r="C1287" s="4" t="s">
        <v>18724</v>
      </c>
      <c r="D1287" s="4" t="s">
        <v>18239</v>
      </c>
      <c r="E1287" s="4" t="s">
        <v>11087</v>
      </c>
      <c r="F1287" s="4" t="s">
        <v>19693</v>
      </c>
      <c r="H1287" s="4" t="s">
        <v>19684</v>
      </c>
    </row>
    <row r="1288" spans="1:8" x14ac:dyDescent="0.2">
      <c r="A1288" s="4" t="str">
        <f t="shared" si="36"/>
        <v>42</v>
      </c>
      <c r="B1288" s="4" t="str">
        <f>"42.10"</f>
        <v>42.10</v>
      </c>
      <c r="C1288" s="4" t="s">
        <v>6584</v>
      </c>
      <c r="D1288" s="4" t="s">
        <v>18239</v>
      </c>
      <c r="E1288" s="4" t="s">
        <v>9085</v>
      </c>
      <c r="F1288" s="4" t="s">
        <v>6584</v>
      </c>
      <c r="H1288" s="4" t="s">
        <v>19684</v>
      </c>
    </row>
    <row r="1289" spans="1:8" x14ac:dyDescent="0.2">
      <c r="A1289" s="4" t="str">
        <f t="shared" si="36"/>
        <v>42</v>
      </c>
      <c r="B1289" s="4" t="str">
        <f>"42.1001"</f>
        <v>42.1001</v>
      </c>
      <c r="C1289" s="4" t="s">
        <v>18724</v>
      </c>
      <c r="D1289" s="4" t="s">
        <v>18239</v>
      </c>
      <c r="E1289" s="4" t="s">
        <v>9085</v>
      </c>
      <c r="F1289" s="4" t="s">
        <v>19694</v>
      </c>
      <c r="H1289" s="4" t="s">
        <v>19684</v>
      </c>
    </row>
    <row r="1290" spans="1:8" x14ac:dyDescent="0.2">
      <c r="A1290" s="4" t="str">
        <f t="shared" si="36"/>
        <v>42</v>
      </c>
      <c r="B1290" s="4" t="str">
        <f>"42.11"</f>
        <v>42.11</v>
      </c>
      <c r="C1290" s="4" t="s">
        <v>6584</v>
      </c>
      <c r="D1290" s="4" t="s">
        <v>18239</v>
      </c>
      <c r="E1290" s="4" t="s">
        <v>9221</v>
      </c>
      <c r="F1290" s="4" t="s">
        <v>6584</v>
      </c>
      <c r="H1290" s="4" t="s">
        <v>19684</v>
      </c>
    </row>
    <row r="1291" spans="1:8" x14ac:dyDescent="0.2">
      <c r="A1291" s="4" t="str">
        <f t="shared" si="36"/>
        <v>42</v>
      </c>
      <c r="B1291" s="4" t="str">
        <f>"42.1101"</f>
        <v>42.1101</v>
      </c>
      <c r="C1291" s="4" t="s">
        <v>18724</v>
      </c>
      <c r="D1291" s="4" t="s">
        <v>18239</v>
      </c>
      <c r="E1291" s="4" t="s">
        <v>9221</v>
      </c>
      <c r="F1291" s="4" t="s">
        <v>19695</v>
      </c>
      <c r="H1291" s="4" t="s">
        <v>19684</v>
      </c>
    </row>
    <row r="1292" spans="1:8" x14ac:dyDescent="0.2">
      <c r="A1292" s="4" t="str">
        <f t="shared" si="36"/>
        <v>42</v>
      </c>
      <c r="B1292" s="4" t="str">
        <f>"42.16"</f>
        <v>42.16</v>
      </c>
      <c r="C1292" s="4" t="s">
        <v>6584</v>
      </c>
      <c r="D1292" s="4" t="s">
        <v>18239</v>
      </c>
      <c r="E1292" s="4" t="s">
        <v>9093</v>
      </c>
      <c r="F1292" s="4" t="s">
        <v>6584</v>
      </c>
      <c r="H1292" s="4" t="s">
        <v>19684</v>
      </c>
    </row>
    <row r="1293" spans="1:8" x14ac:dyDescent="0.2">
      <c r="A1293" s="4" t="str">
        <f t="shared" si="36"/>
        <v>42</v>
      </c>
      <c r="B1293" s="4" t="str">
        <f>"42.1601"</f>
        <v>42.1601</v>
      </c>
      <c r="C1293" s="4" t="s">
        <v>18724</v>
      </c>
      <c r="D1293" s="4" t="s">
        <v>18239</v>
      </c>
      <c r="E1293" s="4" t="s">
        <v>9093</v>
      </c>
      <c r="F1293" s="4" t="s">
        <v>19696</v>
      </c>
      <c r="H1293" s="4" t="s">
        <v>19684</v>
      </c>
    </row>
    <row r="1294" spans="1:8" x14ac:dyDescent="0.2">
      <c r="A1294" s="4" t="str">
        <f t="shared" si="36"/>
        <v>42</v>
      </c>
      <c r="B1294" s="4" t="str">
        <f>"42.17"</f>
        <v>42.17</v>
      </c>
      <c r="C1294" s="4" t="s">
        <v>6584</v>
      </c>
      <c r="D1294" s="4" t="s">
        <v>18239</v>
      </c>
      <c r="E1294" s="4" t="s">
        <v>9097</v>
      </c>
      <c r="F1294" s="4" t="s">
        <v>6584</v>
      </c>
      <c r="H1294" s="4" t="s">
        <v>19684</v>
      </c>
    </row>
    <row r="1295" spans="1:8" x14ac:dyDescent="0.2">
      <c r="A1295" s="4" t="str">
        <f t="shared" si="36"/>
        <v>42</v>
      </c>
      <c r="B1295" s="4" t="str">
        <f>"42.1701"</f>
        <v>42.1701</v>
      </c>
      <c r="C1295" s="4" t="s">
        <v>18724</v>
      </c>
      <c r="D1295" s="4" t="s">
        <v>18239</v>
      </c>
      <c r="E1295" s="4" t="s">
        <v>9097</v>
      </c>
      <c r="F1295" s="4" t="s">
        <v>19697</v>
      </c>
      <c r="H1295" s="4" t="s">
        <v>19684</v>
      </c>
    </row>
    <row r="1296" spans="1:8" x14ac:dyDescent="0.2">
      <c r="A1296" s="4" t="str">
        <f t="shared" si="36"/>
        <v>42</v>
      </c>
      <c r="B1296" s="4" t="str">
        <f>"42.18"</f>
        <v>42.18</v>
      </c>
      <c r="C1296" s="4" t="s">
        <v>6584</v>
      </c>
      <c r="D1296" s="4" t="s">
        <v>18239</v>
      </c>
      <c r="E1296" s="4" t="s">
        <v>11115</v>
      </c>
      <c r="F1296" s="4" t="s">
        <v>6584</v>
      </c>
      <c r="H1296" s="4" t="s">
        <v>19684</v>
      </c>
    </row>
    <row r="1297" spans="1:8" x14ac:dyDescent="0.2">
      <c r="A1297" s="4" t="str">
        <f t="shared" si="36"/>
        <v>42</v>
      </c>
      <c r="B1297" s="4" t="str">
        <f>"42.1801"</f>
        <v>42.1801</v>
      </c>
      <c r="C1297" s="4" t="s">
        <v>18724</v>
      </c>
      <c r="D1297" s="4" t="s">
        <v>18239</v>
      </c>
      <c r="E1297" s="4" t="s">
        <v>11115</v>
      </c>
      <c r="F1297" s="4" t="s">
        <v>19698</v>
      </c>
      <c r="H1297" s="4" t="s">
        <v>19684</v>
      </c>
    </row>
    <row r="1298" spans="1:8" x14ac:dyDescent="0.2">
      <c r="A1298" s="4" t="str">
        <f t="shared" si="36"/>
        <v>42</v>
      </c>
      <c r="B1298" s="4" t="str">
        <f>"42.19"</f>
        <v>42.19</v>
      </c>
      <c r="C1298" s="4" t="s">
        <v>6584</v>
      </c>
      <c r="D1298" s="4" t="s">
        <v>18239</v>
      </c>
      <c r="E1298" s="4" t="s">
        <v>9179</v>
      </c>
      <c r="F1298" s="4" t="s">
        <v>6584</v>
      </c>
      <c r="H1298" s="4" t="s">
        <v>19684</v>
      </c>
    </row>
    <row r="1299" spans="1:8" x14ac:dyDescent="0.2">
      <c r="A1299" s="4" t="str">
        <f t="shared" si="36"/>
        <v>42</v>
      </c>
      <c r="B1299" s="4" t="str">
        <f>"42.1901"</f>
        <v>42.1901</v>
      </c>
      <c r="C1299" s="4" t="s">
        <v>18724</v>
      </c>
      <c r="D1299" s="4" t="s">
        <v>18239</v>
      </c>
      <c r="E1299" s="4" t="s">
        <v>9179</v>
      </c>
      <c r="F1299" s="4" t="s">
        <v>19699</v>
      </c>
      <c r="H1299" s="4" t="s">
        <v>19684</v>
      </c>
    </row>
    <row r="1300" spans="1:8" x14ac:dyDescent="0.2">
      <c r="A1300" s="4" t="str">
        <f t="shared" si="36"/>
        <v>42</v>
      </c>
      <c r="B1300" s="4" t="str">
        <f>"42.20"</f>
        <v>42.20</v>
      </c>
      <c r="C1300" s="4" t="s">
        <v>6584</v>
      </c>
      <c r="D1300" s="4" t="s">
        <v>18239</v>
      </c>
      <c r="E1300" s="4" t="s">
        <v>11081</v>
      </c>
      <c r="F1300" s="4" t="s">
        <v>6584</v>
      </c>
      <c r="H1300" s="4" t="s">
        <v>19684</v>
      </c>
    </row>
    <row r="1301" spans="1:8" x14ac:dyDescent="0.2">
      <c r="A1301" s="4" t="str">
        <f t="shared" si="36"/>
        <v>42</v>
      </c>
      <c r="B1301" s="4" t="str">
        <f>"42.2001"</f>
        <v>42.2001</v>
      </c>
      <c r="C1301" s="4" t="s">
        <v>18724</v>
      </c>
      <c r="D1301" s="4" t="s">
        <v>18239</v>
      </c>
      <c r="E1301" s="4" t="s">
        <v>11081</v>
      </c>
      <c r="F1301" s="4" t="s">
        <v>19700</v>
      </c>
      <c r="H1301" s="4" t="s">
        <v>19684</v>
      </c>
    </row>
    <row r="1302" spans="1:8" x14ac:dyDescent="0.2">
      <c r="A1302" s="4" t="str">
        <f t="shared" si="36"/>
        <v>42</v>
      </c>
      <c r="B1302" s="4" t="str">
        <f>"42.21"</f>
        <v>42.21</v>
      </c>
      <c r="C1302" s="4" t="s">
        <v>6584</v>
      </c>
      <c r="D1302" s="4" t="s">
        <v>18239</v>
      </c>
      <c r="E1302" s="4" t="s">
        <v>9111</v>
      </c>
      <c r="F1302" s="4" t="s">
        <v>6584</v>
      </c>
      <c r="H1302" s="4" t="s">
        <v>19684</v>
      </c>
    </row>
    <row r="1303" spans="1:8" x14ac:dyDescent="0.2">
      <c r="A1303" s="4" t="str">
        <f t="shared" si="36"/>
        <v>42</v>
      </c>
      <c r="B1303" s="4" t="str">
        <f>"42.2101"</f>
        <v>42.2101</v>
      </c>
      <c r="C1303" s="4" t="s">
        <v>18724</v>
      </c>
      <c r="D1303" s="4" t="s">
        <v>18239</v>
      </c>
      <c r="E1303" s="4" t="s">
        <v>9111</v>
      </c>
      <c r="F1303" s="4" t="s">
        <v>19701</v>
      </c>
      <c r="H1303" s="4" t="s">
        <v>19684</v>
      </c>
    </row>
    <row r="1304" spans="1:8" x14ac:dyDescent="0.2">
      <c r="A1304" s="4" t="str">
        <f t="shared" si="36"/>
        <v>42</v>
      </c>
      <c r="B1304" s="4" t="str">
        <f>"42.22"</f>
        <v>42.22</v>
      </c>
      <c r="C1304" s="4" t="s">
        <v>6584</v>
      </c>
      <c r="D1304" s="4" t="s">
        <v>18239</v>
      </c>
      <c r="E1304" s="4" t="s">
        <v>9226</v>
      </c>
      <c r="F1304" s="4" t="s">
        <v>6584</v>
      </c>
      <c r="H1304" s="4" t="s">
        <v>19684</v>
      </c>
    </row>
    <row r="1305" spans="1:8" x14ac:dyDescent="0.2">
      <c r="A1305" s="4" t="str">
        <f t="shared" si="36"/>
        <v>42</v>
      </c>
      <c r="B1305" s="4" t="str">
        <f>"42.2201"</f>
        <v>42.2201</v>
      </c>
      <c r="C1305" s="4" t="s">
        <v>18724</v>
      </c>
      <c r="D1305" s="4" t="s">
        <v>18239</v>
      </c>
      <c r="E1305" s="4" t="s">
        <v>9226</v>
      </c>
      <c r="F1305" s="4" t="s">
        <v>19702</v>
      </c>
      <c r="H1305" s="4" t="s">
        <v>19684</v>
      </c>
    </row>
    <row r="1306" spans="1:8" x14ac:dyDescent="0.2">
      <c r="A1306" s="4" t="str">
        <f t="shared" si="36"/>
        <v>42</v>
      </c>
      <c r="B1306" s="4" t="str">
        <f>"42.23"</f>
        <v>42.23</v>
      </c>
      <c r="C1306" s="4" t="s">
        <v>6584</v>
      </c>
      <c r="D1306" s="4" t="s">
        <v>18239</v>
      </c>
      <c r="E1306" s="4" t="s">
        <v>9119</v>
      </c>
      <c r="F1306" s="4" t="s">
        <v>6584</v>
      </c>
      <c r="H1306" s="4" t="s">
        <v>19684</v>
      </c>
    </row>
    <row r="1307" spans="1:8" x14ac:dyDescent="0.2">
      <c r="A1307" s="4" t="str">
        <f t="shared" si="36"/>
        <v>42</v>
      </c>
      <c r="B1307" s="4" t="str">
        <f>"42.2301"</f>
        <v>42.2301</v>
      </c>
      <c r="C1307" s="4" t="s">
        <v>18724</v>
      </c>
      <c r="D1307" s="4" t="s">
        <v>18239</v>
      </c>
      <c r="E1307" s="4" t="s">
        <v>9122</v>
      </c>
      <c r="F1307" s="4" t="s">
        <v>19703</v>
      </c>
      <c r="H1307" s="4" t="s">
        <v>19684</v>
      </c>
    </row>
    <row r="1308" spans="1:8" x14ac:dyDescent="0.2">
      <c r="A1308" s="4" t="str">
        <f t="shared" si="36"/>
        <v>42</v>
      </c>
      <c r="B1308" s="4" t="str">
        <f>"42.24"</f>
        <v>42.24</v>
      </c>
      <c r="C1308" s="4" t="s">
        <v>6584</v>
      </c>
      <c r="D1308" s="4" t="s">
        <v>18239</v>
      </c>
      <c r="E1308" s="4" t="s">
        <v>9125</v>
      </c>
      <c r="F1308" s="4" t="s">
        <v>6584</v>
      </c>
      <c r="H1308" s="4" t="s">
        <v>19684</v>
      </c>
    </row>
    <row r="1309" spans="1:8" x14ac:dyDescent="0.2">
      <c r="A1309" s="4" t="str">
        <f t="shared" si="36"/>
        <v>42</v>
      </c>
      <c r="B1309" s="4" t="str">
        <f>"42.2401"</f>
        <v>42.2401</v>
      </c>
      <c r="C1309" s="4" t="s">
        <v>18724</v>
      </c>
      <c r="D1309" s="4" t="s">
        <v>18239</v>
      </c>
      <c r="E1309" s="4" t="s">
        <v>9125</v>
      </c>
      <c r="F1309" s="4" t="s">
        <v>19704</v>
      </c>
      <c r="H1309" s="4" t="s">
        <v>19684</v>
      </c>
    </row>
    <row r="1310" spans="1:8" x14ac:dyDescent="0.2">
      <c r="A1310" s="4" t="str">
        <f t="shared" si="36"/>
        <v>42</v>
      </c>
      <c r="B1310" s="4" t="str">
        <f>"42.25"</f>
        <v>42.25</v>
      </c>
      <c r="C1310" s="4" t="s">
        <v>6584</v>
      </c>
      <c r="D1310" s="4" t="s">
        <v>18239</v>
      </c>
      <c r="E1310" s="4" t="s">
        <v>10062</v>
      </c>
      <c r="F1310" s="4" t="s">
        <v>6584</v>
      </c>
      <c r="H1310" s="4" t="s">
        <v>19684</v>
      </c>
    </row>
    <row r="1311" spans="1:8" x14ac:dyDescent="0.2">
      <c r="A1311" s="4" t="str">
        <f t="shared" si="36"/>
        <v>42</v>
      </c>
      <c r="B1311" s="4" t="str">
        <f>"42.2501"</f>
        <v>42.2501</v>
      </c>
      <c r="C1311" s="4" t="s">
        <v>18724</v>
      </c>
      <c r="D1311" s="4" t="s">
        <v>18239</v>
      </c>
      <c r="E1311" s="4" t="s">
        <v>10062</v>
      </c>
      <c r="F1311" s="4" t="s">
        <v>19705</v>
      </c>
      <c r="H1311" s="4" t="s">
        <v>19684</v>
      </c>
    </row>
    <row r="1312" spans="1:8" x14ac:dyDescent="0.2">
      <c r="A1312" s="4" t="str">
        <f t="shared" si="36"/>
        <v>42</v>
      </c>
      <c r="B1312" s="4" t="str">
        <f>"42.26"</f>
        <v>42.26</v>
      </c>
      <c r="C1312" s="4" t="s">
        <v>6584</v>
      </c>
      <c r="D1312" s="4" t="s">
        <v>18239</v>
      </c>
      <c r="E1312" s="4" t="s">
        <v>9133</v>
      </c>
      <c r="F1312" s="4" t="s">
        <v>6584</v>
      </c>
      <c r="H1312" s="4" t="s">
        <v>19684</v>
      </c>
    </row>
    <row r="1313" spans="1:8" x14ac:dyDescent="0.2">
      <c r="A1313" s="4" t="str">
        <f t="shared" si="36"/>
        <v>42</v>
      </c>
      <c r="B1313" s="4" t="str">
        <f>"42.2601"</f>
        <v>42.2601</v>
      </c>
      <c r="C1313" s="4" t="s">
        <v>18724</v>
      </c>
      <c r="D1313" s="4" t="s">
        <v>18239</v>
      </c>
      <c r="E1313" s="4" t="s">
        <v>9133</v>
      </c>
      <c r="F1313" s="4" t="s">
        <v>19706</v>
      </c>
      <c r="H1313" s="4" t="s">
        <v>19684</v>
      </c>
    </row>
    <row r="1314" spans="1:8" x14ac:dyDescent="0.2">
      <c r="A1314" s="4" t="str">
        <f t="shared" si="36"/>
        <v>42</v>
      </c>
      <c r="B1314" s="4" t="str">
        <f>"42.27"</f>
        <v>42.27</v>
      </c>
      <c r="C1314" s="4" t="s">
        <v>18258</v>
      </c>
      <c r="D1314" s="4" t="s">
        <v>18239</v>
      </c>
      <c r="E1314" s="4" t="s">
        <v>19707</v>
      </c>
      <c r="F1314" s="4" t="s">
        <v>19708</v>
      </c>
      <c r="H1314" s="4" t="s">
        <v>19684</v>
      </c>
    </row>
    <row r="1315" spans="1:8" x14ac:dyDescent="0.2">
      <c r="A1315" s="4" t="str">
        <f t="shared" si="36"/>
        <v>42</v>
      </c>
      <c r="B1315" s="4" t="str">
        <f>"42.2701"</f>
        <v>42.2701</v>
      </c>
      <c r="C1315" s="4" t="s">
        <v>19061</v>
      </c>
      <c r="D1315" s="4" t="s">
        <v>18239</v>
      </c>
      <c r="E1315" s="4" t="s">
        <v>10193</v>
      </c>
      <c r="F1315" s="4" t="s">
        <v>9082</v>
      </c>
      <c r="H1315" s="4" t="s">
        <v>19684</v>
      </c>
    </row>
    <row r="1316" spans="1:8" x14ac:dyDescent="0.2">
      <c r="A1316" s="4" t="str">
        <f t="shared" si="36"/>
        <v>42</v>
      </c>
      <c r="B1316" s="4" t="str">
        <f>"42.2702"</f>
        <v>42.2702</v>
      </c>
      <c r="C1316" s="4" t="s">
        <v>19061</v>
      </c>
      <c r="D1316" s="4" t="s">
        <v>18239</v>
      </c>
      <c r="E1316" s="4" t="s">
        <v>10595</v>
      </c>
      <c r="F1316" s="4" t="s">
        <v>19709</v>
      </c>
      <c r="H1316" s="4" t="s">
        <v>19684</v>
      </c>
    </row>
    <row r="1317" spans="1:8" x14ac:dyDescent="0.2">
      <c r="A1317" s="4" t="str">
        <f t="shared" si="36"/>
        <v>42</v>
      </c>
      <c r="B1317" s="4" t="str">
        <f>"42.2703"</f>
        <v>42.2703</v>
      </c>
      <c r="C1317" s="4" t="s">
        <v>19061</v>
      </c>
      <c r="D1317" s="4" t="s">
        <v>18239</v>
      </c>
      <c r="E1317" s="4" t="s">
        <v>11077</v>
      </c>
      <c r="F1317" s="4" t="s">
        <v>19710</v>
      </c>
      <c r="H1317" s="4" t="s">
        <v>19684</v>
      </c>
    </row>
    <row r="1318" spans="1:8" x14ac:dyDescent="0.2">
      <c r="A1318" s="4" t="str">
        <f t="shared" si="36"/>
        <v>42</v>
      </c>
      <c r="B1318" s="4" t="str">
        <f>"42.2704"</f>
        <v>42.2704</v>
      </c>
      <c r="C1318" s="4" t="s">
        <v>19061</v>
      </c>
      <c r="D1318" s="4" t="s">
        <v>18239</v>
      </c>
      <c r="E1318" s="4" t="s">
        <v>11083</v>
      </c>
      <c r="F1318" s="4" t="s">
        <v>11085</v>
      </c>
      <c r="H1318" s="4" t="s">
        <v>19684</v>
      </c>
    </row>
    <row r="1319" spans="1:8" x14ac:dyDescent="0.2">
      <c r="A1319" s="4" t="str">
        <f t="shared" si="36"/>
        <v>42</v>
      </c>
      <c r="B1319" s="4" t="str">
        <f>"42.2705"</f>
        <v>42.2705</v>
      </c>
      <c r="C1319" s="4" t="s">
        <v>19061</v>
      </c>
      <c r="D1319" s="4" t="s">
        <v>18239</v>
      </c>
      <c r="E1319" s="4" t="s">
        <v>9085</v>
      </c>
      <c r="F1319" s="4" t="s">
        <v>19711</v>
      </c>
      <c r="H1319" s="4" t="s">
        <v>19684</v>
      </c>
    </row>
    <row r="1320" spans="1:8" x14ac:dyDescent="0.2">
      <c r="A1320" s="4" t="str">
        <f t="shared" si="36"/>
        <v>42</v>
      </c>
      <c r="B1320" s="4" t="str">
        <f>"42.2706"</f>
        <v>42.2706</v>
      </c>
      <c r="C1320" s="4" t="s">
        <v>19061</v>
      </c>
      <c r="D1320" s="4" t="s">
        <v>18239</v>
      </c>
      <c r="E1320" s="4" t="s">
        <v>9221</v>
      </c>
      <c r="F1320" s="4" t="s">
        <v>9091</v>
      </c>
      <c r="G1320" s="4" t="s">
        <v>19712</v>
      </c>
      <c r="H1320" s="4" t="s">
        <v>19684</v>
      </c>
    </row>
    <row r="1321" spans="1:8" x14ac:dyDescent="0.2">
      <c r="A1321" s="4" t="str">
        <f t="shared" si="36"/>
        <v>42</v>
      </c>
      <c r="B1321" s="4" t="str">
        <f>"42.2707"</f>
        <v>42.2707</v>
      </c>
      <c r="C1321" s="4" t="s">
        <v>19061</v>
      </c>
      <c r="D1321" s="4" t="s">
        <v>18239</v>
      </c>
      <c r="E1321" s="4" t="s">
        <v>9093</v>
      </c>
      <c r="F1321" s="4" t="s">
        <v>9095</v>
      </c>
      <c r="H1321" s="4" t="s">
        <v>19684</v>
      </c>
    </row>
    <row r="1322" spans="1:8" x14ac:dyDescent="0.2">
      <c r="A1322" s="4" t="str">
        <f t="shared" si="36"/>
        <v>42</v>
      </c>
      <c r="B1322" s="4" t="str">
        <f>"42.2708"</f>
        <v>42.2708</v>
      </c>
      <c r="C1322" s="4" t="s">
        <v>19061</v>
      </c>
      <c r="D1322" s="4" t="s">
        <v>18239</v>
      </c>
      <c r="E1322" s="4" t="s">
        <v>9179</v>
      </c>
      <c r="F1322" s="4" t="s">
        <v>19713</v>
      </c>
      <c r="H1322" s="4" t="s">
        <v>19684</v>
      </c>
    </row>
    <row r="1323" spans="1:8" x14ac:dyDescent="0.2">
      <c r="A1323" s="4" t="str">
        <f t="shared" si="36"/>
        <v>42</v>
      </c>
      <c r="B1323" s="4" t="str">
        <f>"42.2709"</f>
        <v>42.2709</v>
      </c>
      <c r="C1323" s="4" t="s">
        <v>19061</v>
      </c>
      <c r="D1323" s="4" t="s">
        <v>18239</v>
      </c>
      <c r="E1323" s="4" t="s">
        <v>9125</v>
      </c>
      <c r="F1323" s="4" t="s">
        <v>19714</v>
      </c>
      <c r="H1323" s="4" t="s">
        <v>19684</v>
      </c>
    </row>
    <row r="1324" spans="1:8" x14ac:dyDescent="0.2">
      <c r="A1324" s="4" t="str">
        <f t="shared" si="36"/>
        <v>42</v>
      </c>
      <c r="B1324" s="4" t="str">
        <f>"42.2799"</f>
        <v>42.2799</v>
      </c>
      <c r="C1324" s="4" t="s">
        <v>18258</v>
      </c>
      <c r="D1324" s="4" t="s">
        <v>18239</v>
      </c>
      <c r="E1324" s="4" t="s">
        <v>19715</v>
      </c>
      <c r="F1324" s="4" t="s">
        <v>19716</v>
      </c>
      <c r="H1324" s="4" t="s">
        <v>19684</v>
      </c>
    </row>
    <row r="1325" spans="1:8" x14ac:dyDescent="0.2">
      <c r="A1325" s="4" t="str">
        <f t="shared" si="36"/>
        <v>42</v>
      </c>
      <c r="B1325" s="4" t="str">
        <f>"42.28"</f>
        <v>42.28</v>
      </c>
      <c r="C1325" s="4" t="s">
        <v>18258</v>
      </c>
      <c r="D1325" s="4" t="s">
        <v>18239</v>
      </c>
      <c r="E1325" s="4" t="s">
        <v>19717</v>
      </c>
      <c r="F1325" s="4" t="s">
        <v>19718</v>
      </c>
      <c r="H1325" s="4" t="s">
        <v>19684</v>
      </c>
    </row>
    <row r="1326" spans="1:8" x14ac:dyDescent="0.2">
      <c r="A1326" s="4" t="str">
        <f t="shared" si="36"/>
        <v>42</v>
      </c>
      <c r="B1326" s="4" t="str">
        <f>"42.2801"</f>
        <v>42.2801</v>
      </c>
      <c r="C1326" s="4" t="s">
        <v>19061</v>
      </c>
      <c r="D1326" s="4" t="s">
        <v>18239</v>
      </c>
      <c r="E1326" s="4" t="s">
        <v>9077</v>
      </c>
      <c r="F1326" s="4" t="s">
        <v>9079</v>
      </c>
      <c r="H1326" s="4" t="s">
        <v>19684</v>
      </c>
    </row>
    <row r="1327" spans="1:8" x14ac:dyDescent="0.2">
      <c r="A1327" s="4" t="str">
        <f t="shared" si="36"/>
        <v>42</v>
      </c>
      <c r="B1327" s="4" t="str">
        <f>"42.2802"</f>
        <v>42.2802</v>
      </c>
      <c r="C1327" s="4" t="s">
        <v>19061</v>
      </c>
      <c r="D1327" s="4" t="s">
        <v>18239</v>
      </c>
      <c r="E1327" s="4" t="s">
        <v>10588</v>
      </c>
      <c r="F1327" s="4" t="s">
        <v>10590</v>
      </c>
      <c r="H1327" s="4" t="s">
        <v>19684</v>
      </c>
    </row>
    <row r="1328" spans="1:8" x14ac:dyDescent="0.2">
      <c r="A1328" s="4" t="str">
        <f t="shared" si="36"/>
        <v>42</v>
      </c>
      <c r="B1328" s="4" t="str">
        <f>"42.2803"</f>
        <v>42.2803</v>
      </c>
      <c r="C1328" s="4" t="s">
        <v>19061</v>
      </c>
      <c r="D1328" s="4" t="s">
        <v>18239</v>
      </c>
      <c r="E1328" s="4" t="s">
        <v>10600</v>
      </c>
      <c r="F1328" s="4" t="s">
        <v>10602</v>
      </c>
      <c r="G1328" s="4" t="s">
        <v>19719</v>
      </c>
      <c r="H1328" s="4" t="s">
        <v>19684</v>
      </c>
    </row>
    <row r="1329" spans="1:8" x14ac:dyDescent="0.2">
      <c r="A1329" s="4" t="str">
        <f t="shared" si="36"/>
        <v>42</v>
      </c>
      <c r="B1329" s="4" t="str">
        <f>"42.2804"</f>
        <v>42.2804</v>
      </c>
      <c r="C1329" s="4" t="s">
        <v>19061</v>
      </c>
      <c r="D1329" s="4" t="s">
        <v>18239</v>
      </c>
      <c r="E1329" s="4" t="s">
        <v>11087</v>
      </c>
      <c r="F1329" s="4" t="s">
        <v>11089</v>
      </c>
      <c r="G1329" s="4" t="s">
        <v>18465</v>
      </c>
      <c r="H1329" s="4" t="s">
        <v>19684</v>
      </c>
    </row>
    <row r="1330" spans="1:8" x14ac:dyDescent="0.2">
      <c r="A1330" s="4" t="str">
        <f t="shared" si="36"/>
        <v>42</v>
      </c>
      <c r="B1330" s="4" t="str">
        <f>"42.2805"</f>
        <v>42.2805</v>
      </c>
      <c r="C1330" s="4" t="s">
        <v>19061</v>
      </c>
      <c r="D1330" s="4" t="s">
        <v>18239</v>
      </c>
      <c r="E1330" s="4" t="s">
        <v>9097</v>
      </c>
      <c r="F1330" s="4" t="s">
        <v>9099</v>
      </c>
      <c r="G1330" s="4" t="s">
        <v>19720</v>
      </c>
      <c r="H1330" s="4" t="s">
        <v>19684</v>
      </c>
    </row>
    <row r="1331" spans="1:8" x14ac:dyDescent="0.2">
      <c r="A1331" s="4" t="str">
        <f t="shared" si="36"/>
        <v>42</v>
      </c>
      <c r="B1331" s="4" t="str">
        <f>"42.2806"</f>
        <v>42.2806</v>
      </c>
      <c r="C1331" s="4" t="s">
        <v>19061</v>
      </c>
      <c r="D1331" s="4" t="s">
        <v>18239</v>
      </c>
      <c r="E1331" s="4" t="s">
        <v>11115</v>
      </c>
      <c r="F1331" s="4" t="s">
        <v>19721</v>
      </c>
      <c r="H1331" s="4" t="s">
        <v>19684</v>
      </c>
    </row>
    <row r="1332" spans="1:8" x14ac:dyDescent="0.2">
      <c r="A1332" s="4" t="str">
        <f t="shared" si="36"/>
        <v>42</v>
      </c>
      <c r="B1332" s="4" t="str">
        <f>"42.2807"</f>
        <v>42.2807</v>
      </c>
      <c r="C1332" s="4" t="s">
        <v>19061</v>
      </c>
      <c r="D1332" s="4" t="s">
        <v>18239</v>
      </c>
      <c r="E1332" s="4" t="s">
        <v>11081</v>
      </c>
      <c r="F1332" s="4" t="s">
        <v>19722</v>
      </c>
      <c r="H1332" s="4" t="s">
        <v>19684</v>
      </c>
    </row>
    <row r="1333" spans="1:8" x14ac:dyDescent="0.2">
      <c r="A1333" s="4" t="str">
        <f t="shared" si="36"/>
        <v>42</v>
      </c>
      <c r="B1333" s="4" t="str">
        <f>"42.2808"</f>
        <v>42.2808</v>
      </c>
      <c r="C1333" s="4" t="s">
        <v>19061</v>
      </c>
      <c r="D1333" s="4" t="s">
        <v>18239</v>
      </c>
      <c r="E1333" s="4" t="s">
        <v>9111</v>
      </c>
      <c r="F1333" s="4" t="s">
        <v>19723</v>
      </c>
      <c r="H1333" s="4" t="s">
        <v>19684</v>
      </c>
    </row>
    <row r="1334" spans="1:8" x14ac:dyDescent="0.2">
      <c r="A1334" s="4" t="str">
        <f t="shared" ref="A1334:A1342" si="37">"42"</f>
        <v>42</v>
      </c>
      <c r="B1334" s="4" t="str">
        <f>"42.2809"</f>
        <v>42.2809</v>
      </c>
      <c r="C1334" s="4" t="s">
        <v>19061</v>
      </c>
      <c r="D1334" s="4" t="s">
        <v>18239</v>
      </c>
      <c r="E1334" s="4" t="s">
        <v>9226</v>
      </c>
      <c r="F1334" s="4" t="s">
        <v>19724</v>
      </c>
      <c r="G1334" s="4" t="s">
        <v>19725</v>
      </c>
      <c r="H1334" s="4" t="s">
        <v>19684</v>
      </c>
    </row>
    <row r="1335" spans="1:8" x14ac:dyDescent="0.2">
      <c r="A1335" s="4" t="str">
        <f t="shared" si="37"/>
        <v>42</v>
      </c>
      <c r="B1335" s="4" t="str">
        <f>"42.2810"</f>
        <v>42.2810</v>
      </c>
      <c r="C1335" s="4" t="s">
        <v>19061</v>
      </c>
      <c r="D1335" s="4" t="s">
        <v>18239</v>
      </c>
      <c r="E1335" s="4" t="s">
        <v>9122</v>
      </c>
      <c r="F1335" s="4" t="s">
        <v>19726</v>
      </c>
      <c r="H1335" s="4" t="s">
        <v>19684</v>
      </c>
    </row>
    <row r="1336" spans="1:8" x14ac:dyDescent="0.2">
      <c r="A1336" s="4" t="str">
        <f t="shared" si="37"/>
        <v>42</v>
      </c>
      <c r="B1336" s="4" t="str">
        <f>"42.2811"</f>
        <v>42.2811</v>
      </c>
      <c r="C1336" s="4" t="s">
        <v>19061</v>
      </c>
      <c r="D1336" s="4" t="s">
        <v>18239</v>
      </c>
      <c r="E1336" s="4" t="s">
        <v>10062</v>
      </c>
      <c r="F1336" s="4" t="s">
        <v>19727</v>
      </c>
      <c r="G1336" s="4" t="s">
        <v>19728</v>
      </c>
      <c r="H1336" s="4" t="s">
        <v>19684</v>
      </c>
    </row>
    <row r="1337" spans="1:8" x14ac:dyDescent="0.2">
      <c r="A1337" s="4" t="str">
        <f t="shared" si="37"/>
        <v>42</v>
      </c>
      <c r="B1337" s="4" t="str">
        <f>"42.2812"</f>
        <v>42.2812</v>
      </c>
      <c r="C1337" s="4" t="s">
        <v>19061</v>
      </c>
      <c r="D1337" s="4" t="s">
        <v>18239</v>
      </c>
      <c r="E1337" s="4" t="s">
        <v>9133</v>
      </c>
      <c r="F1337" s="4" t="s">
        <v>19729</v>
      </c>
      <c r="H1337" s="4" t="s">
        <v>19684</v>
      </c>
    </row>
    <row r="1338" spans="1:8" x14ac:dyDescent="0.2">
      <c r="A1338" s="4" t="str">
        <f t="shared" si="37"/>
        <v>42</v>
      </c>
      <c r="B1338" s="4" t="str">
        <f>"42.2813"</f>
        <v>42.2813</v>
      </c>
      <c r="C1338" s="4" t="s">
        <v>18258</v>
      </c>
      <c r="D1338" s="4" t="s">
        <v>18239</v>
      </c>
      <c r="E1338" s="4" t="s">
        <v>19730</v>
      </c>
      <c r="F1338" s="4" t="s">
        <v>19731</v>
      </c>
      <c r="H1338" s="4" t="s">
        <v>19684</v>
      </c>
    </row>
    <row r="1339" spans="1:8" x14ac:dyDescent="0.2">
      <c r="A1339" s="4" t="str">
        <f t="shared" si="37"/>
        <v>42</v>
      </c>
      <c r="B1339" s="4" t="str">
        <f>"42.2814"</f>
        <v>42.2814</v>
      </c>
      <c r="C1339" s="4" t="s">
        <v>18258</v>
      </c>
      <c r="D1339" s="4" t="s">
        <v>18239</v>
      </c>
      <c r="E1339" s="4" t="s">
        <v>19732</v>
      </c>
      <c r="F1339" s="4" t="s">
        <v>19733</v>
      </c>
      <c r="H1339" s="4" t="s">
        <v>19684</v>
      </c>
    </row>
    <row r="1340" spans="1:8" x14ac:dyDescent="0.2">
      <c r="A1340" s="4" t="str">
        <f t="shared" si="37"/>
        <v>42</v>
      </c>
      <c r="B1340" s="4" t="str">
        <f>"42.2899"</f>
        <v>42.2899</v>
      </c>
      <c r="C1340" s="4" t="s">
        <v>18258</v>
      </c>
      <c r="D1340" s="4" t="s">
        <v>18239</v>
      </c>
      <c r="E1340" s="4" t="s">
        <v>19734</v>
      </c>
      <c r="F1340" s="4" t="s">
        <v>19735</v>
      </c>
      <c r="H1340" s="4" t="s">
        <v>19684</v>
      </c>
    </row>
    <row r="1341" spans="1:8" x14ac:dyDescent="0.2">
      <c r="A1341" s="4" t="str">
        <f t="shared" si="37"/>
        <v>42</v>
      </c>
      <c r="B1341" s="4" t="str">
        <f>"42.99"</f>
        <v>42.99</v>
      </c>
      <c r="C1341" s="4" t="s">
        <v>18238</v>
      </c>
      <c r="D1341" s="4" t="s">
        <v>18239</v>
      </c>
      <c r="E1341" s="4" t="s">
        <v>9138</v>
      </c>
      <c r="F1341" s="4" t="s">
        <v>9139</v>
      </c>
      <c r="H1341" s="4" t="s">
        <v>19684</v>
      </c>
    </row>
    <row r="1342" spans="1:8" x14ac:dyDescent="0.2">
      <c r="A1342" s="4" t="str">
        <f t="shared" si="37"/>
        <v>42</v>
      </c>
      <c r="B1342" s="4" t="str">
        <f>"42.9999"</f>
        <v>42.9999</v>
      </c>
      <c r="C1342" s="4" t="s">
        <v>18238</v>
      </c>
      <c r="D1342" s="4" t="s">
        <v>18239</v>
      </c>
      <c r="E1342" s="4" t="s">
        <v>9138</v>
      </c>
      <c r="F1342" s="4" t="s">
        <v>9140</v>
      </c>
      <c r="H1342" s="4" t="s">
        <v>19736</v>
      </c>
    </row>
    <row r="1343" spans="1:8" x14ac:dyDescent="0.2">
      <c r="A1343" s="4" t="str">
        <f>"43"</f>
        <v>43</v>
      </c>
      <c r="B1343" s="4" t="str">
        <f>"43"</f>
        <v>43</v>
      </c>
      <c r="C1343" s="4" t="s">
        <v>18238</v>
      </c>
      <c r="D1343" s="4" t="s">
        <v>18307</v>
      </c>
      <c r="E1343" s="4" t="s">
        <v>19737</v>
      </c>
      <c r="F1343" s="4" t="s">
        <v>19738</v>
      </c>
      <c r="H1343" s="4" t="s">
        <v>19736</v>
      </c>
    </row>
    <row r="1344" spans="1:8" x14ac:dyDescent="0.2">
      <c r="A1344" s="4" t="str">
        <f t="shared" ref="A1344:A1381" si="38">"43"</f>
        <v>43</v>
      </c>
      <c r="B1344" s="4" t="str">
        <f>"43.01"</f>
        <v>43.01</v>
      </c>
      <c r="C1344" s="4" t="s">
        <v>18238</v>
      </c>
      <c r="D1344" s="4" t="s">
        <v>18239</v>
      </c>
      <c r="E1344" s="4" t="s">
        <v>8744</v>
      </c>
      <c r="F1344" s="4" t="s">
        <v>8745</v>
      </c>
      <c r="H1344" s="4" t="s">
        <v>19736</v>
      </c>
    </row>
    <row r="1345" spans="1:8" x14ac:dyDescent="0.2">
      <c r="A1345" s="4" t="str">
        <f t="shared" si="38"/>
        <v>43</v>
      </c>
      <c r="B1345" s="4" t="str">
        <f>"43.0102"</f>
        <v>43.0102</v>
      </c>
      <c r="C1345" s="4" t="s">
        <v>18238</v>
      </c>
      <c r="D1345" s="4" t="s">
        <v>18239</v>
      </c>
      <c r="E1345" s="4" t="s">
        <v>8748</v>
      </c>
      <c r="F1345" s="4" t="s">
        <v>8749</v>
      </c>
      <c r="H1345" s="4" t="s">
        <v>19736</v>
      </c>
    </row>
    <row r="1346" spans="1:8" x14ac:dyDescent="0.2">
      <c r="A1346" s="4" t="str">
        <f t="shared" si="38"/>
        <v>43</v>
      </c>
      <c r="B1346" s="4" t="str">
        <f>"43.0103"</f>
        <v>43.0103</v>
      </c>
      <c r="C1346" s="4" t="s">
        <v>18238</v>
      </c>
      <c r="D1346" s="4" t="s">
        <v>18307</v>
      </c>
      <c r="E1346" s="4" t="s">
        <v>8750</v>
      </c>
      <c r="F1346" s="4" t="s">
        <v>19739</v>
      </c>
      <c r="H1346" s="4" t="s">
        <v>19736</v>
      </c>
    </row>
    <row r="1347" spans="1:8" x14ac:dyDescent="0.2">
      <c r="A1347" s="4" t="str">
        <f t="shared" si="38"/>
        <v>43</v>
      </c>
      <c r="B1347" s="4" t="str">
        <f>"43.0104"</f>
        <v>43.0104</v>
      </c>
      <c r="C1347" s="4" t="s">
        <v>18238</v>
      </c>
      <c r="D1347" s="4" t="s">
        <v>18239</v>
      </c>
      <c r="E1347" s="4" t="s">
        <v>8752</v>
      </c>
      <c r="F1347" s="4" t="s">
        <v>8753</v>
      </c>
      <c r="G1347" s="4" t="s">
        <v>19740</v>
      </c>
      <c r="H1347" s="4" t="s">
        <v>19736</v>
      </c>
    </row>
    <row r="1348" spans="1:8" x14ac:dyDescent="0.2">
      <c r="A1348" s="4" t="str">
        <f t="shared" si="38"/>
        <v>43</v>
      </c>
      <c r="B1348" s="4" t="str">
        <f>"43.0106"</f>
        <v>43.0106</v>
      </c>
      <c r="C1348" s="4" t="s">
        <v>18238</v>
      </c>
      <c r="D1348" s="4" t="s">
        <v>18307</v>
      </c>
      <c r="E1348" s="4" t="s">
        <v>8754</v>
      </c>
      <c r="F1348" s="4" t="s">
        <v>19741</v>
      </c>
      <c r="G1348" s="4" t="s">
        <v>19742</v>
      </c>
      <c r="H1348" s="4" t="s">
        <v>19736</v>
      </c>
    </row>
    <row r="1349" spans="1:8" x14ac:dyDescent="0.2">
      <c r="A1349" s="4" t="str">
        <f t="shared" si="38"/>
        <v>43</v>
      </c>
      <c r="B1349" s="4" t="str">
        <f>"43.0107"</f>
        <v>43.0107</v>
      </c>
      <c r="C1349" s="4" t="s">
        <v>18238</v>
      </c>
      <c r="D1349" s="4" t="s">
        <v>18239</v>
      </c>
      <c r="E1349" s="4" t="s">
        <v>8756</v>
      </c>
      <c r="F1349" s="4" t="s">
        <v>8757</v>
      </c>
      <c r="H1349" s="4" t="s">
        <v>19736</v>
      </c>
    </row>
    <row r="1350" spans="1:8" x14ac:dyDescent="0.2">
      <c r="A1350" s="4" t="str">
        <f t="shared" si="38"/>
        <v>43</v>
      </c>
      <c r="B1350" s="4" t="str">
        <f>"43.0109"</f>
        <v>43.0109</v>
      </c>
      <c r="C1350" s="4" t="s">
        <v>18238</v>
      </c>
      <c r="D1350" s="4" t="s">
        <v>18239</v>
      </c>
      <c r="E1350" s="4" t="s">
        <v>8758</v>
      </c>
      <c r="F1350" s="4" t="s">
        <v>8759</v>
      </c>
      <c r="H1350" s="4" t="s">
        <v>19736</v>
      </c>
    </row>
    <row r="1351" spans="1:8" x14ac:dyDescent="0.2">
      <c r="A1351" s="4" t="str">
        <f t="shared" si="38"/>
        <v>43</v>
      </c>
      <c r="B1351" s="4" t="str">
        <f>"43.0110"</f>
        <v>43.0110</v>
      </c>
      <c r="C1351" s="4" t="s">
        <v>18238</v>
      </c>
      <c r="D1351" s="4" t="s">
        <v>18239</v>
      </c>
      <c r="E1351" s="4" t="s">
        <v>8761</v>
      </c>
      <c r="F1351" s="4" t="s">
        <v>19743</v>
      </c>
      <c r="H1351" s="4" t="s">
        <v>19736</v>
      </c>
    </row>
    <row r="1352" spans="1:8" x14ac:dyDescent="0.2">
      <c r="A1352" s="4" t="str">
        <f t="shared" si="38"/>
        <v>43</v>
      </c>
      <c r="B1352" s="4" t="str">
        <f>"43.0111"</f>
        <v>43.0111</v>
      </c>
      <c r="C1352" s="4" t="s">
        <v>18238</v>
      </c>
      <c r="D1352" s="4" t="s">
        <v>18239</v>
      </c>
      <c r="E1352" s="4" t="s">
        <v>8764</v>
      </c>
      <c r="F1352" s="4" t="s">
        <v>19744</v>
      </c>
      <c r="H1352" s="4" t="s">
        <v>19736</v>
      </c>
    </row>
    <row r="1353" spans="1:8" x14ac:dyDescent="0.2">
      <c r="A1353" s="4" t="str">
        <f t="shared" si="38"/>
        <v>43</v>
      </c>
      <c r="B1353" s="4" t="str">
        <f>"43.0112"</f>
        <v>43.0112</v>
      </c>
      <c r="C1353" s="4" t="s">
        <v>18238</v>
      </c>
      <c r="D1353" s="4" t="s">
        <v>18239</v>
      </c>
      <c r="E1353" s="4" t="s">
        <v>8767</v>
      </c>
      <c r="F1353" s="4" t="s">
        <v>19745</v>
      </c>
      <c r="H1353" s="4" t="s">
        <v>19746</v>
      </c>
    </row>
    <row r="1354" spans="1:8" x14ac:dyDescent="0.2">
      <c r="A1354" s="4" t="str">
        <f t="shared" si="38"/>
        <v>43</v>
      </c>
      <c r="B1354" s="4" t="str">
        <f>"43.0113"</f>
        <v>43.0113</v>
      </c>
      <c r="C1354" s="4" t="s">
        <v>18238</v>
      </c>
      <c r="D1354" s="4" t="s">
        <v>18239</v>
      </c>
      <c r="E1354" s="4" t="s">
        <v>8770</v>
      </c>
      <c r="F1354" s="4" t="s">
        <v>19747</v>
      </c>
      <c r="H1354" s="4" t="s">
        <v>19746</v>
      </c>
    </row>
    <row r="1355" spans="1:8" x14ac:dyDescent="0.2">
      <c r="A1355" s="4" t="str">
        <f t="shared" si="38"/>
        <v>43</v>
      </c>
      <c r="B1355" s="4" t="str">
        <f>"43.0114"</f>
        <v>43.0114</v>
      </c>
      <c r="C1355" s="4" t="s">
        <v>18258</v>
      </c>
      <c r="D1355" s="4" t="s">
        <v>18239</v>
      </c>
      <c r="E1355" s="4" t="s">
        <v>19748</v>
      </c>
      <c r="F1355" s="4" t="s">
        <v>19749</v>
      </c>
      <c r="H1355" s="4" t="s">
        <v>19746</v>
      </c>
    </row>
    <row r="1356" spans="1:8" x14ac:dyDescent="0.2">
      <c r="A1356" s="4" t="str">
        <f t="shared" si="38"/>
        <v>43</v>
      </c>
      <c r="B1356" s="4" t="str">
        <f>"43.0115"</f>
        <v>43.0115</v>
      </c>
      <c r="C1356" s="4" t="s">
        <v>18258</v>
      </c>
      <c r="D1356" s="4" t="s">
        <v>18239</v>
      </c>
      <c r="E1356" s="4" t="s">
        <v>19750</v>
      </c>
      <c r="F1356" s="4" t="s">
        <v>19751</v>
      </c>
      <c r="H1356" s="4" t="s">
        <v>19746</v>
      </c>
    </row>
    <row r="1357" spans="1:8" x14ac:dyDescent="0.2">
      <c r="A1357" s="4" t="str">
        <f t="shared" si="38"/>
        <v>43</v>
      </c>
      <c r="B1357" s="4" t="str">
        <f>"43.0116"</f>
        <v>43.0116</v>
      </c>
      <c r="C1357" s="4" t="s">
        <v>18258</v>
      </c>
      <c r="D1357" s="4" t="s">
        <v>18239</v>
      </c>
      <c r="E1357" s="4" t="s">
        <v>19752</v>
      </c>
      <c r="F1357" s="4" t="s">
        <v>19753</v>
      </c>
      <c r="G1357" s="4" t="s">
        <v>19754</v>
      </c>
      <c r="H1357" s="4" t="s">
        <v>19755</v>
      </c>
    </row>
    <row r="1358" spans="1:8" x14ac:dyDescent="0.2">
      <c r="A1358" s="4" t="str">
        <f t="shared" si="38"/>
        <v>43</v>
      </c>
      <c r="B1358" s="4" t="str">
        <f>"43.0117"</f>
        <v>43.0117</v>
      </c>
      <c r="C1358" s="4" t="s">
        <v>18258</v>
      </c>
      <c r="D1358" s="4" t="s">
        <v>18239</v>
      </c>
      <c r="E1358" s="4" t="s">
        <v>19756</v>
      </c>
      <c r="F1358" s="4" t="s">
        <v>19757</v>
      </c>
      <c r="H1358" s="4" t="s">
        <v>19758</v>
      </c>
    </row>
    <row r="1359" spans="1:8" x14ac:dyDescent="0.2">
      <c r="A1359" s="4" t="str">
        <f t="shared" si="38"/>
        <v>43</v>
      </c>
      <c r="B1359" s="4" t="str">
        <f>"43.0118"</f>
        <v>43.0118</v>
      </c>
      <c r="C1359" s="4" t="s">
        <v>18258</v>
      </c>
      <c r="D1359" s="4" t="s">
        <v>18239</v>
      </c>
      <c r="E1359" s="4" t="s">
        <v>19759</v>
      </c>
      <c r="F1359" s="4" t="s">
        <v>19760</v>
      </c>
      <c r="H1359" s="4" t="s">
        <v>19761</v>
      </c>
    </row>
    <row r="1360" spans="1:8" x14ac:dyDescent="0.2">
      <c r="A1360" s="4" t="str">
        <f t="shared" si="38"/>
        <v>43</v>
      </c>
      <c r="B1360" s="4" t="str">
        <f>"43.0119"</f>
        <v>43.0119</v>
      </c>
      <c r="C1360" s="4" t="s">
        <v>18258</v>
      </c>
      <c r="D1360" s="4" t="s">
        <v>18239</v>
      </c>
      <c r="E1360" s="4" t="s">
        <v>19762</v>
      </c>
      <c r="F1360" s="4" t="s">
        <v>19763</v>
      </c>
      <c r="H1360" s="4" t="s">
        <v>19761</v>
      </c>
    </row>
    <row r="1361" spans="1:8" x14ac:dyDescent="0.2">
      <c r="A1361" s="4" t="str">
        <f t="shared" si="38"/>
        <v>43</v>
      </c>
      <c r="B1361" s="4" t="str">
        <f>"43.0120"</f>
        <v>43.0120</v>
      </c>
      <c r="C1361" s="4" t="s">
        <v>18258</v>
      </c>
      <c r="D1361" s="4" t="s">
        <v>18239</v>
      </c>
      <c r="E1361" s="4" t="s">
        <v>19764</v>
      </c>
      <c r="F1361" s="4" t="s">
        <v>19765</v>
      </c>
      <c r="H1361" s="4" t="s">
        <v>19766</v>
      </c>
    </row>
    <row r="1362" spans="1:8" x14ac:dyDescent="0.2">
      <c r="A1362" s="4" t="str">
        <f t="shared" si="38"/>
        <v>43</v>
      </c>
      <c r="B1362" s="4" t="str">
        <f>"43.0121"</f>
        <v>43.0121</v>
      </c>
      <c r="C1362" s="4" t="s">
        <v>18258</v>
      </c>
      <c r="D1362" s="4" t="s">
        <v>18239</v>
      </c>
      <c r="E1362" s="4" t="s">
        <v>19767</v>
      </c>
      <c r="F1362" s="4" t="s">
        <v>19768</v>
      </c>
      <c r="H1362" s="4" t="s">
        <v>19766</v>
      </c>
    </row>
    <row r="1363" spans="1:8" x14ac:dyDescent="0.2">
      <c r="A1363" s="4" t="str">
        <f t="shared" si="38"/>
        <v>43</v>
      </c>
      <c r="B1363" s="4" t="str">
        <f>"43.0122"</f>
        <v>43.0122</v>
      </c>
      <c r="C1363" s="4" t="s">
        <v>18258</v>
      </c>
      <c r="D1363" s="4" t="s">
        <v>18239</v>
      </c>
      <c r="E1363" s="4" t="s">
        <v>19769</v>
      </c>
      <c r="F1363" s="4" t="s">
        <v>19770</v>
      </c>
      <c r="H1363" s="4" t="s">
        <v>19766</v>
      </c>
    </row>
    <row r="1364" spans="1:8" x14ac:dyDescent="0.2">
      <c r="A1364" s="4" t="str">
        <f t="shared" si="38"/>
        <v>43</v>
      </c>
      <c r="B1364" s="4" t="str">
        <f>"43.0123"</f>
        <v>43.0123</v>
      </c>
      <c r="C1364" s="4" t="s">
        <v>18258</v>
      </c>
      <c r="D1364" s="4" t="s">
        <v>18239</v>
      </c>
      <c r="E1364" s="4" t="s">
        <v>19771</v>
      </c>
      <c r="F1364" s="4" t="s">
        <v>19772</v>
      </c>
      <c r="H1364" s="4" t="s">
        <v>19766</v>
      </c>
    </row>
    <row r="1365" spans="1:8" x14ac:dyDescent="0.2">
      <c r="A1365" s="4" t="str">
        <f t="shared" si="38"/>
        <v>43</v>
      </c>
      <c r="B1365" s="4" t="str">
        <f>"43.0199"</f>
        <v>43.0199</v>
      </c>
      <c r="C1365" s="4" t="s">
        <v>18238</v>
      </c>
      <c r="D1365" s="4" t="s">
        <v>18239</v>
      </c>
      <c r="E1365" s="4" t="s">
        <v>8772</v>
      </c>
      <c r="F1365" s="4" t="s">
        <v>8773</v>
      </c>
      <c r="H1365" s="4" t="s">
        <v>19766</v>
      </c>
    </row>
    <row r="1366" spans="1:8" x14ac:dyDescent="0.2">
      <c r="A1366" s="4" t="str">
        <f t="shared" si="38"/>
        <v>43</v>
      </c>
      <c r="B1366" s="4" t="str">
        <f>"43.02"</f>
        <v>43.02</v>
      </c>
      <c r="C1366" s="4" t="s">
        <v>18238</v>
      </c>
      <c r="D1366" s="4" t="s">
        <v>18239</v>
      </c>
      <c r="E1366" s="4" t="s">
        <v>8775</v>
      </c>
      <c r="F1366" s="4" t="s">
        <v>8776</v>
      </c>
      <c r="H1366" s="4" t="s">
        <v>19766</v>
      </c>
    </row>
    <row r="1367" spans="1:8" x14ac:dyDescent="0.2">
      <c r="A1367" s="4" t="str">
        <f t="shared" si="38"/>
        <v>43</v>
      </c>
      <c r="B1367" s="4" t="str">
        <f>"43.0201"</f>
        <v>43.0201</v>
      </c>
      <c r="C1367" s="4" t="s">
        <v>18238</v>
      </c>
      <c r="D1367" s="4" t="s">
        <v>18307</v>
      </c>
      <c r="E1367" s="4" t="s">
        <v>19773</v>
      </c>
      <c r="F1367" s="4" t="s">
        <v>19774</v>
      </c>
      <c r="H1367" s="4" t="s">
        <v>19775</v>
      </c>
    </row>
    <row r="1368" spans="1:8" x14ac:dyDescent="0.2">
      <c r="A1368" s="4" t="str">
        <f t="shared" si="38"/>
        <v>43</v>
      </c>
      <c r="B1368" s="4" t="str">
        <f>"43.0202"</f>
        <v>43.0202</v>
      </c>
      <c r="C1368" s="4" t="s">
        <v>18238</v>
      </c>
      <c r="D1368" s="4" t="s">
        <v>18307</v>
      </c>
      <c r="E1368" s="4" t="s">
        <v>8779</v>
      </c>
      <c r="F1368" s="4" t="s">
        <v>19776</v>
      </c>
      <c r="H1368" s="4" t="s">
        <v>19777</v>
      </c>
    </row>
    <row r="1369" spans="1:8" x14ac:dyDescent="0.2">
      <c r="A1369" s="4" t="str">
        <f t="shared" si="38"/>
        <v>43</v>
      </c>
      <c r="B1369" s="4" t="str">
        <f>"43.0203"</f>
        <v>43.0203</v>
      </c>
      <c r="C1369" s="4" t="s">
        <v>18238</v>
      </c>
      <c r="D1369" s="4" t="s">
        <v>18307</v>
      </c>
      <c r="E1369" s="4" t="s">
        <v>8781</v>
      </c>
      <c r="F1369" s="4" t="s">
        <v>19778</v>
      </c>
      <c r="H1369" s="4" t="s">
        <v>19779</v>
      </c>
    </row>
    <row r="1370" spans="1:8" x14ac:dyDescent="0.2">
      <c r="A1370" s="4" t="str">
        <f t="shared" si="38"/>
        <v>43</v>
      </c>
      <c r="B1370" s="4" t="str">
        <f>"43.0204"</f>
        <v>43.0204</v>
      </c>
      <c r="C1370" s="4" t="s">
        <v>18258</v>
      </c>
      <c r="D1370" s="4" t="s">
        <v>18239</v>
      </c>
      <c r="E1370" s="4" t="s">
        <v>19780</v>
      </c>
      <c r="F1370" s="4" t="s">
        <v>19781</v>
      </c>
      <c r="H1370" s="4" t="s">
        <v>19779</v>
      </c>
    </row>
    <row r="1371" spans="1:8" x14ac:dyDescent="0.2">
      <c r="A1371" s="4" t="str">
        <f t="shared" si="38"/>
        <v>43</v>
      </c>
      <c r="B1371" s="4" t="str">
        <f>"43.0205"</f>
        <v>43.0205</v>
      </c>
      <c r="C1371" s="4" t="s">
        <v>18258</v>
      </c>
      <c r="D1371" s="4" t="s">
        <v>18239</v>
      </c>
      <c r="E1371" s="4" t="s">
        <v>19782</v>
      </c>
      <c r="F1371" s="4" t="s">
        <v>19783</v>
      </c>
      <c r="H1371" s="4" t="s">
        <v>19784</v>
      </c>
    </row>
    <row r="1372" spans="1:8" x14ac:dyDescent="0.2">
      <c r="A1372" s="4" t="str">
        <f t="shared" si="38"/>
        <v>43</v>
      </c>
      <c r="B1372" s="4" t="str">
        <f>"43.0206"</f>
        <v>43.0206</v>
      </c>
      <c r="C1372" s="4" t="s">
        <v>18258</v>
      </c>
      <c r="D1372" s="4" t="s">
        <v>18239</v>
      </c>
      <c r="E1372" s="4" t="s">
        <v>19785</v>
      </c>
      <c r="F1372" s="4" t="s">
        <v>19786</v>
      </c>
      <c r="H1372" s="4" t="s">
        <v>19784</v>
      </c>
    </row>
    <row r="1373" spans="1:8" x14ac:dyDescent="0.2">
      <c r="A1373" s="4" t="str">
        <f t="shared" si="38"/>
        <v>43</v>
      </c>
      <c r="B1373" s="4" t="str">
        <f>"43.0299"</f>
        <v>43.0299</v>
      </c>
      <c r="C1373" s="4" t="s">
        <v>18238</v>
      </c>
      <c r="D1373" s="4" t="s">
        <v>18239</v>
      </c>
      <c r="E1373" s="4" t="s">
        <v>8783</v>
      </c>
      <c r="F1373" s="4" t="s">
        <v>8784</v>
      </c>
      <c r="H1373" s="4" t="s">
        <v>19784</v>
      </c>
    </row>
    <row r="1374" spans="1:8" x14ac:dyDescent="0.2">
      <c r="A1374" s="4" t="str">
        <f t="shared" si="38"/>
        <v>43</v>
      </c>
      <c r="B1374" s="4" t="str">
        <f>"43.03"</f>
        <v>43.03</v>
      </c>
      <c r="C1374" s="4" t="s">
        <v>18258</v>
      </c>
      <c r="D1374" s="4" t="s">
        <v>18239</v>
      </c>
      <c r="E1374" s="4" t="s">
        <v>19787</v>
      </c>
      <c r="F1374" s="4" t="s">
        <v>19788</v>
      </c>
      <c r="H1374" s="4" t="s">
        <v>19784</v>
      </c>
    </row>
    <row r="1375" spans="1:8" x14ac:dyDescent="0.2">
      <c r="A1375" s="4" t="str">
        <f t="shared" si="38"/>
        <v>43</v>
      </c>
      <c r="B1375" s="4" t="str">
        <f>"43.0301"</f>
        <v>43.0301</v>
      </c>
      <c r="C1375" s="4" t="s">
        <v>18258</v>
      </c>
      <c r="D1375" s="4" t="s">
        <v>18239</v>
      </c>
      <c r="E1375" s="4" t="s">
        <v>19787</v>
      </c>
      <c r="F1375" s="4" t="s">
        <v>19789</v>
      </c>
      <c r="H1375" s="4" t="s">
        <v>19784</v>
      </c>
    </row>
    <row r="1376" spans="1:8" x14ac:dyDescent="0.2">
      <c r="A1376" s="4" t="str">
        <f t="shared" si="38"/>
        <v>43</v>
      </c>
      <c r="B1376" s="4" t="str">
        <f>"43.0302"</f>
        <v>43.0302</v>
      </c>
      <c r="C1376" s="4" t="s">
        <v>18258</v>
      </c>
      <c r="D1376" s="4" t="s">
        <v>18239</v>
      </c>
      <c r="E1376" s="4" t="s">
        <v>19790</v>
      </c>
      <c r="F1376" s="4" t="s">
        <v>19791</v>
      </c>
      <c r="H1376" s="4" t="s">
        <v>19792</v>
      </c>
    </row>
    <row r="1377" spans="1:8" x14ac:dyDescent="0.2">
      <c r="A1377" s="4" t="str">
        <f t="shared" si="38"/>
        <v>43</v>
      </c>
      <c r="B1377" s="4" t="str">
        <f>"43.0303"</f>
        <v>43.0303</v>
      </c>
      <c r="C1377" s="4" t="s">
        <v>18258</v>
      </c>
      <c r="D1377" s="4" t="s">
        <v>18239</v>
      </c>
      <c r="E1377" s="4" t="s">
        <v>19793</v>
      </c>
      <c r="F1377" s="4" t="s">
        <v>19794</v>
      </c>
      <c r="H1377" s="4" t="s">
        <v>19792</v>
      </c>
    </row>
    <row r="1378" spans="1:8" x14ac:dyDescent="0.2">
      <c r="A1378" s="4" t="str">
        <f t="shared" si="38"/>
        <v>43</v>
      </c>
      <c r="B1378" s="4" t="str">
        <f>"43.0304"</f>
        <v>43.0304</v>
      </c>
      <c r="C1378" s="4" t="s">
        <v>18258</v>
      </c>
      <c r="D1378" s="4" t="s">
        <v>18239</v>
      </c>
      <c r="E1378" s="4" t="s">
        <v>19795</v>
      </c>
      <c r="F1378" s="4" t="s">
        <v>19796</v>
      </c>
      <c r="H1378" s="4" t="s">
        <v>19792</v>
      </c>
    </row>
    <row r="1379" spans="1:8" x14ac:dyDescent="0.2">
      <c r="A1379" s="4" t="str">
        <f t="shared" si="38"/>
        <v>43</v>
      </c>
      <c r="B1379" s="4" t="str">
        <f>"43.0399"</f>
        <v>43.0399</v>
      </c>
      <c r="C1379" s="4" t="s">
        <v>18258</v>
      </c>
      <c r="D1379" s="4" t="s">
        <v>18239</v>
      </c>
      <c r="E1379" s="4" t="s">
        <v>19797</v>
      </c>
      <c r="F1379" s="4" t="s">
        <v>19798</v>
      </c>
      <c r="H1379" s="4" t="s">
        <v>19799</v>
      </c>
    </row>
    <row r="1380" spans="1:8" x14ac:dyDescent="0.2">
      <c r="A1380" s="4" t="str">
        <f t="shared" si="38"/>
        <v>43</v>
      </c>
      <c r="B1380" s="4" t="str">
        <f>"43.99"</f>
        <v>43.99</v>
      </c>
      <c r="C1380" s="4" t="s">
        <v>18238</v>
      </c>
      <c r="D1380" s="4" t="s">
        <v>18307</v>
      </c>
      <c r="E1380" s="4" t="s">
        <v>19800</v>
      </c>
      <c r="F1380" s="4" t="s">
        <v>8787</v>
      </c>
      <c r="H1380" s="4" t="s">
        <v>19799</v>
      </c>
    </row>
    <row r="1381" spans="1:8" x14ac:dyDescent="0.2">
      <c r="A1381" s="4" t="str">
        <f t="shared" si="38"/>
        <v>43</v>
      </c>
      <c r="B1381" s="4" t="str">
        <f>"43.9999"</f>
        <v>43.9999</v>
      </c>
      <c r="C1381" s="4" t="s">
        <v>18238</v>
      </c>
      <c r="D1381" s="4" t="s">
        <v>18307</v>
      </c>
      <c r="E1381" s="4" t="s">
        <v>19800</v>
      </c>
      <c r="F1381" s="4" t="s">
        <v>19801</v>
      </c>
      <c r="H1381" s="4" t="s">
        <v>19799</v>
      </c>
    </row>
    <row r="1382" spans="1:8" x14ac:dyDescent="0.2">
      <c r="A1382" s="4" t="str">
        <f>"44"</f>
        <v>44</v>
      </c>
      <c r="B1382" s="4" t="str">
        <f>"44"</f>
        <v>44</v>
      </c>
      <c r="C1382" s="4" t="s">
        <v>18238</v>
      </c>
      <c r="D1382" s="4" t="s">
        <v>18239</v>
      </c>
      <c r="E1382" s="4" t="s">
        <v>8790</v>
      </c>
      <c r="F1382" s="4" t="s">
        <v>8791</v>
      </c>
      <c r="H1382" s="4" t="s">
        <v>19799</v>
      </c>
    </row>
    <row r="1383" spans="1:8" x14ac:dyDescent="0.2">
      <c r="A1383" s="4" t="str">
        <f t="shared" ref="A1383:A1400" si="39">"44"</f>
        <v>44</v>
      </c>
      <c r="B1383" s="4" t="str">
        <f>"44.00"</f>
        <v>44.00</v>
      </c>
      <c r="C1383" s="4" t="s">
        <v>18238</v>
      </c>
      <c r="D1383" s="4" t="s">
        <v>18239</v>
      </c>
      <c r="E1383" s="4" t="s">
        <v>8793</v>
      </c>
      <c r="F1383" s="4" t="s">
        <v>19802</v>
      </c>
      <c r="H1383" s="4" t="s">
        <v>19799</v>
      </c>
    </row>
    <row r="1384" spans="1:8" x14ac:dyDescent="0.2">
      <c r="A1384" s="4" t="str">
        <f t="shared" si="39"/>
        <v>44</v>
      </c>
      <c r="B1384" s="4" t="str">
        <f>"44.0000"</f>
        <v>44.0000</v>
      </c>
      <c r="C1384" s="4" t="s">
        <v>18238</v>
      </c>
      <c r="D1384" s="4" t="s">
        <v>18239</v>
      </c>
      <c r="E1384" s="4" t="s">
        <v>8793</v>
      </c>
      <c r="F1384" s="4" t="s">
        <v>19803</v>
      </c>
      <c r="H1384" s="4" t="s">
        <v>19799</v>
      </c>
    </row>
    <row r="1385" spans="1:8" x14ac:dyDescent="0.2">
      <c r="A1385" s="4" t="str">
        <f t="shared" si="39"/>
        <v>44</v>
      </c>
      <c r="B1385" s="4" t="str">
        <f>"44.02"</f>
        <v>44.02</v>
      </c>
      <c r="C1385" s="4" t="s">
        <v>18238</v>
      </c>
      <c r="D1385" s="4" t="s">
        <v>18239</v>
      </c>
      <c r="E1385" s="4" t="s">
        <v>10591</v>
      </c>
      <c r="F1385" s="4" t="s">
        <v>8797</v>
      </c>
      <c r="H1385" s="4" t="s">
        <v>19799</v>
      </c>
    </row>
    <row r="1386" spans="1:8" x14ac:dyDescent="0.2">
      <c r="A1386" s="4" t="str">
        <f t="shared" si="39"/>
        <v>44</v>
      </c>
      <c r="B1386" s="4" t="str">
        <f>"44.0201"</f>
        <v>44.0201</v>
      </c>
      <c r="C1386" s="4" t="s">
        <v>18238</v>
      </c>
      <c r="D1386" s="4" t="s">
        <v>18239</v>
      </c>
      <c r="E1386" s="4" t="s">
        <v>10591</v>
      </c>
      <c r="F1386" s="4" t="s">
        <v>8798</v>
      </c>
      <c r="H1386" s="4" t="s">
        <v>19799</v>
      </c>
    </row>
    <row r="1387" spans="1:8" x14ac:dyDescent="0.2">
      <c r="A1387" s="4" t="str">
        <f t="shared" si="39"/>
        <v>44</v>
      </c>
      <c r="B1387" s="4" t="str">
        <f>"44.04"</f>
        <v>44.04</v>
      </c>
      <c r="C1387" s="4" t="s">
        <v>18238</v>
      </c>
      <c r="D1387" s="4" t="s">
        <v>18239</v>
      </c>
      <c r="E1387" s="4" t="s">
        <v>8801</v>
      </c>
      <c r="F1387" s="4" t="s">
        <v>8802</v>
      </c>
      <c r="H1387" s="4" t="s">
        <v>19799</v>
      </c>
    </row>
    <row r="1388" spans="1:8" x14ac:dyDescent="0.2">
      <c r="A1388" s="4" t="str">
        <f t="shared" si="39"/>
        <v>44</v>
      </c>
      <c r="B1388" s="4" t="str">
        <f>"44.0401"</f>
        <v>44.0401</v>
      </c>
      <c r="C1388" s="4" t="s">
        <v>18238</v>
      </c>
      <c r="D1388" s="4" t="s">
        <v>18239</v>
      </c>
      <c r="E1388" s="4" t="s">
        <v>8801</v>
      </c>
      <c r="F1388" s="4" t="s">
        <v>19804</v>
      </c>
      <c r="H1388" s="4" t="s">
        <v>19799</v>
      </c>
    </row>
    <row r="1389" spans="1:8" x14ac:dyDescent="0.2">
      <c r="A1389" s="4" t="str">
        <f t="shared" si="39"/>
        <v>44</v>
      </c>
      <c r="B1389" s="4" t="str">
        <f>"44.05"</f>
        <v>44.05</v>
      </c>
      <c r="C1389" s="4" t="s">
        <v>18238</v>
      </c>
      <c r="D1389" s="4" t="s">
        <v>18239</v>
      </c>
      <c r="E1389" s="4" t="s">
        <v>11299</v>
      </c>
      <c r="F1389" s="4" t="s">
        <v>19805</v>
      </c>
      <c r="H1389" s="4" t="s">
        <v>19799</v>
      </c>
    </row>
    <row r="1390" spans="1:8" x14ac:dyDescent="0.2">
      <c r="A1390" s="4" t="str">
        <f t="shared" si="39"/>
        <v>44</v>
      </c>
      <c r="B1390" s="4" t="str">
        <f>"44.0501"</f>
        <v>44.0501</v>
      </c>
      <c r="C1390" s="4" t="s">
        <v>18238</v>
      </c>
      <c r="D1390" s="4" t="s">
        <v>18307</v>
      </c>
      <c r="E1390" s="4" t="s">
        <v>19806</v>
      </c>
      <c r="F1390" s="4" t="s">
        <v>19807</v>
      </c>
      <c r="H1390" s="4" t="s">
        <v>19808</v>
      </c>
    </row>
    <row r="1391" spans="1:8" x14ac:dyDescent="0.2">
      <c r="A1391" s="4" t="str">
        <f t="shared" si="39"/>
        <v>44</v>
      </c>
      <c r="B1391" s="4" t="str">
        <f>"44.0502"</f>
        <v>44.0502</v>
      </c>
      <c r="C1391" s="4" t="s">
        <v>18258</v>
      </c>
      <c r="D1391" s="4" t="s">
        <v>18239</v>
      </c>
      <c r="E1391" s="4" t="s">
        <v>19809</v>
      </c>
      <c r="F1391" s="4" t="s">
        <v>19810</v>
      </c>
      <c r="H1391" s="4" t="s">
        <v>19808</v>
      </c>
    </row>
    <row r="1392" spans="1:8" x14ac:dyDescent="0.2">
      <c r="A1392" s="4" t="str">
        <f t="shared" si="39"/>
        <v>44</v>
      </c>
      <c r="B1392" s="4" t="str">
        <f>"44.0503"</f>
        <v>44.0503</v>
      </c>
      <c r="C1392" s="4" t="s">
        <v>18258</v>
      </c>
      <c r="D1392" s="4" t="s">
        <v>18239</v>
      </c>
      <c r="E1392" s="4" t="s">
        <v>19811</v>
      </c>
      <c r="F1392" s="4" t="s">
        <v>19812</v>
      </c>
      <c r="G1392" s="4" t="s">
        <v>19227</v>
      </c>
      <c r="H1392" s="4" t="s">
        <v>19808</v>
      </c>
    </row>
    <row r="1393" spans="1:8" x14ac:dyDescent="0.2">
      <c r="A1393" s="4" t="str">
        <f t="shared" si="39"/>
        <v>44</v>
      </c>
      <c r="B1393" s="4" t="str">
        <f>"44.0504"</f>
        <v>44.0504</v>
      </c>
      <c r="C1393" s="4" t="s">
        <v>18258</v>
      </c>
      <c r="D1393" s="4" t="s">
        <v>18239</v>
      </c>
      <c r="E1393" s="4" t="s">
        <v>19813</v>
      </c>
      <c r="F1393" s="4" t="s">
        <v>19814</v>
      </c>
      <c r="G1393" s="4" t="s">
        <v>19815</v>
      </c>
      <c r="H1393" s="4" t="s">
        <v>19808</v>
      </c>
    </row>
    <row r="1394" spans="1:8" x14ac:dyDescent="0.2">
      <c r="A1394" s="4" t="str">
        <f t="shared" si="39"/>
        <v>44</v>
      </c>
      <c r="B1394" s="4" t="str">
        <f>"44.0599"</f>
        <v>44.0599</v>
      </c>
      <c r="C1394" s="4" t="s">
        <v>18258</v>
      </c>
      <c r="D1394" s="4" t="s">
        <v>18239</v>
      </c>
      <c r="E1394" s="4" t="s">
        <v>19816</v>
      </c>
      <c r="F1394" s="4" t="s">
        <v>19817</v>
      </c>
      <c r="H1394" s="4" t="s">
        <v>19808</v>
      </c>
    </row>
    <row r="1395" spans="1:8" x14ac:dyDescent="0.2">
      <c r="A1395" s="4" t="str">
        <f t="shared" si="39"/>
        <v>44</v>
      </c>
      <c r="B1395" s="4" t="str">
        <f>"44.07"</f>
        <v>44.07</v>
      </c>
      <c r="C1395" s="4" t="s">
        <v>18238</v>
      </c>
      <c r="D1395" s="4" t="s">
        <v>18239</v>
      </c>
      <c r="E1395" s="4" t="s">
        <v>10071</v>
      </c>
      <c r="F1395" s="4" t="s">
        <v>8807</v>
      </c>
      <c r="H1395" s="4" t="s">
        <v>19808</v>
      </c>
    </row>
    <row r="1396" spans="1:8" x14ac:dyDescent="0.2">
      <c r="A1396" s="4" t="str">
        <f t="shared" si="39"/>
        <v>44</v>
      </c>
      <c r="B1396" s="4" t="str">
        <f>"44.0701"</f>
        <v>44.0701</v>
      </c>
      <c r="C1396" s="4" t="s">
        <v>18238</v>
      </c>
      <c r="D1396" s="4" t="s">
        <v>18239</v>
      </c>
      <c r="E1396" s="4" t="s">
        <v>10071</v>
      </c>
      <c r="F1396" s="4" t="s">
        <v>8808</v>
      </c>
      <c r="G1396" s="4" t="s">
        <v>19818</v>
      </c>
      <c r="H1396" s="4" t="s">
        <v>19808</v>
      </c>
    </row>
    <row r="1397" spans="1:8" x14ac:dyDescent="0.2">
      <c r="A1397" s="4" t="str">
        <f t="shared" si="39"/>
        <v>44</v>
      </c>
      <c r="B1397" s="4" t="str">
        <f>"44.0702"</f>
        <v>44.0702</v>
      </c>
      <c r="C1397" s="4" t="s">
        <v>18238</v>
      </c>
      <c r="D1397" s="4" t="s">
        <v>18239</v>
      </c>
      <c r="E1397" s="4" t="s">
        <v>8809</v>
      </c>
      <c r="F1397" s="4" t="s">
        <v>19819</v>
      </c>
      <c r="H1397" s="4" t="s">
        <v>19808</v>
      </c>
    </row>
    <row r="1398" spans="1:8" x14ac:dyDescent="0.2">
      <c r="A1398" s="4" t="str">
        <f t="shared" si="39"/>
        <v>44</v>
      </c>
      <c r="B1398" s="4" t="str">
        <f>"44.0799"</f>
        <v>44.0799</v>
      </c>
      <c r="C1398" s="4" t="s">
        <v>18238</v>
      </c>
      <c r="D1398" s="4" t="s">
        <v>18239</v>
      </c>
      <c r="E1398" s="4" t="s">
        <v>8811</v>
      </c>
      <c r="F1398" s="4" t="s">
        <v>19820</v>
      </c>
      <c r="G1398" s="4" t="s">
        <v>19818</v>
      </c>
      <c r="H1398" s="4" t="s">
        <v>19808</v>
      </c>
    </row>
    <row r="1399" spans="1:8" x14ac:dyDescent="0.2">
      <c r="A1399" s="4" t="str">
        <f t="shared" si="39"/>
        <v>44</v>
      </c>
      <c r="B1399" s="4" t="str">
        <f>"44.99"</f>
        <v>44.99</v>
      </c>
      <c r="C1399" s="4" t="s">
        <v>18238</v>
      </c>
      <c r="D1399" s="4" t="s">
        <v>18239</v>
      </c>
      <c r="E1399" s="4" t="s">
        <v>8814</v>
      </c>
      <c r="F1399" s="4" t="s">
        <v>8815</v>
      </c>
      <c r="H1399" s="4" t="s">
        <v>19808</v>
      </c>
    </row>
    <row r="1400" spans="1:8" x14ac:dyDescent="0.2">
      <c r="A1400" s="4" t="str">
        <f t="shared" si="39"/>
        <v>44</v>
      </c>
      <c r="B1400" s="4" t="str">
        <f>"44.9999"</f>
        <v>44.9999</v>
      </c>
      <c r="C1400" s="4" t="s">
        <v>18238</v>
      </c>
      <c r="D1400" s="4" t="s">
        <v>18239</v>
      </c>
      <c r="E1400" s="4" t="s">
        <v>8814</v>
      </c>
      <c r="F1400" s="4" t="s">
        <v>8816</v>
      </c>
      <c r="H1400" s="4" t="s">
        <v>19808</v>
      </c>
    </row>
    <row r="1401" spans="1:8" x14ac:dyDescent="0.2">
      <c r="A1401" s="4" t="str">
        <f>"45"</f>
        <v>45</v>
      </c>
      <c r="B1401" s="4" t="str">
        <f>"45"</f>
        <v>45</v>
      </c>
      <c r="C1401" s="4" t="s">
        <v>18238</v>
      </c>
      <c r="D1401" s="4" t="s">
        <v>18239</v>
      </c>
      <c r="E1401" s="4" t="s">
        <v>11562</v>
      </c>
      <c r="F1401" s="4" t="s">
        <v>19821</v>
      </c>
      <c r="H1401" s="4" t="s">
        <v>19808</v>
      </c>
    </row>
    <row r="1402" spans="1:8" x14ac:dyDescent="0.2">
      <c r="A1402" s="4" t="str">
        <f t="shared" ref="A1402:A1447" si="40">"45"</f>
        <v>45</v>
      </c>
      <c r="B1402" s="4" t="str">
        <f>"45.01"</f>
        <v>45.01</v>
      </c>
      <c r="C1402" s="4" t="s">
        <v>18238</v>
      </c>
      <c r="D1402" s="4" t="s">
        <v>18239</v>
      </c>
      <c r="E1402" s="4" t="s">
        <v>10688</v>
      </c>
      <c r="F1402" s="4" t="s">
        <v>19822</v>
      </c>
      <c r="H1402" s="4" t="s">
        <v>19808</v>
      </c>
    </row>
    <row r="1403" spans="1:8" x14ac:dyDescent="0.2">
      <c r="A1403" s="4" t="str">
        <f t="shared" si="40"/>
        <v>45</v>
      </c>
      <c r="B1403" s="4" t="str">
        <f>"45.0101"</f>
        <v>45.0101</v>
      </c>
      <c r="C1403" s="4" t="s">
        <v>18238</v>
      </c>
      <c r="D1403" s="4" t="s">
        <v>18239</v>
      </c>
      <c r="E1403" s="4" t="s">
        <v>10688</v>
      </c>
      <c r="F1403" s="4" t="s">
        <v>8820</v>
      </c>
      <c r="H1403" s="4" t="s">
        <v>19808</v>
      </c>
    </row>
    <row r="1404" spans="1:8" x14ac:dyDescent="0.2">
      <c r="A1404" s="4" t="str">
        <f t="shared" si="40"/>
        <v>45</v>
      </c>
      <c r="B1404" s="4" t="str">
        <f>"45.0102"</f>
        <v>45.0102</v>
      </c>
      <c r="C1404" s="4" t="s">
        <v>18258</v>
      </c>
      <c r="D1404" s="4" t="s">
        <v>18239</v>
      </c>
      <c r="E1404" s="4" t="s">
        <v>19823</v>
      </c>
      <c r="F1404" s="4" t="s">
        <v>19824</v>
      </c>
      <c r="G1404" s="4" t="s">
        <v>19825</v>
      </c>
      <c r="H1404" s="4" t="s">
        <v>19826</v>
      </c>
    </row>
    <row r="1405" spans="1:8" x14ac:dyDescent="0.2">
      <c r="A1405" s="4" t="str">
        <f t="shared" si="40"/>
        <v>45</v>
      </c>
      <c r="B1405" s="4" t="str">
        <f>"45.02"</f>
        <v>45.02</v>
      </c>
      <c r="C1405" s="4" t="s">
        <v>18238</v>
      </c>
      <c r="D1405" s="4" t="s">
        <v>18239</v>
      </c>
      <c r="E1405" s="4" t="s">
        <v>10682</v>
      </c>
      <c r="F1405" s="4" t="s">
        <v>19827</v>
      </c>
      <c r="H1405" s="4" t="s">
        <v>19826</v>
      </c>
    </row>
    <row r="1406" spans="1:8" x14ac:dyDescent="0.2">
      <c r="A1406" s="4" t="str">
        <f t="shared" si="40"/>
        <v>45</v>
      </c>
      <c r="B1406" s="4" t="str">
        <f>"45.0201"</f>
        <v>45.0201</v>
      </c>
      <c r="C1406" s="4" t="s">
        <v>18238</v>
      </c>
      <c r="D1406" s="4" t="s">
        <v>18239</v>
      </c>
      <c r="E1406" s="4" t="s">
        <v>10682</v>
      </c>
      <c r="F1406" s="4" t="s">
        <v>8823</v>
      </c>
      <c r="H1406" s="4" t="s">
        <v>19826</v>
      </c>
    </row>
    <row r="1407" spans="1:8" x14ac:dyDescent="0.2">
      <c r="A1407" s="4" t="str">
        <f t="shared" si="40"/>
        <v>45</v>
      </c>
      <c r="B1407" s="4" t="str">
        <f>"45.0202"</f>
        <v>45.0202</v>
      </c>
      <c r="C1407" s="4" t="s">
        <v>18238</v>
      </c>
      <c r="D1407" s="4" t="s">
        <v>18307</v>
      </c>
      <c r="E1407" s="4" t="s">
        <v>19828</v>
      </c>
      <c r="F1407" s="4" t="s">
        <v>19829</v>
      </c>
      <c r="H1407" s="4" t="s">
        <v>19826</v>
      </c>
    </row>
    <row r="1408" spans="1:8" x14ac:dyDescent="0.2">
      <c r="A1408" s="4" t="str">
        <f t="shared" si="40"/>
        <v>45</v>
      </c>
      <c r="B1408" s="4" t="str">
        <f>"45.0203"</f>
        <v>45.0203</v>
      </c>
      <c r="C1408" s="4" t="s">
        <v>18258</v>
      </c>
      <c r="D1408" s="4" t="s">
        <v>18239</v>
      </c>
      <c r="E1408" s="4" t="s">
        <v>19830</v>
      </c>
      <c r="F1408" s="4" t="s">
        <v>19831</v>
      </c>
      <c r="H1408" s="4" t="s">
        <v>19826</v>
      </c>
    </row>
    <row r="1409" spans="1:8" x14ac:dyDescent="0.2">
      <c r="A1409" s="4" t="str">
        <f t="shared" si="40"/>
        <v>45</v>
      </c>
      <c r="B1409" s="4" t="str">
        <f>"45.0204"</f>
        <v>45.0204</v>
      </c>
      <c r="C1409" s="4" t="s">
        <v>18258</v>
      </c>
      <c r="D1409" s="4" t="s">
        <v>18239</v>
      </c>
      <c r="E1409" s="4" t="s">
        <v>19832</v>
      </c>
      <c r="F1409" s="4" t="s">
        <v>19833</v>
      </c>
      <c r="H1409" s="4" t="s">
        <v>19834</v>
      </c>
    </row>
    <row r="1410" spans="1:8" x14ac:dyDescent="0.2">
      <c r="A1410" s="4" t="str">
        <f t="shared" si="40"/>
        <v>45</v>
      </c>
      <c r="B1410" s="4" t="str">
        <f>"45.0299"</f>
        <v>45.0299</v>
      </c>
      <c r="C1410" s="4" t="s">
        <v>18238</v>
      </c>
      <c r="D1410" s="4" t="s">
        <v>18239</v>
      </c>
      <c r="E1410" s="4" t="s">
        <v>8828</v>
      </c>
      <c r="F1410" s="4" t="s">
        <v>19835</v>
      </c>
      <c r="H1410" s="4" t="s">
        <v>19834</v>
      </c>
    </row>
    <row r="1411" spans="1:8" x14ac:dyDescent="0.2">
      <c r="A1411" s="4" t="str">
        <f t="shared" si="40"/>
        <v>45</v>
      </c>
      <c r="B1411" s="4" t="str">
        <f>"45.03"</f>
        <v>45.03</v>
      </c>
      <c r="C1411" s="4" t="s">
        <v>18238</v>
      </c>
      <c r="D1411" s="4" t="s">
        <v>18239</v>
      </c>
      <c r="E1411" s="4" t="s">
        <v>8831</v>
      </c>
      <c r="F1411" s="4" t="s">
        <v>8832</v>
      </c>
      <c r="H1411" s="4" t="s">
        <v>19834</v>
      </c>
    </row>
    <row r="1412" spans="1:8" x14ac:dyDescent="0.2">
      <c r="A1412" s="4" t="str">
        <f t="shared" si="40"/>
        <v>45</v>
      </c>
      <c r="B1412" s="4" t="str">
        <f>"45.0301"</f>
        <v>45.0301</v>
      </c>
      <c r="C1412" s="4" t="s">
        <v>18238</v>
      </c>
      <c r="D1412" s="4" t="s">
        <v>18239</v>
      </c>
      <c r="E1412" s="4" t="s">
        <v>8831</v>
      </c>
      <c r="F1412" s="4" t="s">
        <v>8833</v>
      </c>
      <c r="G1412" s="4" t="s">
        <v>19836</v>
      </c>
      <c r="H1412" s="4" t="s">
        <v>19837</v>
      </c>
    </row>
    <row r="1413" spans="1:8" x14ac:dyDescent="0.2">
      <c r="A1413" s="4" t="str">
        <f t="shared" si="40"/>
        <v>45</v>
      </c>
      <c r="B1413" s="4" t="str">
        <f>"45.04"</f>
        <v>45.04</v>
      </c>
      <c r="C1413" s="4" t="s">
        <v>18238</v>
      </c>
      <c r="D1413" s="4" t="s">
        <v>18239</v>
      </c>
      <c r="E1413" s="4" t="s">
        <v>8747</v>
      </c>
      <c r="F1413" s="4" t="s">
        <v>8834</v>
      </c>
      <c r="H1413" s="4" t="s">
        <v>19837</v>
      </c>
    </row>
    <row r="1414" spans="1:8" x14ac:dyDescent="0.2">
      <c r="A1414" s="4" t="str">
        <f t="shared" si="40"/>
        <v>45</v>
      </c>
      <c r="B1414" s="4" t="str">
        <f>"45.0401"</f>
        <v>45.0401</v>
      </c>
      <c r="C1414" s="4" t="s">
        <v>18238</v>
      </c>
      <c r="D1414" s="4" t="s">
        <v>18239</v>
      </c>
      <c r="E1414" s="4" t="s">
        <v>8747</v>
      </c>
      <c r="F1414" s="4" t="s">
        <v>8835</v>
      </c>
      <c r="G1414" s="4" t="s">
        <v>19838</v>
      </c>
      <c r="H1414" s="4" t="s">
        <v>19837</v>
      </c>
    </row>
    <row r="1415" spans="1:8" x14ac:dyDescent="0.2">
      <c r="A1415" s="4" t="str">
        <f t="shared" si="40"/>
        <v>45</v>
      </c>
      <c r="B1415" s="4" t="str">
        <f>"45.05"</f>
        <v>45.05</v>
      </c>
      <c r="C1415" s="4" t="s">
        <v>18238</v>
      </c>
      <c r="D1415" s="4" t="s">
        <v>18239</v>
      </c>
      <c r="E1415" s="4" t="s">
        <v>8837</v>
      </c>
      <c r="F1415" s="4" t="s">
        <v>8838</v>
      </c>
      <c r="H1415" s="4" t="s">
        <v>19837</v>
      </c>
    </row>
    <row r="1416" spans="1:8" x14ac:dyDescent="0.2">
      <c r="A1416" s="4" t="str">
        <f t="shared" si="40"/>
        <v>45</v>
      </c>
      <c r="B1416" s="4" t="str">
        <f>"45.0501"</f>
        <v>45.0501</v>
      </c>
      <c r="C1416" s="4" t="s">
        <v>18238</v>
      </c>
      <c r="D1416" s="4" t="s">
        <v>18239</v>
      </c>
      <c r="E1416" s="4" t="s">
        <v>8837</v>
      </c>
      <c r="F1416" s="4" t="s">
        <v>8839</v>
      </c>
      <c r="H1416" s="4" t="s">
        <v>19837</v>
      </c>
    </row>
    <row r="1417" spans="1:8" x14ac:dyDescent="0.2">
      <c r="A1417" s="4" t="str">
        <f t="shared" si="40"/>
        <v>45</v>
      </c>
      <c r="B1417" s="4" t="str">
        <f>"45.06"</f>
        <v>45.06</v>
      </c>
      <c r="C1417" s="4" t="s">
        <v>18238</v>
      </c>
      <c r="D1417" s="4" t="s">
        <v>18239</v>
      </c>
      <c r="E1417" s="4" t="s">
        <v>10012</v>
      </c>
      <c r="F1417" s="4" t="s">
        <v>19839</v>
      </c>
      <c r="H1417" s="4" t="s">
        <v>19837</v>
      </c>
    </row>
    <row r="1418" spans="1:8" x14ac:dyDescent="0.2">
      <c r="A1418" s="4" t="str">
        <f t="shared" si="40"/>
        <v>45</v>
      </c>
      <c r="B1418" s="4" t="str">
        <f>"45.0601"</f>
        <v>45.0601</v>
      </c>
      <c r="C1418" s="4" t="s">
        <v>18238</v>
      </c>
      <c r="D1418" s="4" t="s">
        <v>18239</v>
      </c>
      <c r="E1418" s="4" t="s">
        <v>10683</v>
      </c>
      <c r="F1418" s="4" t="s">
        <v>8842</v>
      </c>
      <c r="G1418" s="4" t="s">
        <v>19840</v>
      </c>
      <c r="H1418" s="4" t="s">
        <v>19837</v>
      </c>
    </row>
    <row r="1419" spans="1:8" x14ac:dyDescent="0.2">
      <c r="A1419" s="4" t="str">
        <f t="shared" si="40"/>
        <v>45</v>
      </c>
      <c r="B1419" s="4" t="str">
        <f>"45.0602"</f>
        <v>45.0602</v>
      </c>
      <c r="C1419" s="4" t="s">
        <v>18238</v>
      </c>
      <c r="D1419" s="4" t="s">
        <v>18239</v>
      </c>
      <c r="E1419" s="4" t="s">
        <v>11597</v>
      </c>
      <c r="F1419" s="4" t="s">
        <v>8844</v>
      </c>
      <c r="G1419" s="4" t="s">
        <v>19840</v>
      </c>
      <c r="H1419" s="4" t="s">
        <v>19841</v>
      </c>
    </row>
    <row r="1420" spans="1:8" x14ac:dyDescent="0.2">
      <c r="A1420" s="4" t="str">
        <f t="shared" si="40"/>
        <v>45</v>
      </c>
      <c r="B1420" s="4" t="str">
        <f>"45.0603"</f>
        <v>45.0603</v>
      </c>
      <c r="C1420" s="4" t="s">
        <v>18238</v>
      </c>
      <c r="D1420" s="4" t="s">
        <v>18239</v>
      </c>
      <c r="E1420" s="4" t="s">
        <v>8845</v>
      </c>
      <c r="F1420" s="4" t="s">
        <v>8846</v>
      </c>
      <c r="H1420" s="4" t="s">
        <v>19842</v>
      </c>
    </row>
    <row r="1421" spans="1:8" x14ac:dyDescent="0.2">
      <c r="A1421" s="4" t="str">
        <f t="shared" si="40"/>
        <v>45</v>
      </c>
      <c r="B1421" s="4" t="str">
        <f>"45.0604"</f>
        <v>45.0604</v>
      </c>
      <c r="C1421" s="4" t="s">
        <v>18238</v>
      </c>
      <c r="D1421" s="4" t="s">
        <v>18239</v>
      </c>
      <c r="E1421" s="4" t="s">
        <v>8847</v>
      </c>
      <c r="F1421" s="4" t="s">
        <v>8848</v>
      </c>
      <c r="G1421" s="4" t="s">
        <v>19843</v>
      </c>
      <c r="H1421" s="4" t="s">
        <v>19842</v>
      </c>
    </row>
    <row r="1422" spans="1:8" x14ac:dyDescent="0.2">
      <c r="A1422" s="4" t="str">
        <f t="shared" si="40"/>
        <v>45</v>
      </c>
      <c r="B1422" s="4" t="str">
        <f>"45.0605"</f>
        <v>45.0605</v>
      </c>
      <c r="C1422" s="4" t="s">
        <v>18238</v>
      </c>
      <c r="D1422" s="4" t="s">
        <v>18239</v>
      </c>
      <c r="E1422" s="4" t="s">
        <v>8849</v>
      </c>
      <c r="F1422" s="4" t="s">
        <v>8850</v>
      </c>
      <c r="G1422" s="4" t="s">
        <v>19844</v>
      </c>
      <c r="H1422" s="4" t="s">
        <v>19842</v>
      </c>
    </row>
    <row r="1423" spans="1:8" x14ac:dyDescent="0.2">
      <c r="A1423" s="4" t="str">
        <f t="shared" si="40"/>
        <v>45</v>
      </c>
      <c r="B1423" s="4" t="str">
        <f>"45.0699"</f>
        <v>45.0699</v>
      </c>
      <c r="C1423" s="4" t="s">
        <v>18238</v>
      </c>
      <c r="D1423" s="4" t="s">
        <v>18239</v>
      </c>
      <c r="E1423" s="4" t="s">
        <v>8853</v>
      </c>
      <c r="F1423" s="4" t="s">
        <v>8854</v>
      </c>
      <c r="H1423" s="4" t="s">
        <v>19845</v>
      </c>
    </row>
    <row r="1424" spans="1:8" x14ac:dyDescent="0.2">
      <c r="A1424" s="4" t="str">
        <f t="shared" si="40"/>
        <v>45</v>
      </c>
      <c r="B1424" s="4" t="str">
        <f>"45.07"</f>
        <v>45.07</v>
      </c>
      <c r="C1424" s="4" t="s">
        <v>18238</v>
      </c>
      <c r="D1424" s="4" t="s">
        <v>18239</v>
      </c>
      <c r="E1424" s="4" t="s">
        <v>8856</v>
      </c>
      <c r="F1424" s="4" t="s">
        <v>19846</v>
      </c>
      <c r="H1424" s="4" t="s">
        <v>19845</v>
      </c>
    </row>
    <row r="1425" spans="1:8" x14ac:dyDescent="0.2">
      <c r="A1425" s="4" t="str">
        <f t="shared" si="40"/>
        <v>45</v>
      </c>
      <c r="B1425" s="4" t="str">
        <f>"45.0701"</f>
        <v>45.0701</v>
      </c>
      <c r="C1425" s="4" t="s">
        <v>18238</v>
      </c>
      <c r="D1425" s="4" t="s">
        <v>18239</v>
      </c>
      <c r="E1425" s="4" t="s">
        <v>10746</v>
      </c>
      <c r="F1425" s="4" t="s">
        <v>8858</v>
      </c>
      <c r="H1425" s="4" t="s">
        <v>19847</v>
      </c>
    </row>
    <row r="1426" spans="1:8" x14ac:dyDescent="0.2">
      <c r="A1426" s="4" t="str">
        <f t="shared" si="40"/>
        <v>45</v>
      </c>
      <c r="B1426" s="4" t="str">
        <f>"45.0702"</f>
        <v>45.0702</v>
      </c>
      <c r="C1426" s="4" t="s">
        <v>18238</v>
      </c>
      <c r="D1426" s="4" t="s">
        <v>18307</v>
      </c>
      <c r="E1426" s="4" t="s">
        <v>19848</v>
      </c>
      <c r="F1426" s="4" t="s">
        <v>19849</v>
      </c>
      <c r="H1426" s="4" t="s">
        <v>19850</v>
      </c>
    </row>
    <row r="1427" spans="1:8" x14ac:dyDescent="0.2">
      <c r="A1427" s="4" t="str">
        <f t="shared" si="40"/>
        <v>45</v>
      </c>
      <c r="B1427" s="4" t="str">
        <f>"45.0799"</f>
        <v>45.0799</v>
      </c>
      <c r="C1427" s="4" t="s">
        <v>18238</v>
      </c>
      <c r="D1427" s="4" t="s">
        <v>18239</v>
      </c>
      <c r="E1427" s="4" t="s">
        <v>8862</v>
      </c>
      <c r="F1427" s="4" t="s">
        <v>19851</v>
      </c>
      <c r="H1427" s="4" t="s">
        <v>19850</v>
      </c>
    </row>
    <row r="1428" spans="1:8" x14ac:dyDescent="0.2">
      <c r="A1428" s="4" t="str">
        <f t="shared" si="40"/>
        <v>45</v>
      </c>
      <c r="B1428" s="4" t="str">
        <f>"45.09"</f>
        <v>45.09</v>
      </c>
      <c r="C1428" s="4" t="s">
        <v>18238</v>
      </c>
      <c r="D1428" s="4" t="s">
        <v>18307</v>
      </c>
      <c r="E1428" s="4" t="s">
        <v>19852</v>
      </c>
      <c r="F1428" s="4" t="s">
        <v>19853</v>
      </c>
      <c r="H1428" s="4" t="s">
        <v>19850</v>
      </c>
    </row>
    <row r="1429" spans="1:8" x14ac:dyDescent="0.2">
      <c r="A1429" s="4" t="str">
        <f t="shared" si="40"/>
        <v>45</v>
      </c>
      <c r="B1429" s="4" t="str">
        <f>"45.0901"</f>
        <v>45.0901</v>
      </c>
      <c r="C1429" s="4" t="s">
        <v>18238</v>
      </c>
      <c r="D1429" s="4" t="s">
        <v>18307</v>
      </c>
      <c r="E1429" s="4" t="s">
        <v>9210</v>
      </c>
      <c r="F1429" s="4" t="s">
        <v>19854</v>
      </c>
      <c r="G1429" s="4" t="s">
        <v>19855</v>
      </c>
      <c r="H1429" s="4" t="s">
        <v>19856</v>
      </c>
    </row>
    <row r="1430" spans="1:8" x14ac:dyDescent="0.2">
      <c r="A1430" s="4" t="str">
        <f t="shared" si="40"/>
        <v>45</v>
      </c>
      <c r="B1430" s="4" t="str">
        <f>"45.0902"</f>
        <v>45.0902</v>
      </c>
      <c r="C1430" s="4" t="s">
        <v>18258</v>
      </c>
      <c r="D1430" s="4" t="s">
        <v>18239</v>
      </c>
      <c r="E1430" s="4" t="s">
        <v>19857</v>
      </c>
      <c r="F1430" s="4" t="s">
        <v>19858</v>
      </c>
      <c r="G1430" s="4" t="s">
        <v>19859</v>
      </c>
      <c r="H1430" s="4" t="s">
        <v>19860</v>
      </c>
    </row>
    <row r="1431" spans="1:8" x14ac:dyDescent="0.2">
      <c r="A1431" s="4" t="str">
        <f t="shared" si="40"/>
        <v>45</v>
      </c>
      <c r="B1431" s="4" t="str">
        <f>"45.0999"</f>
        <v>45.0999</v>
      </c>
      <c r="C1431" s="4" t="s">
        <v>18258</v>
      </c>
      <c r="D1431" s="4" t="s">
        <v>18239</v>
      </c>
      <c r="E1431" s="4" t="s">
        <v>19861</v>
      </c>
      <c r="F1431" s="4" t="s">
        <v>19862</v>
      </c>
      <c r="H1431" s="4" t="s">
        <v>19860</v>
      </c>
    </row>
    <row r="1432" spans="1:8" x14ac:dyDescent="0.2">
      <c r="A1432" s="4" t="str">
        <f t="shared" si="40"/>
        <v>45</v>
      </c>
      <c r="B1432" s="4" t="str">
        <f>"45.10"</f>
        <v>45.10</v>
      </c>
      <c r="C1432" s="4" t="s">
        <v>18238</v>
      </c>
      <c r="D1432" s="4" t="s">
        <v>18239</v>
      </c>
      <c r="E1432" s="4" t="s">
        <v>8880</v>
      </c>
      <c r="F1432" s="4" t="s">
        <v>19863</v>
      </c>
      <c r="H1432" s="4" t="s">
        <v>19860</v>
      </c>
    </row>
    <row r="1433" spans="1:8" x14ac:dyDescent="0.2">
      <c r="A1433" s="4" t="str">
        <f t="shared" si="40"/>
        <v>45</v>
      </c>
      <c r="B1433" s="4" t="str">
        <f>"45.1001"</f>
        <v>45.1001</v>
      </c>
      <c r="C1433" s="4" t="s">
        <v>18238</v>
      </c>
      <c r="D1433" s="4" t="s">
        <v>18239</v>
      </c>
      <c r="E1433" s="4" t="s">
        <v>10684</v>
      </c>
      <c r="F1433" s="4" t="s">
        <v>19864</v>
      </c>
      <c r="H1433" s="4" t="s">
        <v>19860</v>
      </c>
    </row>
    <row r="1434" spans="1:8" x14ac:dyDescent="0.2">
      <c r="A1434" s="4" t="str">
        <f t="shared" si="40"/>
        <v>45</v>
      </c>
      <c r="B1434" s="4" t="str">
        <f>"45.1002"</f>
        <v>45.1002</v>
      </c>
      <c r="C1434" s="4" t="s">
        <v>18238</v>
      </c>
      <c r="D1434" s="4" t="s">
        <v>18239</v>
      </c>
      <c r="E1434" s="4" t="s">
        <v>11312</v>
      </c>
      <c r="F1434" s="4" t="s">
        <v>8883</v>
      </c>
      <c r="H1434" s="4" t="s">
        <v>19860</v>
      </c>
    </row>
    <row r="1435" spans="1:8" x14ac:dyDescent="0.2">
      <c r="A1435" s="4" t="str">
        <f t="shared" si="40"/>
        <v>45</v>
      </c>
      <c r="B1435" s="4" t="str">
        <f>"45.1003"</f>
        <v>45.1003</v>
      </c>
      <c r="C1435" s="4" t="s">
        <v>18238</v>
      </c>
      <c r="D1435" s="4" t="s">
        <v>18239</v>
      </c>
      <c r="E1435" s="4" t="s">
        <v>11383</v>
      </c>
      <c r="F1435" s="4" t="s">
        <v>19865</v>
      </c>
      <c r="H1435" s="4" t="s">
        <v>19860</v>
      </c>
    </row>
    <row r="1436" spans="1:8" x14ac:dyDescent="0.2">
      <c r="A1436" s="4" t="str">
        <f t="shared" si="40"/>
        <v>45</v>
      </c>
      <c r="B1436" s="4" t="str">
        <f>"45.1004"</f>
        <v>45.1004</v>
      </c>
      <c r="C1436" s="4" t="s">
        <v>18258</v>
      </c>
      <c r="D1436" s="4" t="s">
        <v>18239</v>
      </c>
      <c r="E1436" s="4" t="s">
        <v>19866</v>
      </c>
      <c r="F1436" s="4" t="s">
        <v>19867</v>
      </c>
      <c r="H1436" s="4" t="s">
        <v>19868</v>
      </c>
    </row>
    <row r="1437" spans="1:8" x14ac:dyDescent="0.2">
      <c r="A1437" s="4" t="str">
        <f t="shared" si="40"/>
        <v>45</v>
      </c>
      <c r="B1437" s="4" t="str">
        <f>"45.1099"</f>
        <v>45.1099</v>
      </c>
      <c r="C1437" s="4" t="s">
        <v>18238</v>
      </c>
      <c r="D1437" s="4" t="s">
        <v>18239</v>
      </c>
      <c r="E1437" s="4" t="s">
        <v>8886</v>
      </c>
      <c r="F1437" s="4" t="s">
        <v>8887</v>
      </c>
      <c r="H1437" s="4" t="s">
        <v>19868</v>
      </c>
    </row>
    <row r="1438" spans="1:8" x14ac:dyDescent="0.2">
      <c r="A1438" s="4" t="str">
        <f t="shared" si="40"/>
        <v>45</v>
      </c>
      <c r="B1438" s="4" t="str">
        <f>"45.11"</f>
        <v>45.11</v>
      </c>
      <c r="C1438" s="4" t="s">
        <v>18238</v>
      </c>
      <c r="D1438" s="4" t="s">
        <v>18239</v>
      </c>
      <c r="E1438" s="4" t="s">
        <v>10685</v>
      </c>
      <c r="F1438" s="4" t="s">
        <v>8889</v>
      </c>
      <c r="H1438" s="4" t="s">
        <v>19868</v>
      </c>
    </row>
    <row r="1439" spans="1:8" x14ac:dyDescent="0.2">
      <c r="A1439" s="4" t="str">
        <f t="shared" si="40"/>
        <v>45</v>
      </c>
      <c r="B1439" s="4" t="str">
        <f>"45.1101"</f>
        <v>45.1101</v>
      </c>
      <c r="C1439" s="4" t="s">
        <v>18238</v>
      </c>
      <c r="D1439" s="4" t="s">
        <v>18239</v>
      </c>
      <c r="E1439" s="4" t="s">
        <v>10685</v>
      </c>
      <c r="F1439" s="4" t="s">
        <v>8890</v>
      </c>
      <c r="H1439" s="4" t="s">
        <v>19868</v>
      </c>
    </row>
    <row r="1440" spans="1:8" x14ac:dyDescent="0.2">
      <c r="A1440" s="4" t="str">
        <f t="shared" si="40"/>
        <v>45</v>
      </c>
      <c r="B1440" s="4" t="str">
        <f>"45.12"</f>
        <v>45.12</v>
      </c>
      <c r="C1440" s="4" t="s">
        <v>18238</v>
      </c>
      <c r="D1440" s="4" t="s">
        <v>18239</v>
      </c>
      <c r="E1440" s="4" t="s">
        <v>12670</v>
      </c>
      <c r="F1440" s="4" t="s">
        <v>8892</v>
      </c>
      <c r="H1440" s="4" t="s">
        <v>19868</v>
      </c>
    </row>
    <row r="1441" spans="1:8" x14ac:dyDescent="0.2">
      <c r="A1441" s="4" t="str">
        <f t="shared" si="40"/>
        <v>45</v>
      </c>
      <c r="B1441" s="4" t="str">
        <f>"45.1201"</f>
        <v>45.1201</v>
      </c>
      <c r="C1441" s="4" t="s">
        <v>18238</v>
      </c>
      <c r="D1441" s="4" t="s">
        <v>18239</v>
      </c>
      <c r="E1441" s="4" t="s">
        <v>12670</v>
      </c>
      <c r="F1441" s="4" t="s">
        <v>8893</v>
      </c>
      <c r="G1441" s="4" t="s">
        <v>19869</v>
      </c>
      <c r="H1441" s="4" t="s">
        <v>19868</v>
      </c>
    </row>
    <row r="1442" spans="1:8" x14ac:dyDescent="0.2">
      <c r="A1442" s="4" t="str">
        <f t="shared" si="40"/>
        <v>45</v>
      </c>
      <c r="B1442" s="4" t="str">
        <f>"45.13"</f>
        <v>45.13</v>
      </c>
      <c r="C1442" s="4" t="s">
        <v>18258</v>
      </c>
      <c r="D1442" s="4" t="s">
        <v>18239</v>
      </c>
      <c r="E1442" s="4" t="s">
        <v>19870</v>
      </c>
      <c r="F1442" s="4" t="s">
        <v>19871</v>
      </c>
      <c r="H1442" s="4" t="s">
        <v>19868</v>
      </c>
    </row>
    <row r="1443" spans="1:8" x14ac:dyDescent="0.2">
      <c r="A1443" s="4" t="str">
        <f t="shared" si="40"/>
        <v>45</v>
      </c>
      <c r="B1443" s="4" t="str">
        <f>"45.1301"</f>
        <v>45.1301</v>
      </c>
      <c r="C1443" s="4" t="s">
        <v>18258</v>
      </c>
      <c r="D1443" s="4" t="s">
        <v>18239</v>
      </c>
      <c r="E1443" s="4" t="s">
        <v>19870</v>
      </c>
      <c r="F1443" s="4" t="s">
        <v>19872</v>
      </c>
      <c r="G1443" s="4" t="s">
        <v>19873</v>
      </c>
      <c r="H1443" s="4" t="s">
        <v>19868</v>
      </c>
    </row>
    <row r="1444" spans="1:8" x14ac:dyDescent="0.2">
      <c r="A1444" s="4" t="str">
        <f t="shared" si="40"/>
        <v>45</v>
      </c>
      <c r="B1444" s="4" t="str">
        <f>"45.14"</f>
        <v>45.14</v>
      </c>
      <c r="C1444" s="4" t="s">
        <v>18258</v>
      </c>
      <c r="D1444" s="4" t="s">
        <v>18239</v>
      </c>
      <c r="E1444" s="4" t="s">
        <v>19874</v>
      </c>
      <c r="F1444" s="4" t="s">
        <v>19875</v>
      </c>
      <c r="H1444" s="4" t="s">
        <v>19868</v>
      </c>
    </row>
    <row r="1445" spans="1:8" x14ac:dyDescent="0.2">
      <c r="A1445" s="4" t="str">
        <f t="shared" si="40"/>
        <v>45</v>
      </c>
      <c r="B1445" s="4" t="str">
        <f>"45.1401"</f>
        <v>45.1401</v>
      </c>
      <c r="C1445" s="4" t="s">
        <v>18258</v>
      </c>
      <c r="D1445" s="4" t="s">
        <v>18239</v>
      </c>
      <c r="E1445" s="4" t="s">
        <v>19874</v>
      </c>
      <c r="F1445" s="4" t="s">
        <v>19876</v>
      </c>
      <c r="H1445" s="4" t="s">
        <v>19877</v>
      </c>
    </row>
    <row r="1446" spans="1:8" x14ac:dyDescent="0.2">
      <c r="A1446" s="4" t="str">
        <f t="shared" si="40"/>
        <v>45</v>
      </c>
      <c r="B1446" s="4" t="str">
        <f>"45.99"</f>
        <v>45.99</v>
      </c>
      <c r="C1446" s="4" t="s">
        <v>18238</v>
      </c>
      <c r="D1446" s="4" t="s">
        <v>18239</v>
      </c>
      <c r="E1446" s="4" t="s">
        <v>8895</v>
      </c>
      <c r="F1446" s="4" t="s">
        <v>8896</v>
      </c>
      <c r="H1446" s="4" t="s">
        <v>19877</v>
      </c>
    </row>
    <row r="1447" spans="1:8" x14ac:dyDescent="0.2">
      <c r="A1447" s="4" t="str">
        <f t="shared" si="40"/>
        <v>45</v>
      </c>
      <c r="B1447" s="4" t="str">
        <f>"45.9999"</f>
        <v>45.9999</v>
      </c>
      <c r="C1447" s="4" t="s">
        <v>18238</v>
      </c>
      <c r="D1447" s="4" t="s">
        <v>18239</v>
      </c>
      <c r="E1447" s="4" t="s">
        <v>8895</v>
      </c>
      <c r="F1447" s="4" t="s">
        <v>8897</v>
      </c>
      <c r="H1447" s="4" t="s">
        <v>19877</v>
      </c>
    </row>
    <row r="1448" spans="1:8" x14ac:dyDescent="0.2">
      <c r="A1448" s="4" t="str">
        <f>"46"</f>
        <v>46</v>
      </c>
      <c r="B1448" s="4" t="str">
        <f>"46"</f>
        <v>46</v>
      </c>
      <c r="C1448" s="4" t="s">
        <v>18238</v>
      </c>
      <c r="D1448" s="4" t="s">
        <v>18239</v>
      </c>
      <c r="E1448" s="4" t="s">
        <v>10697</v>
      </c>
      <c r="F1448" s="4" t="s">
        <v>8898</v>
      </c>
      <c r="H1448" s="4" t="s">
        <v>19877</v>
      </c>
    </row>
    <row r="1449" spans="1:8" x14ac:dyDescent="0.2">
      <c r="A1449" s="4" t="str">
        <f t="shared" ref="A1449:A1481" si="41">"46"</f>
        <v>46</v>
      </c>
      <c r="B1449" s="4" t="str">
        <f>"46.00"</f>
        <v>46.00</v>
      </c>
      <c r="C1449" s="4" t="s">
        <v>18238</v>
      </c>
      <c r="D1449" s="4" t="s">
        <v>18239</v>
      </c>
      <c r="E1449" s="4" t="s">
        <v>8900</v>
      </c>
      <c r="F1449" s="4" t="s">
        <v>19878</v>
      </c>
      <c r="H1449" s="4" t="s">
        <v>19877</v>
      </c>
    </row>
    <row r="1450" spans="1:8" x14ac:dyDescent="0.2">
      <c r="A1450" s="4" t="str">
        <f t="shared" si="41"/>
        <v>46</v>
      </c>
      <c r="B1450" s="4" t="str">
        <f>"46.0000"</f>
        <v>46.0000</v>
      </c>
      <c r="C1450" s="4" t="s">
        <v>18238</v>
      </c>
      <c r="D1450" s="4" t="s">
        <v>18239</v>
      </c>
      <c r="E1450" s="4" t="s">
        <v>8900</v>
      </c>
      <c r="F1450" s="4" t="s">
        <v>19879</v>
      </c>
      <c r="H1450" s="4" t="s">
        <v>19880</v>
      </c>
    </row>
    <row r="1451" spans="1:8" x14ac:dyDescent="0.2">
      <c r="A1451" s="4" t="str">
        <f t="shared" si="41"/>
        <v>46</v>
      </c>
      <c r="B1451" s="4" t="str">
        <f>"46.01"</f>
        <v>46.01</v>
      </c>
      <c r="C1451" s="4" t="s">
        <v>18238</v>
      </c>
      <c r="D1451" s="4" t="s">
        <v>18239</v>
      </c>
      <c r="E1451" s="4" t="s">
        <v>8904</v>
      </c>
      <c r="F1451" s="4" t="s">
        <v>8905</v>
      </c>
      <c r="H1451" s="4" t="s">
        <v>19880</v>
      </c>
    </row>
    <row r="1452" spans="1:8" x14ac:dyDescent="0.2">
      <c r="A1452" s="4" t="str">
        <f t="shared" si="41"/>
        <v>46</v>
      </c>
      <c r="B1452" s="4" t="str">
        <f>"46.0101"</f>
        <v>46.0101</v>
      </c>
      <c r="C1452" s="4" t="s">
        <v>18238</v>
      </c>
      <c r="D1452" s="4" t="s">
        <v>18239</v>
      </c>
      <c r="E1452" s="4" t="s">
        <v>8904</v>
      </c>
      <c r="F1452" s="4" t="s">
        <v>19881</v>
      </c>
      <c r="H1452" s="4" t="s">
        <v>19882</v>
      </c>
    </row>
    <row r="1453" spans="1:8" x14ac:dyDescent="0.2">
      <c r="A1453" s="4" t="str">
        <f t="shared" si="41"/>
        <v>46</v>
      </c>
      <c r="B1453" s="4" t="str">
        <f>"46.02"</f>
        <v>46.02</v>
      </c>
      <c r="C1453" s="4" t="s">
        <v>18238</v>
      </c>
      <c r="D1453" s="4" t="s">
        <v>18239</v>
      </c>
      <c r="E1453" s="4" t="s">
        <v>8908</v>
      </c>
      <c r="F1453" s="4" t="s">
        <v>8909</v>
      </c>
      <c r="H1453" s="4" t="s">
        <v>19882</v>
      </c>
    </row>
    <row r="1454" spans="1:8" x14ac:dyDescent="0.2">
      <c r="A1454" s="4" t="str">
        <f t="shared" si="41"/>
        <v>46</v>
      </c>
      <c r="B1454" s="4" t="str">
        <f>"46.0201"</f>
        <v>46.0201</v>
      </c>
      <c r="C1454" s="4" t="s">
        <v>18238</v>
      </c>
      <c r="D1454" s="4" t="s">
        <v>18239</v>
      </c>
      <c r="E1454" s="4" t="s">
        <v>8910</v>
      </c>
      <c r="F1454" s="4" t="s">
        <v>8911</v>
      </c>
      <c r="H1454" s="4" t="s">
        <v>19883</v>
      </c>
    </row>
    <row r="1455" spans="1:8" x14ac:dyDescent="0.2">
      <c r="A1455" s="4" t="str">
        <f t="shared" si="41"/>
        <v>46</v>
      </c>
      <c r="B1455" s="4" t="str">
        <f>"46.03"</f>
        <v>46.03</v>
      </c>
      <c r="C1455" s="4" t="s">
        <v>18238</v>
      </c>
      <c r="D1455" s="4" t="s">
        <v>18239</v>
      </c>
      <c r="E1455" s="4" t="s">
        <v>8913</v>
      </c>
      <c r="F1455" s="4" t="s">
        <v>19884</v>
      </c>
      <c r="H1455" s="4" t="s">
        <v>19883</v>
      </c>
    </row>
    <row r="1456" spans="1:8" x14ac:dyDescent="0.2">
      <c r="A1456" s="4" t="str">
        <f t="shared" si="41"/>
        <v>46</v>
      </c>
      <c r="B1456" s="4" t="str">
        <f>"46.0301"</f>
        <v>46.0301</v>
      </c>
      <c r="C1456" s="4" t="s">
        <v>18238</v>
      </c>
      <c r="D1456" s="4" t="s">
        <v>18239</v>
      </c>
      <c r="E1456" s="4" t="s">
        <v>8915</v>
      </c>
      <c r="F1456" s="4" t="s">
        <v>8916</v>
      </c>
      <c r="H1456" s="4" t="s">
        <v>19883</v>
      </c>
    </row>
    <row r="1457" spans="1:8" x14ac:dyDescent="0.2">
      <c r="A1457" s="4" t="str">
        <f t="shared" si="41"/>
        <v>46</v>
      </c>
      <c r="B1457" s="4" t="str">
        <f>"46.0302"</f>
        <v>46.0302</v>
      </c>
      <c r="C1457" s="4" t="s">
        <v>18238</v>
      </c>
      <c r="D1457" s="4" t="s">
        <v>18239</v>
      </c>
      <c r="E1457" s="4" t="s">
        <v>8917</v>
      </c>
      <c r="F1457" s="4" t="s">
        <v>8918</v>
      </c>
      <c r="G1457" s="4" t="s">
        <v>19885</v>
      </c>
      <c r="H1457" s="4" t="s">
        <v>19886</v>
      </c>
    </row>
    <row r="1458" spans="1:8" x14ac:dyDescent="0.2">
      <c r="A1458" s="4" t="str">
        <f t="shared" si="41"/>
        <v>46</v>
      </c>
      <c r="B1458" s="4" t="str">
        <f>"46.0303"</f>
        <v>46.0303</v>
      </c>
      <c r="C1458" s="4" t="s">
        <v>18238</v>
      </c>
      <c r="D1458" s="4" t="s">
        <v>18239</v>
      </c>
      <c r="E1458" s="4" t="s">
        <v>8919</v>
      </c>
      <c r="F1458" s="4" t="s">
        <v>8920</v>
      </c>
      <c r="H1458" s="4" t="s">
        <v>19887</v>
      </c>
    </row>
    <row r="1459" spans="1:8" x14ac:dyDescent="0.2">
      <c r="A1459" s="4" t="str">
        <f t="shared" si="41"/>
        <v>46</v>
      </c>
      <c r="B1459" s="4" t="str">
        <f>"46.0399"</f>
        <v>46.0399</v>
      </c>
      <c r="C1459" s="4" t="s">
        <v>18238</v>
      </c>
      <c r="D1459" s="4" t="s">
        <v>18239</v>
      </c>
      <c r="E1459" s="4" t="s">
        <v>8921</v>
      </c>
      <c r="F1459" s="4" t="s">
        <v>8922</v>
      </c>
      <c r="H1459" s="4" t="s">
        <v>19887</v>
      </c>
    </row>
    <row r="1460" spans="1:8" x14ac:dyDescent="0.2">
      <c r="A1460" s="4" t="str">
        <f t="shared" si="41"/>
        <v>46</v>
      </c>
      <c r="B1460" s="4" t="str">
        <f>"46.04"</f>
        <v>46.04</v>
      </c>
      <c r="C1460" s="4" t="s">
        <v>18238</v>
      </c>
      <c r="D1460" s="4" t="s">
        <v>18239</v>
      </c>
      <c r="E1460" s="4" t="s">
        <v>8924</v>
      </c>
      <c r="F1460" s="4" t="s">
        <v>19888</v>
      </c>
      <c r="H1460" s="4" t="s">
        <v>19887</v>
      </c>
    </row>
    <row r="1461" spans="1:8" x14ac:dyDescent="0.2">
      <c r="A1461" s="4" t="str">
        <f t="shared" si="41"/>
        <v>46</v>
      </c>
      <c r="B1461" s="4" t="str">
        <f>"46.0401"</f>
        <v>46.0401</v>
      </c>
      <c r="C1461" s="4" t="s">
        <v>18238</v>
      </c>
      <c r="D1461" s="4" t="s">
        <v>18307</v>
      </c>
      <c r="E1461" s="4" t="s">
        <v>19889</v>
      </c>
      <c r="F1461" s="4" t="s">
        <v>8929</v>
      </c>
      <c r="H1461" s="4" t="s">
        <v>19890</v>
      </c>
    </row>
    <row r="1462" spans="1:8" x14ac:dyDescent="0.2">
      <c r="A1462" s="4" t="str">
        <f t="shared" si="41"/>
        <v>46</v>
      </c>
      <c r="B1462" s="4" t="str">
        <f>"46.0402"</f>
        <v>46.0402</v>
      </c>
      <c r="C1462" s="4" t="s">
        <v>18238</v>
      </c>
      <c r="D1462" s="4" t="s">
        <v>18239</v>
      </c>
      <c r="E1462" s="4" t="s">
        <v>8931</v>
      </c>
      <c r="F1462" s="4" t="s">
        <v>19891</v>
      </c>
      <c r="H1462" s="4" t="s">
        <v>19890</v>
      </c>
    </row>
    <row r="1463" spans="1:8" x14ac:dyDescent="0.2">
      <c r="A1463" s="4" t="str">
        <f t="shared" si="41"/>
        <v>46</v>
      </c>
      <c r="B1463" s="4" t="str">
        <f>"46.0403"</f>
        <v>46.0403</v>
      </c>
      <c r="C1463" s="4" t="s">
        <v>18238</v>
      </c>
      <c r="D1463" s="4" t="s">
        <v>18239</v>
      </c>
      <c r="E1463" s="4" t="s">
        <v>8933</v>
      </c>
      <c r="F1463" s="4" t="s">
        <v>8934</v>
      </c>
      <c r="H1463" s="4" t="s">
        <v>19890</v>
      </c>
    </row>
    <row r="1464" spans="1:8" x14ac:dyDescent="0.2">
      <c r="A1464" s="4" t="str">
        <f t="shared" si="41"/>
        <v>46</v>
      </c>
      <c r="B1464" s="4" t="str">
        <f>"46.0404"</f>
        <v>46.0404</v>
      </c>
      <c r="C1464" s="4" t="s">
        <v>18238</v>
      </c>
      <c r="D1464" s="4" t="s">
        <v>18239</v>
      </c>
      <c r="E1464" s="4" t="s">
        <v>8936</v>
      </c>
      <c r="F1464" s="4" t="s">
        <v>19892</v>
      </c>
      <c r="H1464" s="4" t="s">
        <v>19893</v>
      </c>
    </row>
    <row r="1465" spans="1:8" x14ac:dyDescent="0.2">
      <c r="A1465" s="4" t="str">
        <f t="shared" si="41"/>
        <v>46</v>
      </c>
      <c r="B1465" s="4" t="str">
        <f>"46.0406"</f>
        <v>46.0406</v>
      </c>
      <c r="C1465" s="4" t="s">
        <v>18238</v>
      </c>
      <c r="D1465" s="4" t="s">
        <v>18239</v>
      </c>
      <c r="E1465" s="4" t="s">
        <v>8939</v>
      </c>
      <c r="F1465" s="4" t="s">
        <v>19894</v>
      </c>
      <c r="H1465" s="4" t="s">
        <v>19895</v>
      </c>
    </row>
    <row r="1466" spans="1:8" x14ac:dyDescent="0.2">
      <c r="A1466" s="4" t="str">
        <f t="shared" si="41"/>
        <v>46</v>
      </c>
      <c r="B1466" s="4" t="str">
        <f>"46.0408"</f>
        <v>46.0408</v>
      </c>
      <c r="C1466" s="4" t="s">
        <v>18238</v>
      </c>
      <c r="D1466" s="4" t="s">
        <v>18239</v>
      </c>
      <c r="E1466" s="4" t="s">
        <v>8941</v>
      </c>
      <c r="F1466" s="4" t="s">
        <v>8942</v>
      </c>
      <c r="H1466" s="4" t="s">
        <v>19896</v>
      </c>
    </row>
    <row r="1467" spans="1:8" x14ac:dyDescent="0.2">
      <c r="A1467" s="4" t="str">
        <f t="shared" si="41"/>
        <v>46</v>
      </c>
      <c r="B1467" s="4" t="str">
        <f>"46.0410"</f>
        <v>46.0410</v>
      </c>
      <c r="C1467" s="4" t="s">
        <v>18238</v>
      </c>
      <c r="D1467" s="4" t="s">
        <v>18239</v>
      </c>
      <c r="E1467" s="4" t="s">
        <v>8944</v>
      </c>
      <c r="F1467" s="4" t="s">
        <v>19897</v>
      </c>
      <c r="H1467" s="4" t="s">
        <v>19896</v>
      </c>
    </row>
    <row r="1468" spans="1:8" x14ac:dyDescent="0.2">
      <c r="A1468" s="4" t="str">
        <f t="shared" si="41"/>
        <v>46</v>
      </c>
      <c r="B1468" s="4" t="str">
        <f>"46.0411"</f>
        <v>46.0411</v>
      </c>
      <c r="C1468" s="4" t="s">
        <v>18238</v>
      </c>
      <c r="D1468" s="4" t="s">
        <v>18239</v>
      </c>
      <c r="E1468" s="4" t="s">
        <v>8947</v>
      </c>
      <c r="F1468" s="4" t="s">
        <v>19898</v>
      </c>
      <c r="H1468" s="4" t="s">
        <v>19896</v>
      </c>
    </row>
    <row r="1469" spans="1:8" x14ac:dyDescent="0.2">
      <c r="A1469" s="4" t="str">
        <f t="shared" si="41"/>
        <v>46</v>
      </c>
      <c r="B1469" s="4" t="str">
        <f>"46.0412"</f>
        <v>46.0412</v>
      </c>
      <c r="C1469" s="4" t="s">
        <v>18238</v>
      </c>
      <c r="D1469" s="4" t="s">
        <v>18239</v>
      </c>
      <c r="E1469" s="4" t="s">
        <v>8950</v>
      </c>
      <c r="F1469" s="4" t="s">
        <v>19899</v>
      </c>
      <c r="G1469" s="4" t="s">
        <v>19900</v>
      </c>
      <c r="H1469" s="4" t="s">
        <v>19896</v>
      </c>
    </row>
    <row r="1470" spans="1:8" x14ac:dyDescent="0.2">
      <c r="A1470" s="4" t="str">
        <f t="shared" si="41"/>
        <v>46</v>
      </c>
      <c r="B1470" s="4" t="str">
        <f>"46.0413"</f>
        <v>46.0413</v>
      </c>
      <c r="C1470" s="4" t="s">
        <v>18258</v>
      </c>
      <c r="D1470" s="4" t="s">
        <v>18239</v>
      </c>
      <c r="E1470" s="4" t="s">
        <v>19901</v>
      </c>
      <c r="F1470" s="4" t="s">
        <v>19902</v>
      </c>
      <c r="H1470" s="4" t="s">
        <v>19903</v>
      </c>
    </row>
    <row r="1471" spans="1:8" x14ac:dyDescent="0.2">
      <c r="A1471" s="4" t="str">
        <f t="shared" si="41"/>
        <v>46</v>
      </c>
      <c r="B1471" s="4" t="str">
        <f>"46.0414"</f>
        <v>46.0414</v>
      </c>
      <c r="C1471" s="4" t="s">
        <v>18258</v>
      </c>
      <c r="D1471" s="4" t="s">
        <v>18239</v>
      </c>
      <c r="E1471" s="4" t="s">
        <v>19904</v>
      </c>
      <c r="F1471" s="4" t="s">
        <v>19905</v>
      </c>
      <c r="H1471" s="4" t="s">
        <v>19906</v>
      </c>
    </row>
    <row r="1472" spans="1:8" x14ac:dyDescent="0.2">
      <c r="A1472" s="4" t="str">
        <f t="shared" si="41"/>
        <v>46</v>
      </c>
      <c r="B1472" s="4" t="str">
        <f>"46.0415"</f>
        <v>46.0415</v>
      </c>
      <c r="C1472" s="4" t="s">
        <v>18258</v>
      </c>
      <c r="D1472" s="4" t="s">
        <v>18239</v>
      </c>
      <c r="E1472" s="4" t="s">
        <v>19907</v>
      </c>
      <c r="F1472" s="4" t="s">
        <v>19908</v>
      </c>
      <c r="H1472" s="4" t="s">
        <v>19909</v>
      </c>
    </row>
    <row r="1473" spans="1:8" x14ac:dyDescent="0.2">
      <c r="A1473" s="4" t="str">
        <f t="shared" si="41"/>
        <v>46</v>
      </c>
      <c r="B1473" s="4" t="str">
        <f>"46.0499"</f>
        <v>46.0499</v>
      </c>
      <c r="C1473" s="4" t="s">
        <v>18238</v>
      </c>
      <c r="D1473" s="4" t="s">
        <v>18239</v>
      </c>
      <c r="E1473" s="4" t="s">
        <v>8497</v>
      </c>
      <c r="F1473" s="4" t="s">
        <v>8498</v>
      </c>
      <c r="H1473" s="4" t="s">
        <v>19909</v>
      </c>
    </row>
    <row r="1474" spans="1:8" x14ac:dyDescent="0.2">
      <c r="A1474" s="4" t="str">
        <f t="shared" si="41"/>
        <v>46</v>
      </c>
      <c r="B1474" s="4" t="str">
        <f>"46.05"</f>
        <v>46.05</v>
      </c>
      <c r="C1474" s="4" t="s">
        <v>18238</v>
      </c>
      <c r="D1474" s="4" t="s">
        <v>18239</v>
      </c>
      <c r="E1474" s="4" t="s">
        <v>8500</v>
      </c>
      <c r="F1474" s="4" t="s">
        <v>8501</v>
      </c>
      <c r="H1474" s="4" t="s">
        <v>19909</v>
      </c>
    </row>
    <row r="1475" spans="1:8" x14ac:dyDescent="0.2">
      <c r="A1475" s="4" t="str">
        <f t="shared" si="41"/>
        <v>46</v>
      </c>
      <c r="B1475" s="4" t="str">
        <f>"46.0502"</f>
        <v>46.0502</v>
      </c>
      <c r="C1475" s="4" t="s">
        <v>18238</v>
      </c>
      <c r="D1475" s="4" t="s">
        <v>18239</v>
      </c>
      <c r="E1475" s="4" t="s">
        <v>8505</v>
      </c>
      <c r="F1475" s="4" t="s">
        <v>19910</v>
      </c>
      <c r="H1475" s="4" t="s">
        <v>19911</v>
      </c>
    </row>
    <row r="1476" spans="1:8" x14ac:dyDescent="0.2">
      <c r="A1476" s="4" t="str">
        <f t="shared" si="41"/>
        <v>46</v>
      </c>
      <c r="B1476" s="4" t="str">
        <f>"46.0503"</f>
        <v>46.0503</v>
      </c>
      <c r="C1476" s="4" t="s">
        <v>18238</v>
      </c>
      <c r="D1476" s="4" t="s">
        <v>18239</v>
      </c>
      <c r="E1476" s="4" t="s">
        <v>8508</v>
      </c>
      <c r="F1476" s="4" t="s">
        <v>19912</v>
      </c>
      <c r="H1476" s="4" t="s">
        <v>19913</v>
      </c>
    </row>
    <row r="1477" spans="1:8" x14ac:dyDescent="0.2">
      <c r="A1477" s="4" t="str">
        <f t="shared" si="41"/>
        <v>46</v>
      </c>
      <c r="B1477" s="4" t="str">
        <f>"46.0504"</f>
        <v>46.0504</v>
      </c>
      <c r="C1477" s="4" t="s">
        <v>18238</v>
      </c>
      <c r="D1477" s="4" t="s">
        <v>18239</v>
      </c>
      <c r="E1477" s="4" t="s">
        <v>8511</v>
      </c>
      <c r="F1477" s="4" t="s">
        <v>19914</v>
      </c>
      <c r="H1477" s="4" t="s">
        <v>19915</v>
      </c>
    </row>
    <row r="1478" spans="1:8" x14ac:dyDescent="0.2">
      <c r="A1478" s="4" t="str">
        <f t="shared" si="41"/>
        <v>46</v>
      </c>
      <c r="B1478" s="4" t="str">
        <f>"46.0505"</f>
        <v>46.0505</v>
      </c>
      <c r="C1478" s="4" t="s">
        <v>18238</v>
      </c>
      <c r="D1478" s="4" t="s">
        <v>18239</v>
      </c>
      <c r="E1478" s="4" t="s">
        <v>8514</v>
      </c>
      <c r="F1478" s="4" t="s">
        <v>19916</v>
      </c>
      <c r="H1478" s="4" t="s">
        <v>19915</v>
      </c>
    </row>
    <row r="1479" spans="1:8" x14ac:dyDescent="0.2">
      <c r="A1479" s="4" t="str">
        <f t="shared" si="41"/>
        <v>46</v>
      </c>
      <c r="B1479" s="4" t="str">
        <f>"46.0599"</f>
        <v>46.0599</v>
      </c>
      <c r="C1479" s="4" t="s">
        <v>18238</v>
      </c>
      <c r="D1479" s="4" t="s">
        <v>18239</v>
      </c>
      <c r="E1479" s="4" t="s">
        <v>8517</v>
      </c>
      <c r="F1479" s="4" t="s">
        <v>19917</v>
      </c>
      <c r="H1479" s="4" t="s">
        <v>19915</v>
      </c>
    </row>
    <row r="1480" spans="1:8" x14ac:dyDescent="0.2">
      <c r="A1480" s="4" t="str">
        <f t="shared" si="41"/>
        <v>46</v>
      </c>
      <c r="B1480" s="4" t="str">
        <f>"46.99"</f>
        <v>46.99</v>
      </c>
      <c r="C1480" s="4" t="s">
        <v>18238</v>
      </c>
      <c r="D1480" s="4" t="s">
        <v>18239</v>
      </c>
      <c r="E1480" s="4" t="s">
        <v>8520</v>
      </c>
      <c r="F1480" s="4" t="s">
        <v>8521</v>
      </c>
      <c r="H1480" s="4" t="s">
        <v>19915</v>
      </c>
    </row>
    <row r="1481" spans="1:8" x14ac:dyDescent="0.2">
      <c r="A1481" s="4" t="str">
        <f t="shared" si="41"/>
        <v>46</v>
      </c>
      <c r="B1481" s="4" t="str">
        <f>"46.9999"</f>
        <v>46.9999</v>
      </c>
      <c r="C1481" s="4" t="s">
        <v>18238</v>
      </c>
      <c r="D1481" s="4" t="s">
        <v>18239</v>
      </c>
      <c r="E1481" s="4" t="s">
        <v>8520</v>
      </c>
      <c r="F1481" s="4" t="s">
        <v>8522</v>
      </c>
      <c r="H1481" s="4" t="s">
        <v>19918</v>
      </c>
    </row>
    <row r="1482" spans="1:8" x14ac:dyDescent="0.2">
      <c r="A1482" s="4" t="str">
        <f>"47"</f>
        <v>47</v>
      </c>
      <c r="B1482" s="4" t="str">
        <f>"47"</f>
        <v>47</v>
      </c>
      <c r="C1482" s="4" t="s">
        <v>18238</v>
      </c>
      <c r="D1482" s="4" t="s">
        <v>18239</v>
      </c>
      <c r="E1482" s="4" t="s">
        <v>8523</v>
      </c>
      <c r="F1482" s="4" t="s">
        <v>8524</v>
      </c>
      <c r="H1482" s="4" t="s">
        <v>19918</v>
      </c>
    </row>
    <row r="1483" spans="1:8" x14ac:dyDescent="0.2">
      <c r="A1483" s="4" t="str">
        <f t="shared" ref="A1483:A1527" si="42">"47"</f>
        <v>47</v>
      </c>
      <c r="B1483" s="4" t="str">
        <f>"47.00"</f>
        <v>47.00</v>
      </c>
      <c r="C1483" s="4" t="s">
        <v>18238</v>
      </c>
      <c r="D1483" s="4" t="s">
        <v>18239</v>
      </c>
      <c r="E1483" s="4" t="s">
        <v>8526</v>
      </c>
      <c r="F1483" s="4" t="s">
        <v>19919</v>
      </c>
      <c r="H1483" s="4" t="s">
        <v>19918</v>
      </c>
    </row>
    <row r="1484" spans="1:8" x14ac:dyDescent="0.2">
      <c r="A1484" s="4" t="str">
        <f t="shared" si="42"/>
        <v>47</v>
      </c>
      <c r="B1484" s="4" t="str">
        <f>"47.0000"</f>
        <v>47.0000</v>
      </c>
      <c r="C1484" s="4" t="s">
        <v>18238</v>
      </c>
      <c r="D1484" s="4" t="s">
        <v>18239</v>
      </c>
      <c r="E1484" s="4" t="s">
        <v>8526</v>
      </c>
      <c r="F1484" s="4" t="s">
        <v>19920</v>
      </c>
      <c r="H1484" s="4" t="s">
        <v>19918</v>
      </c>
    </row>
    <row r="1485" spans="1:8" x14ac:dyDescent="0.2">
      <c r="A1485" s="4" t="str">
        <f t="shared" si="42"/>
        <v>47</v>
      </c>
      <c r="B1485" s="4" t="str">
        <f>"47.01"</f>
        <v>47.01</v>
      </c>
      <c r="C1485" s="4" t="s">
        <v>18238</v>
      </c>
      <c r="D1485" s="4" t="s">
        <v>18239</v>
      </c>
      <c r="E1485" s="4" t="s">
        <v>8530</v>
      </c>
      <c r="F1485" s="4" t="s">
        <v>8531</v>
      </c>
      <c r="H1485" s="4" t="s">
        <v>19918</v>
      </c>
    </row>
    <row r="1486" spans="1:8" x14ac:dyDescent="0.2">
      <c r="A1486" s="4" t="str">
        <f t="shared" si="42"/>
        <v>47</v>
      </c>
      <c r="B1486" s="4" t="str">
        <f>"47.0101"</f>
        <v>47.0101</v>
      </c>
      <c r="C1486" s="4" t="s">
        <v>18238</v>
      </c>
      <c r="D1486" s="4" t="s">
        <v>18239</v>
      </c>
      <c r="E1486" s="4" t="s">
        <v>8532</v>
      </c>
      <c r="F1486" s="4" t="s">
        <v>8533</v>
      </c>
      <c r="H1486" s="4" t="s">
        <v>19921</v>
      </c>
    </row>
    <row r="1487" spans="1:8" x14ac:dyDescent="0.2">
      <c r="A1487" s="4" t="str">
        <f t="shared" si="42"/>
        <v>47</v>
      </c>
      <c r="B1487" s="4" t="str">
        <f>"47.0102"</f>
        <v>47.0102</v>
      </c>
      <c r="C1487" s="4" t="s">
        <v>18238</v>
      </c>
      <c r="D1487" s="4" t="s">
        <v>18239</v>
      </c>
      <c r="E1487" s="4" t="s">
        <v>8534</v>
      </c>
      <c r="F1487" s="4" t="s">
        <v>8535</v>
      </c>
      <c r="H1487" s="4" t="s">
        <v>19921</v>
      </c>
    </row>
    <row r="1488" spans="1:8" x14ac:dyDescent="0.2">
      <c r="A1488" s="4" t="str">
        <f t="shared" si="42"/>
        <v>47</v>
      </c>
      <c r="B1488" s="4" t="str">
        <f>"47.0103"</f>
        <v>47.0103</v>
      </c>
      <c r="C1488" s="4" t="s">
        <v>18238</v>
      </c>
      <c r="D1488" s="4" t="s">
        <v>18239</v>
      </c>
      <c r="E1488" s="4" t="s">
        <v>8536</v>
      </c>
      <c r="F1488" s="4" t="s">
        <v>8537</v>
      </c>
      <c r="H1488" s="4" t="s">
        <v>19921</v>
      </c>
    </row>
    <row r="1489" spans="1:8" x14ac:dyDescent="0.2">
      <c r="A1489" s="4" t="str">
        <f t="shared" si="42"/>
        <v>47</v>
      </c>
      <c r="B1489" s="4" t="str">
        <f>"47.0104"</f>
        <v>47.0104</v>
      </c>
      <c r="C1489" s="4" t="s">
        <v>18238</v>
      </c>
      <c r="D1489" s="4" t="s">
        <v>18239</v>
      </c>
      <c r="E1489" s="4" t="s">
        <v>10141</v>
      </c>
      <c r="F1489" s="4" t="s">
        <v>8538</v>
      </c>
      <c r="G1489" s="4" t="s">
        <v>19922</v>
      </c>
      <c r="H1489" s="4" t="s">
        <v>19921</v>
      </c>
    </row>
    <row r="1490" spans="1:8" x14ac:dyDescent="0.2">
      <c r="A1490" s="4" t="str">
        <f t="shared" si="42"/>
        <v>47</v>
      </c>
      <c r="B1490" s="4" t="str">
        <f>"47.0105"</f>
        <v>47.0105</v>
      </c>
      <c r="C1490" s="4" t="s">
        <v>18238</v>
      </c>
      <c r="D1490" s="4" t="s">
        <v>18239</v>
      </c>
      <c r="E1490" s="4" t="s">
        <v>8539</v>
      </c>
      <c r="F1490" s="4" t="s">
        <v>8540</v>
      </c>
      <c r="H1490" s="4" t="s">
        <v>19921</v>
      </c>
    </row>
    <row r="1491" spans="1:8" x14ac:dyDescent="0.2">
      <c r="A1491" s="4" t="str">
        <f t="shared" si="42"/>
        <v>47</v>
      </c>
      <c r="B1491" s="4" t="str">
        <f>"47.0106"</f>
        <v>47.0106</v>
      </c>
      <c r="C1491" s="4" t="s">
        <v>18238</v>
      </c>
      <c r="D1491" s="4" t="s">
        <v>18239</v>
      </c>
      <c r="E1491" s="4" t="s">
        <v>8541</v>
      </c>
      <c r="F1491" s="4" t="s">
        <v>8542</v>
      </c>
      <c r="H1491" s="4" t="s">
        <v>19923</v>
      </c>
    </row>
    <row r="1492" spans="1:8" x14ac:dyDescent="0.2">
      <c r="A1492" s="4" t="str">
        <f t="shared" si="42"/>
        <v>47</v>
      </c>
      <c r="B1492" s="4" t="str">
        <f>"47.0110"</f>
        <v>47.0110</v>
      </c>
      <c r="C1492" s="4" t="s">
        <v>18238</v>
      </c>
      <c r="D1492" s="4" t="s">
        <v>18239</v>
      </c>
      <c r="E1492" s="4" t="s">
        <v>8544</v>
      </c>
      <c r="F1492" s="4" t="s">
        <v>19924</v>
      </c>
      <c r="H1492" s="4" t="s">
        <v>19923</v>
      </c>
    </row>
    <row r="1493" spans="1:8" x14ac:dyDescent="0.2">
      <c r="A1493" s="4" t="str">
        <f t="shared" si="42"/>
        <v>47</v>
      </c>
      <c r="B1493" s="4" t="str">
        <f>"47.0199"</f>
        <v>47.0199</v>
      </c>
      <c r="C1493" s="4" t="s">
        <v>18238</v>
      </c>
      <c r="D1493" s="4" t="s">
        <v>18239</v>
      </c>
      <c r="E1493" s="4" t="s">
        <v>8546</v>
      </c>
      <c r="F1493" s="4" t="s">
        <v>8547</v>
      </c>
      <c r="H1493" s="4" t="s">
        <v>19923</v>
      </c>
    </row>
    <row r="1494" spans="1:8" x14ac:dyDescent="0.2">
      <c r="A1494" s="4" t="str">
        <f t="shared" si="42"/>
        <v>47</v>
      </c>
      <c r="B1494" s="4" t="str">
        <f>"47.02"</f>
        <v>47.02</v>
      </c>
      <c r="C1494" s="4" t="s">
        <v>18238</v>
      </c>
      <c r="D1494" s="4" t="s">
        <v>18239</v>
      </c>
      <c r="E1494" s="4" t="s">
        <v>8549</v>
      </c>
      <c r="F1494" s="4" t="s">
        <v>8550</v>
      </c>
      <c r="H1494" s="4" t="s">
        <v>19923</v>
      </c>
    </row>
    <row r="1495" spans="1:8" x14ac:dyDescent="0.2">
      <c r="A1495" s="4" t="str">
        <f t="shared" si="42"/>
        <v>47</v>
      </c>
      <c r="B1495" s="4" t="str">
        <f>"47.0201"</f>
        <v>47.0201</v>
      </c>
      <c r="C1495" s="4" t="s">
        <v>18238</v>
      </c>
      <c r="D1495" s="4" t="s">
        <v>18239</v>
      </c>
      <c r="E1495" s="4" t="s">
        <v>19925</v>
      </c>
      <c r="F1495" s="4" t="s">
        <v>8551</v>
      </c>
      <c r="G1495" s="4" t="s">
        <v>19926</v>
      </c>
      <c r="H1495" s="4" t="s">
        <v>19927</v>
      </c>
    </row>
    <row r="1496" spans="1:8" x14ac:dyDescent="0.2">
      <c r="A1496" s="4" t="str">
        <f t="shared" si="42"/>
        <v>47</v>
      </c>
      <c r="B1496" s="4" t="str">
        <f>"47.03"</f>
        <v>47.03</v>
      </c>
      <c r="C1496" s="4" t="s">
        <v>18238</v>
      </c>
      <c r="D1496" s="4" t="s">
        <v>18239</v>
      </c>
      <c r="E1496" s="4" t="s">
        <v>8553</v>
      </c>
      <c r="F1496" s="4" t="s">
        <v>8554</v>
      </c>
      <c r="H1496" s="4" t="s">
        <v>19927</v>
      </c>
    </row>
    <row r="1497" spans="1:8" x14ac:dyDescent="0.2">
      <c r="A1497" s="4" t="str">
        <f t="shared" si="42"/>
        <v>47</v>
      </c>
      <c r="B1497" s="4" t="str">
        <f>"47.0302"</f>
        <v>47.0302</v>
      </c>
      <c r="C1497" s="4" t="s">
        <v>18238</v>
      </c>
      <c r="D1497" s="4" t="s">
        <v>18239</v>
      </c>
      <c r="E1497" s="4" t="s">
        <v>8555</v>
      </c>
      <c r="F1497" s="4" t="s">
        <v>8556</v>
      </c>
      <c r="H1497" s="4" t="s">
        <v>19928</v>
      </c>
    </row>
    <row r="1498" spans="1:8" x14ac:dyDescent="0.2">
      <c r="A1498" s="4" t="str">
        <f t="shared" si="42"/>
        <v>47</v>
      </c>
      <c r="B1498" s="4" t="str">
        <f>"47.0303"</f>
        <v>47.0303</v>
      </c>
      <c r="C1498" s="4" t="s">
        <v>18238</v>
      </c>
      <c r="D1498" s="4" t="s">
        <v>18239</v>
      </c>
      <c r="E1498" s="4" t="s">
        <v>8557</v>
      </c>
      <c r="F1498" s="4" t="s">
        <v>8558</v>
      </c>
      <c r="H1498" s="4" t="s">
        <v>19929</v>
      </c>
    </row>
    <row r="1499" spans="1:8" x14ac:dyDescent="0.2">
      <c r="A1499" s="4" t="str">
        <f t="shared" si="42"/>
        <v>47</v>
      </c>
      <c r="B1499" s="4" t="str">
        <f>"47.0399"</f>
        <v>47.0399</v>
      </c>
      <c r="C1499" s="4" t="s">
        <v>18238</v>
      </c>
      <c r="D1499" s="4" t="s">
        <v>18239</v>
      </c>
      <c r="E1499" s="4" t="s">
        <v>8559</v>
      </c>
      <c r="F1499" s="4" t="s">
        <v>8560</v>
      </c>
      <c r="H1499" s="4" t="s">
        <v>19929</v>
      </c>
    </row>
    <row r="1500" spans="1:8" x14ac:dyDescent="0.2">
      <c r="A1500" s="4" t="str">
        <f t="shared" si="42"/>
        <v>47</v>
      </c>
      <c r="B1500" s="4" t="str">
        <f>"47.04"</f>
        <v>47.04</v>
      </c>
      <c r="C1500" s="4" t="s">
        <v>18238</v>
      </c>
      <c r="D1500" s="4" t="s">
        <v>18239</v>
      </c>
      <c r="E1500" s="4" t="s">
        <v>8562</v>
      </c>
      <c r="F1500" s="4" t="s">
        <v>8563</v>
      </c>
      <c r="H1500" s="4" t="s">
        <v>19929</v>
      </c>
    </row>
    <row r="1501" spans="1:8" x14ac:dyDescent="0.2">
      <c r="A1501" s="4" t="str">
        <f t="shared" si="42"/>
        <v>47</v>
      </c>
      <c r="B1501" s="4" t="str">
        <f>"47.0402"</f>
        <v>47.0402</v>
      </c>
      <c r="C1501" s="4" t="s">
        <v>18238</v>
      </c>
      <c r="D1501" s="4" t="s">
        <v>18239</v>
      </c>
      <c r="E1501" s="4" t="s">
        <v>8566</v>
      </c>
      <c r="F1501" s="4" t="s">
        <v>8567</v>
      </c>
      <c r="H1501" s="4" t="s">
        <v>19929</v>
      </c>
    </row>
    <row r="1502" spans="1:8" x14ac:dyDescent="0.2">
      <c r="A1502" s="4" t="str">
        <f t="shared" si="42"/>
        <v>47</v>
      </c>
      <c r="B1502" s="4" t="str">
        <f>"47.0403"</f>
        <v>47.0403</v>
      </c>
      <c r="C1502" s="4" t="s">
        <v>18238</v>
      </c>
      <c r="D1502" s="4" t="s">
        <v>18239</v>
      </c>
      <c r="E1502" s="4" t="s">
        <v>8568</v>
      </c>
      <c r="F1502" s="4" t="s">
        <v>8569</v>
      </c>
      <c r="H1502" s="4" t="s">
        <v>19929</v>
      </c>
    </row>
    <row r="1503" spans="1:8" x14ac:dyDescent="0.2">
      <c r="A1503" s="4" t="str">
        <f t="shared" si="42"/>
        <v>47</v>
      </c>
      <c r="B1503" s="4" t="str">
        <f>"47.0404"</f>
        <v>47.0404</v>
      </c>
      <c r="C1503" s="4" t="s">
        <v>18238</v>
      </c>
      <c r="D1503" s="4" t="s">
        <v>18239</v>
      </c>
      <c r="E1503" s="4" t="s">
        <v>8570</v>
      </c>
      <c r="F1503" s="4" t="s">
        <v>8571</v>
      </c>
      <c r="H1503" s="4" t="s">
        <v>19929</v>
      </c>
    </row>
    <row r="1504" spans="1:8" x14ac:dyDescent="0.2">
      <c r="A1504" s="4" t="str">
        <f t="shared" si="42"/>
        <v>47</v>
      </c>
      <c r="B1504" s="4" t="str">
        <f>"47.0408"</f>
        <v>47.0408</v>
      </c>
      <c r="C1504" s="4" t="s">
        <v>18238</v>
      </c>
      <c r="D1504" s="4" t="s">
        <v>18239</v>
      </c>
      <c r="E1504" s="4" t="s">
        <v>8572</v>
      </c>
      <c r="F1504" s="4" t="s">
        <v>8573</v>
      </c>
      <c r="H1504" s="4" t="s">
        <v>19929</v>
      </c>
    </row>
    <row r="1505" spans="1:8" x14ac:dyDescent="0.2">
      <c r="A1505" s="4" t="str">
        <f t="shared" si="42"/>
        <v>47</v>
      </c>
      <c r="B1505" s="4" t="str">
        <f>"47.0409"</f>
        <v>47.0409</v>
      </c>
      <c r="C1505" s="4" t="s">
        <v>18238</v>
      </c>
      <c r="D1505" s="4" t="s">
        <v>18239</v>
      </c>
      <c r="E1505" s="4" t="s">
        <v>8575</v>
      </c>
      <c r="F1505" s="4" t="s">
        <v>19930</v>
      </c>
      <c r="H1505" s="4" t="s">
        <v>19931</v>
      </c>
    </row>
    <row r="1506" spans="1:8" x14ac:dyDescent="0.2">
      <c r="A1506" s="4" t="str">
        <f t="shared" si="42"/>
        <v>47</v>
      </c>
      <c r="B1506" s="4" t="str">
        <f>"47.0499"</f>
        <v>47.0499</v>
      </c>
      <c r="C1506" s="4" t="s">
        <v>18238</v>
      </c>
      <c r="D1506" s="4" t="s">
        <v>18239</v>
      </c>
      <c r="E1506" s="4" t="s">
        <v>8577</v>
      </c>
      <c r="F1506" s="4" t="s">
        <v>8578</v>
      </c>
      <c r="H1506" s="4" t="s">
        <v>19932</v>
      </c>
    </row>
    <row r="1507" spans="1:8" x14ac:dyDescent="0.2">
      <c r="A1507" s="4" t="str">
        <f t="shared" si="42"/>
        <v>47</v>
      </c>
      <c r="B1507" s="4" t="str">
        <f>"47.06"</f>
        <v>47.06</v>
      </c>
      <c r="C1507" s="4" t="s">
        <v>18238</v>
      </c>
      <c r="D1507" s="4" t="s">
        <v>18239</v>
      </c>
      <c r="E1507" s="4" t="s">
        <v>11623</v>
      </c>
      <c r="F1507" s="4" t="s">
        <v>19933</v>
      </c>
      <c r="H1507" s="4" t="s">
        <v>19932</v>
      </c>
    </row>
    <row r="1508" spans="1:8" x14ac:dyDescent="0.2">
      <c r="A1508" s="4" t="str">
        <f t="shared" si="42"/>
        <v>47</v>
      </c>
      <c r="B1508" s="4" t="str">
        <f>"47.0600"</f>
        <v>47.0600</v>
      </c>
      <c r="C1508" s="4" t="s">
        <v>18258</v>
      </c>
      <c r="D1508" s="4" t="s">
        <v>18239</v>
      </c>
      <c r="E1508" s="4" t="s">
        <v>19934</v>
      </c>
      <c r="F1508" s="4" t="s">
        <v>19935</v>
      </c>
      <c r="H1508" s="4" t="s">
        <v>19932</v>
      </c>
    </row>
    <row r="1509" spans="1:8" x14ac:dyDescent="0.2">
      <c r="A1509" s="4" t="str">
        <f t="shared" si="42"/>
        <v>47</v>
      </c>
      <c r="B1509" s="4" t="str">
        <f>"47.0603"</f>
        <v>47.0603</v>
      </c>
      <c r="C1509" s="4" t="s">
        <v>18238</v>
      </c>
      <c r="D1509" s="4" t="s">
        <v>18239</v>
      </c>
      <c r="E1509" s="4" t="s">
        <v>8584</v>
      </c>
      <c r="F1509" s="4" t="s">
        <v>8585</v>
      </c>
      <c r="H1509" s="4" t="s">
        <v>19936</v>
      </c>
    </row>
    <row r="1510" spans="1:8" x14ac:dyDescent="0.2">
      <c r="A1510" s="4" t="str">
        <f t="shared" si="42"/>
        <v>47</v>
      </c>
      <c r="B1510" s="4" t="str">
        <f>"47.0604"</f>
        <v>47.0604</v>
      </c>
      <c r="C1510" s="4" t="s">
        <v>18238</v>
      </c>
      <c r="D1510" s="4" t="s">
        <v>18239</v>
      </c>
      <c r="E1510" s="4" t="s">
        <v>10108</v>
      </c>
      <c r="F1510" s="4" t="s">
        <v>8586</v>
      </c>
      <c r="G1510" s="4" t="s">
        <v>19937</v>
      </c>
      <c r="H1510" s="4" t="s">
        <v>19938</v>
      </c>
    </row>
    <row r="1511" spans="1:8" x14ac:dyDescent="0.2">
      <c r="A1511" s="4" t="str">
        <f t="shared" si="42"/>
        <v>47</v>
      </c>
      <c r="B1511" s="4" t="str">
        <f>"47.0605"</f>
        <v>47.0605</v>
      </c>
      <c r="C1511" s="4" t="s">
        <v>18238</v>
      </c>
      <c r="D1511" s="4" t="s">
        <v>18239</v>
      </c>
      <c r="E1511" s="4" t="s">
        <v>8587</v>
      </c>
      <c r="F1511" s="4" t="s">
        <v>8588</v>
      </c>
      <c r="H1511" s="4" t="s">
        <v>19938</v>
      </c>
    </row>
    <row r="1512" spans="1:8" x14ac:dyDescent="0.2">
      <c r="A1512" s="4" t="str">
        <f t="shared" si="42"/>
        <v>47</v>
      </c>
      <c r="B1512" s="4" t="str">
        <f>"47.0606"</f>
        <v>47.0606</v>
      </c>
      <c r="C1512" s="4" t="s">
        <v>18238</v>
      </c>
      <c r="D1512" s="4" t="s">
        <v>18239</v>
      </c>
      <c r="E1512" s="4" t="s">
        <v>8589</v>
      </c>
      <c r="F1512" s="4" t="s">
        <v>8590</v>
      </c>
      <c r="H1512" s="4" t="s">
        <v>19938</v>
      </c>
    </row>
    <row r="1513" spans="1:8" x14ac:dyDescent="0.2">
      <c r="A1513" s="4" t="str">
        <f t="shared" si="42"/>
        <v>47</v>
      </c>
      <c r="B1513" s="4" t="str">
        <f>"47.0607"</f>
        <v>47.0607</v>
      </c>
      <c r="C1513" s="4" t="s">
        <v>18238</v>
      </c>
      <c r="D1513" s="4" t="s">
        <v>18239</v>
      </c>
      <c r="E1513" s="4" t="s">
        <v>8591</v>
      </c>
      <c r="F1513" s="4" t="s">
        <v>8592</v>
      </c>
      <c r="H1513" s="4" t="s">
        <v>19938</v>
      </c>
    </row>
    <row r="1514" spans="1:8" x14ac:dyDescent="0.2">
      <c r="A1514" s="4" t="str">
        <f t="shared" si="42"/>
        <v>47</v>
      </c>
      <c r="B1514" s="4" t="str">
        <f>"47.0608"</f>
        <v>47.0608</v>
      </c>
      <c r="C1514" s="4" t="s">
        <v>18238</v>
      </c>
      <c r="D1514" s="4" t="s">
        <v>18239</v>
      </c>
      <c r="E1514" s="4" t="s">
        <v>8593</v>
      </c>
      <c r="F1514" s="4" t="s">
        <v>8594</v>
      </c>
      <c r="H1514" s="4" t="s">
        <v>19938</v>
      </c>
    </row>
    <row r="1515" spans="1:8" x14ac:dyDescent="0.2">
      <c r="A1515" s="4" t="str">
        <f t="shared" si="42"/>
        <v>47</v>
      </c>
      <c r="B1515" s="4" t="str">
        <f>"47.0609"</f>
        <v>47.0609</v>
      </c>
      <c r="C1515" s="4" t="s">
        <v>18238</v>
      </c>
      <c r="D1515" s="4" t="s">
        <v>18239</v>
      </c>
      <c r="E1515" s="4" t="s">
        <v>10105</v>
      </c>
      <c r="F1515" s="4" t="s">
        <v>8595</v>
      </c>
      <c r="G1515" s="4" t="s">
        <v>19939</v>
      </c>
      <c r="H1515" s="4" t="s">
        <v>19938</v>
      </c>
    </row>
    <row r="1516" spans="1:8" x14ac:dyDescent="0.2">
      <c r="A1516" s="4" t="str">
        <f t="shared" si="42"/>
        <v>47</v>
      </c>
      <c r="B1516" s="4" t="str">
        <f>"47.0610"</f>
        <v>47.0610</v>
      </c>
      <c r="C1516" s="4" t="s">
        <v>18238</v>
      </c>
      <c r="D1516" s="4" t="s">
        <v>18239</v>
      </c>
      <c r="E1516" s="4" t="s">
        <v>8596</v>
      </c>
      <c r="F1516" s="4" t="s">
        <v>8597</v>
      </c>
      <c r="H1516" s="4" t="s">
        <v>19938</v>
      </c>
    </row>
    <row r="1517" spans="1:8" x14ac:dyDescent="0.2">
      <c r="A1517" s="4" t="str">
        <f t="shared" si="42"/>
        <v>47</v>
      </c>
      <c r="B1517" s="4" t="str">
        <f>"47.0611"</f>
        <v>47.0611</v>
      </c>
      <c r="C1517" s="4" t="s">
        <v>18238</v>
      </c>
      <c r="D1517" s="4" t="s">
        <v>18239</v>
      </c>
      <c r="E1517" s="4" t="s">
        <v>8598</v>
      </c>
      <c r="F1517" s="4" t="s">
        <v>8599</v>
      </c>
      <c r="H1517" s="4" t="s">
        <v>19940</v>
      </c>
    </row>
    <row r="1518" spans="1:8" x14ac:dyDescent="0.2">
      <c r="A1518" s="4" t="str">
        <f t="shared" si="42"/>
        <v>47</v>
      </c>
      <c r="B1518" s="4" t="str">
        <f>"47.0612"</f>
        <v>47.0612</v>
      </c>
      <c r="C1518" s="4" t="s">
        <v>18238</v>
      </c>
      <c r="D1518" s="4" t="s">
        <v>18239</v>
      </c>
      <c r="E1518" s="4" t="s">
        <v>8601</v>
      </c>
      <c r="F1518" s="4" t="s">
        <v>19941</v>
      </c>
      <c r="H1518" s="4" t="s">
        <v>19940</v>
      </c>
    </row>
    <row r="1519" spans="1:8" x14ac:dyDescent="0.2">
      <c r="A1519" s="4" t="str">
        <f t="shared" si="42"/>
        <v>47</v>
      </c>
      <c r="B1519" s="4" t="str">
        <f>"47.0613"</f>
        <v>47.0613</v>
      </c>
      <c r="C1519" s="4" t="s">
        <v>18238</v>
      </c>
      <c r="D1519" s="4" t="s">
        <v>18239</v>
      </c>
      <c r="E1519" s="4" t="s">
        <v>8604</v>
      </c>
      <c r="F1519" s="4" t="s">
        <v>19942</v>
      </c>
      <c r="H1519" s="4" t="s">
        <v>19943</v>
      </c>
    </row>
    <row r="1520" spans="1:8" x14ac:dyDescent="0.2">
      <c r="A1520" s="4" t="str">
        <f t="shared" si="42"/>
        <v>47</v>
      </c>
      <c r="B1520" s="4" t="str">
        <f>"47.0614"</f>
        <v>47.0614</v>
      </c>
      <c r="C1520" s="4" t="s">
        <v>18238</v>
      </c>
      <c r="D1520" s="4" t="s">
        <v>18239</v>
      </c>
      <c r="E1520" s="4" t="s">
        <v>8607</v>
      </c>
      <c r="F1520" s="4" t="s">
        <v>19944</v>
      </c>
      <c r="H1520" s="4" t="s">
        <v>19943</v>
      </c>
    </row>
    <row r="1521" spans="1:8" x14ac:dyDescent="0.2">
      <c r="A1521" s="4" t="str">
        <f t="shared" si="42"/>
        <v>47</v>
      </c>
      <c r="B1521" s="4" t="str">
        <f>"47.0615"</f>
        <v>47.0615</v>
      </c>
      <c r="C1521" s="4" t="s">
        <v>18238</v>
      </c>
      <c r="D1521" s="4" t="s">
        <v>18239</v>
      </c>
      <c r="E1521" s="4" t="s">
        <v>8610</v>
      </c>
      <c r="F1521" s="4" t="s">
        <v>19945</v>
      </c>
      <c r="H1521" s="4" t="s">
        <v>19943</v>
      </c>
    </row>
    <row r="1522" spans="1:8" x14ac:dyDescent="0.2">
      <c r="A1522" s="4" t="str">
        <f t="shared" si="42"/>
        <v>47</v>
      </c>
      <c r="B1522" s="4" t="str">
        <f>"47.0616"</f>
        <v>47.0616</v>
      </c>
      <c r="C1522" s="4" t="s">
        <v>18238</v>
      </c>
      <c r="D1522" s="4" t="s">
        <v>18239</v>
      </c>
      <c r="E1522" s="4" t="s">
        <v>8613</v>
      </c>
      <c r="F1522" s="4" t="s">
        <v>19946</v>
      </c>
      <c r="H1522" s="4" t="s">
        <v>19943</v>
      </c>
    </row>
    <row r="1523" spans="1:8" x14ac:dyDescent="0.2">
      <c r="A1523" s="4" t="str">
        <f t="shared" si="42"/>
        <v>47</v>
      </c>
      <c r="B1523" s="4" t="str">
        <f>"47.0617"</f>
        <v>47.0617</v>
      </c>
      <c r="C1523" s="4" t="s">
        <v>18258</v>
      </c>
      <c r="D1523" s="4" t="s">
        <v>18239</v>
      </c>
      <c r="E1523" s="4" t="s">
        <v>19947</v>
      </c>
      <c r="F1523" s="4" t="s">
        <v>19948</v>
      </c>
      <c r="H1523" s="4" t="s">
        <v>19949</v>
      </c>
    </row>
    <row r="1524" spans="1:8" x14ac:dyDescent="0.2">
      <c r="A1524" s="4" t="str">
        <f t="shared" si="42"/>
        <v>47</v>
      </c>
      <c r="B1524" s="4" t="str">
        <f>"47.0618"</f>
        <v>47.0618</v>
      </c>
      <c r="C1524" s="4" t="s">
        <v>18258</v>
      </c>
      <c r="D1524" s="4" t="s">
        <v>18239</v>
      </c>
      <c r="E1524" s="4" t="s">
        <v>19950</v>
      </c>
      <c r="F1524" s="4" t="s">
        <v>19951</v>
      </c>
      <c r="H1524" s="4" t="s">
        <v>19952</v>
      </c>
    </row>
    <row r="1525" spans="1:8" x14ac:dyDescent="0.2">
      <c r="A1525" s="4" t="str">
        <f t="shared" si="42"/>
        <v>47</v>
      </c>
      <c r="B1525" s="4" t="str">
        <f>"47.0699"</f>
        <v>47.0699</v>
      </c>
      <c r="C1525" s="4" t="s">
        <v>18238</v>
      </c>
      <c r="D1525" s="4" t="s">
        <v>18239</v>
      </c>
      <c r="E1525" s="4" t="s">
        <v>8615</v>
      </c>
      <c r="F1525" s="4" t="s">
        <v>8616</v>
      </c>
      <c r="H1525" s="4" t="s">
        <v>19952</v>
      </c>
    </row>
    <row r="1526" spans="1:8" x14ac:dyDescent="0.2">
      <c r="A1526" s="4" t="str">
        <f t="shared" si="42"/>
        <v>47</v>
      </c>
      <c r="B1526" s="4" t="str">
        <f>"47.99"</f>
        <v>47.99</v>
      </c>
      <c r="C1526" s="4" t="s">
        <v>18238</v>
      </c>
      <c r="D1526" s="4" t="s">
        <v>18239</v>
      </c>
      <c r="E1526" s="4" t="s">
        <v>8618</v>
      </c>
      <c r="F1526" s="4" t="s">
        <v>8619</v>
      </c>
      <c r="H1526" s="4" t="s">
        <v>19952</v>
      </c>
    </row>
    <row r="1527" spans="1:8" x14ac:dyDescent="0.2">
      <c r="A1527" s="4" t="str">
        <f t="shared" si="42"/>
        <v>47</v>
      </c>
      <c r="B1527" s="4" t="str">
        <f>"47.9999"</f>
        <v>47.9999</v>
      </c>
      <c r="C1527" s="4" t="s">
        <v>18238</v>
      </c>
      <c r="D1527" s="4" t="s">
        <v>18239</v>
      </c>
      <c r="E1527" s="4" t="s">
        <v>8618</v>
      </c>
      <c r="F1527" s="4" t="s">
        <v>8620</v>
      </c>
      <c r="H1527" s="4" t="s">
        <v>19952</v>
      </c>
    </row>
    <row r="1528" spans="1:8" x14ac:dyDescent="0.2">
      <c r="A1528" s="4" t="str">
        <f>"48"</f>
        <v>48</v>
      </c>
      <c r="B1528" s="4" t="str">
        <f>"48"</f>
        <v>48</v>
      </c>
      <c r="C1528" s="4" t="s">
        <v>18238</v>
      </c>
      <c r="D1528" s="4" t="s">
        <v>18239</v>
      </c>
      <c r="E1528" s="4" t="s">
        <v>10700</v>
      </c>
      <c r="F1528" s="4" t="s">
        <v>8621</v>
      </c>
      <c r="H1528" s="4" t="s">
        <v>19952</v>
      </c>
    </row>
    <row r="1529" spans="1:8" x14ac:dyDescent="0.2">
      <c r="A1529" s="4" t="str">
        <f t="shared" ref="A1529:A1553" si="43">"48"</f>
        <v>48</v>
      </c>
      <c r="B1529" s="4" t="str">
        <f>"48.00"</f>
        <v>48.00</v>
      </c>
      <c r="C1529" s="4" t="s">
        <v>18238</v>
      </c>
      <c r="D1529" s="4" t="s">
        <v>18239</v>
      </c>
      <c r="E1529" s="4" t="s">
        <v>8623</v>
      </c>
      <c r="F1529" s="4" t="s">
        <v>19953</v>
      </c>
      <c r="H1529" s="4" t="s">
        <v>19952</v>
      </c>
    </row>
    <row r="1530" spans="1:8" x14ac:dyDescent="0.2">
      <c r="A1530" s="4" t="str">
        <f t="shared" si="43"/>
        <v>48</v>
      </c>
      <c r="B1530" s="4" t="str">
        <f>"48.0000"</f>
        <v>48.0000</v>
      </c>
      <c r="C1530" s="4" t="s">
        <v>18238</v>
      </c>
      <c r="D1530" s="4" t="s">
        <v>18239</v>
      </c>
      <c r="E1530" s="4" t="s">
        <v>8623</v>
      </c>
      <c r="F1530" s="4" t="s">
        <v>19954</v>
      </c>
      <c r="H1530" s="4" t="s">
        <v>19952</v>
      </c>
    </row>
    <row r="1531" spans="1:8" x14ac:dyDescent="0.2">
      <c r="A1531" s="4" t="str">
        <f t="shared" si="43"/>
        <v>48</v>
      </c>
      <c r="B1531" s="4" t="str">
        <f>"48.03"</f>
        <v>48.03</v>
      </c>
      <c r="C1531" s="4" t="s">
        <v>18238</v>
      </c>
      <c r="D1531" s="4" t="s">
        <v>18239</v>
      </c>
      <c r="E1531" s="4" t="s">
        <v>8654</v>
      </c>
      <c r="F1531" s="4" t="s">
        <v>8655</v>
      </c>
      <c r="H1531" s="4" t="s">
        <v>19952</v>
      </c>
    </row>
    <row r="1532" spans="1:8" x14ac:dyDescent="0.2">
      <c r="A1532" s="4" t="str">
        <f t="shared" si="43"/>
        <v>48</v>
      </c>
      <c r="B1532" s="4" t="str">
        <f>"48.0303"</f>
        <v>48.0303</v>
      </c>
      <c r="C1532" s="4" t="s">
        <v>18238</v>
      </c>
      <c r="D1532" s="4" t="s">
        <v>18239</v>
      </c>
      <c r="E1532" s="4" t="s">
        <v>8656</v>
      </c>
      <c r="F1532" s="4" t="s">
        <v>8657</v>
      </c>
      <c r="H1532" s="4" t="s">
        <v>19952</v>
      </c>
    </row>
    <row r="1533" spans="1:8" x14ac:dyDescent="0.2">
      <c r="A1533" s="4" t="str">
        <f t="shared" si="43"/>
        <v>48</v>
      </c>
      <c r="B1533" s="4" t="str">
        <f>"48.0304"</f>
        <v>48.0304</v>
      </c>
      <c r="C1533" s="4" t="s">
        <v>18238</v>
      </c>
      <c r="D1533" s="4" t="s">
        <v>18239</v>
      </c>
      <c r="E1533" s="4" t="s">
        <v>8658</v>
      </c>
      <c r="F1533" s="4" t="s">
        <v>19955</v>
      </c>
      <c r="H1533" s="4" t="s">
        <v>19952</v>
      </c>
    </row>
    <row r="1534" spans="1:8" x14ac:dyDescent="0.2">
      <c r="A1534" s="4" t="str">
        <f t="shared" si="43"/>
        <v>48</v>
      </c>
      <c r="B1534" s="4" t="str">
        <f>"48.0399"</f>
        <v>48.0399</v>
      </c>
      <c r="C1534" s="4" t="s">
        <v>18238</v>
      </c>
      <c r="D1534" s="4" t="s">
        <v>18239</v>
      </c>
      <c r="E1534" s="4" t="s">
        <v>8660</v>
      </c>
      <c r="F1534" s="4" t="s">
        <v>8661</v>
      </c>
      <c r="H1534" s="4" t="s">
        <v>19952</v>
      </c>
    </row>
    <row r="1535" spans="1:8" x14ac:dyDescent="0.2">
      <c r="A1535" s="4" t="str">
        <f t="shared" si="43"/>
        <v>48</v>
      </c>
      <c r="B1535" s="4" t="str">
        <f>"48.05"</f>
        <v>48.05</v>
      </c>
      <c r="C1535" s="4" t="s">
        <v>18238</v>
      </c>
      <c r="D1535" s="4" t="s">
        <v>18239</v>
      </c>
      <c r="E1535" s="4" t="s">
        <v>8663</v>
      </c>
      <c r="F1535" s="4" t="s">
        <v>8664</v>
      </c>
      <c r="H1535" s="4" t="s">
        <v>19952</v>
      </c>
    </row>
    <row r="1536" spans="1:8" x14ac:dyDescent="0.2">
      <c r="A1536" s="4" t="str">
        <f t="shared" si="43"/>
        <v>48</v>
      </c>
      <c r="B1536" s="4" t="str">
        <f>"48.0501"</f>
        <v>48.0501</v>
      </c>
      <c r="C1536" s="4" t="s">
        <v>18238</v>
      </c>
      <c r="D1536" s="4" t="s">
        <v>18239</v>
      </c>
      <c r="E1536" s="4" t="s">
        <v>8665</v>
      </c>
      <c r="F1536" s="4" t="s">
        <v>8666</v>
      </c>
      <c r="H1536" s="4" t="s">
        <v>19956</v>
      </c>
    </row>
    <row r="1537" spans="1:8" x14ac:dyDescent="0.2">
      <c r="A1537" s="4" t="str">
        <f t="shared" si="43"/>
        <v>48</v>
      </c>
      <c r="B1537" s="4" t="str">
        <f>"48.0503"</f>
        <v>48.0503</v>
      </c>
      <c r="C1537" s="4" t="s">
        <v>18238</v>
      </c>
      <c r="D1537" s="4" t="s">
        <v>18239</v>
      </c>
      <c r="E1537" s="4" t="s">
        <v>8667</v>
      </c>
      <c r="F1537" s="4" t="s">
        <v>8668</v>
      </c>
      <c r="H1537" s="4" t="s">
        <v>19956</v>
      </c>
    </row>
    <row r="1538" spans="1:8" x14ac:dyDescent="0.2">
      <c r="A1538" s="4" t="str">
        <f t="shared" si="43"/>
        <v>48</v>
      </c>
      <c r="B1538" s="4" t="str">
        <f>"48.0506"</f>
        <v>48.0506</v>
      </c>
      <c r="C1538" s="4" t="s">
        <v>18238</v>
      </c>
      <c r="D1538" s="4" t="s">
        <v>18239</v>
      </c>
      <c r="E1538" s="4" t="s">
        <v>8669</v>
      </c>
      <c r="F1538" s="4" t="s">
        <v>8670</v>
      </c>
      <c r="H1538" s="4" t="s">
        <v>19957</v>
      </c>
    </row>
    <row r="1539" spans="1:8" x14ac:dyDescent="0.2">
      <c r="A1539" s="4" t="str">
        <f t="shared" si="43"/>
        <v>48</v>
      </c>
      <c r="B1539" s="4" t="str">
        <f>"48.0507"</f>
        <v>48.0507</v>
      </c>
      <c r="C1539" s="4" t="s">
        <v>18238</v>
      </c>
      <c r="D1539" s="4" t="s">
        <v>18239</v>
      </c>
      <c r="E1539" s="4" t="s">
        <v>8671</v>
      </c>
      <c r="F1539" s="4" t="s">
        <v>8672</v>
      </c>
      <c r="H1539" s="4" t="s">
        <v>19958</v>
      </c>
    </row>
    <row r="1540" spans="1:8" x14ac:dyDescent="0.2">
      <c r="A1540" s="4" t="str">
        <f t="shared" si="43"/>
        <v>48</v>
      </c>
      <c r="B1540" s="4" t="str">
        <f>"48.0508"</f>
        <v>48.0508</v>
      </c>
      <c r="C1540" s="4" t="s">
        <v>18238</v>
      </c>
      <c r="D1540" s="4" t="s">
        <v>18239</v>
      </c>
      <c r="E1540" s="4" t="s">
        <v>8673</v>
      </c>
      <c r="F1540" s="4" t="s">
        <v>8674</v>
      </c>
      <c r="G1540" s="4" t="s">
        <v>19959</v>
      </c>
      <c r="H1540" s="4" t="s">
        <v>19960</v>
      </c>
    </row>
    <row r="1541" spans="1:8" x14ac:dyDescent="0.2">
      <c r="A1541" s="4" t="str">
        <f t="shared" si="43"/>
        <v>48</v>
      </c>
      <c r="B1541" s="4" t="str">
        <f>"48.0509"</f>
        <v>48.0509</v>
      </c>
      <c r="C1541" s="4" t="s">
        <v>18238</v>
      </c>
      <c r="D1541" s="4" t="s">
        <v>18239</v>
      </c>
      <c r="E1541" s="4" t="s">
        <v>8676</v>
      </c>
      <c r="F1541" s="4" t="s">
        <v>19961</v>
      </c>
      <c r="H1541" s="4" t="s">
        <v>19962</v>
      </c>
    </row>
    <row r="1542" spans="1:8" x14ac:dyDescent="0.2">
      <c r="A1542" s="4" t="str">
        <f t="shared" si="43"/>
        <v>48</v>
      </c>
      <c r="B1542" s="4" t="str">
        <f>"48.0510"</f>
        <v>48.0510</v>
      </c>
      <c r="C1542" s="4" t="s">
        <v>18258</v>
      </c>
      <c r="D1542" s="4" t="s">
        <v>18239</v>
      </c>
      <c r="E1542" s="4" t="s">
        <v>19963</v>
      </c>
      <c r="F1542" s="4" t="s">
        <v>19964</v>
      </c>
      <c r="H1542" s="4" t="s">
        <v>19962</v>
      </c>
    </row>
    <row r="1543" spans="1:8" x14ac:dyDescent="0.2">
      <c r="A1543" s="4" t="str">
        <f t="shared" si="43"/>
        <v>48</v>
      </c>
      <c r="B1543" s="4" t="str">
        <f>"48.0511"</f>
        <v>48.0511</v>
      </c>
      <c r="C1543" s="4" t="s">
        <v>18258</v>
      </c>
      <c r="D1543" s="4" t="s">
        <v>18239</v>
      </c>
      <c r="E1543" s="4" t="s">
        <v>19965</v>
      </c>
      <c r="F1543" s="4" t="s">
        <v>19966</v>
      </c>
      <c r="H1543" s="4" t="s">
        <v>19967</v>
      </c>
    </row>
    <row r="1544" spans="1:8" x14ac:dyDescent="0.2">
      <c r="A1544" s="4" t="str">
        <f t="shared" si="43"/>
        <v>48</v>
      </c>
      <c r="B1544" s="4" t="str">
        <f>"48.0599"</f>
        <v>48.0599</v>
      </c>
      <c r="C1544" s="4" t="s">
        <v>18238</v>
      </c>
      <c r="D1544" s="4" t="s">
        <v>18239</v>
      </c>
      <c r="E1544" s="4" t="s">
        <v>8678</v>
      </c>
      <c r="F1544" s="4" t="s">
        <v>8679</v>
      </c>
      <c r="H1544" s="4" t="s">
        <v>19967</v>
      </c>
    </row>
    <row r="1545" spans="1:8" x14ac:dyDescent="0.2">
      <c r="A1545" s="4" t="str">
        <f t="shared" si="43"/>
        <v>48</v>
      </c>
      <c r="B1545" s="4" t="str">
        <f>"48.07"</f>
        <v>48.07</v>
      </c>
      <c r="C1545" s="4" t="s">
        <v>18238</v>
      </c>
      <c r="D1545" s="4" t="s">
        <v>18239</v>
      </c>
      <c r="E1545" s="4" t="s">
        <v>8681</v>
      </c>
      <c r="F1545" s="4" t="s">
        <v>19968</v>
      </c>
      <c r="H1545" s="4" t="s">
        <v>19967</v>
      </c>
    </row>
    <row r="1546" spans="1:8" x14ac:dyDescent="0.2">
      <c r="A1546" s="4" t="str">
        <f t="shared" si="43"/>
        <v>48</v>
      </c>
      <c r="B1546" s="4" t="str">
        <f>"48.0701"</f>
        <v>48.0701</v>
      </c>
      <c r="C1546" s="4" t="s">
        <v>18238</v>
      </c>
      <c r="D1546" s="4" t="s">
        <v>18239</v>
      </c>
      <c r="E1546" s="4" t="s">
        <v>8683</v>
      </c>
      <c r="F1546" s="4" t="s">
        <v>8684</v>
      </c>
      <c r="G1546" s="4" t="s">
        <v>19969</v>
      </c>
      <c r="H1546" s="4" t="s">
        <v>19967</v>
      </c>
    </row>
    <row r="1547" spans="1:8" x14ac:dyDescent="0.2">
      <c r="A1547" s="4" t="str">
        <f t="shared" si="43"/>
        <v>48</v>
      </c>
      <c r="B1547" s="4" t="str">
        <f>"48.0702"</f>
        <v>48.0702</v>
      </c>
      <c r="C1547" s="4" t="s">
        <v>18238</v>
      </c>
      <c r="D1547" s="4" t="s">
        <v>18239</v>
      </c>
      <c r="E1547" s="4" t="s">
        <v>8685</v>
      </c>
      <c r="F1547" s="4" t="s">
        <v>19970</v>
      </c>
      <c r="H1547" s="4" t="s">
        <v>19967</v>
      </c>
    </row>
    <row r="1548" spans="1:8" x14ac:dyDescent="0.2">
      <c r="A1548" s="4" t="str">
        <f t="shared" si="43"/>
        <v>48</v>
      </c>
      <c r="B1548" s="4" t="str">
        <f>"48.0703"</f>
        <v>48.0703</v>
      </c>
      <c r="C1548" s="4" t="s">
        <v>18238</v>
      </c>
      <c r="D1548" s="4" t="s">
        <v>18307</v>
      </c>
      <c r="E1548" s="4" t="s">
        <v>19971</v>
      </c>
      <c r="F1548" s="4" t="s">
        <v>8688</v>
      </c>
      <c r="H1548" s="4" t="s">
        <v>19972</v>
      </c>
    </row>
    <row r="1549" spans="1:8" x14ac:dyDescent="0.2">
      <c r="A1549" s="4" t="str">
        <f t="shared" si="43"/>
        <v>48</v>
      </c>
      <c r="B1549" s="4" t="str">
        <f>"48.0799"</f>
        <v>48.0799</v>
      </c>
      <c r="C1549" s="4" t="s">
        <v>18238</v>
      </c>
      <c r="D1549" s="4" t="s">
        <v>18239</v>
      </c>
      <c r="E1549" s="4" t="s">
        <v>8689</v>
      </c>
      <c r="F1549" s="4" t="s">
        <v>8690</v>
      </c>
      <c r="H1549" s="4" t="s">
        <v>19972</v>
      </c>
    </row>
    <row r="1550" spans="1:8" x14ac:dyDescent="0.2">
      <c r="A1550" s="4" t="str">
        <f t="shared" si="43"/>
        <v>48</v>
      </c>
      <c r="B1550" s="4" t="str">
        <f>"48.08"</f>
        <v>48.08</v>
      </c>
      <c r="C1550" s="4" t="s">
        <v>18238</v>
      </c>
      <c r="D1550" s="4" t="s">
        <v>18239</v>
      </c>
      <c r="E1550" s="4" t="s">
        <v>8692</v>
      </c>
      <c r="F1550" s="4" t="s">
        <v>19973</v>
      </c>
      <c r="H1550" s="4" t="s">
        <v>19972</v>
      </c>
    </row>
    <row r="1551" spans="1:8" x14ac:dyDescent="0.2">
      <c r="A1551" s="4" t="str">
        <f t="shared" si="43"/>
        <v>48</v>
      </c>
      <c r="B1551" s="4" t="str">
        <f>"48.0801"</f>
        <v>48.0801</v>
      </c>
      <c r="C1551" s="4" t="s">
        <v>18238</v>
      </c>
      <c r="D1551" s="4" t="s">
        <v>18239</v>
      </c>
      <c r="E1551" s="4" t="s">
        <v>8692</v>
      </c>
      <c r="F1551" s="4" t="s">
        <v>19974</v>
      </c>
      <c r="H1551" s="4" t="s">
        <v>19975</v>
      </c>
    </row>
    <row r="1552" spans="1:8" x14ac:dyDescent="0.2">
      <c r="A1552" s="4" t="str">
        <f t="shared" si="43"/>
        <v>48</v>
      </c>
      <c r="B1552" s="4" t="str">
        <f>"48.99"</f>
        <v>48.99</v>
      </c>
      <c r="C1552" s="4" t="s">
        <v>18238</v>
      </c>
      <c r="D1552" s="4" t="s">
        <v>18239</v>
      </c>
      <c r="E1552" s="4" t="s">
        <v>8697</v>
      </c>
      <c r="F1552" s="4" t="s">
        <v>8698</v>
      </c>
      <c r="H1552" s="4" t="s">
        <v>19975</v>
      </c>
    </row>
    <row r="1553" spans="1:8" x14ac:dyDescent="0.2">
      <c r="A1553" s="4" t="str">
        <f t="shared" si="43"/>
        <v>48</v>
      </c>
      <c r="B1553" s="4" t="str">
        <f>"48.9999"</f>
        <v>48.9999</v>
      </c>
      <c r="C1553" s="4" t="s">
        <v>18238</v>
      </c>
      <c r="D1553" s="4" t="s">
        <v>18239</v>
      </c>
      <c r="E1553" s="4" t="s">
        <v>8697</v>
      </c>
      <c r="F1553" s="4" t="s">
        <v>8699</v>
      </c>
      <c r="H1553" s="4" t="s">
        <v>19976</v>
      </c>
    </row>
    <row r="1554" spans="1:8" x14ac:dyDescent="0.2">
      <c r="A1554" s="4" t="str">
        <f>"49"</f>
        <v>49</v>
      </c>
      <c r="B1554" s="4" t="str">
        <f>"49"</f>
        <v>49</v>
      </c>
      <c r="C1554" s="4" t="s">
        <v>18238</v>
      </c>
      <c r="D1554" s="4" t="s">
        <v>18239</v>
      </c>
      <c r="E1554" s="4" t="s">
        <v>10701</v>
      </c>
      <c r="F1554" s="4" t="s">
        <v>8700</v>
      </c>
      <c r="H1554" s="4" t="s">
        <v>19976</v>
      </c>
    </row>
    <row r="1555" spans="1:8" x14ac:dyDescent="0.2">
      <c r="A1555" s="4" t="str">
        <f t="shared" ref="A1555:A1576" si="44">"49"</f>
        <v>49</v>
      </c>
      <c r="B1555" s="4" t="str">
        <f>"49.01"</f>
        <v>49.01</v>
      </c>
      <c r="C1555" s="4" t="s">
        <v>18238</v>
      </c>
      <c r="D1555" s="4" t="s">
        <v>18239</v>
      </c>
      <c r="E1555" s="4" t="s">
        <v>8702</v>
      </c>
      <c r="F1555" s="4" t="s">
        <v>8703</v>
      </c>
      <c r="H1555" s="4" t="s">
        <v>19976</v>
      </c>
    </row>
    <row r="1556" spans="1:8" x14ac:dyDescent="0.2">
      <c r="A1556" s="4" t="str">
        <f t="shared" si="44"/>
        <v>49</v>
      </c>
      <c r="B1556" s="4" t="str">
        <f>"49.0101"</f>
        <v>49.0101</v>
      </c>
      <c r="C1556" s="4" t="s">
        <v>18238</v>
      </c>
      <c r="D1556" s="4" t="s">
        <v>18239</v>
      </c>
      <c r="E1556" s="4" t="s">
        <v>8704</v>
      </c>
      <c r="F1556" s="4" t="s">
        <v>8705</v>
      </c>
      <c r="H1556" s="4" t="s">
        <v>19976</v>
      </c>
    </row>
    <row r="1557" spans="1:8" x14ac:dyDescent="0.2">
      <c r="A1557" s="4" t="str">
        <f t="shared" si="44"/>
        <v>49</v>
      </c>
      <c r="B1557" s="4" t="str">
        <f>"49.0102"</f>
        <v>49.0102</v>
      </c>
      <c r="C1557" s="4" t="s">
        <v>18238</v>
      </c>
      <c r="D1557" s="4" t="s">
        <v>18239</v>
      </c>
      <c r="E1557" s="4" t="s">
        <v>8706</v>
      </c>
      <c r="F1557" s="4" t="s">
        <v>19977</v>
      </c>
      <c r="H1557" s="4" t="s">
        <v>19976</v>
      </c>
    </row>
    <row r="1558" spans="1:8" x14ac:dyDescent="0.2">
      <c r="A1558" s="4" t="str">
        <f t="shared" si="44"/>
        <v>49</v>
      </c>
      <c r="B1558" s="4" t="str">
        <f>"49.0104"</f>
        <v>49.0104</v>
      </c>
      <c r="C1558" s="4" t="s">
        <v>18238</v>
      </c>
      <c r="D1558" s="4" t="s">
        <v>18239</v>
      </c>
      <c r="E1558" s="4" t="s">
        <v>8708</v>
      </c>
      <c r="F1558" s="4" t="s">
        <v>8709</v>
      </c>
      <c r="H1558" s="4" t="s">
        <v>19976</v>
      </c>
    </row>
    <row r="1559" spans="1:8" x14ac:dyDescent="0.2">
      <c r="A1559" s="4" t="str">
        <f t="shared" si="44"/>
        <v>49</v>
      </c>
      <c r="B1559" s="4" t="str">
        <f>"49.0105"</f>
        <v>49.0105</v>
      </c>
      <c r="C1559" s="4" t="s">
        <v>18238</v>
      </c>
      <c r="D1559" s="4" t="s">
        <v>18239</v>
      </c>
      <c r="E1559" s="4" t="s">
        <v>8710</v>
      </c>
      <c r="F1559" s="4" t="s">
        <v>19978</v>
      </c>
      <c r="H1559" s="4" t="s">
        <v>19976</v>
      </c>
    </row>
    <row r="1560" spans="1:8" x14ac:dyDescent="0.2">
      <c r="A1560" s="4" t="str">
        <f t="shared" si="44"/>
        <v>49</v>
      </c>
      <c r="B1560" s="4" t="str">
        <f>"49.0106"</f>
        <v>49.0106</v>
      </c>
      <c r="C1560" s="4" t="s">
        <v>18238</v>
      </c>
      <c r="D1560" s="4" t="s">
        <v>18239</v>
      </c>
      <c r="E1560" s="4" t="s">
        <v>8712</v>
      </c>
      <c r="F1560" s="4" t="s">
        <v>8713</v>
      </c>
      <c r="H1560" s="4" t="s">
        <v>19976</v>
      </c>
    </row>
    <row r="1561" spans="1:8" x14ac:dyDescent="0.2">
      <c r="A1561" s="4" t="str">
        <f t="shared" si="44"/>
        <v>49</v>
      </c>
      <c r="B1561" s="4" t="str">
        <f>"49.0108"</f>
        <v>49.0108</v>
      </c>
      <c r="C1561" s="4" t="s">
        <v>18238</v>
      </c>
      <c r="D1561" s="4" t="s">
        <v>18239</v>
      </c>
      <c r="E1561" s="4" t="s">
        <v>8717</v>
      </c>
      <c r="F1561" s="4" t="s">
        <v>19979</v>
      </c>
      <c r="H1561" s="4" t="s">
        <v>19976</v>
      </c>
    </row>
    <row r="1562" spans="1:8" x14ac:dyDescent="0.2">
      <c r="A1562" s="4" t="str">
        <f t="shared" si="44"/>
        <v>49</v>
      </c>
      <c r="B1562" s="4" t="str">
        <f>"49.0199"</f>
        <v>49.0199</v>
      </c>
      <c r="C1562" s="4" t="s">
        <v>18238</v>
      </c>
      <c r="D1562" s="4" t="s">
        <v>18239</v>
      </c>
      <c r="E1562" s="4" t="s">
        <v>8719</v>
      </c>
      <c r="F1562" s="4" t="s">
        <v>8720</v>
      </c>
      <c r="H1562" s="4" t="s">
        <v>19976</v>
      </c>
    </row>
    <row r="1563" spans="1:8" x14ac:dyDescent="0.2">
      <c r="A1563" s="4" t="str">
        <f t="shared" si="44"/>
        <v>49</v>
      </c>
      <c r="B1563" s="4" t="str">
        <f>"49.02"</f>
        <v>49.02</v>
      </c>
      <c r="C1563" s="4" t="s">
        <v>18238</v>
      </c>
      <c r="D1563" s="4" t="s">
        <v>18239</v>
      </c>
      <c r="E1563" s="4" t="s">
        <v>8722</v>
      </c>
      <c r="F1563" s="4" t="s">
        <v>8723</v>
      </c>
      <c r="H1563" s="4" t="s">
        <v>19976</v>
      </c>
    </row>
    <row r="1564" spans="1:8" x14ac:dyDescent="0.2">
      <c r="A1564" s="4" t="str">
        <f t="shared" si="44"/>
        <v>49</v>
      </c>
      <c r="B1564" s="4" t="str">
        <f>"49.0202"</f>
        <v>49.0202</v>
      </c>
      <c r="C1564" s="4" t="s">
        <v>18238</v>
      </c>
      <c r="D1564" s="4" t="s">
        <v>18239</v>
      </c>
      <c r="E1564" s="4" t="s">
        <v>8724</v>
      </c>
      <c r="F1564" s="4" t="s">
        <v>8725</v>
      </c>
      <c r="G1564" s="4" t="s">
        <v>19980</v>
      </c>
      <c r="H1564" s="4" t="s">
        <v>19976</v>
      </c>
    </row>
    <row r="1565" spans="1:8" x14ac:dyDescent="0.2">
      <c r="A1565" s="4" t="str">
        <f t="shared" si="44"/>
        <v>49</v>
      </c>
      <c r="B1565" s="4" t="str">
        <f>"49.0205"</f>
        <v>49.0205</v>
      </c>
      <c r="C1565" s="4" t="s">
        <v>18238</v>
      </c>
      <c r="D1565" s="4" t="s">
        <v>18307</v>
      </c>
      <c r="E1565" s="4" t="s">
        <v>19981</v>
      </c>
      <c r="F1565" s="4" t="s">
        <v>19982</v>
      </c>
      <c r="H1565" s="4" t="s">
        <v>19976</v>
      </c>
    </row>
    <row r="1566" spans="1:8" x14ac:dyDescent="0.2">
      <c r="A1566" s="4" t="str">
        <f t="shared" si="44"/>
        <v>49</v>
      </c>
      <c r="B1566" s="4" t="str">
        <f>"49.0206"</f>
        <v>49.0206</v>
      </c>
      <c r="C1566" s="4" t="s">
        <v>18238</v>
      </c>
      <c r="D1566" s="4" t="s">
        <v>18239</v>
      </c>
      <c r="E1566" s="4" t="s">
        <v>8729</v>
      </c>
      <c r="F1566" s="4" t="s">
        <v>19983</v>
      </c>
      <c r="H1566" s="4" t="s">
        <v>19984</v>
      </c>
    </row>
    <row r="1567" spans="1:8" x14ac:dyDescent="0.2">
      <c r="A1567" s="4" t="str">
        <f t="shared" si="44"/>
        <v>49</v>
      </c>
      <c r="B1567" s="4" t="str">
        <f>"49.0207"</f>
        <v>49.0207</v>
      </c>
      <c r="C1567" s="4" t="s">
        <v>18258</v>
      </c>
      <c r="D1567" s="4" t="s">
        <v>18239</v>
      </c>
      <c r="E1567" s="4" t="s">
        <v>19985</v>
      </c>
      <c r="F1567" s="4" t="s">
        <v>19986</v>
      </c>
      <c r="H1567" s="4" t="s">
        <v>19984</v>
      </c>
    </row>
    <row r="1568" spans="1:8" x14ac:dyDescent="0.2">
      <c r="A1568" s="4" t="str">
        <f t="shared" si="44"/>
        <v>49</v>
      </c>
      <c r="B1568" s="4" t="str">
        <f>"49.0208"</f>
        <v>49.0208</v>
      </c>
      <c r="C1568" s="4" t="s">
        <v>18258</v>
      </c>
      <c r="D1568" s="4" t="s">
        <v>18239</v>
      </c>
      <c r="E1568" s="4" t="s">
        <v>19987</v>
      </c>
      <c r="F1568" s="4" t="s">
        <v>19988</v>
      </c>
      <c r="H1568" s="4" t="s">
        <v>19989</v>
      </c>
    </row>
    <row r="1569" spans="1:8" x14ac:dyDescent="0.2">
      <c r="A1569" s="4" t="str">
        <f t="shared" si="44"/>
        <v>49</v>
      </c>
      <c r="B1569" s="4" t="str">
        <f>"49.0299"</f>
        <v>49.0299</v>
      </c>
      <c r="C1569" s="4" t="s">
        <v>18238</v>
      </c>
      <c r="D1569" s="4" t="s">
        <v>18239</v>
      </c>
      <c r="E1569" s="4" t="s">
        <v>8731</v>
      </c>
      <c r="F1569" s="4" t="s">
        <v>8732</v>
      </c>
      <c r="H1569" s="4" t="s">
        <v>19989</v>
      </c>
    </row>
    <row r="1570" spans="1:8" x14ac:dyDescent="0.2">
      <c r="A1570" s="4" t="str">
        <f t="shared" si="44"/>
        <v>49</v>
      </c>
      <c r="B1570" s="4" t="str">
        <f>"49.03"</f>
        <v>49.03</v>
      </c>
      <c r="C1570" s="4" t="s">
        <v>18238</v>
      </c>
      <c r="D1570" s="4" t="s">
        <v>18239</v>
      </c>
      <c r="E1570" s="4" t="s">
        <v>8734</v>
      </c>
      <c r="F1570" s="4" t="s">
        <v>8735</v>
      </c>
      <c r="H1570" s="4" t="s">
        <v>19989</v>
      </c>
    </row>
    <row r="1571" spans="1:8" x14ac:dyDescent="0.2">
      <c r="A1571" s="4" t="str">
        <f t="shared" si="44"/>
        <v>49</v>
      </c>
      <c r="B1571" s="4" t="str">
        <f>"49.0303"</f>
        <v>49.0303</v>
      </c>
      <c r="C1571" s="4" t="s">
        <v>18238</v>
      </c>
      <c r="D1571" s="4" t="s">
        <v>18239</v>
      </c>
      <c r="E1571" s="4" t="s">
        <v>12591</v>
      </c>
      <c r="F1571" s="4" t="s">
        <v>8736</v>
      </c>
      <c r="G1571" s="4" t="s">
        <v>19990</v>
      </c>
      <c r="H1571" s="4" t="s">
        <v>19989</v>
      </c>
    </row>
    <row r="1572" spans="1:8" x14ac:dyDescent="0.2">
      <c r="A1572" s="4" t="str">
        <f t="shared" si="44"/>
        <v>49</v>
      </c>
      <c r="B1572" s="4" t="str">
        <f>"49.0304"</f>
        <v>49.0304</v>
      </c>
      <c r="C1572" s="4" t="s">
        <v>18238</v>
      </c>
      <c r="D1572" s="4" t="s">
        <v>18239</v>
      </c>
      <c r="E1572" s="4" t="s">
        <v>8737</v>
      </c>
      <c r="F1572" s="4" t="s">
        <v>8738</v>
      </c>
      <c r="H1572" s="4" t="s">
        <v>19989</v>
      </c>
    </row>
    <row r="1573" spans="1:8" x14ac:dyDescent="0.2">
      <c r="A1573" s="4" t="str">
        <f t="shared" si="44"/>
        <v>49</v>
      </c>
      <c r="B1573" s="4" t="str">
        <f>"49.0309"</f>
        <v>49.0309</v>
      </c>
      <c r="C1573" s="4" t="s">
        <v>18238</v>
      </c>
      <c r="D1573" s="4" t="s">
        <v>18239</v>
      </c>
      <c r="E1573" s="4" t="s">
        <v>8741</v>
      </c>
      <c r="F1573" s="4" t="s">
        <v>19991</v>
      </c>
      <c r="H1573" s="4" t="s">
        <v>19989</v>
      </c>
    </row>
    <row r="1574" spans="1:8" x14ac:dyDescent="0.2">
      <c r="A1574" s="4" t="str">
        <f t="shared" si="44"/>
        <v>49</v>
      </c>
      <c r="B1574" s="4" t="str">
        <f>"49.0399"</f>
        <v>49.0399</v>
      </c>
      <c r="C1574" s="4" t="s">
        <v>18238</v>
      </c>
      <c r="D1574" s="4" t="s">
        <v>18239</v>
      </c>
      <c r="E1574" s="4" t="s">
        <v>8318</v>
      </c>
      <c r="F1574" s="4" t="s">
        <v>8319</v>
      </c>
      <c r="H1574" s="4" t="s">
        <v>19989</v>
      </c>
    </row>
    <row r="1575" spans="1:8" x14ac:dyDescent="0.2">
      <c r="A1575" s="4" t="str">
        <f t="shared" si="44"/>
        <v>49</v>
      </c>
      <c r="B1575" s="4" t="str">
        <f>"49.99"</f>
        <v>49.99</v>
      </c>
      <c r="C1575" s="4" t="s">
        <v>18238</v>
      </c>
      <c r="D1575" s="4" t="s">
        <v>18239</v>
      </c>
      <c r="E1575" s="4" t="s">
        <v>8321</v>
      </c>
      <c r="F1575" s="4" t="s">
        <v>8322</v>
      </c>
      <c r="H1575" s="4" t="s">
        <v>19989</v>
      </c>
    </row>
    <row r="1576" spans="1:8" x14ac:dyDescent="0.2">
      <c r="A1576" s="4" t="str">
        <f t="shared" si="44"/>
        <v>49</v>
      </c>
      <c r="B1576" s="4" t="str">
        <f>"49.9999"</f>
        <v>49.9999</v>
      </c>
      <c r="C1576" s="4" t="s">
        <v>18238</v>
      </c>
      <c r="D1576" s="4" t="s">
        <v>18239</v>
      </c>
      <c r="E1576" s="4" t="s">
        <v>8321</v>
      </c>
      <c r="F1576" s="4" t="s">
        <v>8323</v>
      </c>
      <c r="H1576" s="4" t="s">
        <v>19989</v>
      </c>
    </row>
    <row r="1577" spans="1:8" x14ac:dyDescent="0.2">
      <c r="A1577" s="4" t="str">
        <f>"50"</f>
        <v>50</v>
      </c>
      <c r="B1577" s="4" t="str">
        <f>"50"</f>
        <v>50</v>
      </c>
      <c r="C1577" s="4" t="s">
        <v>18238</v>
      </c>
      <c r="D1577" s="4" t="s">
        <v>18239</v>
      </c>
      <c r="E1577" s="4" t="s">
        <v>10702</v>
      </c>
      <c r="F1577" s="4" t="s">
        <v>8325</v>
      </c>
      <c r="H1577" s="4" t="s">
        <v>19989</v>
      </c>
    </row>
    <row r="1578" spans="1:8" x14ac:dyDescent="0.2">
      <c r="A1578" s="4" t="str">
        <f t="shared" ref="A1578:A1641" si="45">"50"</f>
        <v>50</v>
      </c>
      <c r="B1578" s="4" t="str">
        <f>"50.01"</f>
        <v>50.01</v>
      </c>
      <c r="C1578" s="4" t="s">
        <v>18238</v>
      </c>
      <c r="D1578" s="4" t="s">
        <v>18239</v>
      </c>
      <c r="E1578" s="4" t="s">
        <v>8327</v>
      </c>
      <c r="F1578" s="4" t="s">
        <v>19992</v>
      </c>
      <c r="H1578" s="4" t="s">
        <v>19989</v>
      </c>
    </row>
    <row r="1579" spans="1:8" x14ac:dyDescent="0.2">
      <c r="A1579" s="4" t="str">
        <f t="shared" si="45"/>
        <v>50</v>
      </c>
      <c r="B1579" s="4" t="str">
        <f>"50.0101"</f>
        <v>50.0101</v>
      </c>
      <c r="C1579" s="4" t="s">
        <v>18238</v>
      </c>
      <c r="D1579" s="4" t="s">
        <v>18239</v>
      </c>
      <c r="E1579" s="4" t="s">
        <v>8327</v>
      </c>
      <c r="F1579" s="4" t="s">
        <v>8329</v>
      </c>
      <c r="H1579" s="4" t="s">
        <v>19989</v>
      </c>
    </row>
    <row r="1580" spans="1:8" x14ac:dyDescent="0.2">
      <c r="A1580" s="4" t="str">
        <f t="shared" si="45"/>
        <v>50</v>
      </c>
      <c r="B1580" s="4" t="str">
        <f>"50.0102"</f>
        <v>50.0102</v>
      </c>
      <c r="C1580" s="4" t="s">
        <v>18258</v>
      </c>
      <c r="D1580" s="4" t="s">
        <v>18239</v>
      </c>
      <c r="E1580" s="4" t="s">
        <v>19993</v>
      </c>
      <c r="F1580" s="4" t="s">
        <v>19994</v>
      </c>
      <c r="G1580" s="4" t="s">
        <v>19995</v>
      </c>
      <c r="H1580" s="4" t="s">
        <v>19996</v>
      </c>
    </row>
    <row r="1581" spans="1:8" x14ac:dyDescent="0.2">
      <c r="A1581" s="4" t="str">
        <f t="shared" si="45"/>
        <v>50</v>
      </c>
      <c r="B1581" s="4" t="str">
        <f>"50.02"</f>
        <v>50.02</v>
      </c>
      <c r="C1581" s="4" t="s">
        <v>18238</v>
      </c>
      <c r="D1581" s="4" t="s">
        <v>18239</v>
      </c>
      <c r="E1581" s="4" t="s">
        <v>8331</v>
      </c>
      <c r="F1581" s="4" t="s">
        <v>8332</v>
      </c>
      <c r="H1581" s="4" t="s">
        <v>19996</v>
      </c>
    </row>
    <row r="1582" spans="1:8" x14ac:dyDescent="0.2">
      <c r="A1582" s="4" t="str">
        <f t="shared" si="45"/>
        <v>50</v>
      </c>
      <c r="B1582" s="4" t="str">
        <f>"50.0201"</f>
        <v>50.0201</v>
      </c>
      <c r="C1582" s="4" t="s">
        <v>18238</v>
      </c>
      <c r="D1582" s="4" t="s">
        <v>18239</v>
      </c>
      <c r="E1582" s="4" t="s">
        <v>8331</v>
      </c>
      <c r="F1582" s="4" t="s">
        <v>8334</v>
      </c>
      <c r="H1582" s="4" t="s">
        <v>19996</v>
      </c>
    </row>
    <row r="1583" spans="1:8" x14ac:dyDescent="0.2">
      <c r="A1583" s="4" t="str">
        <f t="shared" si="45"/>
        <v>50</v>
      </c>
      <c r="B1583" s="4" t="str">
        <f>"50.03"</f>
        <v>50.03</v>
      </c>
      <c r="C1583" s="4" t="s">
        <v>18238</v>
      </c>
      <c r="D1583" s="4" t="s">
        <v>18239</v>
      </c>
      <c r="E1583" s="4" t="s">
        <v>10713</v>
      </c>
      <c r="F1583" s="4" t="s">
        <v>8337</v>
      </c>
      <c r="H1583" s="4" t="s">
        <v>19996</v>
      </c>
    </row>
    <row r="1584" spans="1:8" x14ac:dyDescent="0.2">
      <c r="A1584" s="4" t="str">
        <f t="shared" si="45"/>
        <v>50</v>
      </c>
      <c r="B1584" s="4" t="str">
        <f>"50.0301"</f>
        <v>50.0301</v>
      </c>
      <c r="C1584" s="4" t="s">
        <v>18238</v>
      </c>
      <c r="D1584" s="4" t="s">
        <v>18239</v>
      </c>
      <c r="E1584" s="4" t="s">
        <v>8338</v>
      </c>
      <c r="F1584" s="4" t="s">
        <v>8339</v>
      </c>
      <c r="H1584" s="4" t="s">
        <v>19997</v>
      </c>
    </row>
    <row r="1585" spans="1:8" x14ac:dyDescent="0.2">
      <c r="A1585" s="4" t="str">
        <f t="shared" si="45"/>
        <v>50</v>
      </c>
      <c r="B1585" s="4" t="str">
        <f>"50.0302"</f>
        <v>50.0302</v>
      </c>
      <c r="C1585" s="4" t="s">
        <v>18238</v>
      </c>
      <c r="D1585" s="4" t="s">
        <v>18239</v>
      </c>
      <c r="E1585" s="4" t="s">
        <v>8344</v>
      </c>
      <c r="F1585" s="4" t="s">
        <v>19998</v>
      </c>
      <c r="H1585" s="4" t="s">
        <v>19997</v>
      </c>
    </row>
    <row r="1586" spans="1:8" x14ac:dyDescent="0.2">
      <c r="A1586" s="4" t="str">
        <f t="shared" si="45"/>
        <v>50</v>
      </c>
      <c r="B1586" s="4" t="str">
        <f>"50.0399"</f>
        <v>50.0399</v>
      </c>
      <c r="C1586" s="4" t="s">
        <v>18238</v>
      </c>
      <c r="D1586" s="4" t="s">
        <v>18239</v>
      </c>
      <c r="E1586" s="4" t="s">
        <v>8347</v>
      </c>
      <c r="F1586" s="4" t="s">
        <v>19999</v>
      </c>
      <c r="H1586" s="4" t="s">
        <v>19997</v>
      </c>
    </row>
    <row r="1587" spans="1:8" x14ac:dyDescent="0.2">
      <c r="A1587" s="4" t="str">
        <f t="shared" si="45"/>
        <v>50</v>
      </c>
      <c r="B1587" s="4" t="str">
        <f>"50.04"</f>
        <v>50.04</v>
      </c>
      <c r="C1587" s="4" t="s">
        <v>18238</v>
      </c>
      <c r="D1587" s="4" t="s">
        <v>18239</v>
      </c>
      <c r="E1587" s="4" t="s">
        <v>11050</v>
      </c>
      <c r="F1587" s="4" t="s">
        <v>8349</v>
      </c>
      <c r="H1587" s="4" t="s">
        <v>19997</v>
      </c>
    </row>
    <row r="1588" spans="1:8" x14ac:dyDescent="0.2">
      <c r="A1588" s="4" t="str">
        <f t="shared" si="45"/>
        <v>50</v>
      </c>
      <c r="B1588" s="4" t="str">
        <f>"50.0401"</f>
        <v>50.0401</v>
      </c>
      <c r="C1588" s="4" t="s">
        <v>18238</v>
      </c>
      <c r="D1588" s="4" t="s">
        <v>18239</v>
      </c>
      <c r="E1588" s="4" t="s">
        <v>8350</v>
      </c>
      <c r="F1588" s="4" t="s">
        <v>8351</v>
      </c>
      <c r="H1588" s="4" t="s">
        <v>19997</v>
      </c>
    </row>
    <row r="1589" spans="1:8" x14ac:dyDescent="0.2">
      <c r="A1589" s="4" t="str">
        <f t="shared" si="45"/>
        <v>50</v>
      </c>
      <c r="B1589" s="4" t="str">
        <f>"50.0402"</f>
        <v>50.0402</v>
      </c>
      <c r="C1589" s="4" t="s">
        <v>18238</v>
      </c>
      <c r="D1589" s="4" t="s">
        <v>18239</v>
      </c>
      <c r="E1589" s="4" t="s">
        <v>11056</v>
      </c>
      <c r="F1589" s="4" t="s">
        <v>8352</v>
      </c>
      <c r="G1589" s="4" t="s">
        <v>20000</v>
      </c>
      <c r="H1589" s="4" t="s">
        <v>20001</v>
      </c>
    </row>
    <row r="1590" spans="1:8" x14ac:dyDescent="0.2">
      <c r="A1590" s="4" t="str">
        <f t="shared" si="45"/>
        <v>50</v>
      </c>
      <c r="B1590" s="4" t="str">
        <f>"50.0404"</f>
        <v>50.0404</v>
      </c>
      <c r="C1590" s="4" t="s">
        <v>18238</v>
      </c>
      <c r="D1590" s="4" t="s">
        <v>18307</v>
      </c>
      <c r="E1590" s="4" t="s">
        <v>20002</v>
      </c>
      <c r="F1590" s="4" t="s">
        <v>8354</v>
      </c>
      <c r="H1590" s="4" t="s">
        <v>20001</v>
      </c>
    </row>
    <row r="1591" spans="1:8" x14ac:dyDescent="0.2">
      <c r="A1591" s="4" t="str">
        <f t="shared" si="45"/>
        <v>50</v>
      </c>
      <c r="B1591" s="4" t="str">
        <f>"50.0406"</f>
        <v>50.0406</v>
      </c>
      <c r="C1591" s="4" t="s">
        <v>18238</v>
      </c>
      <c r="D1591" s="4" t="s">
        <v>18239</v>
      </c>
      <c r="E1591" s="4" t="s">
        <v>11037</v>
      </c>
      <c r="F1591" s="4" t="s">
        <v>8355</v>
      </c>
      <c r="H1591" s="4" t="s">
        <v>20001</v>
      </c>
    </row>
    <row r="1592" spans="1:8" x14ac:dyDescent="0.2">
      <c r="A1592" s="4" t="str">
        <f t="shared" si="45"/>
        <v>50</v>
      </c>
      <c r="B1592" s="4" t="str">
        <f>"50.0407"</f>
        <v>50.0407</v>
      </c>
      <c r="C1592" s="4" t="s">
        <v>18238</v>
      </c>
      <c r="D1592" s="4" t="s">
        <v>18239</v>
      </c>
      <c r="E1592" s="4" t="s">
        <v>9582</v>
      </c>
      <c r="F1592" s="4" t="s">
        <v>8356</v>
      </c>
      <c r="G1592" s="4" t="s">
        <v>20003</v>
      </c>
      <c r="H1592" s="4" t="s">
        <v>20001</v>
      </c>
    </row>
    <row r="1593" spans="1:8" x14ac:dyDescent="0.2">
      <c r="A1593" s="4" t="str">
        <f t="shared" si="45"/>
        <v>50</v>
      </c>
      <c r="B1593" s="4" t="str">
        <f>"50.0408"</f>
        <v>50.0408</v>
      </c>
      <c r="C1593" s="4" t="s">
        <v>18238</v>
      </c>
      <c r="D1593" s="4" t="s">
        <v>18239</v>
      </c>
      <c r="E1593" s="4" t="s">
        <v>11520</v>
      </c>
      <c r="F1593" s="4" t="s">
        <v>20004</v>
      </c>
      <c r="G1593" s="4" t="s">
        <v>20005</v>
      </c>
      <c r="H1593" s="4" t="s">
        <v>20001</v>
      </c>
    </row>
    <row r="1594" spans="1:8" x14ac:dyDescent="0.2">
      <c r="A1594" s="4" t="str">
        <f t="shared" si="45"/>
        <v>50</v>
      </c>
      <c r="B1594" s="4" t="str">
        <f>"50.0409"</f>
        <v>50.0409</v>
      </c>
      <c r="C1594" s="4" t="s">
        <v>18238</v>
      </c>
      <c r="D1594" s="4" t="s">
        <v>18307</v>
      </c>
      <c r="E1594" s="4" t="s">
        <v>11055</v>
      </c>
      <c r="F1594" s="4" t="s">
        <v>20006</v>
      </c>
      <c r="G1594" s="4" t="s">
        <v>20007</v>
      </c>
      <c r="H1594" s="4" t="s">
        <v>20001</v>
      </c>
    </row>
    <row r="1595" spans="1:8" x14ac:dyDescent="0.2">
      <c r="A1595" s="4" t="str">
        <f t="shared" si="45"/>
        <v>50</v>
      </c>
      <c r="B1595" s="4" t="str">
        <f>"50.0410"</f>
        <v>50.0410</v>
      </c>
      <c r="C1595" s="4" t="s">
        <v>18238</v>
      </c>
      <c r="D1595" s="4" t="s">
        <v>18239</v>
      </c>
      <c r="E1595" s="4" t="s">
        <v>8360</v>
      </c>
      <c r="F1595" s="4" t="s">
        <v>20008</v>
      </c>
      <c r="G1595" s="4" t="s">
        <v>20009</v>
      </c>
      <c r="H1595" s="4" t="s">
        <v>20001</v>
      </c>
    </row>
    <row r="1596" spans="1:8" x14ac:dyDescent="0.2">
      <c r="A1596" s="4" t="str">
        <f t="shared" si="45"/>
        <v>50</v>
      </c>
      <c r="B1596" s="4" t="str">
        <f>"50.0411"</f>
        <v>50.0411</v>
      </c>
      <c r="C1596" s="4" t="s">
        <v>18258</v>
      </c>
      <c r="D1596" s="4" t="s">
        <v>18239</v>
      </c>
      <c r="E1596" s="4" t="s">
        <v>20010</v>
      </c>
      <c r="F1596" s="4" t="s">
        <v>20011</v>
      </c>
      <c r="G1596" s="4" t="s">
        <v>20012</v>
      </c>
      <c r="H1596" s="4" t="s">
        <v>20013</v>
      </c>
    </row>
    <row r="1597" spans="1:8" x14ac:dyDescent="0.2">
      <c r="A1597" s="4" t="str">
        <f t="shared" si="45"/>
        <v>50</v>
      </c>
      <c r="B1597" s="4" t="str">
        <f>"50.0499"</f>
        <v>50.0499</v>
      </c>
      <c r="C1597" s="4" t="s">
        <v>18238</v>
      </c>
      <c r="D1597" s="4" t="s">
        <v>18239</v>
      </c>
      <c r="E1597" s="4" t="s">
        <v>8362</v>
      </c>
      <c r="F1597" s="4" t="s">
        <v>8363</v>
      </c>
      <c r="H1597" s="4" t="s">
        <v>20013</v>
      </c>
    </row>
    <row r="1598" spans="1:8" x14ac:dyDescent="0.2">
      <c r="A1598" s="4" t="str">
        <f t="shared" si="45"/>
        <v>50</v>
      </c>
      <c r="B1598" s="4" t="str">
        <f>"50.05"</f>
        <v>50.05</v>
      </c>
      <c r="C1598" s="4" t="s">
        <v>18238</v>
      </c>
      <c r="D1598" s="4" t="s">
        <v>18239</v>
      </c>
      <c r="E1598" s="4" t="s">
        <v>8341</v>
      </c>
      <c r="F1598" s="4" t="s">
        <v>8364</v>
      </c>
      <c r="H1598" s="4" t="s">
        <v>20013</v>
      </c>
    </row>
    <row r="1599" spans="1:8" x14ac:dyDescent="0.2">
      <c r="A1599" s="4" t="str">
        <f t="shared" si="45"/>
        <v>50</v>
      </c>
      <c r="B1599" s="4" t="str">
        <f>"50.0501"</f>
        <v>50.0501</v>
      </c>
      <c r="C1599" s="4" t="s">
        <v>18238</v>
      </c>
      <c r="D1599" s="4" t="s">
        <v>18239</v>
      </c>
      <c r="E1599" s="4" t="s">
        <v>8366</v>
      </c>
      <c r="F1599" s="4" t="s">
        <v>8367</v>
      </c>
      <c r="H1599" s="4" t="s">
        <v>20013</v>
      </c>
    </row>
    <row r="1600" spans="1:8" x14ac:dyDescent="0.2">
      <c r="A1600" s="4" t="str">
        <f t="shared" si="45"/>
        <v>50</v>
      </c>
      <c r="B1600" s="4" t="str">
        <f>"50.0502"</f>
        <v>50.0502</v>
      </c>
      <c r="C1600" s="4" t="s">
        <v>18238</v>
      </c>
      <c r="D1600" s="4" t="s">
        <v>18239</v>
      </c>
      <c r="E1600" s="4" t="s">
        <v>8368</v>
      </c>
      <c r="F1600" s="4" t="s">
        <v>20014</v>
      </c>
      <c r="H1600" s="4" t="s">
        <v>20015</v>
      </c>
    </row>
    <row r="1601" spans="1:8" x14ac:dyDescent="0.2">
      <c r="A1601" s="4" t="str">
        <f t="shared" si="45"/>
        <v>50</v>
      </c>
      <c r="B1601" s="4" t="str">
        <f>"50.0504"</f>
        <v>50.0504</v>
      </c>
      <c r="C1601" s="4" t="s">
        <v>18238</v>
      </c>
      <c r="D1601" s="4" t="s">
        <v>18307</v>
      </c>
      <c r="E1601" s="4" t="s">
        <v>8372</v>
      </c>
      <c r="F1601" s="4" t="s">
        <v>20016</v>
      </c>
      <c r="H1601" s="4" t="s">
        <v>20017</v>
      </c>
    </row>
    <row r="1602" spans="1:8" x14ac:dyDescent="0.2">
      <c r="A1602" s="4" t="str">
        <f t="shared" si="45"/>
        <v>50</v>
      </c>
      <c r="B1602" s="4" t="str">
        <f>"50.0505"</f>
        <v>50.0505</v>
      </c>
      <c r="C1602" s="4" t="s">
        <v>18238</v>
      </c>
      <c r="D1602" s="4" t="s">
        <v>18239</v>
      </c>
      <c r="E1602" s="4" t="s">
        <v>8374</v>
      </c>
      <c r="F1602" s="4" t="s">
        <v>8375</v>
      </c>
      <c r="H1602" s="4" t="s">
        <v>20017</v>
      </c>
    </row>
    <row r="1603" spans="1:8" x14ac:dyDescent="0.2">
      <c r="A1603" s="4" t="str">
        <f t="shared" si="45"/>
        <v>50</v>
      </c>
      <c r="B1603" s="4" t="str">
        <f>"50.0506"</f>
        <v>50.0506</v>
      </c>
      <c r="C1603" s="4" t="s">
        <v>18238</v>
      </c>
      <c r="D1603" s="4" t="s">
        <v>18239</v>
      </c>
      <c r="E1603" s="4" t="s">
        <v>8377</v>
      </c>
      <c r="F1603" s="4" t="s">
        <v>20018</v>
      </c>
      <c r="H1603" s="4" t="s">
        <v>20017</v>
      </c>
    </row>
    <row r="1604" spans="1:8" x14ac:dyDescent="0.2">
      <c r="A1604" s="4" t="str">
        <f t="shared" si="45"/>
        <v>50</v>
      </c>
      <c r="B1604" s="4" t="str">
        <f>"50.0507"</f>
        <v>50.0507</v>
      </c>
      <c r="C1604" s="4" t="s">
        <v>18238</v>
      </c>
      <c r="D1604" s="4" t="s">
        <v>18239</v>
      </c>
      <c r="E1604" s="4" t="s">
        <v>8380</v>
      </c>
      <c r="F1604" s="4" t="s">
        <v>20019</v>
      </c>
      <c r="H1604" s="4" t="s">
        <v>20017</v>
      </c>
    </row>
    <row r="1605" spans="1:8" x14ac:dyDescent="0.2">
      <c r="A1605" s="4" t="str">
        <f t="shared" si="45"/>
        <v>50</v>
      </c>
      <c r="B1605" s="4" t="str">
        <f>"50.0508"</f>
        <v>50.0508</v>
      </c>
      <c r="C1605" s="4" t="s">
        <v>18724</v>
      </c>
      <c r="D1605" s="4" t="s">
        <v>18239</v>
      </c>
      <c r="E1605" s="4" t="s">
        <v>8383</v>
      </c>
      <c r="F1605" s="4" t="s">
        <v>20020</v>
      </c>
      <c r="H1605" s="4" t="s">
        <v>20017</v>
      </c>
    </row>
    <row r="1606" spans="1:8" x14ac:dyDescent="0.2">
      <c r="A1606" s="4" t="str">
        <f t="shared" si="45"/>
        <v>50</v>
      </c>
      <c r="B1606" s="4" t="str">
        <f>"50.0509"</f>
        <v>50.0509</v>
      </c>
      <c r="C1606" s="4" t="s">
        <v>18258</v>
      </c>
      <c r="D1606" s="4" t="s">
        <v>18239</v>
      </c>
      <c r="E1606" s="4" t="s">
        <v>20021</v>
      </c>
      <c r="F1606" s="4" t="s">
        <v>20022</v>
      </c>
      <c r="H1606" s="4" t="s">
        <v>20017</v>
      </c>
    </row>
    <row r="1607" spans="1:8" x14ac:dyDescent="0.2">
      <c r="A1607" s="4" t="str">
        <f t="shared" si="45"/>
        <v>50</v>
      </c>
      <c r="B1607" s="4" t="str">
        <f>"50.0510"</f>
        <v>50.0510</v>
      </c>
      <c r="C1607" s="4" t="s">
        <v>18258</v>
      </c>
      <c r="D1607" s="4" t="s">
        <v>18239</v>
      </c>
      <c r="E1607" s="4" t="s">
        <v>20023</v>
      </c>
      <c r="F1607" s="4" t="s">
        <v>20024</v>
      </c>
      <c r="H1607" s="4" t="s">
        <v>20017</v>
      </c>
    </row>
    <row r="1608" spans="1:8" x14ac:dyDescent="0.2">
      <c r="A1608" s="4" t="str">
        <f t="shared" si="45"/>
        <v>50</v>
      </c>
      <c r="B1608" s="4" t="str">
        <f>"50.0599"</f>
        <v>50.0599</v>
      </c>
      <c r="C1608" s="4" t="s">
        <v>18238</v>
      </c>
      <c r="D1608" s="4" t="s">
        <v>18239</v>
      </c>
      <c r="E1608" s="4" t="s">
        <v>8385</v>
      </c>
      <c r="F1608" s="4" t="s">
        <v>8386</v>
      </c>
      <c r="H1608" s="4" t="s">
        <v>20017</v>
      </c>
    </row>
    <row r="1609" spans="1:8" x14ac:dyDescent="0.2">
      <c r="A1609" s="4" t="str">
        <f t="shared" si="45"/>
        <v>50</v>
      </c>
      <c r="B1609" s="4" t="str">
        <f>"50.06"</f>
        <v>50.06</v>
      </c>
      <c r="C1609" s="4" t="s">
        <v>18238</v>
      </c>
      <c r="D1609" s="4" t="s">
        <v>18239</v>
      </c>
      <c r="E1609" s="4" t="s">
        <v>10974</v>
      </c>
      <c r="F1609" s="4" t="s">
        <v>8387</v>
      </c>
      <c r="H1609" s="4" t="s">
        <v>20017</v>
      </c>
    </row>
    <row r="1610" spans="1:8" x14ac:dyDescent="0.2">
      <c r="A1610" s="4" t="str">
        <f t="shared" si="45"/>
        <v>50</v>
      </c>
      <c r="B1610" s="4" t="str">
        <f>"50.0601"</f>
        <v>50.0601</v>
      </c>
      <c r="C1610" s="4" t="s">
        <v>18238</v>
      </c>
      <c r="D1610" s="4" t="s">
        <v>18307</v>
      </c>
      <c r="E1610" s="4" t="s">
        <v>20025</v>
      </c>
      <c r="F1610" s="4" t="s">
        <v>8389</v>
      </c>
      <c r="H1610" s="4" t="s">
        <v>20017</v>
      </c>
    </row>
    <row r="1611" spans="1:8" x14ac:dyDescent="0.2">
      <c r="A1611" s="4" t="str">
        <f t="shared" si="45"/>
        <v>50</v>
      </c>
      <c r="B1611" s="4" t="str">
        <f>"50.0602"</f>
        <v>50.0602</v>
      </c>
      <c r="C1611" s="4" t="s">
        <v>18238</v>
      </c>
      <c r="D1611" s="4" t="s">
        <v>18307</v>
      </c>
      <c r="E1611" s="4" t="s">
        <v>11038</v>
      </c>
      <c r="F1611" s="4" t="s">
        <v>20026</v>
      </c>
      <c r="H1611" s="4" t="s">
        <v>20027</v>
      </c>
    </row>
    <row r="1612" spans="1:8" x14ac:dyDescent="0.2">
      <c r="A1612" s="4" t="str">
        <f t="shared" si="45"/>
        <v>50</v>
      </c>
      <c r="B1612" s="4" t="str">
        <f>"50.0605"</f>
        <v>50.0605</v>
      </c>
      <c r="C1612" s="4" t="s">
        <v>18238</v>
      </c>
      <c r="D1612" s="4" t="s">
        <v>18239</v>
      </c>
      <c r="E1612" s="4" t="s">
        <v>11039</v>
      </c>
      <c r="F1612" s="4" t="s">
        <v>20028</v>
      </c>
      <c r="G1612" s="4" t="s">
        <v>20029</v>
      </c>
      <c r="H1612" s="4" t="s">
        <v>20027</v>
      </c>
    </row>
    <row r="1613" spans="1:8" x14ac:dyDescent="0.2">
      <c r="A1613" s="4" t="str">
        <f t="shared" si="45"/>
        <v>50</v>
      </c>
      <c r="B1613" s="4" t="str">
        <f>"50.0607"</f>
        <v>50.0607</v>
      </c>
      <c r="C1613" s="4" t="s">
        <v>18258</v>
      </c>
      <c r="D1613" s="4" t="s">
        <v>18239</v>
      </c>
      <c r="E1613" s="4" t="s">
        <v>20030</v>
      </c>
      <c r="F1613" s="4" t="s">
        <v>20031</v>
      </c>
      <c r="H1613" s="4" t="s">
        <v>20027</v>
      </c>
    </row>
    <row r="1614" spans="1:8" x14ac:dyDescent="0.2">
      <c r="A1614" s="4" t="str">
        <f t="shared" si="45"/>
        <v>50</v>
      </c>
      <c r="B1614" s="4" t="str">
        <f>"50.0699"</f>
        <v>50.0699</v>
      </c>
      <c r="C1614" s="4" t="s">
        <v>18238</v>
      </c>
      <c r="D1614" s="4" t="s">
        <v>18239</v>
      </c>
      <c r="E1614" s="4" t="s">
        <v>8392</v>
      </c>
      <c r="F1614" s="4" t="s">
        <v>8393</v>
      </c>
      <c r="H1614" s="4" t="s">
        <v>20027</v>
      </c>
    </row>
    <row r="1615" spans="1:8" x14ac:dyDescent="0.2">
      <c r="A1615" s="4" t="str">
        <f t="shared" si="45"/>
        <v>50</v>
      </c>
      <c r="B1615" s="4" t="str">
        <f>"50.07"</f>
        <v>50.07</v>
      </c>
      <c r="C1615" s="4" t="s">
        <v>18238</v>
      </c>
      <c r="D1615" s="4" t="s">
        <v>18239</v>
      </c>
      <c r="E1615" s="4" t="s">
        <v>20032</v>
      </c>
      <c r="F1615" s="4" t="s">
        <v>8395</v>
      </c>
      <c r="H1615" s="4" t="s">
        <v>20027</v>
      </c>
    </row>
    <row r="1616" spans="1:8" x14ac:dyDescent="0.2">
      <c r="A1616" s="4" t="str">
        <f t="shared" si="45"/>
        <v>50</v>
      </c>
      <c r="B1616" s="4" t="str">
        <f>"50.0701"</f>
        <v>50.0701</v>
      </c>
      <c r="C1616" s="4" t="s">
        <v>18238</v>
      </c>
      <c r="D1616" s="4" t="s">
        <v>18239</v>
      </c>
      <c r="E1616" s="4" t="s">
        <v>10643</v>
      </c>
      <c r="F1616" s="4" t="s">
        <v>8396</v>
      </c>
      <c r="H1616" s="4" t="s">
        <v>20027</v>
      </c>
    </row>
    <row r="1617" spans="1:8" x14ac:dyDescent="0.2">
      <c r="A1617" s="4" t="str">
        <f t="shared" si="45"/>
        <v>50</v>
      </c>
      <c r="B1617" s="4" t="str">
        <f>"50.0702"</f>
        <v>50.0702</v>
      </c>
      <c r="C1617" s="4" t="s">
        <v>18238</v>
      </c>
      <c r="D1617" s="4" t="s">
        <v>18239</v>
      </c>
      <c r="E1617" s="4" t="s">
        <v>8398</v>
      </c>
      <c r="F1617" s="4" t="s">
        <v>20033</v>
      </c>
      <c r="H1617" s="4" t="s">
        <v>20027</v>
      </c>
    </row>
    <row r="1618" spans="1:8" x14ac:dyDescent="0.2">
      <c r="A1618" s="4" t="str">
        <f t="shared" si="45"/>
        <v>50</v>
      </c>
      <c r="B1618" s="4" t="str">
        <f>"50.0703"</f>
        <v>50.0703</v>
      </c>
      <c r="C1618" s="4" t="s">
        <v>18238</v>
      </c>
      <c r="D1618" s="4" t="s">
        <v>18239</v>
      </c>
      <c r="E1618" s="4" t="s">
        <v>11544</v>
      </c>
      <c r="F1618" s="4" t="s">
        <v>8400</v>
      </c>
      <c r="H1618" s="4" t="s">
        <v>20027</v>
      </c>
    </row>
    <row r="1619" spans="1:8" x14ac:dyDescent="0.2">
      <c r="A1619" s="4" t="str">
        <f t="shared" si="45"/>
        <v>50</v>
      </c>
      <c r="B1619" s="4" t="str">
        <f>"50.0704"</f>
        <v>50.0704</v>
      </c>
      <c r="C1619" s="4" t="s">
        <v>18724</v>
      </c>
      <c r="D1619" s="4" t="s">
        <v>18239</v>
      </c>
      <c r="E1619" s="4" t="s">
        <v>8401</v>
      </c>
      <c r="F1619" s="4" t="s">
        <v>20034</v>
      </c>
      <c r="H1619" s="4" t="s">
        <v>20027</v>
      </c>
    </row>
    <row r="1620" spans="1:8" x14ac:dyDescent="0.2">
      <c r="A1620" s="4" t="str">
        <f t="shared" si="45"/>
        <v>50</v>
      </c>
      <c r="B1620" s="4" t="str">
        <f>"50.0705"</f>
        <v>50.0705</v>
      </c>
      <c r="C1620" s="4" t="s">
        <v>18238</v>
      </c>
      <c r="D1620" s="4" t="s">
        <v>18239</v>
      </c>
      <c r="E1620" s="4" t="s">
        <v>8403</v>
      </c>
      <c r="F1620" s="4" t="s">
        <v>8404</v>
      </c>
      <c r="H1620" s="4" t="s">
        <v>20027</v>
      </c>
    </row>
    <row r="1621" spans="1:8" x14ac:dyDescent="0.2">
      <c r="A1621" s="4" t="str">
        <f t="shared" si="45"/>
        <v>50</v>
      </c>
      <c r="B1621" s="4" t="str">
        <f>"50.0706"</f>
        <v>50.0706</v>
      </c>
      <c r="C1621" s="4" t="s">
        <v>18238</v>
      </c>
      <c r="D1621" s="4" t="s">
        <v>18239</v>
      </c>
      <c r="E1621" s="4" t="s">
        <v>8405</v>
      </c>
      <c r="F1621" s="4" t="s">
        <v>8406</v>
      </c>
      <c r="H1621" s="4" t="s">
        <v>20027</v>
      </c>
    </row>
    <row r="1622" spans="1:8" x14ac:dyDescent="0.2">
      <c r="A1622" s="4" t="str">
        <f t="shared" si="45"/>
        <v>50</v>
      </c>
      <c r="B1622" s="4" t="str">
        <f>"50.0708"</f>
        <v>50.0708</v>
      </c>
      <c r="C1622" s="4" t="s">
        <v>18238</v>
      </c>
      <c r="D1622" s="4" t="s">
        <v>18239</v>
      </c>
      <c r="E1622" s="4" t="s">
        <v>8407</v>
      </c>
      <c r="F1622" s="4" t="s">
        <v>20035</v>
      </c>
      <c r="H1622" s="4" t="s">
        <v>20036</v>
      </c>
    </row>
    <row r="1623" spans="1:8" x14ac:dyDescent="0.2">
      <c r="A1623" s="4" t="str">
        <f t="shared" si="45"/>
        <v>50</v>
      </c>
      <c r="B1623" s="4" t="str">
        <f>"50.0709"</f>
        <v>50.0709</v>
      </c>
      <c r="C1623" s="4" t="s">
        <v>18238</v>
      </c>
      <c r="D1623" s="4" t="s">
        <v>18239</v>
      </c>
      <c r="E1623" s="4" t="s">
        <v>8409</v>
      </c>
      <c r="F1623" s="4" t="s">
        <v>8410</v>
      </c>
      <c r="H1623" s="4" t="s">
        <v>20036</v>
      </c>
    </row>
    <row r="1624" spans="1:8" x14ac:dyDescent="0.2">
      <c r="A1624" s="4" t="str">
        <f t="shared" si="45"/>
        <v>50</v>
      </c>
      <c r="B1624" s="4" t="str">
        <f>"50.0710"</f>
        <v>50.0710</v>
      </c>
      <c r="C1624" s="4" t="s">
        <v>18238</v>
      </c>
      <c r="D1624" s="4" t="s">
        <v>18239</v>
      </c>
      <c r="E1624" s="4" t="s">
        <v>11128</v>
      </c>
      <c r="F1624" s="4" t="s">
        <v>8411</v>
      </c>
      <c r="H1624" s="4" t="s">
        <v>20036</v>
      </c>
    </row>
    <row r="1625" spans="1:8" x14ac:dyDescent="0.2">
      <c r="A1625" s="4" t="str">
        <f t="shared" si="45"/>
        <v>50</v>
      </c>
      <c r="B1625" s="4" t="str">
        <f>"50.0711"</f>
        <v>50.0711</v>
      </c>
      <c r="C1625" s="4" t="s">
        <v>18238</v>
      </c>
      <c r="D1625" s="4" t="s">
        <v>18239</v>
      </c>
      <c r="E1625" s="4" t="s">
        <v>8412</v>
      </c>
      <c r="F1625" s="4" t="s">
        <v>8413</v>
      </c>
      <c r="G1625" s="4" t="s">
        <v>20037</v>
      </c>
      <c r="H1625" s="4" t="s">
        <v>20036</v>
      </c>
    </row>
    <row r="1626" spans="1:8" x14ac:dyDescent="0.2">
      <c r="A1626" s="4" t="str">
        <f t="shared" si="45"/>
        <v>50</v>
      </c>
      <c r="B1626" s="4" t="str">
        <f>"50.0712"</f>
        <v>50.0712</v>
      </c>
      <c r="C1626" s="4" t="s">
        <v>18238</v>
      </c>
      <c r="D1626" s="4" t="s">
        <v>18239</v>
      </c>
      <c r="E1626" s="4" t="s">
        <v>8414</v>
      </c>
      <c r="F1626" s="4" t="s">
        <v>8415</v>
      </c>
      <c r="G1626" s="4" t="s">
        <v>20003</v>
      </c>
      <c r="H1626" s="4" t="s">
        <v>20036</v>
      </c>
    </row>
    <row r="1627" spans="1:8" x14ac:dyDescent="0.2">
      <c r="A1627" s="4" t="str">
        <f t="shared" si="45"/>
        <v>50</v>
      </c>
      <c r="B1627" s="4" t="str">
        <f>"50.0713"</f>
        <v>50.0713</v>
      </c>
      <c r="C1627" s="4" t="s">
        <v>18238</v>
      </c>
      <c r="D1627" s="4" t="s">
        <v>18239</v>
      </c>
      <c r="E1627" s="4" t="s">
        <v>8335</v>
      </c>
      <c r="F1627" s="4" t="s">
        <v>20038</v>
      </c>
      <c r="H1627" s="4" t="s">
        <v>20036</v>
      </c>
    </row>
    <row r="1628" spans="1:8" x14ac:dyDescent="0.2">
      <c r="A1628" s="4" t="str">
        <f t="shared" si="45"/>
        <v>50</v>
      </c>
      <c r="B1628" s="4" t="str">
        <f>"50.0799"</f>
        <v>50.0799</v>
      </c>
      <c r="C1628" s="4" t="s">
        <v>18238</v>
      </c>
      <c r="D1628" s="4" t="s">
        <v>18239</v>
      </c>
      <c r="E1628" s="4" t="s">
        <v>8417</v>
      </c>
      <c r="F1628" s="4" t="s">
        <v>8418</v>
      </c>
      <c r="H1628" s="4" t="s">
        <v>20039</v>
      </c>
    </row>
    <row r="1629" spans="1:8" x14ac:dyDescent="0.2">
      <c r="A1629" s="4" t="str">
        <f t="shared" si="45"/>
        <v>50</v>
      </c>
      <c r="B1629" s="4" t="str">
        <f>"50.09"</f>
        <v>50.09</v>
      </c>
      <c r="C1629" s="4" t="s">
        <v>18238</v>
      </c>
      <c r="D1629" s="4" t="s">
        <v>18239</v>
      </c>
      <c r="E1629" s="4" t="s">
        <v>10671</v>
      </c>
      <c r="F1629" s="4" t="s">
        <v>8419</v>
      </c>
      <c r="H1629" s="4" t="s">
        <v>20039</v>
      </c>
    </row>
    <row r="1630" spans="1:8" x14ac:dyDescent="0.2">
      <c r="A1630" s="4" t="str">
        <f t="shared" si="45"/>
        <v>50</v>
      </c>
      <c r="B1630" s="4" t="str">
        <f>"50.0901"</f>
        <v>50.0901</v>
      </c>
      <c r="C1630" s="4" t="s">
        <v>18238</v>
      </c>
      <c r="D1630" s="4" t="s">
        <v>18239</v>
      </c>
      <c r="E1630" s="4" t="s">
        <v>8420</v>
      </c>
      <c r="F1630" s="4" t="s">
        <v>8421</v>
      </c>
      <c r="H1630" s="4" t="s">
        <v>20039</v>
      </c>
    </row>
    <row r="1631" spans="1:8" x14ac:dyDescent="0.2">
      <c r="A1631" s="4" t="str">
        <f t="shared" si="45"/>
        <v>50</v>
      </c>
      <c r="B1631" s="4" t="str">
        <f>"50.0902"</f>
        <v>50.0902</v>
      </c>
      <c r="C1631" s="4" t="s">
        <v>18238</v>
      </c>
      <c r="D1631" s="4" t="s">
        <v>18239</v>
      </c>
      <c r="E1631" s="4" t="s">
        <v>8423</v>
      </c>
      <c r="F1631" s="4" t="s">
        <v>8424</v>
      </c>
      <c r="H1631" s="4" t="s">
        <v>20039</v>
      </c>
    </row>
    <row r="1632" spans="1:8" x14ac:dyDescent="0.2">
      <c r="A1632" s="4" t="str">
        <f t="shared" si="45"/>
        <v>50</v>
      </c>
      <c r="B1632" s="4" t="str">
        <f>"50.0903"</f>
        <v>50.0903</v>
      </c>
      <c r="C1632" s="4" t="s">
        <v>18238</v>
      </c>
      <c r="D1632" s="4" t="s">
        <v>18239</v>
      </c>
      <c r="E1632" s="4" t="s">
        <v>8425</v>
      </c>
      <c r="F1632" s="4" t="s">
        <v>8426</v>
      </c>
      <c r="H1632" s="4" t="s">
        <v>20039</v>
      </c>
    </row>
    <row r="1633" spans="1:8" x14ac:dyDescent="0.2">
      <c r="A1633" s="4" t="str">
        <f t="shared" si="45"/>
        <v>50</v>
      </c>
      <c r="B1633" s="4" t="str">
        <f>"50.0904"</f>
        <v>50.0904</v>
      </c>
      <c r="C1633" s="4" t="s">
        <v>18238</v>
      </c>
      <c r="D1633" s="4" t="s">
        <v>18239</v>
      </c>
      <c r="E1633" s="4" t="s">
        <v>8427</v>
      </c>
      <c r="F1633" s="4" t="s">
        <v>8428</v>
      </c>
      <c r="H1633" s="4" t="s">
        <v>20039</v>
      </c>
    </row>
    <row r="1634" spans="1:8" x14ac:dyDescent="0.2">
      <c r="A1634" s="4" t="str">
        <f t="shared" si="45"/>
        <v>50</v>
      </c>
      <c r="B1634" s="4" t="str">
        <f>"50.0905"</f>
        <v>50.0905</v>
      </c>
      <c r="C1634" s="4" t="s">
        <v>18238</v>
      </c>
      <c r="D1634" s="4" t="s">
        <v>18239</v>
      </c>
      <c r="E1634" s="4" t="s">
        <v>8429</v>
      </c>
      <c r="F1634" s="4" t="s">
        <v>8430</v>
      </c>
      <c r="H1634" s="4" t="s">
        <v>20039</v>
      </c>
    </row>
    <row r="1635" spans="1:8" x14ac:dyDescent="0.2">
      <c r="A1635" s="4" t="str">
        <f t="shared" si="45"/>
        <v>50</v>
      </c>
      <c r="B1635" s="4" t="str">
        <f>"50.0906"</f>
        <v>50.0906</v>
      </c>
      <c r="C1635" s="4" t="s">
        <v>18238</v>
      </c>
      <c r="D1635" s="4" t="s">
        <v>18239</v>
      </c>
      <c r="E1635" s="4" t="s">
        <v>8431</v>
      </c>
      <c r="F1635" s="4" t="s">
        <v>8432</v>
      </c>
      <c r="H1635" s="4" t="s">
        <v>20039</v>
      </c>
    </row>
    <row r="1636" spans="1:8" x14ac:dyDescent="0.2">
      <c r="A1636" s="4" t="str">
        <f t="shared" si="45"/>
        <v>50</v>
      </c>
      <c r="B1636" s="4" t="str">
        <f>"50.0907"</f>
        <v>50.0907</v>
      </c>
      <c r="C1636" s="4" t="s">
        <v>18238</v>
      </c>
      <c r="D1636" s="4" t="s">
        <v>18307</v>
      </c>
      <c r="E1636" s="4" t="s">
        <v>20040</v>
      </c>
      <c r="F1636" s="4" t="s">
        <v>8434</v>
      </c>
      <c r="H1636" s="4" t="s">
        <v>20041</v>
      </c>
    </row>
    <row r="1637" spans="1:8" x14ac:dyDescent="0.2">
      <c r="A1637" s="4" t="str">
        <f t="shared" si="45"/>
        <v>50</v>
      </c>
      <c r="B1637" s="4" t="str">
        <f>"50.0908"</f>
        <v>50.0908</v>
      </c>
      <c r="C1637" s="4" t="s">
        <v>18238</v>
      </c>
      <c r="D1637" s="4" t="s">
        <v>18239</v>
      </c>
      <c r="E1637" s="4" t="s">
        <v>8435</v>
      </c>
      <c r="F1637" s="4" t="s">
        <v>8436</v>
      </c>
      <c r="H1637" s="4" t="s">
        <v>20041</v>
      </c>
    </row>
    <row r="1638" spans="1:8" x14ac:dyDescent="0.2">
      <c r="A1638" s="4" t="str">
        <f t="shared" si="45"/>
        <v>50</v>
      </c>
      <c r="B1638" s="4" t="str">
        <f>"50.0909"</f>
        <v>50.0909</v>
      </c>
      <c r="C1638" s="4" t="s">
        <v>18724</v>
      </c>
      <c r="D1638" s="4" t="s">
        <v>18239</v>
      </c>
      <c r="E1638" s="4" t="s">
        <v>8437</v>
      </c>
      <c r="F1638" s="4" t="s">
        <v>20042</v>
      </c>
      <c r="H1638" s="4" t="s">
        <v>20041</v>
      </c>
    </row>
    <row r="1639" spans="1:8" x14ac:dyDescent="0.2">
      <c r="A1639" s="4" t="str">
        <f t="shared" si="45"/>
        <v>50</v>
      </c>
      <c r="B1639" s="4" t="str">
        <f>"50.0910"</f>
        <v>50.0910</v>
      </c>
      <c r="C1639" s="4" t="s">
        <v>18238</v>
      </c>
      <c r="D1639" s="4" t="s">
        <v>18239</v>
      </c>
      <c r="E1639" s="4" t="s">
        <v>8440</v>
      </c>
      <c r="F1639" s="4" t="s">
        <v>20043</v>
      </c>
      <c r="H1639" s="4" t="s">
        <v>20041</v>
      </c>
    </row>
    <row r="1640" spans="1:8" x14ac:dyDescent="0.2">
      <c r="A1640" s="4" t="str">
        <f t="shared" si="45"/>
        <v>50</v>
      </c>
      <c r="B1640" s="4" t="str">
        <f>"50.0911"</f>
        <v>50.0911</v>
      </c>
      <c r="C1640" s="4" t="s">
        <v>18238</v>
      </c>
      <c r="D1640" s="4" t="s">
        <v>18307</v>
      </c>
      <c r="E1640" s="4" t="s">
        <v>20044</v>
      </c>
      <c r="F1640" s="4" t="s">
        <v>20045</v>
      </c>
      <c r="H1640" s="4" t="s">
        <v>20046</v>
      </c>
    </row>
    <row r="1641" spans="1:8" x14ac:dyDescent="0.2">
      <c r="A1641" s="4" t="str">
        <f t="shared" si="45"/>
        <v>50</v>
      </c>
      <c r="B1641" s="4" t="str">
        <f>"50.0912"</f>
        <v>50.0912</v>
      </c>
      <c r="C1641" s="4" t="s">
        <v>18238</v>
      </c>
      <c r="D1641" s="4" t="s">
        <v>18239</v>
      </c>
      <c r="E1641" s="4" t="s">
        <v>8446</v>
      </c>
      <c r="F1641" s="4" t="s">
        <v>20047</v>
      </c>
      <c r="H1641" s="4" t="s">
        <v>20046</v>
      </c>
    </row>
    <row r="1642" spans="1:8" x14ac:dyDescent="0.2">
      <c r="A1642" s="4" t="str">
        <f t="shared" ref="A1642:A1654" si="46">"50"</f>
        <v>50</v>
      </c>
      <c r="B1642" s="4" t="str">
        <f>"50.0913"</f>
        <v>50.0913</v>
      </c>
      <c r="C1642" s="4" t="s">
        <v>18258</v>
      </c>
      <c r="D1642" s="4" t="s">
        <v>18239</v>
      </c>
      <c r="E1642" s="4" t="s">
        <v>20048</v>
      </c>
      <c r="F1642" s="4" t="s">
        <v>20049</v>
      </c>
      <c r="G1642" s="4" t="s">
        <v>20050</v>
      </c>
      <c r="H1642" s="4" t="s">
        <v>20046</v>
      </c>
    </row>
    <row r="1643" spans="1:8" x14ac:dyDescent="0.2">
      <c r="A1643" s="4" t="str">
        <f t="shared" si="46"/>
        <v>50</v>
      </c>
      <c r="B1643" s="4" t="str">
        <f>"50.0914"</f>
        <v>50.0914</v>
      </c>
      <c r="C1643" s="4" t="s">
        <v>18258</v>
      </c>
      <c r="D1643" s="4" t="s">
        <v>18239</v>
      </c>
      <c r="E1643" s="4" t="s">
        <v>20051</v>
      </c>
      <c r="F1643" s="4" t="s">
        <v>20052</v>
      </c>
      <c r="H1643" s="4" t="s">
        <v>20053</v>
      </c>
    </row>
    <row r="1644" spans="1:8" x14ac:dyDescent="0.2">
      <c r="A1644" s="4" t="str">
        <f t="shared" si="46"/>
        <v>50</v>
      </c>
      <c r="B1644" s="4" t="str">
        <f>"50.0915"</f>
        <v>50.0915</v>
      </c>
      <c r="C1644" s="4" t="s">
        <v>18258</v>
      </c>
      <c r="D1644" s="4" t="s">
        <v>18239</v>
      </c>
      <c r="E1644" s="4" t="s">
        <v>20054</v>
      </c>
      <c r="F1644" s="4" t="s">
        <v>20055</v>
      </c>
      <c r="H1644" s="4" t="s">
        <v>20056</v>
      </c>
    </row>
    <row r="1645" spans="1:8" x14ac:dyDescent="0.2">
      <c r="A1645" s="4" t="str">
        <f t="shared" si="46"/>
        <v>50</v>
      </c>
      <c r="B1645" s="4" t="str">
        <f>"50.0916"</f>
        <v>50.0916</v>
      </c>
      <c r="C1645" s="4" t="s">
        <v>18258</v>
      </c>
      <c r="D1645" s="4" t="s">
        <v>18239</v>
      </c>
      <c r="E1645" s="4" t="s">
        <v>20057</v>
      </c>
      <c r="F1645" s="4" t="s">
        <v>20058</v>
      </c>
      <c r="H1645" s="4" t="s">
        <v>20059</v>
      </c>
    </row>
    <row r="1646" spans="1:8" x14ac:dyDescent="0.2">
      <c r="A1646" s="4" t="str">
        <f t="shared" si="46"/>
        <v>50</v>
      </c>
      <c r="B1646" s="4" t="str">
        <f>"50.0999"</f>
        <v>50.0999</v>
      </c>
      <c r="C1646" s="4" t="s">
        <v>18238</v>
      </c>
      <c r="D1646" s="4" t="s">
        <v>18239</v>
      </c>
      <c r="E1646" s="4" t="s">
        <v>8448</v>
      </c>
      <c r="F1646" s="4" t="s">
        <v>8449</v>
      </c>
      <c r="H1646" s="4" t="s">
        <v>20059</v>
      </c>
    </row>
    <row r="1647" spans="1:8" x14ac:dyDescent="0.2">
      <c r="A1647" s="4" t="str">
        <f t="shared" si="46"/>
        <v>50</v>
      </c>
      <c r="B1647" s="4" t="str">
        <f>"50.10"</f>
        <v>50.10</v>
      </c>
      <c r="C1647" s="4" t="s">
        <v>18258</v>
      </c>
      <c r="D1647" s="4" t="s">
        <v>18239</v>
      </c>
      <c r="E1647" s="4" t="s">
        <v>20060</v>
      </c>
      <c r="F1647" s="4" t="s">
        <v>20061</v>
      </c>
      <c r="H1647" s="4" t="s">
        <v>20059</v>
      </c>
    </row>
    <row r="1648" spans="1:8" x14ac:dyDescent="0.2">
      <c r="A1648" s="4" t="str">
        <f t="shared" si="46"/>
        <v>50</v>
      </c>
      <c r="B1648" s="4" t="str">
        <f>"50.1001"</f>
        <v>50.1001</v>
      </c>
      <c r="C1648" s="4" t="s">
        <v>18258</v>
      </c>
      <c r="D1648" s="4" t="s">
        <v>18239</v>
      </c>
      <c r="E1648" s="4" t="s">
        <v>20062</v>
      </c>
      <c r="F1648" s="4" t="s">
        <v>20063</v>
      </c>
      <c r="H1648" s="4" t="s">
        <v>20064</v>
      </c>
    </row>
    <row r="1649" spans="1:8" x14ac:dyDescent="0.2">
      <c r="A1649" s="4" t="str">
        <f t="shared" si="46"/>
        <v>50</v>
      </c>
      <c r="B1649" s="4" t="str">
        <f>"50.1002"</f>
        <v>50.1002</v>
      </c>
      <c r="C1649" s="4" t="s">
        <v>19061</v>
      </c>
      <c r="D1649" s="4" t="s">
        <v>18307</v>
      </c>
      <c r="E1649" s="4" t="s">
        <v>20065</v>
      </c>
      <c r="F1649" s="4" t="s">
        <v>20066</v>
      </c>
      <c r="G1649" s="4" t="s">
        <v>20067</v>
      </c>
      <c r="H1649" s="4" t="s">
        <v>20068</v>
      </c>
    </row>
    <row r="1650" spans="1:8" x14ac:dyDescent="0.2">
      <c r="A1650" s="4" t="str">
        <f t="shared" si="46"/>
        <v>50</v>
      </c>
      <c r="B1650" s="4" t="str">
        <f>"50.1003"</f>
        <v>50.1003</v>
      </c>
      <c r="C1650" s="4" t="s">
        <v>19061</v>
      </c>
      <c r="D1650" s="4" t="s">
        <v>18239</v>
      </c>
      <c r="E1650" s="4" t="s">
        <v>20069</v>
      </c>
      <c r="F1650" s="4" t="s">
        <v>8438</v>
      </c>
      <c r="H1650" s="4" t="s">
        <v>20070</v>
      </c>
    </row>
    <row r="1651" spans="1:8" x14ac:dyDescent="0.2">
      <c r="A1651" s="4" t="str">
        <f t="shared" si="46"/>
        <v>50</v>
      </c>
      <c r="B1651" s="4" t="str">
        <f>"50.1004"</f>
        <v>50.1004</v>
      </c>
      <c r="C1651" s="4" t="s">
        <v>19061</v>
      </c>
      <c r="D1651" s="4" t="s">
        <v>18239</v>
      </c>
      <c r="E1651" s="4" t="s">
        <v>8383</v>
      </c>
      <c r="F1651" s="4" t="s">
        <v>20071</v>
      </c>
      <c r="H1651" s="4" t="s">
        <v>20070</v>
      </c>
    </row>
    <row r="1652" spans="1:8" x14ac:dyDescent="0.2">
      <c r="A1652" s="4" t="str">
        <f t="shared" si="46"/>
        <v>50</v>
      </c>
      <c r="B1652" s="4" t="str">
        <f>"50.1099"</f>
        <v>50.1099</v>
      </c>
      <c r="C1652" s="4" t="s">
        <v>18258</v>
      </c>
      <c r="D1652" s="4" t="s">
        <v>18239</v>
      </c>
      <c r="E1652" s="4" t="s">
        <v>20072</v>
      </c>
      <c r="F1652" s="4" t="s">
        <v>20073</v>
      </c>
      <c r="H1652" s="4" t="s">
        <v>20070</v>
      </c>
    </row>
    <row r="1653" spans="1:8" x14ac:dyDescent="0.2">
      <c r="A1653" s="4" t="str">
        <f t="shared" si="46"/>
        <v>50</v>
      </c>
      <c r="B1653" s="4" t="str">
        <f>"50.99"</f>
        <v>50.99</v>
      </c>
      <c r="C1653" s="4" t="s">
        <v>18238</v>
      </c>
      <c r="D1653" s="4" t="s">
        <v>18239</v>
      </c>
      <c r="E1653" s="4" t="s">
        <v>8451</v>
      </c>
      <c r="F1653" s="4" t="s">
        <v>8452</v>
      </c>
      <c r="H1653" s="4" t="s">
        <v>20070</v>
      </c>
    </row>
    <row r="1654" spans="1:8" x14ac:dyDescent="0.2">
      <c r="A1654" s="4" t="str">
        <f t="shared" si="46"/>
        <v>50</v>
      </c>
      <c r="B1654" s="4" t="str">
        <f>"50.9999"</f>
        <v>50.9999</v>
      </c>
      <c r="C1654" s="4" t="s">
        <v>18238</v>
      </c>
      <c r="D1654" s="4" t="s">
        <v>18239</v>
      </c>
      <c r="E1654" s="4" t="s">
        <v>8451</v>
      </c>
      <c r="F1654" s="4" t="s">
        <v>8453</v>
      </c>
      <c r="H1654" s="4" t="s">
        <v>20070</v>
      </c>
    </row>
    <row r="1655" spans="1:8" x14ac:dyDescent="0.2">
      <c r="A1655" s="4" t="str">
        <f>"51"</f>
        <v>51</v>
      </c>
      <c r="B1655" s="4" t="str">
        <f>"51"</f>
        <v>51</v>
      </c>
      <c r="C1655" s="4" t="s">
        <v>18238</v>
      </c>
      <c r="D1655" s="4" t="s">
        <v>18307</v>
      </c>
      <c r="E1655" s="4" t="s">
        <v>20074</v>
      </c>
      <c r="F1655" s="4" t="s">
        <v>20075</v>
      </c>
      <c r="H1655" s="4" t="s">
        <v>20070</v>
      </c>
    </row>
    <row r="1656" spans="1:8" x14ac:dyDescent="0.2">
      <c r="A1656" s="4" t="str">
        <f t="shared" ref="A1656:A1719" si="47">"51"</f>
        <v>51</v>
      </c>
      <c r="B1656" s="4" t="str">
        <f>"51.00"</f>
        <v>51.00</v>
      </c>
      <c r="C1656" s="4" t="s">
        <v>18238</v>
      </c>
      <c r="D1656" s="4" t="s">
        <v>18239</v>
      </c>
      <c r="E1656" s="4" t="s">
        <v>8456</v>
      </c>
      <c r="F1656" s="4" t="s">
        <v>20076</v>
      </c>
      <c r="H1656" s="4" t="s">
        <v>20070</v>
      </c>
    </row>
    <row r="1657" spans="1:8" x14ac:dyDescent="0.2">
      <c r="A1657" s="4" t="str">
        <f t="shared" si="47"/>
        <v>51</v>
      </c>
      <c r="B1657" s="4" t="str">
        <f>"51.0000"</f>
        <v>51.0000</v>
      </c>
      <c r="C1657" s="4" t="s">
        <v>18238</v>
      </c>
      <c r="D1657" s="4" t="s">
        <v>18239</v>
      </c>
      <c r="E1657" s="4" t="s">
        <v>8456</v>
      </c>
      <c r="F1657" s="4" t="s">
        <v>20077</v>
      </c>
      <c r="H1657" s="4" t="s">
        <v>20070</v>
      </c>
    </row>
    <row r="1658" spans="1:8" x14ac:dyDescent="0.2">
      <c r="A1658" s="4" t="str">
        <f t="shared" si="47"/>
        <v>51</v>
      </c>
      <c r="B1658" s="4" t="str">
        <f>"51.0001"</f>
        <v>51.0001</v>
      </c>
      <c r="C1658" s="4" t="s">
        <v>18258</v>
      </c>
      <c r="D1658" s="4" t="s">
        <v>18239</v>
      </c>
      <c r="E1658" s="4" t="s">
        <v>20078</v>
      </c>
      <c r="F1658" s="4" t="s">
        <v>20079</v>
      </c>
      <c r="G1658" s="4" t="s">
        <v>20080</v>
      </c>
      <c r="H1658" s="4" t="s">
        <v>20081</v>
      </c>
    </row>
    <row r="1659" spans="1:8" x14ac:dyDescent="0.2">
      <c r="A1659" s="4" t="str">
        <f t="shared" si="47"/>
        <v>51</v>
      </c>
      <c r="B1659" s="4" t="str">
        <f>"51.01"</f>
        <v>51.01</v>
      </c>
      <c r="C1659" s="4" t="s">
        <v>18238</v>
      </c>
      <c r="D1659" s="4" t="s">
        <v>18239</v>
      </c>
      <c r="E1659" s="4" t="s">
        <v>20082</v>
      </c>
      <c r="F1659" s="4" t="s">
        <v>20083</v>
      </c>
      <c r="H1659" s="4" t="s">
        <v>20081</v>
      </c>
    </row>
    <row r="1660" spans="1:8" x14ac:dyDescent="0.2">
      <c r="A1660" s="4" t="str">
        <f t="shared" si="47"/>
        <v>51</v>
      </c>
      <c r="B1660" s="4" t="str">
        <f>"51.0101"</f>
        <v>51.0101</v>
      </c>
      <c r="C1660" s="4" t="s">
        <v>18238</v>
      </c>
      <c r="D1660" s="4" t="s">
        <v>18239</v>
      </c>
      <c r="E1660" s="4" t="s">
        <v>20082</v>
      </c>
      <c r="F1660" s="4" t="s">
        <v>8462</v>
      </c>
      <c r="H1660" s="4" t="s">
        <v>20084</v>
      </c>
    </row>
    <row r="1661" spans="1:8" x14ac:dyDescent="0.2">
      <c r="A1661" s="4" t="str">
        <f t="shared" si="47"/>
        <v>51</v>
      </c>
      <c r="B1661" s="4" t="str">
        <f>"51.02"</f>
        <v>51.02</v>
      </c>
      <c r="C1661" s="4" t="s">
        <v>18238</v>
      </c>
      <c r="D1661" s="4" t="s">
        <v>18239</v>
      </c>
      <c r="E1661" s="4" t="s">
        <v>8464</v>
      </c>
      <c r="F1661" s="4" t="s">
        <v>20085</v>
      </c>
      <c r="H1661" s="4" t="s">
        <v>20084</v>
      </c>
    </row>
    <row r="1662" spans="1:8" x14ac:dyDescent="0.2">
      <c r="A1662" s="4" t="str">
        <f t="shared" si="47"/>
        <v>51</v>
      </c>
      <c r="B1662" s="4" t="str">
        <f>"51.0201"</f>
        <v>51.0201</v>
      </c>
      <c r="C1662" s="4" t="s">
        <v>18238</v>
      </c>
      <c r="D1662" s="4" t="s">
        <v>18307</v>
      </c>
      <c r="E1662" s="4" t="s">
        <v>20086</v>
      </c>
      <c r="F1662" s="4" t="s">
        <v>20087</v>
      </c>
      <c r="H1662" s="4" t="s">
        <v>20088</v>
      </c>
    </row>
    <row r="1663" spans="1:8" x14ac:dyDescent="0.2">
      <c r="A1663" s="4" t="str">
        <f t="shared" si="47"/>
        <v>51</v>
      </c>
      <c r="B1663" s="4" t="str">
        <f>"51.0202"</f>
        <v>51.0202</v>
      </c>
      <c r="C1663" s="4" t="s">
        <v>18238</v>
      </c>
      <c r="D1663" s="4" t="s">
        <v>18307</v>
      </c>
      <c r="E1663" s="4" t="s">
        <v>20089</v>
      </c>
      <c r="F1663" s="4" t="s">
        <v>20090</v>
      </c>
      <c r="H1663" s="4" t="s">
        <v>20091</v>
      </c>
    </row>
    <row r="1664" spans="1:8" x14ac:dyDescent="0.2">
      <c r="A1664" s="4" t="str">
        <f t="shared" si="47"/>
        <v>51</v>
      </c>
      <c r="B1664" s="4" t="str">
        <f>"51.0203"</f>
        <v>51.0203</v>
      </c>
      <c r="C1664" s="4" t="s">
        <v>18238</v>
      </c>
      <c r="D1664" s="4" t="s">
        <v>18239</v>
      </c>
      <c r="E1664" s="4" t="s">
        <v>10521</v>
      </c>
      <c r="F1664" s="4" t="s">
        <v>20092</v>
      </c>
      <c r="G1664" s="4" t="s">
        <v>18616</v>
      </c>
      <c r="H1664" s="4" t="s">
        <v>20093</v>
      </c>
    </row>
    <row r="1665" spans="1:8" x14ac:dyDescent="0.2">
      <c r="A1665" s="4" t="str">
        <f t="shared" si="47"/>
        <v>51</v>
      </c>
      <c r="B1665" s="4" t="str">
        <f>"51.0204"</f>
        <v>51.0204</v>
      </c>
      <c r="C1665" s="4" t="s">
        <v>18238</v>
      </c>
      <c r="D1665" s="4" t="s">
        <v>18239</v>
      </c>
      <c r="E1665" s="4" t="s">
        <v>8471</v>
      </c>
      <c r="F1665" s="4" t="s">
        <v>20094</v>
      </c>
      <c r="G1665" s="4" t="s">
        <v>18616</v>
      </c>
      <c r="H1665" s="4" t="s">
        <v>20095</v>
      </c>
    </row>
    <row r="1666" spans="1:8" x14ac:dyDescent="0.2">
      <c r="A1666" s="4" t="str">
        <f t="shared" si="47"/>
        <v>51</v>
      </c>
      <c r="B1666" s="4" t="str">
        <f>"51.0299"</f>
        <v>51.0299</v>
      </c>
      <c r="C1666" s="4" t="s">
        <v>18238</v>
      </c>
      <c r="D1666" s="4" t="s">
        <v>18239</v>
      </c>
      <c r="E1666" s="4" t="s">
        <v>8474</v>
      </c>
      <c r="F1666" s="4" t="s">
        <v>8475</v>
      </c>
      <c r="G1666" s="4" t="s">
        <v>20096</v>
      </c>
      <c r="H1666" s="4" t="s">
        <v>20097</v>
      </c>
    </row>
    <row r="1667" spans="1:8" x14ac:dyDescent="0.2">
      <c r="A1667" s="4" t="str">
        <f t="shared" si="47"/>
        <v>51</v>
      </c>
      <c r="B1667" s="4" t="str">
        <f>"51.04"</f>
        <v>51.04</v>
      </c>
      <c r="C1667" s="4" t="s">
        <v>18238</v>
      </c>
      <c r="D1667" s="4" t="s">
        <v>18239</v>
      </c>
      <c r="E1667" s="4" t="s">
        <v>20098</v>
      </c>
      <c r="F1667" s="4" t="s">
        <v>8483</v>
      </c>
      <c r="H1667" s="4" t="s">
        <v>20097</v>
      </c>
    </row>
    <row r="1668" spans="1:8" x14ac:dyDescent="0.2">
      <c r="A1668" s="4" t="str">
        <f t="shared" si="47"/>
        <v>51</v>
      </c>
      <c r="B1668" s="4" t="str">
        <f>"51.0401"</f>
        <v>51.0401</v>
      </c>
      <c r="C1668" s="4" t="s">
        <v>18238</v>
      </c>
      <c r="D1668" s="4" t="s">
        <v>18239</v>
      </c>
      <c r="E1668" s="4" t="s">
        <v>20098</v>
      </c>
      <c r="F1668" s="4" t="s">
        <v>20099</v>
      </c>
      <c r="H1668" s="4" t="s">
        <v>20100</v>
      </c>
    </row>
    <row r="1669" spans="1:8" x14ac:dyDescent="0.2">
      <c r="A1669" s="4" t="str">
        <f t="shared" si="47"/>
        <v>51</v>
      </c>
      <c r="B1669" s="4" t="str">
        <f>"51.05"</f>
        <v>51.05</v>
      </c>
      <c r="C1669" s="4" t="s">
        <v>18238</v>
      </c>
      <c r="D1669" s="4" t="s">
        <v>18239</v>
      </c>
      <c r="E1669" s="4" t="s">
        <v>20101</v>
      </c>
      <c r="F1669" s="4" t="s">
        <v>20102</v>
      </c>
      <c r="H1669" s="4" t="s">
        <v>20100</v>
      </c>
    </row>
    <row r="1670" spans="1:8" x14ac:dyDescent="0.2">
      <c r="A1670" s="4" t="str">
        <f t="shared" si="47"/>
        <v>51</v>
      </c>
      <c r="B1670" s="4" t="str">
        <f>"51.0501"</f>
        <v>51.0501</v>
      </c>
      <c r="C1670" s="4" t="s">
        <v>18238</v>
      </c>
      <c r="D1670" s="4" t="s">
        <v>18239</v>
      </c>
      <c r="E1670" s="4" t="s">
        <v>20103</v>
      </c>
      <c r="F1670" s="4" t="s">
        <v>8489</v>
      </c>
      <c r="H1670" s="4" t="s">
        <v>20104</v>
      </c>
    </row>
    <row r="1671" spans="1:8" x14ac:dyDescent="0.2">
      <c r="A1671" s="4" t="str">
        <f t="shared" si="47"/>
        <v>51</v>
      </c>
      <c r="B1671" s="4" t="str">
        <f>"51.0502"</f>
        <v>51.0502</v>
      </c>
      <c r="C1671" s="4" t="s">
        <v>18238</v>
      </c>
      <c r="D1671" s="4" t="s">
        <v>18239</v>
      </c>
      <c r="E1671" s="4" t="s">
        <v>20105</v>
      </c>
      <c r="F1671" s="4" t="s">
        <v>20106</v>
      </c>
      <c r="H1671" s="4" t="s">
        <v>20107</v>
      </c>
    </row>
    <row r="1672" spans="1:8" x14ac:dyDescent="0.2">
      <c r="A1672" s="4" t="str">
        <f t="shared" si="47"/>
        <v>51</v>
      </c>
      <c r="B1672" s="4" t="str">
        <f>"51.0503"</f>
        <v>51.0503</v>
      </c>
      <c r="C1672" s="4" t="s">
        <v>18238</v>
      </c>
      <c r="D1672" s="4" t="s">
        <v>18307</v>
      </c>
      <c r="E1672" s="4" t="s">
        <v>20108</v>
      </c>
      <c r="F1672" s="4" t="s">
        <v>20109</v>
      </c>
      <c r="H1672" s="4" t="s">
        <v>20110</v>
      </c>
    </row>
    <row r="1673" spans="1:8" x14ac:dyDescent="0.2">
      <c r="A1673" s="4" t="str">
        <f t="shared" si="47"/>
        <v>51</v>
      </c>
      <c r="B1673" s="4" t="str">
        <f>"51.0504"</f>
        <v>51.0504</v>
      </c>
      <c r="C1673" s="4" t="s">
        <v>18238</v>
      </c>
      <c r="D1673" s="4" t="s">
        <v>18239</v>
      </c>
      <c r="E1673" s="4" t="s">
        <v>20111</v>
      </c>
      <c r="F1673" s="4" t="s">
        <v>20112</v>
      </c>
      <c r="H1673" s="4" t="s">
        <v>20113</v>
      </c>
    </row>
    <row r="1674" spans="1:8" x14ac:dyDescent="0.2">
      <c r="A1674" s="4" t="str">
        <f t="shared" si="47"/>
        <v>51</v>
      </c>
      <c r="B1674" s="4" t="str">
        <f>"51.0505"</f>
        <v>51.0505</v>
      </c>
      <c r="C1674" s="4" t="s">
        <v>18238</v>
      </c>
      <c r="D1674" s="4" t="s">
        <v>18239</v>
      </c>
      <c r="E1674" s="4" t="s">
        <v>20114</v>
      </c>
      <c r="F1674" s="4" t="s">
        <v>20115</v>
      </c>
      <c r="H1674" s="4" t="s">
        <v>20116</v>
      </c>
    </row>
    <row r="1675" spans="1:8" x14ac:dyDescent="0.2">
      <c r="A1675" s="4" t="str">
        <f t="shared" si="47"/>
        <v>51</v>
      </c>
      <c r="B1675" s="4" t="str">
        <f>"51.0506"</f>
        <v>51.0506</v>
      </c>
      <c r="C1675" s="4" t="s">
        <v>18238</v>
      </c>
      <c r="D1675" s="4" t="s">
        <v>18239</v>
      </c>
      <c r="E1675" s="4" t="s">
        <v>20117</v>
      </c>
      <c r="F1675" s="4" t="s">
        <v>20118</v>
      </c>
      <c r="H1675" s="4" t="s">
        <v>20119</v>
      </c>
    </row>
    <row r="1676" spans="1:8" x14ac:dyDescent="0.2">
      <c r="A1676" s="4" t="str">
        <f t="shared" si="47"/>
        <v>51</v>
      </c>
      <c r="B1676" s="4" t="str">
        <f>"51.0507"</f>
        <v>51.0507</v>
      </c>
      <c r="C1676" s="4" t="s">
        <v>18238</v>
      </c>
      <c r="D1676" s="4" t="s">
        <v>18239</v>
      </c>
      <c r="E1676" s="4" t="s">
        <v>20120</v>
      </c>
      <c r="F1676" s="4" t="s">
        <v>20121</v>
      </c>
      <c r="H1676" s="4" t="s">
        <v>20122</v>
      </c>
    </row>
    <row r="1677" spans="1:8" x14ac:dyDescent="0.2">
      <c r="A1677" s="4" t="str">
        <f t="shared" si="47"/>
        <v>51</v>
      </c>
      <c r="B1677" s="4" t="str">
        <f>"51.0508"</f>
        <v>51.0508</v>
      </c>
      <c r="C1677" s="4" t="s">
        <v>18238</v>
      </c>
      <c r="D1677" s="4" t="s">
        <v>18307</v>
      </c>
      <c r="E1677" s="4" t="s">
        <v>20123</v>
      </c>
      <c r="F1677" s="4" t="s">
        <v>20124</v>
      </c>
      <c r="H1677" s="4" t="s">
        <v>20125</v>
      </c>
    </row>
    <row r="1678" spans="1:8" x14ac:dyDescent="0.2">
      <c r="A1678" s="4" t="str">
        <f t="shared" si="47"/>
        <v>51</v>
      </c>
      <c r="B1678" s="4" t="str">
        <f>"51.0509"</f>
        <v>51.0509</v>
      </c>
      <c r="C1678" s="4" t="s">
        <v>18238</v>
      </c>
      <c r="D1678" s="4" t="s">
        <v>18239</v>
      </c>
      <c r="E1678" s="4" t="s">
        <v>20126</v>
      </c>
      <c r="F1678" s="4" t="s">
        <v>20127</v>
      </c>
      <c r="H1678" s="4" t="s">
        <v>20128</v>
      </c>
    </row>
    <row r="1679" spans="1:8" x14ac:dyDescent="0.2">
      <c r="A1679" s="4" t="str">
        <f t="shared" si="47"/>
        <v>51</v>
      </c>
      <c r="B1679" s="4" t="str">
        <f>"51.0510"</f>
        <v>51.0510</v>
      </c>
      <c r="C1679" s="4" t="s">
        <v>18238</v>
      </c>
      <c r="D1679" s="4" t="s">
        <v>18239</v>
      </c>
      <c r="E1679" s="4" t="s">
        <v>20129</v>
      </c>
      <c r="F1679" s="4" t="s">
        <v>20130</v>
      </c>
      <c r="H1679" s="4" t="s">
        <v>20131</v>
      </c>
    </row>
    <row r="1680" spans="1:8" x14ac:dyDescent="0.2">
      <c r="A1680" s="4" t="str">
        <f t="shared" si="47"/>
        <v>51</v>
      </c>
      <c r="B1680" s="4" t="str">
        <f>"51.0511"</f>
        <v>51.0511</v>
      </c>
      <c r="C1680" s="4" t="s">
        <v>18238</v>
      </c>
      <c r="D1680" s="4" t="s">
        <v>18239</v>
      </c>
      <c r="E1680" s="4" t="s">
        <v>20132</v>
      </c>
      <c r="F1680" s="4" t="s">
        <v>20133</v>
      </c>
      <c r="H1680" s="4" t="s">
        <v>20134</v>
      </c>
    </row>
    <row r="1681" spans="1:8" x14ac:dyDescent="0.2">
      <c r="A1681" s="4" t="str">
        <f t="shared" si="47"/>
        <v>51</v>
      </c>
      <c r="B1681" s="4" t="str">
        <f>"51.0599"</f>
        <v>51.0599</v>
      </c>
      <c r="C1681" s="4" t="s">
        <v>18238</v>
      </c>
      <c r="D1681" s="4" t="s">
        <v>18239</v>
      </c>
      <c r="E1681" s="4" t="s">
        <v>8210</v>
      </c>
      <c r="F1681" s="4" t="s">
        <v>20135</v>
      </c>
      <c r="H1681" s="4" t="s">
        <v>20134</v>
      </c>
    </row>
    <row r="1682" spans="1:8" x14ac:dyDescent="0.2">
      <c r="A1682" s="4" t="str">
        <f t="shared" si="47"/>
        <v>51</v>
      </c>
      <c r="B1682" s="4" t="str">
        <f>"51.06"</f>
        <v>51.06</v>
      </c>
      <c r="C1682" s="4" t="s">
        <v>18238</v>
      </c>
      <c r="D1682" s="4" t="s">
        <v>18239</v>
      </c>
      <c r="E1682" s="4" t="s">
        <v>8212</v>
      </c>
      <c r="F1682" s="4" t="s">
        <v>20136</v>
      </c>
      <c r="H1682" s="4" t="s">
        <v>20134</v>
      </c>
    </row>
    <row r="1683" spans="1:8" x14ac:dyDescent="0.2">
      <c r="A1683" s="4" t="str">
        <f t="shared" si="47"/>
        <v>51</v>
      </c>
      <c r="B1683" s="4" t="str">
        <f>"51.0601"</f>
        <v>51.0601</v>
      </c>
      <c r="C1683" s="4" t="s">
        <v>18238</v>
      </c>
      <c r="D1683" s="4" t="s">
        <v>18239</v>
      </c>
      <c r="E1683" s="4" t="s">
        <v>8214</v>
      </c>
      <c r="F1683" s="4" t="s">
        <v>8215</v>
      </c>
      <c r="H1683" s="4" t="s">
        <v>20134</v>
      </c>
    </row>
    <row r="1684" spans="1:8" x14ac:dyDescent="0.2">
      <c r="A1684" s="4" t="str">
        <f t="shared" si="47"/>
        <v>51</v>
      </c>
      <c r="B1684" s="4" t="str">
        <f>"51.0602"</f>
        <v>51.0602</v>
      </c>
      <c r="C1684" s="4" t="s">
        <v>18238</v>
      </c>
      <c r="D1684" s="4" t="s">
        <v>18239</v>
      </c>
      <c r="E1684" s="4" t="s">
        <v>8216</v>
      </c>
      <c r="F1684" s="4" t="s">
        <v>20137</v>
      </c>
      <c r="H1684" s="4" t="s">
        <v>20134</v>
      </c>
    </row>
    <row r="1685" spans="1:8" x14ac:dyDescent="0.2">
      <c r="A1685" s="4" t="str">
        <f t="shared" si="47"/>
        <v>51</v>
      </c>
      <c r="B1685" s="4" t="str">
        <f>"51.0603"</f>
        <v>51.0603</v>
      </c>
      <c r="C1685" s="4" t="s">
        <v>18238</v>
      </c>
      <c r="D1685" s="4" t="s">
        <v>18239</v>
      </c>
      <c r="E1685" s="4" t="s">
        <v>8218</v>
      </c>
      <c r="F1685" s="4" t="s">
        <v>8219</v>
      </c>
      <c r="H1685" s="4" t="s">
        <v>20134</v>
      </c>
    </row>
    <row r="1686" spans="1:8" x14ac:dyDescent="0.2">
      <c r="A1686" s="4" t="str">
        <f t="shared" si="47"/>
        <v>51</v>
      </c>
      <c r="B1686" s="4" t="str">
        <f>"51.0699"</f>
        <v>51.0699</v>
      </c>
      <c r="C1686" s="4" t="s">
        <v>18238</v>
      </c>
      <c r="D1686" s="4" t="s">
        <v>18239</v>
      </c>
      <c r="E1686" s="4" t="s">
        <v>8220</v>
      </c>
      <c r="F1686" s="4" t="s">
        <v>8221</v>
      </c>
      <c r="H1686" s="4" t="s">
        <v>20134</v>
      </c>
    </row>
    <row r="1687" spans="1:8" x14ac:dyDescent="0.2">
      <c r="A1687" s="4" t="str">
        <f t="shared" si="47"/>
        <v>51</v>
      </c>
      <c r="B1687" s="4" t="str">
        <f>"51.07"</f>
        <v>51.07</v>
      </c>
      <c r="C1687" s="4" t="s">
        <v>18238</v>
      </c>
      <c r="D1687" s="4" t="s">
        <v>18239</v>
      </c>
      <c r="E1687" s="4" t="s">
        <v>10723</v>
      </c>
      <c r="F1687" s="4" t="s">
        <v>20138</v>
      </c>
      <c r="H1687" s="4" t="s">
        <v>20134</v>
      </c>
    </row>
    <row r="1688" spans="1:8" x14ac:dyDescent="0.2">
      <c r="A1688" s="4" t="str">
        <f t="shared" si="47"/>
        <v>51</v>
      </c>
      <c r="B1688" s="4" t="str">
        <f>"51.0701"</f>
        <v>51.0701</v>
      </c>
      <c r="C1688" s="4" t="s">
        <v>18238</v>
      </c>
      <c r="D1688" s="4" t="s">
        <v>18239</v>
      </c>
      <c r="E1688" s="4" t="s">
        <v>8223</v>
      </c>
      <c r="F1688" s="4" t="s">
        <v>8224</v>
      </c>
      <c r="H1688" s="4" t="s">
        <v>20134</v>
      </c>
    </row>
    <row r="1689" spans="1:8" x14ac:dyDescent="0.2">
      <c r="A1689" s="4" t="str">
        <f t="shared" si="47"/>
        <v>51</v>
      </c>
      <c r="B1689" s="4" t="str">
        <f>"51.0702"</f>
        <v>51.0702</v>
      </c>
      <c r="C1689" s="4" t="s">
        <v>18238</v>
      </c>
      <c r="D1689" s="4" t="s">
        <v>18239</v>
      </c>
      <c r="E1689" s="4" t="s">
        <v>8225</v>
      </c>
      <c r="F1689" s="4" t="s">
        <v>8226</v>
      </c>
      <c r="H1689" s="4" t="s">
        <v>20134</v>
      </c>
    </row>
    <row r="1690" spans="1:8" x14ac:dyDescent="0.2">
      <c r="A1690" s="4" t="str">
        <f t="shared" si="47"/>
        <v>51</v>
      </c>
      <c r="B1690" s="4" t="str">
        <f>"51.0703"</f>
        <v>51.0703</v>
      </c>
      <c r="C1690" s="4" t="s">
        <v>18238</v>
      </c>
      <c r="D1690" s="4" t="s">
        <v>18239</v>
      </c>
      <c r="E1690" s="4" t="s">
        <v>8227</v>
      </c>
      <c r="F1690" s="4" t="s">
        <v>8228</v>
      </c>
      <c r="H1690" s="4" t="s">
        <v>20134</v>
      </c>
    </row>
    <row r="1691" spans="1:8" x14ac:dyDescent="0.2">
      <c r="A1691" s="4" t="str">
        <f t="shared" si="47"/>
        <v>51</v>
      </c>
      <c r="B1691" s="4" t="str">
        <f>"51.0704"</f>
        <v>51.0704</v>
      </c>
      <c r="C1691" s="4" t="s">
        <v>18238</v>
      </c>
      <c r="D1691" s="4" t="s">
        <v>18239</v>
      </c>
      <c r="E1691" s="4" t="s">
        <v>8229</v>
      </c>
      <c r="F1691" s="4" t="s">
        <v>8230</v>
      </c>
      <c r="H1691" s="4" t="s">
        <v>20134</v>
      </c>
    </row>
    <row r="1692" spans="1:8" x14ac:dyDescent="0.2">
      <c r="A1692" s="4" t="str">
        <f t="shared" si="47"/>
        <v>51</v>
      </c>
      <c r="B1692" s="4" t="str">
        <f>"51.0705"</f>
        <v>51.0705</v>
      </c>
      <c r="C1692" s="4" t="s">
        <v>18238</v>
      </c>
      <c r="D1692" s="4" t="s">
        <v>18239</v>
      </c>
      <c r="E1692" s="4" t="s">
        <v>8231</v>
      </c>
      <c r="F1692" s="4" t="s">
        <v>8232</v>
      </c>
      <c r="H1692" s="4" t="s">
        <v>20134</v>
      </c>
    </row>
    <row r="1693" spans="1:8" x14ac:dyDescent="0.2">
      <c r="A1693" s="4" t="str">
        <f t="shared" si="47"/>
        <v>51</v>
      </c>
      <c r="B1693" s="4" t="str">
        <f>"51.0706"</f>
        <v>51.0706</v>
      </c>
      <c r="C1693" s="4" t="s">
        <v>18238</v>
      </c>
      <c r="D1693" s="4" t="s">
        <v>18239</v>
      </c>
      <c r="E1693" s="4" t="s">
        <v>8233</v>
      </c>
      <c r="F1693" s="4" t="s">
        <v>20139</v>
      </c>
      <c r="H1693" s="4" t="s">
        <v>20134</v>
      </c>
    </row>
    <row r="1694" spans="1:8" x14ac:dyDescent="0.2">
      <c r="A1694" s="4" t="str">
        <f t="shared" si="47"/>
        <v>51</v>
      </c>
      <c r="B1694" s="4" t="str">
        <f>"51.0707"</f>
        <v>51.0707</v>
      </c>
      <c r="C1694" s="4" t="s">
        <v>18238</v>
      </c>
      <c r="D1694" s="4" t="s">
        <v>18239</v>
      </c>
      <c r="E1694" s="4" t="s">
        <v>8235</v>
      </c>
      <c r="F1694" s="4" t="s">
        <v>20140</v>
      </c>
      <c r="H1694" s="4" t="s">
        <v>20134</v>
      </c>
    </row>
    <row r="1695" spans="1:8" x14ac:dyDescent="0.2">
      <c r="A1695" s="4" t="str">
        <f t="shared" si="47"/>
        <v>51</v>
      </c>
      <c r="B1695" s="4" t="str">
        <f>"51.0708"</f>
        <v>51.0708</v>
      </c>
      <c r="C1695" s="4" t="s">
        <v>18238</v>
      </c>
      <c r="D1695" s="4" t="s">
        <v>18239</v>
      </c>
      <c r="E1695" s="4" t="s">
        <v>8237</v>
      </c>
      <c r="F1695" s="4" t="s">
        <v>8238</v>
      </c>
      <c r="H1695" s="4" t="s">
        <v>20134</v>
      </c>
    </row>
    <row r="1696" spans="1:8" x14ac:dyDescent="0.2">
      <c r="A1696" s="4" t="str">
        <f t="shared" si="47"/>
        <v>51</v>
      </c>
      <c r="B1696" s="4" t="str">
        <f>"51.0709"</f>
        <v>51.0709</v>
      </c>
      <c r="C1696" s="4" t="s">
        <v>18238</v>
      </c>
      <c r="D1696" s="4" t="s">
        <v>18239</v>
      </c>
      <c r="E1696" s="4" t="s">
        <v>11175</v>
      </c>
      <c r="F1696" s="4" t="s">
        <v>20141</v>
      </c>
      <c r="H1696" s="4" t="s">
        <v>20134</v>
      </c>
    </row>
    <row r="1697" spans="1:8" x14ac:dyDescent="0.2">
      <c r="A1697" s="4" t="str">
        <f t="shared" si="47"/>
        <v>51</v>
      </c>
      <c r="B1697" s="4" t="str">
        <f>"51.0710"</f>
        <v>51.0710</v>
      </c>
      <c r="C1697" s="4" t="s">
        <v>18238</v>
      </c>
      <c r="D1697" s="4" t="s">
        <v>18239</v>
      </c>
      <c r="E1697" s="4" t="s">
        <v>8241</v>
      </c>
      <c r="F1697" s="4" t="s">
        <v>20142</v>
      </c>
      <c r="H1697" s="4" t="s">
        <v>20134</v>
      </c>
    </row>
    <row r="1698" spans="1:8" x14ac:dyDescent="0.2">
      <c r="A1698" s="4" t="str">
        <f t="shared" si="47"/>
        <v>51</v>
      </c>
      <c r="B1698" s="4" t="str">
        <f>"51.0711"</f>
        <v>51.0711</v>
      </c>
      <c r="C1698" s="4" t="s">
        <v>18238</v>
      </c>
      <c r="D1698" s="4" t="s">
        <v>18239</v>
      </c>
      <c r="E1698" s="4" t="s">
        <v>8244</v>
      </c>
      <c r="F1698" s="4" t="s">
        <v>20143</v>
      </c>
      <c r="H1698" s="4" t="s">
        <v>20134</v>
      </c>
    </row>
    <row r="1699" spans="1:8" x14ac:dyDescent="0.2">
      <c r="A1699" s="4" t="str">
        <f t="shared" si="47"/>
        <v>51</v>
      </c>
      <c r="B1699" s="4" t="str">
        <f>"51.0712"</f>
        <v>51.0712</v>
      </c>
      <c r="C1699" s="4" t="s">
        <v>18238</v>
      </c>
      <c r="D1699" s="4" t="s">
        <v>18239</v>
      </c>
      <c r="E1699" s="4" t="s">
        <v>8247</v>
      </c>
      <c r="F1699" s="4" t="s">
        <v>20144</v>
      </c>
      <c r="H1699" s="4" t="s">
        <v>20145</v>
      </c>
    </row>
    <row r="1700" spans="1:8" x14ac:dyDescent="0.2">
      <c r="A1700" s="4" t="str">
        <f t="shared" si="47"/>
        <v>51</v>
      </c>
      <c r="B1700" s="4" t="str">
        <f>"51.0713"</f>
        <v>51.0713</v>
      </c>
      <c r="C1700" s="4" t="s">
        <v>18238</v>
      </c>
      <c r="D1700" s="4" t="s">
        <v>18239</v>
      </c>
      <c r="E1700" s="4" t="s">
        <v>11208</v>
      </c>
      <c r="F1700" s="4" t="s">
        <v>20146</v>
      </c>
      <c r="H1700" s="4" t="s">
        <v>20145</v>
      </c>
    </row>
    <row r="1701" spans="1:8" x14ac:dyDescent="0.2">
      <c r="A1701" s="4" t="str">
        <f t="shared" si="47"/>
        <v>51</v>
      </c>
      <c r="B1701" s="4" t="str">
        <f>"51.0714"</f>
        <v>51.0714</v>
      </c>
      <c r="C1701" s="4" t="s">
        <v>18238</v>
      </c>
      <c r="D1701" s="4" t="s">
        <v>18239</v>
      </c>
      <c r="E1701" s="4" t="s">
        <v>8251</v>
      </c>
      <c r="F1701" s="4" t="s">
        <v>20147</v>
      </c>
      <c r="H1701" s="4" t="s">
        <v>20145</v>
      </c>
    </row>
    <row r="1702" spans="1:8" x14ac:dyDescent="0.2">
      <c r="A1702" s="4" t="str">
        <f t="shared" si="47"/>
        <v>51</v>
      </c>
      <c r="B1702" s="4" t="str">
        <f>"51.0715"</f>
        <v>51.0715</v>
      </c>
      <c r="C1702" s="4" t="s">
        <v>18238</v>
      </c>
      <c r="D1702" s="4" t="s">
        <v>18239</v>
      </c>
      <c r="E1702" s="4" t="s">
        <v>8254</v>
      </c>
      <c r="F1702" s="4" t="s">
        <v>20148</v>
      </c>
      <c r="H1702" s="4" t="s">
        <v>20145</v>
      </c>
    </row>
    <row r="1703" spans="1:8" x14ac:dyDescent="0.2">
      <c r="A1703" s="4" t="str">
        <f t="shared" si="47"/>
        <v>51</v>
      </c>
      <c r="B1703" s="4" t="str">
        <f>"51.0716"</f>
        <v>51.0716</v>
      </c>
      <c r="C1703" s="4" t="s">
        <v>18238</v>
      </c>
      <c r="D1703" s="4" t="s">
        <v>18239</v>
      </c>
      <c r="E1703" s="4" t="s">
        <v>8257</v>
      </c>
      <c r="F1703" s="4" t="s">
        <v>20149</v>
      </c>
      <c r="H1703" s="4" t="s">
        <v>20150</v>
      </c>
    </row>
    <row r="1704" spans="1:8" x14ac:dyDescent="0.2">
      <c r="A1704" s="4" t="str">
        <f t="shared" si="47"/>
        <v>51</v>
      </c>
      <c r="B1704" s="4" t="str">
        <f>"51.0717"</f>
        <v>51.0717</v>
      </c>
      <c r="C1704" s="4" t="s">
        <v>18238</v>
      </c>
      <c r="D1704" s="4" t="s">
        <v>18239</v>
      </c>
      <c r="E1704" s="4" t="s">
        <v>8260</v>
      </c>
      <c r="F1704" s="4" t="s">
        <v>20151</v>
      </c>
      <c r="H1704" s="4" t="s">
        <v>20150</v>
      </c>
    </row>
    <row r="1705" spans="1:8" x14ac:dyDescent="0.2">
      <c r="A1705" s="4" t="str">
        <f t="shared" si="47"/>
        <v>51</v>
      </c>
      <c r="B1705" s="4" t="str">
        <f>"51.0718"</f>
        <v>51.0718</v>
      </c>
      <c r="C1705" s="4" t="s">
        <v>18258</v>
      </c>
      <c r="D1705" s="4" t="s">
        <v>18239</v>
      </c>
      <c r="E1705" s="4" t="s">
        <v>20152</v>
      </c>
      <c r="F1705" s="4" t="s">
        <v>20153</v>
      </c>
      <c r="H1705" s="4" t="s">
        <v>20154</v>
      </c>
    </row>
    <row r="1706" spans="1:8" x14ac:dyDescent="0.2">
      <c r="A1706" s="4" t="str">
        <f t="shared" si="47"/>
        <v>51</v>
      </c>
      <c r="B1706" s="4" t="str">
        <f>"51.0719"</f>
        <v>51.0719</v>
      </c>
      <c r="C1706" s="4" t="s">
        <v>18258</v>
      </c>
      <c r="D1706" s="4" t="s">
        <v>18239</v>
      </c>
      <c r="E1706" s="4" t="s">
        <v>20155</v>
      </c>
      <c r="F1706" s="4" t="s">
        <v>20156</v>
      </c>
      <c r="G1706" s="4" t="s">
        <v>20157</v>
      </c>
      <c r="H1706" s="4" t="s">
        <v>20158</v>
      </c>
    </row>
    <row r="1707" spans="1:8" x14ac:dyDescent="0.2">
      <c r="A1707" s="4" t="str">
        <f t="shared" si="47"/>
        <v>51</v>
      </c>
      <c r="B1707" s="4" t="str">
        <f>"51.0799"</f>
        <v>51.0799</v>
      </c>
      <c r="C1707" s="4" t="s">
        <v>18238</v>
      </c>
      <c r="D1707" s="4" t="s">
        <v>18239</v>
      </c>
      <c r="E1707" s="4" t="s">
        <v>8262</v>
      </c>
      <c r="F1707" s="4" t="s">
        <v>8263</v>
      </c>
      <c r="H1707" s="4" t="s">
        <v>20158</v>
      </c>
    </row>
    <row r="1708" spans="1:8" x14ac:dyDescent="0.2">
      <c r="A1708" s="4" t="str">
        <f t="shared" si="47"/>
        <v>51</v>
      </c>
      <c r="B1708" s="4" t="str">
        <f>"51.08"</f>
        <v>51.08</v>
      </c>
      <c r="C1708" s="4" t="s">
        <v>18238</v>
      </c>
      <c r="D1708" s="4" t="s">
        <v>18239</v>
      </c>
      <c r="E1708" s="4" t="s">
        <v>10725</v>
      </c>
      <c r="F1708" s="4" t="s">
        <v>20159</v>
      </c>
      <c r="H1708" s="4" t="s">
        <v>20158</v>
      </c>
    </row>
    <row r="1709" spans="1:8" x14ac:dyDescent="0.2">
      <c r="A1709" s="4" t="str">
        <f t="shared" si="47"/>
        <v>51</v>
      </c>
      <c r="B1709" s="4" t="str">
        <f>"51.0801"</f>
        <v>51.0801</v>
      </c>
      <c r="C1709" s="4" t="s">
        <v>18238</v>
      </c>
      <c r="D1709" s="4" t="s">
        <v>18239</v>
      </c>
      <c r="E1709" s="4" t="s">
        <v>8265</v>
      </c>
      <c r="F1709" s="4" t="s">
        <v>8266</v>
      </c>
      <c r="H1709" s="4" t="s">
        <v>20158</v>
      </c>
    </row>
    <row r="1710" spans="1:8" x14ac:dyDescent="0.2">
      <c r="A1710" s="4" t="str">
        <f t="shared" si="47"/>
        <v>51</v>
      </c>
      <c r="B1710" s="4" t="str">
        <f>"51.0802"</f>
        <v>51.0802</v>
      </c>
      <c r="C1710" s="4" t="s">
        <v>18238</v>
      </c>
      <c r="D1710" s="4" t="s">
        <v>18239</v>
      </c>
      <c r="E1710" s="4" t="s">
        <v>8267</v>
      </c>
      <c r="F1710" s="4" t="s">
        <v>8268</v>
      </c>
      <c r="G1710" s="4" t="s">
        <v>19681</v>
      </c>
      <c r="H1710" s="4" t="s">
        <v>20158</v>
      </c>
    </row>
    <row r="1711" spans="1:8" x14ac:dyDescent="0.2">
      <c r="A1711" s="4" t="str">
        <f t="shared" si="47"/>
        <v>51</v>
      </c>
      <c r="B1711" s="4" t="str">
        <f>"51.0803"</f>
        <v>51.0803</v>
      </c>
      <c r="C1711" s="4" t="s">
        <v>18238</v>
      </c>
      <c r="D1711" s="4" t="s">
        <v>18239</v>
      </c>
      <c r="E1711" s="4" t="s">
        <v>8269</v>
      </c>
      <c r="F1711" s="4" t="s">
        <v>8270</v>
      </c>
      <c r="H1711" s="4" t="s">
        <v>20158</v>
      </c>
    </row>
    <row r="1712" spans="1:8" x14ac:dyDescent="0.2">
      <c r="A1712" s="4" t="str">
        <f t="shared" si="47"/>
        <v>51</v>
      </c>
      <c r="B1712" s="4" t="str">
        <f>"51.0805"</f>
        <v>51.0805</v>
      </c>
      <c r="C1712" s="4" t="s">
        <v>18238</v>
      </c>
      <c r="D1712" s="4" t="s">
        <v>18239</v>
      </c>
      <c r="E1712" s="4" t="s">
        <v>8273</v>
      </c>
      <c r="F1712" s="4" t="s">
        <v>20160</v>
      </c>
      <c r="H1712" s="4" t="s">
        <v>20158</v>
      </c>
    </row>
    <row r="1713" spans="1:8" x14ac:dyDescent="0.2">
      <c r="A1713" s="4" t="str">
        <f t="shared" si="47"/>
        <v>51</v>
      </c>
      <c r="B1713" s="4" t="str">
        <f>"51.0806"</f>
        <v>51.0806</v>
      </c>
      <c r="C1713" s="4" t="s">
        <v>18238</v>
      </c>
      <c r="D1713" s="4" t="s">
        <v>18307</v>
      </c>
      <c r="E1713" s="4" t="s">
        <v>20161</v>
      </c>
      <c r="F1713" s="4" t="s">
        <v>8276</v>
      </c>
      <c r="H1713" s="4" t="s">
        <v>20158</v>
      </c>
    </row>
    <row r="1714" spans="1:8" x14ac:dyDescent="0.2">
      <c r="A1714" s="4" t="str">
        <f t="shared" si="47"/>
        <v>51</v>
      </c>
      <c r="B1714" s="4" t="str">
        <f>"51.0808"</f>
        <v>51.0808</v>
      </c>
      <c r="C1714" s="4" t="s">
        <v>18238</v>
      </c>
      <c r="D1714" s="4" t="s">
        <v>18239</v>
      </c>
      <c r="E1714" s="4" t="s">
        <v>8279</v>
      </c>
      <c r="F1714" s="4" t="s">
        <v>8280</v>
      </c>
      <c r="H1714" s="4" t="s">
        <v>20158</v>
      </c>
    </row>
    <row r="1715" spans="1:8" x14ac:dyDescent="0.2">
      <c r="A1715" s="4" t="str">
        <f t="shared" si="47"/>
        <v>51</v>
      </c>
      <c r="B1715" s="4" t="str">
        <f>"51.0809"</f>
        <v>51.0809</v>
      </c>
      <c r="C1715" s="4" t="s">
        <v>18238</v>
      </c>
      <c r="D1715" s="4" t="s">
        <v>18239</v>
      </c>
      <c r="E1715" s="4" t="s">
        <v>8282</v>
      </c>
      <c r="F1715" s="4" t="s">
        <v>20162</v>
      </c>
      <c r="H1715" s="4" t="s">
        <v>20158</v>
      </c>
    </row>
    <row r="1716" spans="1:8" x14ac:dyDescent="0.2">
      <c r="A1716" s="4" t="str">
        <f t="shared" si="47"/>
        <v>51</v>
      </c>
      <c r="B1716" s="4" t="str">
        <f>"51.0810"</f>
        <v>51.0810</v>
      </c>
      <c r="C1716" s="4" t="s">
        <v>18238</v>
      </c>
      <c r="D1716" s="4" t="s">
        <v>18239</v>
      </c>
      <c r="E1716" s="4" t="s">
        <v>8285</v>
      </c>
      <c r="F1716" s="4" t="s">
        <v>20163</v>
      </c>
      <c r="G1716" s="4" t="s">
        <v>20164</v>
      </c>
      <c r="H1716" s="4" t="s">
        <v>20158</v>
      </c>
    </row>
    <row r="1717" spans="1:8" x14ac:dyDescent="0.2">
      <c r="A1717" s="4" t="str">
        <f t="shared" si="47"/>
        <v>51</v>
      </c>
      <c r="B1717" s="4" t="str">
        <f>"51.0811"</f>
        <v>51.0811</v>
      </c>
      <c r="C1717" s="4" t="s">
        <v>18238</v>
      </c>
      <c r="D1717" s="4" t="s">
        <v>18239</v>
      </c>
      <c r="E1717" s="4" t="s">
        <v>8288</v>
      </c>
      <c r="F1717" s="4" t="s">
        <v>20165</v>
      </c>
      <c r="H1717" s="4" t="s">
        <v>20158</v>
      </c>
    </row>
    <row r="1718" spans="1:8" x14ac:dyDescent="0.2">
      <c r="A1718" s="4" t="str">
        <f t="shared" si="47"/>
        <v>51</v>
      </c>
      <c r="B1718" s="4" t="str">
        <f>"51.0812"</f>
        <v>51.0812</v>
      </c>
      <c r="C1718" s="4" t="s">
        <v>18238</v>
      </c>
      <c r="D1718" s="4" t="s">
        <v>18239</v>
      </c>
      <c r="E1718" s="4" t="s">
        <v>8291</v>
      </c>
      <c r="F1718" s="4" t="s">
        <v>20166</v>
      </c>
      <c r="H1718" s="4" t="s">
        <v>20158</v>
      </c>
    </row>
    <row r="1719" spans="1:8" x14ac:dyDescent="0.2">
      <c r="A1719" s="4" t="str">
        <f t="shared" si="47"/>
        <v>51</v>
      </c>
      <c r="B1719" s="4" t="str">
        <f>"51.0813"</f>
        <v>51.0813</v>
      </c>
      <c r="C1719" s="4" t="s">
        <v>18238</v>
      </c>
      <c r="D1719" s="4" t="s">
        <v>18239</v>
      </c>
      <c r="E1719" s="4" t="s">
        <v>8294</v>
      </c>
      <c r="F1719" s="4" t="s">
        <v>20167</v>
      </c>
      <c r="H1719" s="4" t="s">
        <v>20158</v>
      </c>
    </row>
    <row r="1720" spans="1:8" x14ac:dyDescent="0.2">
      <c r="A1720" s="4" t="str">
        <f t="shared" ref="A1720:A1783" si="48">"51"</f>
        <v>51</v>
      </c>
      <c r="B1720" s="4" t="str">
        <f>"51.0814"</f>
        <v>51.0814</v>
      </c>
      <c r="C1720" s="4" t="s">
        <v>18258</v>
      </c>
      <c r="D1720" s="4" t="s">
        <v>18239</v>
      </c>
      <c r="E1720" s="4" t="s">
        <v>20168</v>
      </c>
      <c r="F1720" s="4" t="s">
        <v>20169</v>
      </c>
      <c r="H1720" s="4" t="s">
        <v>20158</v>
      </c>
    </row>
    <row r="1721" spans="1:8" x14ac:dyDescent="0.2">
      <c r="A1721" s="4" t="str">
        <f t="shared" si="48"/>
        <v>51</v>
      </c>
      <c r="B1721" s="4" t="str">
        <f>"51.0815"</f>
        <v>51.0815</v>
      </c>
      <c r="C1721" s="4" t="s">
        <v>18258</v>
      </c>
      <c r="D1721" s="4" t="s">
        <v>18239</v>
      </c>
      <c r="E1721" s="4" t="s">
        <v>20170</v>
      </c>
      <c r="F1721" s="4" t="s">
        <v>20171</v>
      </c>
      <c r="H1721" s="4" t="s">
        <v>20172</v>
      </c>
    </row>
    <row r="1722" spans="1:8" x14ac:dyDescent="0.2">
      <c r="A1722" s="4" t="str">
        <f t="shared" si="48"/>
        <v>51</v>
      </c>
      <c r="B1722" s="4" t="str">
        <f>"51.0816"</f>
        <v>51.0816</v>
      </c>
      <c r="C1722" s="4" t="s">
        <v>18258</v>
      </c>
      <c r="D1722" s="4" t="s">
        <v>18239</v>
      </c>
      <c r="E1722" s="4" t="s">
        <v>20173</v>
      </c>
      <c r="F1722" s="4" t="s">
        <v>20174</v>
      </c>
      <c r="G1722" s="4" t="s">
        <v>20175</v>
      </c>
      <c r="H1722" s="4" t="s">
        <v>20172</v>
      </c>
    </row>
    <row r="1723" spans="1:8" x14ac:dyDescent="0.2">
      <c r="A1723" s="4" t="str">
        <f t="shared" si="48"/>
        <v>51</v>
      </c>
      <c r="B1723" s="4" t="str">
        <f>"51.0899"</f>
        <v>51.0899</v>
      </c>
      <c r="C1723" s="4" t="s">
        <v>18238</v>
      </c>
      <c r="D1723" s="4" t="s">
        <v>18239</v>
      </c>
      <c r="E1723" s="4" t="s">
        <v>8296</v>
      </c>
      <c r="F1723" s="4" t="s">
        <v>8297</v>
      </c>
      <c r="H1723" s="4" t="s">
        <v>20172</v>
      </c>
    </row>
    <row r="1724" spans="1:8" x14ac:dyDescent="0.2">
      <c r="A1724" s="4" t="str">
        <f t="shared" si="48"/>
        <v>51</v>
      </c>
      <c r="B1724" s="4" t="str">
        <f>"51.09"</f>
        <v>51.09</v>
      </c>
      <c r="C1724" s="4" t="s">
        <v>18238</v>
      </c>
      <c r="D1724" s="4" t="s">
        <v>18239</v>
      </c>
      <c r="E1724" s="4" t="s">
        <v>8298</v>
      </c>
      <c r="F1724" s="4" t="s">
        <v>8299</v>
      </c>
      <c r="H1724" s="4" t="s">
        <v>20172</v>
      </c>
    </row>
    <row r="1725" spans="1:8" x14ac:dyDescent="0.2">
      <c r="A1725" s="4" t="str">
        <f t="shared" si="48"/>
        <v>51</v>
      </c>
      <c r="B1725" s="4" t="str">
        <f>"51.0901"</f>
        <v>51.0901</v>
      </c>
      <c r="C1725" s="4" t="s">
        <v>18238</v>
      </c>
      <c r="D1725" s="4" t="s">
        <v>18239</v>
      </c>
      <c r="E1725" s="4" t="s">
        <v>8300</v>
      </c>
      <c r="F1725" s="4" t="s">
        <v>20176</v>
      </c>
      <c r="H1725" s="4" t="s">
        <v>20172</v>
      </c>
    </row>
    <row r="1726" spans="1:8" x14ac:dyDescent="0.2">
      <c r="A1726" s="4" t="str">
        <f t="shared" si="48"/>
        <v>51</v>
      </c>
      <c r="B1726" s="4" t="str">
        <f>"51.0902"</f>
        <v>51.0902</v>
      </c>
      <c r="C1726" s="4" t="s">
        <v>18238</v>
      </c>
      <c r="D1726" s="4" t="s">
        <v>18239</v>
      </c>
      <c r="E1726" s="4" t="s">
        <v>8302</v>
      </c>
      <c r="F1726" s="4" t="s">
        <v>8303</v>
      </c>
      <c r="H1726" s="4" t="s">
        <v>20172</v>
      </c>
    </row>
    <row r="1727" spans="1:8" x14ac:dyDescent="0.2">
      <c r="A1727" s="4" t="str">
        <f t="shared" si="48"/>
        <v>51</v>
      </c>
      <c r="B1727" s="4" t="str">
        <f>"51.0903"</f>
        <v>51.0903</v>
      </c>
      <c r="C1727" s="4" t="s">
        <v>18238</v>
      </c>
      <c r="D1727" s="4" t="s">
        <v>18239</v>
      </c>
      <c r="E1727" s="4" t="s">
        <v>8304</v>
      </c>
      <c r="F1727" s="4" t="s">
        <v>8305</v>
      </c>
      <c r="H1727" s="4" t="s">
        <v>20172</v>
      </c>
    </row>
    <row r="1728" spans="1:8" x14ac:dyDescent="0.2">
      <c r="A1728" s="4" t="str">
        <f t="shared" si="48"/>
        <v>51</v>
      </c>
      <c r="B1728" s="4" t="str">
        <f>"51.0904"</f>
        <v>51.0904</v>
      </c>
      <c r="C1728" s="4" t="s">
        <v>18238</v>
      </c>
      <c r="D1728" s="4" t="s">
        <v>18239</v>
      </c>
      <c r="E1728" s="4" t="s">
        <v>8306</v>
      </c>
      <c r="F1728" s="4" t="s">
        <v>8307</v>
      </c>
      <c r="G1728" s="4" t="s">
        <v>20177</v>
      </c>
      <c r="H1728" s="4" t="s">
        <v>20172</v>
      </c>
    </row>
    <row r="1729" spans="1:8" x14ac:dyDescent="0.2">
      <c r="A1729" s="4" t="str">
        <f t="shared" si="48"/>
        <v>51</v>
      </c>
      <c r="B1729" s="4" t="str">
        <f>"51.0905"</f>
        <v>51.0905</v>
      </c>
      <c r="C1729" s="4" t="s">
        <v>18238</v>
      </c>
      <c r="D1729" s="4" t="s">
        <v>18239</v>
      </c>
      <c r="E1729" s="4" t="s">
        <v>8308</v>
      </c>
      <c r="F1729" s="4" t="s">
        <v>8309</v>
      </c>
      <c r="H1729" s="4" t="s">
        <v>20172</v>
      </c>
    </row>
    <row r="1730" spans="1:8" x14ac:dyDescent="0.2">
      <c r="A1730" s="4" t="str">
        <f t="shared" si="48"/>
        <v>51</v>
      </c>
      <c r="B1730" s="4" t="str">
        <f>"51.0906"</f>
        <v>51.0906</v>
      </c>
      <c r="C1730" s="4" t="s">
        <v>18238</v>
      </c>
      <c r="D1730" s="4" t="s">
        <v>18239</v>
      </c>
      <c r="E1730" s="4" t="s">
        <v>8310</v>
      </c>
      <c r="F1730" s="4" t="s">
        <v>20178</v>
      </c>
      <c r="H1730" s="4" t="s">
        <v>20172</v>
      </c>
    </row>
    <row r="1731" spans="1:8" x14ac:dyDescent="0.2">
      <c r="A1731" s="4" t="str">
        <f t="shared" si="48"/>
        <v>51</v>
      </c>
      <c r="B1731" s="4" t="str">
        <f>"51.0907"</f>
        <v>51.0907</v>
      </c>
      <c r="C1731" s="4" t="s">
        <v>18238</v>
      </c>
      <c r="D1731" s="4" t="s">
        <v>18239</v>
      </c>
      <c r="E1731" s="4" t="s">
        <v>8312</v>
      </c>
      <c r="F1731" s="4" t="s">
        <v>8313</v>
      </c>
      <c r="H1731" s="4" t="s">
        <v>20172</v>
      </c>
    </row>
    <row r="1732" spans="1:8" x14ac:dyDescent="0.2">
      <c r="A1732" s="4" t="str">
        <f t="shared" si="48"/>
        <v>51</v>
      </c>
      <c r="B1732" s="4" t="str">
        <f>"51.0908"</f>
        <v>51.0908</v>
      </c>
      <c r="C1732" s="4" t="s">
        <v>18238</v>
      </c>
      <c r="D1732" s="4" t="s">
        <v>18239</v>
      </c>
      <c r="E1732" s="4" t="s">
        <v>8314</v>
      </c>
      <c r="F1732" s="4" t="s">
        <v>8315</v>
      </c>
      <c r="H1732" s="4" t="s">
        <v>20172</v>
      </c>
    </row>
    <row r="1733" spans="1:8" x14ac:dyDescent="0.2">
      <c r="A1733" s="4" t="str">
        <f t="shared" si="48"/>
        <v>51</v>
      </c>
      <c r="B1733" s="4" t="str">
        <f>"51.0909"</f>
        <v>51.0909</v>
      </c>
      <c r="C1733" s="4" t="s">
        <v>18238</v>
      </c>
      <c r="D1733" s="4" t="s">
        <v>18239</v>
      </c>
      <c r="E1733" s="4" t="s">
        <v>8316</v>
      </c>
      <c r="F1733" s="4" t="s">
        <v>20179</v>
      </c>
      <c r="G1733" s="4" t="s">
        <v>20180</v>
      </c>
      <c r="H1733" s="4" t="s">
        <v>20172</v>
      </c>
    </row>
    <row r="1734" spans="1:8" x14ac:dyDescent="0.2">
      <c r="A1734" s="4" t="str">
        <f t="shared" si="48"/>
        <v>51</v>
      </c>
      <c r="B1734" s="4" t="str">
        <f>"51.0910"</f>
        <v>51.0910</v>
      </c>
      <c r="C1734" s="4" t="s">
        <v>18238</v>
      </c>
      <c r="D1734" s="4" t="s">
        <v>18239</v>
      </c>
      <c r="E1734" s="4" t="s">
        <v>8010</v>
      </c>
      <c r="F1734" s="4" t="s">
        <v>8011</v>
      </c>
      <c r="H1734" s="4" t="s">
        <v>20181</v>
      </c>
    </row>
    <row r="1735" spans="1:8" x14ac:dyDescent="0.2">
      <c r="A1735" s="4" t="str">
        <f t="shared" si="48"/>
        <v>51</v>
      </c>
      <c r="B1735" s="4" t="str">
        <f>"51.0911"</f>
        <v>51.0911</v>
      </c>
      <c r="C1735" s="4" t="s">
        <v>18238</v>
      </c>
      <c r="D1735" s="4" t="s">
        <v>18239</v>
      </c>
      <c r="E1735" s="4" t="s">
        <v>8013</v>
      </c>
      <c r="F1735" s="4" t="s">
        <v>20182</v>
      </c>
      <c r="H1735" s="4" t="s">
        <v>20181</v>
      </c>
    </row>
    <row r="1736" spans="1:8" x14ac:dyDescent="0.2">
      <c r="A1736" s="4" t="str">
        <f t="shared" si="48"/>
        <v>51</v>
      </c>
      <c r="B1736" s="4" t="str">
        <f>"51.0912"</f>
        <v>51.0912</v>
      </c>
      <c r="C1736" s="4" t="s">
        <v>18238</v>
      </c>
      <c r="D1736" s="4" t="s">
        <v>18239</v>
      </c>
      <c r="E1736" s="4" t="s">
        <v>8277</v>
      </c>
      <c r="F1736" s="4" t="s">
        <v>20183</v>
      </c>
      <c r="H1736" s="4" t="s">
        <v>20181</v>
      </c>
    </row>
    <row r="1737" spans="1:8" x14ac:dyDescent="0.2">
      <c r="A1737" s="4" t="str">
        <f t="shared" si="48"/>
        <v>51</v>
      </c>
      <c r="B1737" s="4" t="str">
        <f>"51.0913"</f>
        <v>51.0913</v>
      </c>
      <c r="C1737" s="4" t="s">
        <v>18238</v>
      </c>
      <c r="D1737" s="4" t="s">
        <v>18239</v>
      </c>
      <c r="E1737" s="4" t="s">
        <v>8018</v>
      </c>
      <c r="F1737" s="4" t="s">
        <v>20184</v>
      </c>
      <c r="G1737" s="4" t="s">
        <v>20185</v>
      </c>
      <c r="H1737" s="4" t="s">
        <v>20181</v>
      </c>
    </row>
    <row r="1738" spans="1:8" x14ac:dyDescent="0.2">
      <c r="A1738" s="4" t="str">
        <f t="shared" si="48"/>
        <v>51</v>
      </c>
      <c r="B1738" s="4" t="str">
        <f>"51.0914"</f>
        <v>51.0914</v>
      </c>
      <c r="C1738" s="4" t="s">
        <v>18238</v>
      </c>
      <c r="D1738" s="4" t="s">
        <v>18239</v>
      </c>
      <c r="E1738" s="4" t="s">
        <v>9484</v>
      </c>
      <c r="F1738" s="4" t="s">
        <v>20186</v>
      </c>
      <c r="G1738" s="4" t="s">
        <v>20187</v>
      </c>
      <c r="H1738" s="4" t="s">
        <v>20181</v>
      </c>
    </row>
    <row r="1739" spans="1:8" x14ac:dyDescent="0.2">
      <c r="A1739" s="4" t="str">
        <f t="shared" si="48"/>
        <v>51</v>
      </c>
      <c r="B1739" s="4" t="str">
        <f>"51.0915"</f>
        <v>51.0915</v>
      </c>
      <c r="C1739" s="4" t="s">
        <v>18238</v>
      </c>
      <c r="D1739" s="4" t="s">
        <v>18239</v>
      </c>
      <c r="E1739" s="4" t="s">
        <v>8022</v>
      </c>
      <c r="F1739" s="4" t="s">
        <v>20188</v>
      </c>
      <c r="H1739" s="4" t="s">
        <v>20181</v>
      </c>
    </row>
    <row r="1740" spans="1:8" x14ac:dyDescent="0.2">
      <c r="A1740" s="4" t="str">
        <f t="shared" si="48"/>
        <v>51</v>
      </c>
      <c r="B1740" s="4" t="str">
        <f>"51.0916"</f>
        <v>51.0916</v>
      </c>
      <c r="C1740" s="4" t="s">
        <v>18238</v>
      </c>
      <c r="D1740" s="4" t="s">
        <v>18239</v>
      </c>
      <c r="E1740" s="4" t="s">
        <v>8025</v>
      </c>
      <c r="F1740" s="4" t="s">
        <v>20189</v>
      </c>
      <c r="H1740" s="4" t="s">
        <v>20181</v>
      </c>
    </row>
    <row r="1741" spans="1:8" x14ac:dyDescent="0.2">
      <c r="A1741" s="4" t="str">
        <f t="shared" si="48"/>
        <v>51</v>
      </c>
      <c r="B1741" s="4" t="str">
        <f>"51.0917"</f>
        <v>51.0917</v>
      </c>
      <c r="C1741" s="4" t="s">
        <v>18258</v>
      </c>
      <c r="D1741" s="4" t="s">
        <v>18239</v>
      </c>
      <c r="E1741" s="4" t="s">
        <v>20190</v>
      </c>
      <c r="F1741" s="4" t="s">
        <v>20191</v>
      </c>
      <c r="H1741" s="4" t="s">
        <v>20192</v>
      </c>
    </row>
    <row r="1742" spans="1:8" x14ac:dyDescent="0.2">
      <c r="A1742" s="4" t="str">
        <f t="shared" si="48"/>
        <v>51</v>
      </c>
      <c r="B1742" s="4" t="str">
        <f>"51.0918"</f>
        <v>51.0918</v>
      </c>
      <c r="C1742" s="4" t="s">
        <v>18258</v>
      </c>
      <c r="D1742" s="4" t="s">
        <v>18239</v>
      </c>
      <c r="E1742" s="4" t="s">
        <v>20193</v>
      </c>
      <c r="F1742" s="4" t="s">
        <v>20194</v>
      </c>
      <c r="H1742" s="4" t="s">
        <v>20195</v>
      </c>
    </row>
    <row r="1743" spans="1:8" x14ac:dyDescent="0.2">
      <c r="A1743" s="4" t="str">
        <f t="shared" si="48"/>
        <v>51</v>
      </c>
      <c r="B1743" s="4" t="str">
        <f>"51.0919"</f>
        <v>51.0919</v>
      </c>
      <c r="C1743" s="4" t="s">
        <v>18258</v>
      </c>
      <c r="D1743" s="4" t="s">
        <v>18239</v>
      </c>
      <c r="E1743" s="4" t="s">
        <v>20196</v>
      </c>
      <c r="F1743" s="4" t="s">
        <v>20197</v>
      </c>
      <c r="H1743" s="4" t="s">
        <v>20198</v>
      </c>
    </row>
    <row r="1744" spans="1:8" x14ac:dyDescent="0.2">
      <c r="A1744" s="4" t="str">
        <f t="shared" si="48"/>
        <v>51</v>
      </c>
      <c r="B1744" s="4" t="str">
        <f>"51.0920"</f>
        <v>51.0920</v>
      </c>
      <c r="C1744" s="4" t="s">
        <v>18258</v>
      </c>
      <c r="D1744" s="4" t="s">
        <v>18239</v>
      </c>
      <c r="E1744" s="4" t="s">
        <v>20199</v>
      </c>
      <c r="F1744" s="4" t="s">
        <v>20200</v>
      </c>
      <c r="H1744" s="4" t="s">
        <v>20198</v>
      </c>
    </row>
    <row r="1745" spans="1:8" x14ac:dyDescent="0.2">
      <c r="A1745" s="4" t="str">
        <f t="shared" si="48"/>
        <v>51</v>
      </c>
      <c r="B1745" s="4" t="str">
        <f>"51.0999"</f>
        <v>51.0999</v>
      </c>
      <c r="C1745" s="4" t="s">
        <v>18238</v>
      </c>
      <c r="D1745" s="4" t="s">
        <v>18239</v>
      </c>
      <c r="E1745" s="4" t="s">
        <v>8027</v>
      </c>
      <c r="F1745" s="4" t="s">
        <v>8028</v>
      </c>
      <c r="H1745" s="4" t="s">
        <v>20198</v>
      </c>
    </row>
    <row r="1746" spans="1:8" x14ac:dyDescent="0.2">
      <c r="A1746" s="4" t="str">
        <f t="shared" si="48"/>
        <v>51</v>
      </c>
      <c r="B1746" s="4" t="str">
        <f>"51.10"</f>
        <v>51.10</v>
      </c>
      <c r="C1746" s="4" t="s">
        <v>18238</v>
      </c>
      <c r="D1746" s="4" t="s">
        <v>18307</v>
      </c>
      <c r="E1746" s="4" t="s">
        <v>20201</v>
      </c>
      <c r="F1746" s="4" t="s">
        <v>20202</v>
      </c>
      <c r="H1746" s="4" t="s">
        <v>20198</v>
      </c>
    </row>
    <row r="1747" spans="1:8" x14ac:dyDescent="0.2">
      <c r="A1747" s="4" t="str">
        <f t="shared" si="48"/>
        <v>51</v>
      </c>
      <c r="B1747" s="4" t="str">
        <f>"51.1001"</f>
        <v>51.1001</v>
      </c>
      <c r="C1747" s="4" t="s">
        <v>18238</v>
      </c>
      <c r="D1747" s="4" t="s">
        <v>18239</v>
      </c>
      <c r="E1747" s="4" t="s">
        <v>8031</v>
      </c>
      <c r="F1747" s="4" t="s">
        <v>8032</v>
      </c>
      <c r="H1747" s="4" t="s">
        <v>20198</v>
      </c>
    </row>
    <row r="1748" spans="1:8" x14ac:dyDescent="0.2">
      <c r="A1748" s="4" t="str">
        <f t="shared" si="48"/>
        <v>51</v>
      </c>
      <c r="B1748" s="4" t="str">
        <f>"51.1002"</f>
        <v>51.1002</v>
      </c>
      <c r="C1748" s="4" t="s">
        <v>18238</v>
      </c>
      <c r="D1748" s="4" t="s">
        <v>18239</v>
      </c>
      <c r="E1748" s="4" t="s">
        <v>8033</v>
      </c>
      <c r="F1748" s="4" t="s">
        <v>8034</v>
      </c>
      <c r="H1748" s="4" t="s">
        <v>20198</v>
      </c>
    </row>
    <row r="1749" spans="1:8" x14ac:dyDescent="0.2">
      <c r="A1749" s="4" t="str">
        <f t="shared" si="48"/>
        <v>51</v>
      </c>
      <c r="B1749" s="4" t="str">
        <f>"51.1003"</f>
        <v>51.1003</v>
      </c>
      <c r="C1749" s="4" t="s">
        <v>18238</v>
      </c>
      <c r="D1749" s="4" t="s">
        <v>18239</v>
      </c>
      <c r="E1749" s="4" t="s">
        <v>8035</v>
      </c>
      <c r="F1749" s="4" t="s">
        <v>8036</v>
      </c>
      <c r="H1749" s="4" t="s">
        <v>20198</v>
      </c>
    </row>
    <row r="1750" spans="1:8" x14ac:dyDescent="0.2">
      <c r="A1750" s="4" t="str">
        <f t="shared" si="48"/>
        <v>51</v>
      </c>
      <c r="B1750" s="4" t="str">
        <f>"51.1004"</f>
        <v>51.1004</v>
      </c>
      <c r="C1750" s="4" t="s">
        <v>18238</v>
      </c>
      <c r="D1750" s="4" t="s">
        <v>18239</v>
      </c>
      <c r="E1750" s="4" t="s">
        <v>8037</v>
      </c>
      <c r="F1750" s="4" t="s">
        <v>20203</v>
      </c>
      <c r="G1750" s="4" t="s">
        <v>20204</v>
      </c>
      <c r="H1750" s="4" t="s">
        <v>20198</v>
      </c>
    </row>
    <row r="1751" spans="1:8" x14ac:dyDescent="0.2">
      <c r="A1751" s="4" t="str">
        <f t="shared" si="48"/>
        <v>51</v>
      </c>
      <c r="B1751" s="4" t="str">
        <f>"51.1005"</f>
        <v>51.1005</v>
      </c>
      <c r="C1751" s="4" t="s">
        <v>18238</v>
      </c>
      <c r="D1751" s="4" t="s">
        <v>18307</v>
      </c>
      <c r="E1751" s="4" t="s">
        <v>8039</v>
      </c>
      <c r="F1751" s="4" t="s">
        <v>20205</v>
      </c>
      <c r="G1751" s="4" t="s">
        <v>20206</v>
      </c>
      <c r="H1751" s="4" t="s">
        <v>20198</v>
      </c>
    </row>
    <row r="1752" spans="1:8" x14ac:dyDescent="0.2">
      <c r="A1752" s="4" t="str">
        <f t="shared" si="48"/>
        <v>51</v>
      </c>
      <c r="B1752" s="4" t="str">
        <f>"51.1006"</f>
        <v>51.1006</v>
      </c>
      <c r="C1752" s="4" t="s">
        <v>18238</v>
      </c>
      <c r="D1752" s="4" t="s">
        <v>18307</v>
      </c>
      <c r="E1752" s="4" t="s">
        <v>8041</v>
      </c>
      <c r="F1752" s="4" t="s">
        <v>20207</v>
      </c>
      <c r="H1752" s="4" t="s">
        <v>20198</v>
      </c>
    </row>
    <row r="1753" spans="1:8" x14ac:dyDescent="0.2">
      <c r="A1753" s="4" t="str">
        <f t="shared" si="48"/>
        <v>51</v>
      </c>
      <c r="B1753" s="4" t="str">
        <f>"51.1007"</f>
        <v>51.1007</v>
      </c>
      <c r="C1753" s="4" t="s">
        <v>18238</v>
      </c>
      <c r="D1753" s="4" t="s">
        <v>18239</v>
      </c>
      <c r="E1753" s="4" t="s">
        <v>8044</v>
      </c>
      <c r="F1753" s="4" t="s">
        <v>20208</v>
      </c>
      <c r="H1753" s="4" t="s">
        <v>20198</v>
      </c>
    </row>
    <row r="1754" spans="1:8" x14ac:dyDescent="0.2">
      <c r="A1754" s="4" t="str">
        <f t="shared" si="48"/>
        <v>51</v>
      </c>
      <c r="B1754" s="4" t="str">
        <f>"51.1008"</f>
        <v>51.1008</v>
      </c>
      <c r="C1754" s="4" t="s">
        <v>18238</v>
      </c>
      <c r="D1754" s="4" t="s">
        <v>18239</v>
      </c>
      <c r="E1754" s="4" t="s">
        <v>8047</v>
      </c>
      <c r="F1754" s="4" t="s">
        <v>20209</v>
      </c>
      <c r="H1754" s="4" t="s">
        <v>20198</v>
      </c>
    </row>
    <row r="1755" spans="1:8" x14ac:dyDescent="0.2">
      <c r="A1755" s="4" t="str">
        <f t="shared" si="48"/>
        <v>51</v>
      </c>
      <c r="B1755" s="4" t="str">
        <f>"51.1009"</f>
        <v>51.1009</v>
      </c>
      <c r="C1755" s="4" t="s">
        <v>18238</v>
      </c>
      <c r="D1755" s="4" t="s">
        <v>18307</v>
      </c>
      <c r="E1755" s="4" t="s">
        <v>20210</v>
      </c>
      <c r="F1755" s="4" t="s">
        <v>20211</v>
      </c>
      <c r="H1755" s="4" t="s">
        <v>20198</v>
      </c>
    </row>
    <row r="1756" spans="1:8" x14ac:dyDescent="0.2">
      <c r="A1756" s="4" t="str">
        <f t="shared" si="48"/>
        <v>51</v>
      </c>
      <c r="B1756" s="4" t="str">
        <f>"51.1010"</f>
        <v>51.1010</v>
      </c>
      <c r="C1756" s="4" t="s">
        <v>18238</v>
      </c>
      <c r="D1756" s="4" t="s">
        <v>18239</v>
      </c>
      <c r="E1756" s="4" t="s">
        <v>8053</v>
      </c>
      <c r="F1756" s="4" t="s">
        <v>20212</v>
      </c>
      <c r="G1756" s="4" t="s">
        <v>20213</v>
      </c>
      <c r="H1756" s="4" t="s">
        <v>20198</v>
      </c>
    </row>
    <row r="1757" spans="1:8" x14ac:dyDescent="0.2">
      <c r="A1757" s="4" t="str">
        <f t="shared" si="48"/>
        <v>51</v>
      </c>
      <c r="B1757" s="4" t="str">
        <f>"51.1011"</f>
        <v>51.1011</v>
      </c>
      <c r="C1757" s="4" t="s">
        <v>18238</v>
      </c>
      <c r="D1757" s="4" t="s">
        <v>18239</v>
      </c>
      <c r="E1757" s="4" t="s">
        <v>8056</v>
      </c>
      <c r="F1757" s="4" t="s">
        <v>20214</v>
      </c>
      <c r="H1757" s="4" t="s">
        <v>20198</v>
      </c>
    </row>
    <row r="1758" spans="1:8" x14ac:dyDescent="0.2">
      <c r="A1758" s="4" t="str">
        <f t="shared" si="48"/>
        <v>51</v>
      </c>
      <c r="B1758" s="4" t="str">
        <f>"51.1012"</f>
        <v>51.1012</v>
      </c>
      <c r="C1758" s="4" t="s">
        <v>18258</v>
      </c>
      <c r="D1758" s="4" t="s">
        <v>18239</v>
      </c>
      <c r="E1758" s="4" t="s">
        <v>20215</v>
      </c>
      <c r="F1758" s="4" t="s">
        <v>20216</v>
      </c>
      <c r="G1758" s="4" t="s">
        <v>20217</v>
      </c>
      <c r="H1758" s="4" t="s">
        <v>20198</v>
      </c>
    </row>
    <row r="1759" spans="1:8" x14ac:dyDescent="0.2">
      <c r="A1759" s="4" t="str">
        <f t="shared" si="48"/>
        <v>51</v>
      </c>
      <c r="B1759" s="4" t="str">
        <f>"51.1099"</f>
        <v>51.1099</v>
      </c>
      <c r="C1759" s="4" t="s">
        <v>18238</v>
      </c>
      <c r="D1759" s="4" t="s">
        <v>18239</v>
      </c>
      <c r="E1759" s="4" t="s">
        <v>8058</v>
      </c>
      <c r="F1759" s="4" t="s">
        <v>8059</v>
      </c>
      <c r="H1759" s="4" t="s">
        <v>20218</v>
      </c>
    </row>
    <row r="1760" spans="1:8" x14ac:dyDescent="0.2">
      <c r="A1760" s="4" t="str">
        <f t="shared" si="48"/>
        <v>51</v>
      </c>
      <c r="B1760" s="4" t="str">
        <f>"51.11"</f>
        <v>51.11</v>
      </c>
      <c r="C1760" s="4" t="s">
        <v>18238</v>
      </c>
      <c r="D1760" s="4" t="s">
        <v>18239</v>
      </c>
      <c r="E1760" s="4" t="s">
        <v>8061</v>
      </c>
      <c r="F1760" s="4" t="s">
        <v>8062</v>
      </c>
      <c r="H1760" s="4" t="s">
        <v>20218</v>
      </c>
    </row>
    <row r="1761" spans="1:8" x14ac:dyDescent="0.2">
      <c r="A1761" s="4" t="str">
        <f t="shared" si="48"/>
        <v>51</v>
      </c>
      <c r="B1761" s="4" t="str">
        <f>"51.1101"</f>
        <v>51.1101</v>
      </c>
      <c r="C1761" s="4" t="s">
        <v>18238</v>
      </c>
      <c r="D1761" s="4" t="s">
        <v>18239</v>
      </c>
      <c r="E1761" s="4" t="s">
        <v>8063</v>
      </c>
      <c r="F1761" s="4" t="s">
        <v>20219</v>
      </c>
      <c r="H1761" s="4" t="s">
        <v>20218</v>
      </c>
    </row>
    <row r="1762" spans="1:8" x14ac:dyDescent="0.2">
      <c r="A1762" s="4" t="str">
        <f t="shared" si="48"/>
        <v>51</v>
      </c>
      <c r="B1762" s="4" t="str">
        <f>"51.1102"</f>
        <v>51.1102</v>
      </c>
      <c r="C1762" s="4" t="s">
        <v>18238</v>
      </c>
      <c r="D1762" s="4" t="s">
        <v>18239</v>
      </c>
      <c r="E1762" s="4" t="s">
        <v>8065</v>
      </c>
      <c r="F1762" s="4" t="s">
        <v>20220</v>
      </c>
      <c r="H1762" s="4" t="s">
        <v>20218</v>
      </c>
    </row>
    <row r="1763" spans="1:8" x14ac:dyDescent="0.2">
      <c r="A1763" s="4" t="str">
        <f t="shared" si="48"/>
        <v>51</v>
      </c>
      <c r="B1763" s="4" t="str">
        <f>"51.1103"</f>
        <v>51.1103</v>
      </c>
      <c r="C1763" s="4" t="s">
        <v>18238</v>
      </c>
      <c r="D1763" s="4" t="s">
        <v>18239</v>
      </c>
      <c r="E1763" s="4" t="s">
        <v>8067</v>
      </c>
      <c r="F1763" s="4" t="s">
        <v>20221</v>
      </c>
      <c r="H1763" s="4" t="s">
        <v>20218</v>
      </c>
    </row>
    <row r="1764" spans="1:8" x14ac:dyDescent="0.2">
      <c r="A1764" s="4" t="str">
        <f t="shared" si="48"/>
        <v>51</v>
      </c>
      <c r="B1764" s="4" t="str">
        <f>"51.1104"</f>
        <v>51.1104</v>
      </c>
      <c r="C1764" s="4" t="s">
        <v>18238</v>
      </c>
      <c r="D1764" s="4" t="s">
        <v>18239</v>
      </c>
      <c r="E1764" s="4" t="s">
        <v>8069</v>
      </c>
      <c r="F1764" s="4" t="s">
        <v>20222</v>
      </c>
      <c r="H1764" s="4" t="s">
        <v>20218</v>
      </c>
    </row>
    <row r="1765" spans="1:8" x14ac:dyDescent="0.2">
      <c r="A1765" s="4" t="str">
        <f t="shared" si="48"/>
        <v>51</v>
      </c>
      <c r="B1765" s="4" t="str">
        <f>"51.1105"</f>
        <v>51.1105</v>
      </c>
      <c r="C1765" s="4" t="s">
        <v>18238</v>
      </c>
      <c r="D1765" s="4" t="s">
        <v>18239</v>
      </c>
      <c r="E1765" s="4" t="s">
        <v>8072</v>
      </c>
      <c r="F1765" s="4" t="s">
        <v>20223</v>
      </c>
      <c r="H1765" s="4" t="s">
        <v>20218</v>
      </c>
    </row>
    <row r="1766" spans="1:8" x14ac:dyDescent="0.2">
      <c r="A1766" s="4" t="str">
        <f t="shared" si="48"/>
        <v>51</v>
      </c>
      <c r="B1766" s="4" t="str">
        <f>"51.1106"</f>
        <v>51.1106</v>
      </c>
      <c r="C1766" s="4" t="s">
        <v>18258</v>
      </c>
      <c r="D1766" s="4" t="s">
        <v>18239</v>
      </c>
      <c r="E1766" s="4" t="s">
        <v>20224</v>
      </c>
      <c r="F1766" s="4" t="s">
        <v>20225</v>
      </c>
      <c r="H1766" s="4" t="s">
        <v>20218</v>
      </c>
    </row>
    <row r="1767" spans="1:8" x14ac:dyDescent="0.2">
      <c r="A1767" s="4" t="str">
        <f t="shared" si="48"/>
        <v>51</v>
      </c>
      <c r="B1767" s="4" t="str">
        <f>"51.1107"</f>
        <v>51.1107</v>
      </c>
      <c r="C1767" s="4" t="s">
        <v>18258</v>
      </c>
      <c r="D1767" s="4" t="s">
        <v>18239</v>
      </c>
      <c r="E1767" s="4" t="s">
        <v>20226</v>
      </c>
      <c r="F1767" s="4" t="s">
        <v>20227</v>
      </c>
      <c r="H1767" s="4" t="s">
        <v>20218</v>
      </c>
    </row>
    <row r="1768" spans="1:8" x14ac:dyDescent="0.2">
      <c r="A1768" s="4" t="str">
        <f t="shared" si="48"/>
        <v>51</v>
      </c>
      <c r="B1768" s="4" t="str">
        <f>"51.1108"</f>
        <v>51.1108</v>
      </c>
      <c r="C1768" s="4" t="s">
        <v>18258</v>
      </c>
      <c r="D1768" s="4" t="s">
        <v>18239</v>
      </c>
      <c r="E1768" s="4" t="s">
        <v>20228</v>
      </c>
      <c r="F1768" s="4" t="s">
        <v>20229</v>
      </c>
      <c r="H1768" s="4" t="s">
        <v>20218</v>
      </c>
    </row>
    <row r="1769" spans="1:8" x14ac:dyDescent="0.2">
      <c r="A1769" s="4" t="str">
        <f t="shared" si="48"/>
        <v>51</v>
      </c>
      <c r="B1769" s="4" t="str">
        <f>"51.1109"</f>
        <v>51.1109</v>
      </c>
      <c r="C1769" s="4" t="s">
        <v>18258</v>
      </c>
      <c r="D1769" s="4" t="s">
        <v>18239</v>
      </c>
      <c r="E1769" s="4" t="s">
        <v>20230</v>
      </c>
      <c r="F1769" s="4" t="s">
        <v>20231</v>
      </c>
      <c r="H1769" s="4" t="s">
        <v>20218</v>
      </c>
    </row>
    <row r="1770" spans="1:8" x14ac:dyDescent="0.2">
      <c r="A1770" s="4" t="str">
        <f t="shared" si="48"/>
        <v>51</v>
      </c>
      <c r="B1770" s="4" t="str">
        <f>"51.1199"</f>
        <v>51.1199</v>
      </c>
      <c r="C1770" s="4" t="s">
        <v>18238</v>
      </c>
      <c r="D1770" s="4" t="s">
        <v>18239</v>
      </c>
      <c r="E1770" s="4" t="s">
        <v>8074</v>
      </c>
      <c r="F1770" s="4" t="s">
        <v>20232</v>
      </c>
      <c r="H1770" s="4" t="s">
        <v>20218</v>
      </c>
    </row>
    <row r="1771" spans="1:8" x14ac:dyDescent="0.2">
      <c r="A1771" s="4" t="str">
        <f t="shared" si="48"/>
        <v>51</v>
      </c>
      <c r="B1771" s="4" t="str">
        <f>"51.12"</f>
        <v>51.12</v>
      </c>
      <c r="C1771" s="4" t="s">
        <v>18238</v>
      </c>
      <c r="D1771" s="4" t="s">
        <v>18239</v>
      </c>
      <c r="E1771" s="4" t="s">
        <v>20233</v>
      </c>
      <c r="F1771" s="4" t="s">
        <v>8078</v>
      </c>
      <c r="H1771" s="4" t="s">
        <v>20218</v>
      </c>
    </row>
    <row r="1772" spans="1:8" x14ac:dyDescent="0.2">
      <c r="A1772" s="4" t="str">
        <f t="shared" si="48"/>
        <v>51</v>
      </c>
      <c r="B1772" s="4" t="str">
        <f>"51.1201"</f>
        <v>51.1201</v>
      </c>
      <c r="C1772" s="4" t="s">
        <v>18238</v>
      </c>
      <c r="D1772" s="4" t="s">
        <v>18239</v>
      </c>
      <c r="E1772" s="4" t="s">
        <v>20233</v>
      </c>
      <c r="F1772" s="4" t="s">
        <v>8079</v>
      </c>
      <c r="H1772" s="4" t="s">
        <v>20234</v>
      </c>
    </row>
    <row r="1773" spans="1:8" x14ac:dyDescent="0.2">
      <c r="A1773" s="4" t="str">
        <f t="shared" si="48"/>
        <v>51</v>
      </c>
      <c r="B1773" s="4" t="str">
        <f>"51.14"</f>
        <v>51.14</v>
      </c>
      <c r="C1773" s="4" t="s">
        <v>18238</v>
      </c>
      <c r="D1773" s="4" t="s">
        <v>18239</v>
      </c>
      <c r="E1773" s="4" t="s">
        <v>8109</v>
      </c>
      <c r="F1773" s="4" t="s">
        <v>20235</v>
      </c>
      <c r="H1773" s="4" t="s">
        <v>20234</v>
      </c>
    </row>
    <row r="1774" spans="1:8" x14ac:dyDescent="0.2">
      <c r="A1774" s="4" t="str">
        <f t="shared" si="48"/>
        <v>51</v>
      </c>
      <c r="B1774" s="4" t="str">
        <f>"51.1401"</f>
        <v>51.1401</v>
      </c>
      <c r="C1774" s="4" t="s">
        <v>18238</v>
      </c>
      <c r="D1774" s="4" t="s">
        <v>18307</v>
      </c>
      <c r="E1774" s="4" t="s">
        <v>20236</v>
      </c>
      <c r="F1774" s="4" t="s">
        <v>20237</v>
      </c>
      <c r="H1774" s="4" t="s">
        <v>20238</v>
      </c>
    </row>
    <row r="1775" spans="1:8" x14ac:dyDescent="0.2">
      <c r="A1775" s="4" t="str">
        <f t="shared" si="48"/>
        <v>51</v>
      </c>
      <c r="B1775" s="4" t="str">
        <f>"51.15"</f>
        <v>51.15</v>
      </c>
      <c r="C1775" s="4" t="s">
        <v>18238</v>
      </c>
      <c r="D1775" s="4" t="s">
        <v>18239</v>
      </c>
      <c r="E1775" s="4" t="s">
        <v>8113</v>
      </c>
      <c r="F1775" s="4" t="s">
        <v>8114</v>
      </c>
      <c r="H1775" s="4" t="s">
        <v>20238</v>
      </c>
    </row>
    <row r="1776" spans="1:8" x14ac:dyDescent="0.2">
      <c r="A1776" s="4" t="str">
        <f t="shared" si="48"/>
        <v>51</v>
      </c>
      <c r="B1776" s="4" t="str">
        <f>"51.1501"</f>
        <v>51.1501</v>
      </c>
      <c r="C1776" s="4" t="s">
        <v>18238</v>
      </c>
      <c r="D1776" s="4" t="s">
        <v>18239</v>
      </c>
      <c r="E1776" s="4" t="s">
        <v>8115</v>
      </c>
      <c r="F1776" s="4" t="s">
        <v>8116</v>
      </c>
      <c r="H1776" s="4" t="s">
        <v>20238</v>
      </c>
    </row>
    <row r="1777" spans="1:8" x14ac:dyDescent="0.2">
      <c r="A1777" s="4" t="str">
        <f t="shared" si="48"/>
        <v>51</v>
      </c>
      <c r="B1777" s="4" t="str">
        <f>"51.1502"</f>
        <v>51.1502</v>
      </c>
      <c r="C1777" s="4" t="s">
        <v>18238</v>
      </c>
      <c r="D1777" s="4" t="s">
        <v>18239</v>
      </c>
      <c r="E1777" s="4" t="s">
        <v>8117</v>
      </c>
      <c r="F1777" s="4" t="s">
        <v>8118</v>
      </c>
      <c r="H1777" s="4" t="s">
        <v>20238</v>
      </c>
    </row>
    <row r="1778" spans="1:8" x14ac:dyDescent="0.2">
      <c r="A1778" s="4" t="str">
        <f t="shared" si="48"/>
        <v>51</v>
      </c>
      <c r="B1778" s="4" t="str">
        <f>"51.1503"</f>
        <v>51.1503</v>
      </c>
      <c r="C1778" s="4" t="s">
        <v>18238</v>
      </c>
      <c r="D1778" s="4" t="s">
        <v>18239</v>
      </c>
      <c r="E1778" s="4" t="s">
        <v>10072</v>
      </c>
      <c r="F1778" s="4" t="s">
        <v>8119</v>
      </c>
      <c r="G1778" s="4" t="s">
        <v>20239</v>
      </c>
      <c r="H1778" s="4" t="s">
        <v>20238</v>
      </c>
    </row>
    <row r="1779" spans="1:8" x14ac:dyDescent="0.2">
      <c r="A1779" s="4" t="str">
        <f t="shared" si="48"/>
        <v>51</v>
      </c>
      <c r="B1779" s="4" t="str">
        <f>"51.1504"</f>
        <v>51.1504</v>
      </c>
      <c r="C1779" s="4" t="s">
        <v>18238</v>
      </c>
      <c r="D1779" s="4" t="s">
        <v>18239</v>
      </c>
      <c r="E1779" s="4" t="s">
        <v>10593</v>
      </c>
      <c r="F1779" s="4" t="s">
        <v>20240</v>
      </c>
      <c r="H1779" s="4" t="s">
        <v>20241</v>
      </c>
    </row>
    <row r="1780" spans="1:8" x14ac:dyDescent="0.2">
      <c r="A1780" s="4" t="str">
        <f t="shared" si="48"/>
        <v>51</v>
      </c>
      <c r="B1780" s="4" t="str">
        <f>"51.1505"</f>
        <v>51.1505</v>
      </c>
      <c r="C1780" s="4" t="s">
        <v>18238</v>
      </c>
      <c r="D1780" s="4" t="s">
        <v>18239</v>
      </c>
      <c r="E1780" s="4" t="s">
        <v>11073</v>
      </c>
      <c r="F1780" s="4" t="s">
        <v>20242</v>
      </c>
      <c r="G1780" s="4" t="s">
        <v>20243</v>
      </c>
      <c r="H1780" s="4" t="s">
        <v>20241</v>
      </c>
    </row>
    <row r="1781" spans="1:8" x14ac:dyDescent="0.2">
      <c r="A1781" s="4" t="str">
        <f t="shared" si="48"/>
        <v>51</v>
      </c>
      <c r="B1781" s="4" t="str">
        <f>"51.1506"</f>
        <v>51.1506</v>
      </c>
      <c r="C1781" s="4" t="s">
        <v>18238</v>
      </c>
      <c r="D1781" s="4" t="s">
        <v>18307</v>
      </c>
      <c r="E1781" s="4" t="s">
        <v>9394</v>
      </c>
      <c r="F1781" s="4" t="s">
        <v>20244</v>
      </c>
      <c r="G1781" s="4" t="s">
        <v>20245</v>
      </c>
      <c r="H1781" s="4" t="s">
        <v>20241</v>
      </c>
    </row>
    <row r="1782" spans="1:8" x14ac:dyDescent="0.2">
      <c r="A1782" s="4" t="str">
        <f t="shared" si="48"/>
        <v>51</v>
      </c>
      <c r="B1782" s="4" t="str">
        <f>"51.1507"</f>
        <v>51.1507</v>
      </c>
      <c r="C1782" s="4" t="s">
        <v>18238</v>
      </c>
      <c r="D1782" s="4" t="s">
        <v>18239</v>
      </c>
      <c r="E1782" s="4" t="s">
        <v>8124</v>
      </c>
      <c r="F1782" s="4" t="s">
        <v>20246</v>
      </c>
      <c r="H1782" s="4" t="s">
        <v>20241</v>
      </c>
    </row>
    <row r="1783" spans="1:8" x14ac:dyDescent="0.2">
      <c r="A1783" s="4" t="str">
        <f t="shared" si="48"/>
        <v>51</v>
      </c>
      <c r="B1783" s="4" t="str">
        <f>"51.1508"</f>
        <v>51.1508</v>
      </c>
      <c r="C1783" s="4" t="s">
        <v>18238</v>
      </c>
      <c r="D1783" s="4" t="s">
        <v>18239</v>
      </c>
      <c r="E1783" s="4" t="s">
        <v>8127</v>
      </c>
      <c r="F1783" s="4" t="s">
        <v>20247</v>
      </c>
      <c r="G1783" s="4" t="s">
        <v>20248</v>
      </c>
      <c r="H1783" s="4" t="s">
        <v>20241</v>
      </c>
    </row>
    <row r="1784" spans="1:8" x14ac:dyDescent="0.2">
      <c r="A1784" s="4" t="str">
        <f t="shared" ref="A1784:A1847" si="49">"51"</f>
        <v>51</v>
      </c>
      <c r="B1784" s="4" t="str">
        <f>"51.1509"</f>
        <v>51.1509</v>
      </c>
      <c r="C1784" s="4" t="s">
        <v>18238</v>
      </c>
      <c r="D1784" s="4" t="s">
        <v>18239</v>
      </c>
      <c r="E1784" s="4" t="s">
        <v>9482</v>
      </c>
      <c r="F1784" s="4" t="s">
        <v>20249</v>
      </c>
      <c r="G1784" s="4" t="s">
        <v>20250</v>
      </c>
      <c r="H1784" s="4" t="s">
        <v>20241</v>
      </c>
    </row>
    <row r="1785" spans="1:8" x14ac:dyDescent="0.2">
      <c r="A1785" s="4" t="str">
        <f t="shared" si="49"/>
        <v>51</v>
      </c>
      <c r="B1785" s="4" t="str">
        <f>"51.1599"</f>
        <v>51.1599</v>
      </c>
      <c r="C1785" s="4" t="s">
        <v>18238</v>
      </c>
      <c r="D1785" s="4" t="s">
        <v>18239</v>
      </c>
      <c r="E1785" s="4" t="s">
        <v>8130</v>
      </c>
      <c r="F1785" s="4" t="s">
        <v>8131</v>
      </c>
      <c r="H1785" s="4" t="s">
        <v>20241</v>
      </c>
    </row>
    <row r="1786" spans="1:8" x14ac:dyDescent="0.2">
      <c r="A1786" s="4" t="str">
        <f t="shared" si="49"/>
        <v>51</v>
      </c>
      <c r="B1786" s="4" t="str">
        <f>"51.16"</f>
        <v>51.16</v>
      </c>
      <c r="C1786" s="4" t="s">
        <v>6584</v>
      </c>
      <c r="D1786" s="4" t="s">
        <v>18239</v>
      </c>
      <c r="E1786" s="4" t="s">
        <v>10729</v>
      </c>
      <c r="F1786" s="4" t="s">
        <v>20251</v>
      </c>
      <c r="H1786" s="4" t="s">
        <v>20241</v>
      </c>
    </row>
    <row r="1787" spans="1:8" x14ac:dyDescent="0.2">
      <c r="A1787" s="4" t="str">
        <f t="shared" si="49"/>
        <v>51</v>
      </c>
      <c r="B1787" s="4" t="str">
        <f>"51.1601"</f>
        <v>51.1601</v>
      </c>
      <c r="C1787" s="4" t="s">
        <v>18724</v>
      </c>
      <c r="D1787" s="4" t="s">
        <v>18239</v>
      </c>
      <c r="E1787" s="4" t="s">
        <v>8133</v>
      </c>
      <c r="F1787" s="4" t="s">
        <v>20252</v>
      </c>
      <c r="H1787" s="4" t="s">
        <v>20241</v>
      </c>
    </row>
    <row r="1788" spans="1:8" x14ac:dyDescent="0.2">
      <c r="A1788" s="4" t="str">
        <f t="shared" si="49"/>
        <v>51</v>
      </c>
      <c r="B1788" s="4" t="str">
        <f>"51.1602"</f>
        <v>51.1602</v>
      </c>
      <c r="C1788" s="4" t="s">
        <v>18724</v>
      </c>
      <c r="D1788" s="4" t="s">
        <v>18239</v>
      </c>
      <c r="E1788" s="4" t="s">
        <v>8135</v>
      </c>
      <c r="F1788" s="4" t="s">
        <v>20253</v>
      </c>
      <c r="H1788" s="4" t="s">
        <v>20241</v>
      </c>
    </row>
    <row r="1789" spans="1:8" x14ac:dyDescent="0.2">
      <c r="A1789" s="4" t="str">
        <f t="shared" si="49"/>
        <v>51</v>
      </c>
      <c r="B1789" s="4" t="str">
        <f>"51.1603"</f>
        <v>51.1603</v>
      </c>
      <c r="C1789" s="4" t="s">
        <v>18724</v>
      </c>
      <c r="D1789" s="4" t="s">
        <v>18239</v>
      </c>
      <c r="E1789" s="4" t="s">
        <v>8137</v>
      </c>
      <c r="F1789" s="4" t="s">
        <v>20254</v>
      </c>
      <c r="H1789" s="4" t="s">
        <v>20241</v>
      </c>
    </row>
    <row r="1790" spans="1:8" x14ac:dyDescent="0.2">
      <c r="A1790" s="4" t="str">
        <f t="shared" si="49"/>
        <v>51</v>
      </c>
      <c r="B1790" s="4" t="str">
        <f>"51.1604"</f>
        <v>51.1604</v>
      </c>
      <c r="C1790" s="4" t="s">
        <v>18724</v>
      </c>
      <c r="D1790" s="4" t="s">
        <v>18239</v>
      </c>
      <c r="E1790" s="4" t="s">
        <v>8139</v>
      </c>
      <c r="F1790" s="4" t="s">
        <v>20255</v>
      </c>
      <c r="H1790" s="4" t="s">
        <v>20241</v>
      </c>
    </row>
    <row r="1791" spans="1:8" x14ac:dyDescent="0.2">
      <c r="A1791" s="4" t="str">
        <f t="shared" si="49"/>
        <v>51</v>
      </c>
      <c r="B1791" s="4" t="str">
        <f>"51.1605"</f>
        <v>51.1605</v>
      </c>
      <c r="C1791" s="4" t="s">
        <v>18724</v>
      </c>
      <c r="D1791" s="4" t="s">
        <v>18239</v>
      </c>
      <c r="E1791" s="4" t="s">
        <v>8141</v>
      </c>
      <c r="F1791" s="4" t="s">
        <v>20256</v>
      </c>
      <c r="H1791" s="4" t="s">
        <v>20241</v>
      </c>
    </row>
    <row r="1792" spans="1:8" x14ac:dyDescent="0.2">
      <c r="A1792" s="4" t="str">
        <f t="shared" si="49"/>
        <v>51</v>
      </c>
      <c r="B1792" s="4" t="str">
        <f>"51.1606"</f>
        <v>51.1606</v>
      </c>
      <c r="C1792" s="4" t="s">
        <v>18724</v>
      </c>
      <c r="D1792" s="4" t="s">
        <v>18239</v>
      </c>
      <c r="E1792" s="4" t="s">
        <v>8143</v>
      </c>
      <c r="F1792" s="4" t="s">
        <v>20257</v>
      </c>
      <c r="H1792" s="4" t="s">
        <v>20241</v>
      </c>
    </row>
    <row r="1793" spans="1:8" x14ac:dyDescent="0.2">
      <c r="A1793" s="4" t="str">
        <f t="shared" si="49"/>
        <v>51</v>
      </c>
      <c r="B1793" s="4" t="str">
        <f>"51.1607"</f>
        <v>51.1607</v>
      </c>
      <c r="C1793" s="4" t="s">
        <v>18724</v>
      </c>
      <c r="D1793" s="4" t="s">
        <v>18239</v>
      </c>
      <c r="E1793" s="4" t="s">
        <v>8145</v>
      </c>
      <c r="F1793" s="4" t="s">
        <v>20258</v>
      </c>
      <c r="H1793" s="4" t="s">
        <v>20241</v>
      </c>
    </row>
    <row r="1794" spans="1:8" x14ac:dyDescent="0.2">
      <c r="A1794" s="4" t="str">
        <f t="shared" si="49"/>
        <v>51</v>
      </c>
      <c r="B1794" s="4" t="str">
        <f>"51.1608"</f>
        <v>51.1608</v>
      </c>
      <c r="C1794" s="4" t="s">
        <v>18724</v>
      </c>
      <c r="D1794" s="4" t="s">
        <v>18239</v>
      </c>
      <c r="E1794" s="4" t="s">
        <v>8147</v>
      </c>
      <c r="F1794" s="4" t="s">
        <v>20259</v>
      </c>
      <c r="H1794" s="4" t="s">
        <v>20241</v>
      </c>
    </row>
    <row r="1795" spans="1:8" x14ac:dyDescent="0.2">
      <c r="A1795" s="4" t="str">
        <f t="shared" si="49"/>
        <v>51</v>
      </c>
      <c r="B1795" s="4" t="str">
        <f>"51.1609"</f>
        <v>51.1609</v>
      </c>
      <c r="C1795" s="4" t="s">
        <v>18724</v>
      </c>
      <c r="D1795" s="4" t="s">
        <v>18239</v>
      </c>
      <c r="E1795" s="4" t="s">
        <v>8149</v>
      </c>
      <c r="F1795" s="4" t="s">
        <v>20260</v>
      </c>
      <c r="H1795" s="4" t="s">
        <v>20241</v>
      </c>
    </row>
    <row r="1796" spans="1:8" x14ac:dyDescent="0.2">
      <c r="A1796" s="4" t="str">
        <f t="shared" si="49"/>
        <v>51</v>
      </c>
      <c r="B1796" s="4" t="str">
        <f>"51.1610"</f>
        <v>51.1610</v>
      </c>
      <c r="C1796" s="4" t="s">
        <v>18724</v>
      </c>
      <c r="D1796" s="4" t="s">
        <v>18239</v>
      </c>
      <c r="E1796" s="4" t="s">
        <v>8151</v>
      </c>
      <c r="F1796" s="4" t="s">
        <v>20261</v>
      </c>
      <c r="H1796" s="4" t="s">
        <v>20241</v>
      </c>
    </row>
    <row r="1797" spans="1:8" x14ac:dyDescent="0.2">
      <c r="A1797" s="4" t="str">
        <f t="shared" si="49"/>
        <v>51</v>
      </c>
      <c r="B1797" s="4" t="str">
        <f>"51.1611"</f>
        <v>51.1611</v>
      </c>
      <c r="C1797" s="4" t="s">
        <v>18724</v>
      </c>
      <c r="D1797" s="4" t="s">
        <v>18239</v>
      </c>
      <c r="E1797" s="4" t="s">
        <v>8153</v>
      </c>
      <c r="F1797" s="4" t="s">
        <v>20262</v>
      </c>
      <c r="H1797" s="4" t="s">
        <v>20241</v>
      </c>
    </row>
    <row r="1798" spans="1:8" x14ac:dyDescent="0.2">
      <c r="A1798" s="4" t="str">
        <f t="shared" si="49"/>
        <v>51</v>
      </c>
      <c r="B1798" s="4" t="str">
        <f>"51.1612"</f>
        <v>51.1612</v>
      </c>
      <c r="C1798" s="4" t="s">
        <v>18724</v>
      </c>
      <c r="D1798" s="4" t="s">
        <v>18239</v>
      </c>
      <c r="E1798" s="4" t="s">
        <v>8155</v>
      </c>
      <c r="F1798" s="4" t="s">
        <v>20263</v>
      </c>
      <c r="H1798" s="4" t="s">
        <v>20241</v>
      </c>
    </row>
    <row r="1799" spans="1:8" x14ac:dyDescent="0.2">
      <c r="A1799" s="4" t="str">
        <f t="shared" si="49"/>
        <v>51</v>
      </c>
      <c r="B1799" s="4" t="str">
        <f>"51.1613"</f>
        <v>51.1613</v>
      </c>
      <c r="C1799" s="4" t="s">
        <v>18724</v>
      </c>
      <c r="D1799" s="4" t="s">
        <v>18239</v>
      </c>
      <c r="E1799" s="4" t="s">
        <v>20264</v>
      </c>
      <c r="F1799" s="4" t="s">
        <v>20265</v>
      </c>
      <c r="H1799" s="4" t="s">
        <v>20241</v>
      </c>
    </row>
    <row r="1800" spans="1:8" x14ac:dyDescent="0.2">
      <c r="A1800" s="4" t="str">
        <f t="shared" si="49"/>
        <v>51</v>
      </c>
      <c r="B1800" s="4" t="str">
        <f>"51.1614"</f>
        <v>51.1614</v>
      </c>
      <c r="C1800" s="4" t="s">
        <v>18724</v>
      </c>
      <c r="D1800" s="4" t="s">
        <v>18239</v>
      </c>
      <c r="E1800" s="4" t="s">
        <v>8159</v>
      </c>
      <c r="F1800" s="4" t="s">
        <v>20266</v>
      </c>
      <c r="H1800" s="4" t="s">
        <v>20241</v>
      </c>
    </row>
    <row r="1801" spans="1:8" x14ac:dyDescent="0.2">
      <c r="A1801" s="4" t="str">
        <f t="shared" si="49"/>
        <v>51</v>
      </c>
      <c r="B1801" s="4" t="str">
        <f>"51.1616"</f>
        <v>51.1616</v>
      </c>
      <c r="C1801" s="4" t="s">
        <v>18724</v>
      </c>
      <c r="D1801" s="4" t="s">
        <v>18239</v>
      </c>
      <c r="E1801" s="4" t="s">
        <v>8164</v>
      </c>
      <c r="F1801" s="4" t="s">
        <v>20267</v>
      </c>
      <c r="H1801" s="4" t="s">
        <v>20241</v>
      </c>
    </row>
    <row r="1802" spans="1:8" x14ac:dyDescent="0.2">
      <c r="A1802" s="4" t="str">
        <f t="shared" si="49"/>
        <v>51</v>
      </c>
      <c r="B1802" s="4" t="str">
        <f>"51.1617"</f>
        <v>51.1617</v>
      </c>
      <c r="C1802" s="4" t="s">
        <v>18724</v>
      </c>
      <c r="D1802" s="4" t="s">
        <v>18239</v>
      </c>
      <c r="E1802" s="4" t="s">
        <v>8167</v>
      </c>
      <c r="F1802" s="4" t="s">
        <v>20268</v>
      </c>
      <c r="H1802" s="4" t="s">
        <v>20241</v>
      </c>
    </row>
    <row r="1803" spans="1:8" x14ac:dyDescent="0.2">
      <c r="A1803" s="4" t="str">
        <f t="shared" si="49"/>
        <v>51</v>
      </c>
      <c r="B1803" s="4" t="str">
        <f>"51.1618"</f>
        <v>51.1618</v>
      </c>
      <c r="C1803" s="4" t="s">
        <v>18724</v>
      </c>
      <c r="D1803" s="4" t="s">
        <v>18239</v>
      </c>
      <c r="E1803" s="4" t="s">
        <v>8170</v>
      </c>
      <c r="F1803" s="4" t="s">
        <v>20269</v>
      </c>
      <c r="H1803" s="4" t="s">
        <v>20241</v>
      </c>
    </row>
    <row r="1804" spans="1:8" x14ac:dyDescent="0.2">
      <c r="A1804" s="4" t="str">
        <f t="shared" si="49"/>
        <v>51</v>
      </c>
      <c r="B1804" s="4" t="str">
        <f>"51.1699"</f>
        <v>51.1699</v>
      </c>
      <c r="C1804" s="4" t="s">
        <v>6584</v>
      </c>
      <c r="D1804" s="4" t="s">
        <v>18239</v>
      </c>
      <c r="E1804" s="4" t="s">
        <v>8172</v>
      </c>
      <c r="F1804" s="4" t="s">
        <v>20251</v>
      </c>
      <c r="H1804" s="4" t="s">
        <v>20241</v>
      </c>
    </row>
    <row r="1805" spans="1:8" x14ac:dyDescent="0.2">
      <c r="A1805" s="4" t="str">
        <f t="shared" si="49"/>
        <v>51</v>
      </c>
      <c r="B1805" s="4" t="str">
        <f>"51.17"</f>
        <v>51.17</v>
      </c>
      <c r="C1805" s="4" t="s">
        <v>18238</v>
      </c>
      <c r="D1805" s="4" t="s">
        <v>18239</v>
      </c>
      <c r="E1805" s="4" t="s">
        <v>20270</v>
      </c>
      <c r="F1805" s="4" t="s">
        <v>8176</v>
      </c>
      <c r="H1805" s="4" t="s">
        <v>20241</v>
      </c>
    </row>
    <row r="1806" spans="1:8" x14ac:dyDescent="0.2">
      <c r="A1806" s="4" t="str">
        <f t="shared" si="49"/>
        <v>51</v>
      </c>
      <c r="B1806" s="4" t="str">
        <f>"51.1701"</f>
        <v>51.1701</v>
      </c>
      <c r="C1806" s="4" t="s">
        <v>18238</v>
      </c>
      <c r="D1806" s="4" t="s">
        <v>18239</v>
      </c>
      <c r="E1806" s="4" t="s">
        <v>20270</v>
      </c>
      <c r="F1806" s="4" t="s">
        <v>8177</v>
      </c>
      <c r="H1806" s="4" t="s">
        <v>20271</v>
      </c>
    </row>
    <row r="1807" spans="1:8" x14ac:dyDescent="0.2">
      <c r="A1807" s="4" t="str">
        <f t="shared" si="49"/>
        <v>51</v>
      </c>
      <c r="B1807" s="4" t="str">
        <f>"51.18"</f>
        <v>51.18</v>
      </c>
      <c r="C1807" s="4" t="s">
        <v>18238</v>
      </c>
      <c r="D1807" s="4" t="s">
        <v>18239</v>
      </c>
      <c r="E1807" s="4" t="s">
        <v>8179</v>
      </c>
      <c r="F1807" s="4" t="s">
        <v>20272</v>
      </c>
      <c r="H1807" s="4" t="s">
        <v>20271</v>
      </c>
    </row>
    <row r="1808" spans="1:8" x14ac:dyDescent="0.2">
      <c r="A1808" s="4" t="str">
        <f t="shared" si="49"/>
        <v>51</v>
      </c>
      <c r="B1808" s="4" t="str">
        <f>"51.1801"</f>
        <v>51.1801</v>
      </c>
      <c r="C1808" s="4" t="s">
        <v>18238</v>
      </c>
      <c r="D1808" s="4" t="s">
        <v>18239</v>
      </c>
      <c r="E1808" s="4" t="s">
        <v>8181</v>
      </c>
      <c r="F1808" s="4" t="s">
        <v>20273</v>
      </c>
      <c r="H1808" s="4" t="s">
        <v>20271</v>
      </c>
    </row>
    <row r="1809" spans="1:8" x14ac:dyDescent="0.2">
      <c r="A1809" s="4" t="str">
        <f t="shared" si="49"/>
        <v>51</v>
      </c>
      <c r="B1809" s="4" t="str">
        <f>"51.1802"</f>
        <v>51.1802</v>
      </c>
      <c r="C1809" s="4" t="s">
        <v>18238</v>
      </c>
      <c r="D1809" s="4" t="s">
        <v>18239</v>
      </c>
      <c r="E1809" s="4" t="s">
        <v>8183</v>
      </c>
      <c r="F1809" s="4" t="s">
        <v>7871</v>
      </c>
      <c r="H1809" s="4" t="s">
        <v>20271</v>
      </c>
    </row>
    <row r="1810" spans="1:8" x14ac:dyDescent="0.2">
      <c r="A1810" s="4" t="str">
        <f t="shared" si="49"/>
        <v>51</v>
      </c>
      <c r="B1810" s="4" t="str">
        <f>"51.1803"</f>
        <v>51.1803</v>
      </c>
      <c r="C1810" s="4" t="s">
        <v>18238</v>
      </c>
      <c r="D1810" s="4" t="s">
        <v>18239</v>
      </c>
      <c r="E1810" s="4" t="s">
        <v>7872</v>
      </c>
      <c r="F1810" s="4" t="s">
        <v>20274</v>
      </c>
      <c r="H1810" s="4" t="s">
        <v>20271</v>
      </c>
    </row>
    <row r="1811" spans="1:8" x14ac:dyDescent="0.2">
      <c r="A1811" s="4" t="str">
        <f t="shared" si="49"/>
        <v>51</v>
      </c>
      <c r="B1811" s="4" t="str">
        <f>"51.1804"</f>
        <v>51.1804</v>
      </c>
      <c r="C1811" s="4" t="s">
        <v>18238</v>
      </c>
      <c r="D1811" s="4" t="s">
        <v>18239</v>
      </c>
      <c r="E1811" s="4" t="s">
        <v>7874</v>
      </c>
      <c r="F1811" s="4" t="s">
        <v>7875</v>
      </c>
      <c r="H1811" s="4" t="s">
        <v>20271</v>
      </c>
    </row>
    <row r="1812" spans="1:8" x14ac:dyDescent="0.2">
      <c r="A1812" s="4" t="str">
        <f t="shared" si="49"/>
        <v>51</v>
      </c>
      <c r="B1812" s="4" t="str">
        <f>"51.1899"</f>
        <v>51.1899</v>
      </c>
      <c r="C1812" s="4" t="s">
        <v>18238</v>
      </c>
      <c r="D1812" s="4" t="s">
        <v>18239</v>
      </c>
      <c r="E1812" s="4" t="s">
        <v>7876</v>
      </c>
      <c r="F1812" s="4" t="s">
        <v>7877</v>
      </c>
      <c r="H1812" s="4" t="s">
        <v>20271</v>
      </c>
    </row>
    <row r="1813" spans="1:8" x14ac:dyDescent="0.2">
      <c r="A1813" s="4" t="str">
        <f t="shared" si="49"/>
        <v>51</v>
      </c>
      <c r="B1813" s="4" t="str">
        <f>"51.19"</f>
        <v>51.19</v>
      </c>
      <c r="C1813" s="4" t="s">
        <v>18238</v>
      </c>
      <c r="D1813" s="4" t="s">
        <v>18239</v>
      </c>
      <c r="E1813" s="4" t="s">
        <v>20275</v>
      </c>
      <c r="F1813" s="4" t="s">
        <v>7880</v>
      </c>
      <c r="H1813" s="4" t="s">
        <v>20271</v>
      </c>
    </row>
    <row r="1814" spans="1:8" x14ac:dyDescent="0.2">
      <c r="A1814" s="4" t="str">
        <f t="shared" si="49"/>
        <v>51</v>
      </c>
      <c r="B1814" s="4" t="str">
        <f>"51.1901"</f>
        <v>51.1901</v>
      </c>
      <c r="C1814" s="4" t="s">
        <v>18238</v>
      </c>
      <c r="D1814" s="4" t="s">
        <v>18239</v>
      </c>
      <c r="E1814" s="4" t="s">
        <v>20275</v>
      </c>
      <c r="F1814" s="4" t="s">
        <v>7881</v>
      </c>
      <c r="H1814" s="4" t="s">
        <v>20276</v>
      </c>
    </row>
    <row r="1815" spans="1:8" x14ac:dyDescent="0.2">
      <c r="A1815" s="4" t="str">
        <f t="shared" si="49"/>
        <v>51</v>
      </c>
      <c r="B1815" s="4" t="str">
        <f>"51.20"</f>
        <v>51.20</v>
      </c>
      <c r="C1815" s="4" t="s">
        <v>18238</v>
      </c>
      <c r="D1815" s="4" t="s">
        <v>18239</v>
      </c>
      <c r="E1815" s="4" t="s">
        <v>7883</v>
      </c>
      <c r="F1815" s="4" t="s">
        <v>7884</v>
      </c>
      <c r="H1815" s="4" t="s">
        <v>20276</v>
      </c>
    </row>
    <row r="1816" spans="1:8" x14ac:dyDescent="0.2">
      <c r="A1816" s="4" t="str">
        <f t="shared" si="49"/>
        <v>51</v>
      </c>
      <c r="B1816" s="4" t="str">
        <f>"51.2001"</f>
        <v>51.2001</v>
      </c>
      <c r="C1816" s="4" t="s">
        <v>18238</v>
      </c>
      <c r="D1816" s="4" t="s">
        <v>18239</v>
      </c>
      <c r="E1816" s="4" t="s">
        <v>20277</v>
      </c>
      <c r="F1816" s="4" t="s">
        <v>20278</v>
      </c>
      <c r="H1816" s="4" t="s">
        <v>20279</v>
      </c>
    </row>
    <row r="1817" spans="1:8" x14ac:dyDescent="0.2">
      <c r="A1817" s="4" t="str">
        <f t="shared" si="49"/>
        <v>51</v>
      </c>
      <c r="B1817" s="4" t="str">
        <f>"51.2002"</f>
        <v>51.2002</v>
      </c>
      <c r="C1817" s="4" t="s">
        <v>18238</v>
      </c>
      <c r="D1817" s="4" t="s">
        <v>18239</v>
      </c>
      <c r="E1817" s="4" t="s">
        <v>20280</v>
      </c>
      <c r="F1817" s="4" t="s">
        <v>7888</v>
      </c>
      <c r="H1817" s="4" t="s">
        <v>20281</v>
      </c>
    </row>
    <row r="1818" spans="1:8" x14ac:dyDescent="0.2">
      <c r="A1818" s="4" t="str">
        <f t="shared" si="49"/>
        <v>51</v>
      </c>
      <c r="B1818" s="4" t="str">
        <f>"51.2003"</f>
        <v>51.2003</v>
      </c>
      <c r="C1818" s="4" t="s">
        <v>18238</v>
      </c>
      <c r="D1818" s="4" t="s">
        <v>18239</v>
      </c>
      <c r="E1818" s="4" t="s">
        <v>20282</v>
      </c>
      <c r="F1818" s="4" t="s">
        <v>7890</v>
      </c>
      <c r="G1818" s="4" t="s">
        <v>20283</v>
      </c>
      <c r="H1818" s="4" t="s">
        <v>20284</v>
      </c>
    </row>
    <row r="1819" spans="1:8" x14ac:dyDescent="0.2">
      <c r="A1819" s="4" t="str">
        <f t="shared" si="49"/>
        <v>51</v>
      </c>
      <c r="B1819" s="4" t="str">
        <f>"51.2004"</f>
        <v>51.2004</v>
      </c>
      <c r="C1819" s="4" t="s">
        <v>18238</v>
      </c>
      <c r="D1819" s="4" t="s">
        <v>18239</v>
      </c>
      <c r="E1819" s="4" t="s">
        <v>20285</v>
      </c>
      <c r="F1819" s="4" t="s">
        <v>20286</v>
      </c>
      <c r="H1819" s="4" t="s">
        <v>20287</v>
      </c>
    </row>
    <row r="1820" spans="1:8" x14ac:dyDescent="0.2">
      <c r="A1820" s="4" t="str">
        <f t="shared" si="49"/>
        <v>51</v>
      </c>
      <c r="B1820" s="4" t="str">
        <f>"51.2005"</f>
        <v>51.2005</v>
      </c>
      <c r="C1820" s="4" t="s">
        <v>18238</v>
      </c>
      <c r="D1820" s="4" t="s">
        <v>18239</v>
      </c>
      <c r="E1820" s="4" t="s">
        <v>20288</v>
      </c>
      <c r="F1820" s="4" t="s">
        <v>20289</v>
      </c>
      <c r="H1820" s="4" t="s">
        <v>20290</v>
      </c>
    </row>
    <row r="1821" spans="1:8" x14ac:dyDescent="0.2">
      <c r="A1821" s="4" t="str">
        <f t="shared" si="49"/>
        <v>51</v>
      </c>
      <c r="B1821" s="4" t="str">
        <f>"51.2006"</f>
        <v>51.2006</v>
      </c>
      <c r="C1821" s="4" t="s">
        <v>18238</v>
      </c>
      <c r="D1821" s="4" t="s">
        <v>18239</v>
      </c>
      <c r="E1821" s="4" t="s">
        <v>20291</v>
      </c>
      <c r="F1821" s="4" t="s">
        <v>20292</v>
      </c>
      <c r="H1821" s="4" t="s">
        <v>20293</v>
      </c>
    </row>
    <row r="1822" spans="1:8" x14ac:dyDescent="0.2">
      <c r="A1822" s="4" t="str">
        <f t="shared" si="49"/>
        <v>51</v>
      </c>
      <c r="B1822" s="4" t="str">
        <f>"51.2007"</f>
        <v>51.2007</v>
      </c>
      <c r="C1822" s="4" t="s">
        <v>18238</v>
      </c>
      <c r="D1822" s="4" t="s">
        <v>18239</v>
      </c>
      <c r="E1822" s="4" t="s">
        <v>20294</v>
      </c>
      <c r="F1822" s="4" t="s">
        <v>20295</v>
      </c>
      <c r="H1822" s="4" t="s">
        <v>20296</v>
      </c>
    </row>
    <row r="1823" spans="1:8" x14ac:dyDescent="0.2">
      <c r="A1823" s="4" t="str">
        <f t="shared" si="49"/>
        <v>51</v>
      </c>
      <c r="B1823" s="4" t="str">
        <f>"51.2008"</f>
        <v>51.2008</v>
      </c>
      <c r="C1823" s="4" t="s">
        <v>18238</v>
      </c>
      <c r="D1823" s="4" t="s">
        <v>18239</v>
      </c>
      <c r="E1823" s="4" t="s">
        <v>20297</v>
      </c>
      <c r="F1823" s="4" t="s">
        <v>20298</v>
      </c>
      <c r="H1823" s="4" t="s">
        <v>20299</v>
      </c>
    </row>
    <row r="1824" spans="1:8" x14ac:dyDescent="0.2">
      <c r="A1824" s="4" t="str">
        <f t="shared" si="49"/>
        <v>51</v>
      </c>
      <c r="B1824" s="4" t="str">
        <f>"51.2009"</f>
        <v>51.2009</v>
      </c>
      <c r="C1824" s="4" t="s">
        <v>18238</v>
      </c>
      <c r="D1824" s="4" t="s">
        <v>18239</v>
      </c>
      <c r="E1824" s="4" t="s">
        <v>20300</v>
      </c>
      <c r="F1824" s="4" t="s">
        <v>20301</v>
      </c>
      <c r="H1824" s="4" t="s">
        <v>20302</v>
      </c>
    </row>
    <row r="1825" spans="1:8" x14ac:dyDescent="0.2">
      <c r="A1825" s="4" t="str">
        <f t="shared" si="49"/>
        <v>51</v>
      </c>
      <c r="B1825" s="4" t="str">
        <f>"51.2010"</f>
        <v>51.2010</v>
      </c>
      <c r="C1825" s="4" t="s">
        <v>18258</v>
      </c>
      <c r="D1825" s="4" t="s">
        <v>18239</v>
      </c>
      <c r="E1825" s="4" t="s">
        <v>20303</v>
      </c>
      <c r="F1825" s="4" t="s">
        <v>20304</v>
      </c>
      <c r="G1825" s="4" t="s">
        <v>20283</v>
      </c>
      <c r="H1825" s="4" t="s">
        <v>20302</v>
      </c>
    </row>
    <row r="1826" spans="1:8" x14ac:dyDescent="0.2">
      <c r="A1826" s="4" t="str">
        <f t="shared" si="49"/>
        <v>51</v>
      </c>
      <c r="B1826" s="4" t="str">
        <f>"51.2011"</f>
        <v>51.2011</v>
      </c>
      <c r="C1826" s="4" t="s">
        <v>18258</v>
      </c>
      <c r="D1826" s="4" t="s">
        <v>18239</v>
      </c>
      <c r="E1826" s="4" t="s">
        <v>20305</v>
      </c>
      <c r="F1826" s="4" t="s">
        <v>20306</v>
      </c>
      <c r="H1826" s="4" t="s">
        <v>20307</v>
      </c>
    </row>
    <row r="1827" spans="1:8" x14ac:dyDescent="0.2">
      <c r="A1827" s="4" t="str">
        <f t="shared" si="49"/>
        <v>51</v>
      </c>
      <c r="B1827" s="4" t="str">
        <f>"51.2099"</f>
        <v>51.2099</v>
      </c>
      <c r="C1827" s="4" t="s">
        <v>18238</v>
      </c>
      <c r="D1827" s="4" t="s">
        <v>18239</v>
      </c>
      <c r="E1827" s="4" t="s">
        <v>7909</v>
      </c>
      <c r="F1827" s="4" t="s">
        <v>7910</v>
      </c>
      <c r="H1827" s="4" t="s">
        <v>20307</v>
      </c>
    </row>
    <row r="1828" spans="1:8" x14ac:dyDescent="0.2">
      <c r="A1828" s="4" t="str">
        <f t="shared" si="49"/>
        <v>51</v>
      </c>
      <c r="B1828" s="4" t="str">
        <f>"51.21"</f>
        <v>51.21</v>
      </c>
      <c r="C1828" s="4" t="s">
        <v>18238</v>
      </c>
      <c r="D1828" s="4" t="s">
        <v>18239</v>
      </c>
      <c r="E1828" s="4" t="s">
        <v>20308</v>
      </c>
      <c r="F1828" s="4" t="s">
        <v>7913</v>
      </c>
      <c r="H1828" s="4" t="s">
        <v>20307</v>
      </c>
    </row>
    <row r="1829" spans="1:8" x14ac:dyDescent="0.2">
      <c r="A1829" s="4" t="str">
        <f t="shared" si="49"/>
        <v>51</v>
      </c>
      <c r="B1829" s="4" t="str">
        <f>"51.2101"</f>
        <v>51.2101</v>
      </c>
      <c r="C1829" s="4" t="s">
        <v>18238</v>
      </c>
      <c r="D1829" s="4" t="s">
        <v>18239</v>
      </c>
      <c r="E1829" s="4" t="s">
        <v>20308</v>
      </c>
      <c r="F1829" s="4" t="s">
        <v>20309</v>
      </c>
      <c r="H1829" s="4" t="s">
        <v>20310</v>
      </c>
    </row>
    <row r="1830" spans="1:8" x14ac:dyDescent="0.2">
      <c r="A1830" s="4" t="str">
        <f t="shared" si="49"/>
        <v>51</v>
      </c>
      <c r="B1830" s="4" t="str">
        <f>"51.22"</f>
        <v>51.22</v>
      </c>
      <c r="C1830" s="4" t="s">
        <v>18238</v>
      </c>
      <c r="D1830" s="4" t="s">
        <v>18239</v>
      </c>
      <c r="E1830" s="4" t="s">
        <v>7916</v>
      </c>
      <c r="F1830" s="4" t="s">
        <v>7917</v>
      </c>
      <c r="H1830" s="4" t="s">
        <v>20310</v>
      </c>
    </row>
    <row r="1831" spans="1:8" x14ac:dyDescent="0.2">
      <c r="A1831" s="4" t="str">
        <f t="shared" si="49"/>
        <v>51</v>
      </c>
      <c r="B1831" s="4" t="str">
        <f>"51.2201"</f>
        <v>51.2201</v>
      </c>
      <c r="C1831" s="4" t="s">
        <v>18238</v>
      </c>
      <c r="D1831" s="4" t="s">
        <v>18307</v>
      </c>
      <c r="E1831" s="4" t="s">
        <v>20311</v>
      </c>
      <c r="F1831" s="4" t="s">
        <v>20312</v>
      </c>
      <c r="G1831" s="4" t="s">
        <v>20313</v>
      </c>
      <c r="H1831" s="4" t="s">
        <v>20314</v>
      </c>
    </row>
    <row r="1832" spans="1:8" x14ac:dyDescent="0.2">
      <c r="A1832" s="4" t="str">
        <f t="shared" si="49"/>
        <v>51</v>
      </c>
      <c r="B1832" s="4" t="str">
        <f>"51.2202"</f>
        <v>51.2202</v>
      </c>
      <c r="C1832" s="4" t="s">
        <v>18238</v>
      </c>
      <c r="D1832" s="4" t="s">
        <v>18307</v>
      </c>
      <c r="E1832" s="4" t="s">
        <v>11300</v>
      </c>
      <c r="F1832" s="4" t="s">
        <v>20315</v>
      </c>
      <c r="H1832" s="4" t="s">
        <v>20314</v>
      </c>
    </row>
    <row r="1833" spans="1:8" x14ac:dyDescent="0.2">
      <c r="A1833" s="4" t="str">
        <f t="shared" si="49"/>
        <v>51</v>
      </c>
      <c r="B1833" s="4" t="str">
        <f>"51.2205"</f>
        <v>51.2205</v>
      </c>
      <c r="C1833" s="4" t="s">
        <v>18238</v>
      </c>
      <c r="D1833" s="4" t="s">
        <v>18239</v>
      </c>
      <c r="E1833" s="4" t="s">
        <v>7924</v>
      </c>
      <c r="F1833" s="4" t="s">
        <v>7925</v>
      </c>
      <c r="G1833" s="4" t="s">
        <v>20316</v>
      </c>
      <c r="H1833" s="4" t="s">
        <v>20317</v>
      </c>
    </row>
    <row r="1834" spans="1:8" x14ac:dyDescent="0.2">
      <c r="A1834" s="4" t="str">
        <f t="shared" si="49"/>
        <v>51</v>
      </c>
      <c r="B1834" s="4" t="str">
        <f>"51.2206"</f>
        <v>51.2206</v>
      </c>
      <c r="C1834" s="4" t="s">
        <v>18238</v>
      </c>
      <c r="D1834" s="4" t="s">
        <v>18239</v>
      </c>
      <c r="E1834" s="4" t="s">
        <v>7926</v>
      </c>
      <c r="F1834" s="4" t="s">
        <v>7927</v>
      </c>
      <c r="H1834" s="4" t="s">
        <v>20318</v>
      </c>
    </row>
    <row r="1835" spans="1:8" x14ac:dyDescent="0.2">
      <c r="A1835" s="4" t="str">
        <f t="shared" si="49"/>
        <v>51</v>
      </c>
      <c r="B1835" s="4" t="str">
        <f>"51.2207"</f>
        <v>51.2207</v>
      </c>
      <c r="C1835" s="4" t="s">
        <v>18238</v>
      </c>
      <c r="D1835" s="4" t="s">
        <v>18239</v>
      </c>
      <c r="E1835" s="4" t="s">
        <v>7928</v>
      </c>
      <c r="F1835" s="4" t="s">
        <v>20319</v>
      </c>
      <c r="H1835" s="4" t="s">
        <v>20318</v>
      </c>
    </row>
    <row r="1836" spans="1:8" x14ac:dyDescent="0.2">
      <c r="A1836" s="4" t="str">
        <f t="shared" si="49"/>
        <v>51</v>
      </c>
      <c r="B1836" s="4" t="str">
        <f>"51.2208"</f>
        <v>51.2208</v>
      </c>
      <c r="C1836" s="4" t="s">
        <v>18238</v>
      </c>
      <c r="D1836" s="4" t="s">
        <v>18239</v>
      </c>
      <c r="E1836" s="4" t="s">
        <v>7931</v>
      </c>
      <c r="F1836" s="4" t="s">
        <v>20320</v>
      </c>
      <c r="H1836" s="4" t="s">
        <v>20318</v>
      </c>
    </row>
    <row r="1837" spans="1:8" x14ac:dyDescent="0.2">
      <c r="A1837" s="4" t="str">
        <f t="shared" si="49"/>
        <v>51</v>
      </c>
      <c r="B1837" s="4" t="str">
        <f>"51.2209"</f>
        <v>51.2209</v>
      </c>
      <c r="C1837" s="4" t="s">
        <v>18238</v>
      </c>
      <c r="D1837" s="4" t="s">
        <v>18239</v>
      </c>
      <c r="E1837" s="4" t="s">
        <v>7934</v>
      </c>
      <c r="F1837" s="4" t="s">
        <v>20321</v>
      </c>
      <c r="H1837" s="4" t="s">
        <v>20318</v>
      </c>
    </row>
    <row r="1838" spans="1:8" x14ac:dyDescent="0.2">
      <c r="A1838" s="4" t="str">
        <f t="shared" si="49"/>
        <v>51</v>
      </c>
      <c r="B1838" s="4" t="str">
        <f>"51.2210"</f>
        <v>51.2210</v>
      </c>
      <c r="C1838" s="4" t="s">
        <v>18238</v>
      </c>
      <c r="D1838" s="4" t="s">
        <v>18239</v>
      </c>
      <c r="E1838" s="4" t="s">
        <v>7937</v>
      </c>
      <c r="F1838" s="4" t="s">
        <v>20322</v>
      </c>
      <c r="H1838" s="4" t="s">
        <v>20323</v>
      </c>
    </row>
    <row r="1839" spans="1:8" x14ac:dyDescent="0.2">
      <c r="A1839" s="4" t="str">
        <f t="shared" si="49"/>
        <v>51</v>
      </c>
      <c r="B1839" s="4" t="str">
        <f>"51.2211"</f>
        <v>51.2211</v>
      </c>
      <c r="C1839" s="4" t="s">
        <v>18238</v>
      </c>
      <c r="D1839" s="4" t="s">
        <v>18239</v>
      </c>
      <c r="E1839" s="4" t="s">
        <v>7940</v>
      </c>
      <c r="F1839" s="4" t="s">
        <v>20324</v>
      </c>
      <c r="H1839" s="4" t="s">
        <v>20323</v>
      </c>
    </row>
    <row r="1840" spans="1:8" x14ac:dyDescent="0.2">
      <c r="A1840" s="4" t="str">
        <f t="shared" si="49"/>
        <v>51</v>
      </c>
      <c r="B1840" s="4" t="str">
        <f>"51.2212"</f>
        <v>51.2212</v>
      </c>
      <c r="C1840" s="4" t="s">
        <v>18258</v>
      </c>
      <c r="D1840" s="4" t="s">
        <v>18239</v>
      </c>
      <c r="E1840" s="4" t="s">
        <v>20325</v>
      </c>
      <c r="F1840" s="4" t="s">
        <v>20326</v>
      </c>
      <c r="H1840" s="4" t="s">
        <v>20327</v>
      </c>
    </row>
    <row r="1841" spans="1:8" x14ac:dyDescent="0.2">
      <c r="A1841" s="4" t="str">
        <f t="shared" si="49"/>
        <v>51</v>
      </c>
      <c r="B1841" s="4" t="str">
        <f>"51.2299"</f>
        <v>51.2299</v>
      </c>
      <c r="C1841" s="4" t="s">
        <v>18238</v>
      </c>
      <c r="D1841" s="4" t="s">
        <v>18239</v>
      </c>
      <c r="E1841" s="4" t="s">
        <v>7942</v>
      </c>
      <c r="F1841" s="4" t="s">
        <v>7943</v>
      </c>
      <c r="G1841" s="4" t="s">
        <v>20328</v>
      </c>
      <c r="H1841" s="4" t="s">
        <v>20327</v>
      </c>
    </row>
    <row r="1842" spans="1:8" x14ac:dyDescent="0.2">
      <c r="A1842" s="4" t="str">
        <f t="shared" si="49"/>
        <v>51</v>
      </c>
      <c r="B1842" s="4" t="str">
        <f>"51.23"</f>
        <v>51.23</v>
      </c>
      <c r="C1842" s="4" t="s">
        <v>18238</v>
      </c>
      <c r="D1842" s="4" t="s">
        <v>18239</v>
      </c>
      <c r="E1842" s="4" t="s">
        <v>7945</v>
      </c>
      <c r="F1842" s="4" t="s">
        <v>7946</v>
      </c>
      <c r="H1842" s="4" t="s">
        <v>20327</v>
      </c>
    </row>
    <row r="1843" spans="1:8" x14ac:dyDescent="0.2">
      <c r="A1843" s="4" t="str">
        <f t="shared" si="49"/>
        <v>51</v>
      </c>
      <c r="B1843" s="4" t="str">
        <f>"51.2301"</f>
        <v>51.2301</v>
      </c>
      <c r="C1843" s="4" t="s">
        <v>18238</v>
      </c>
      <c r="D1843" s="4" t="s">
        <v>18239</v>
      </c>
      <c r="E1843" s="4" t="s">
        <v>8397</v>
      </c>
      <c r="F1843" s="4" t="s">
        <v>7953</v>
      </c>
      <c r="H1843" s="4" t="s">
        <v>20327</v>
      </c>
    </row>
    <row r="1844" spans="1:8" x14ac:dyDescent="0.2">
      <c r="A1844" s="4" t="str">
        <f t="shared" si="49"/>
        <v>51</v>
      </c>
      <c r="B1844" s="4" t="str">
        <f>"51.2302"</f>
        <v>51.2302</v>
      </c>
      <c r="C1844" s="4" t="s">
        <v>18238</v>
      </c>
      <c r="D1844" s="4" t="s">
        <v>18239</v>
      </c>
      <c r="E1844" s="4" t="s">
        <v>8342</v>
      </c>
      <c r="F1844" s="4" t="s">
        <v>7954</v>
      </c>
      <c r="G1844" s="4" t="s">
        <v>20329</v>
      </c>
      <c r="H1844" s="4" t="s">
        <v>20327</v>
      </c>
    </row>
    <row r="1845" spans="1:8" x14ac:dyDescent="0.2">
      <c r="A1845" s="4" t="str">
        <f t="shared" si="49"/>
        <v>51</v>
      </c>
      <c r="B1845" s="4" t="str">
        <f>"51.2305"</f>
        <v>51.2305</v>
      </c>
      <c r="C1845" s="4" t="s">
        <v>18238</v>
      </c>
      <c r="D1845" s="4" t="s">
        <v>18239</v>
      </c>
      <c r="E1845" s="4" t="s">
        <v>8422</v>
      </c>
      <c r="F1845" s="4" t="s">
        <v>7959</v>
      </c>
      <c r="H1845" s="4" t="s">
        <v>20327</v>
      </c>
    </row>
    <row r="1846" spans="1:8" x14ac:dyDescent="0.2">
      <c r="A1846" s="4" t="str">
        <f t="shared" si="49"/>
        <v>51</v>
      </c>
      <c r="B1846" s="4" t="str">
        <f>"51.2306"</f>
        <v>51.2306</v>
      </c>
      <c r="C1846" s="4" t="s">
        <v>18238</v>
      </c>
      <c r="D1846" s="4" t="s">
        <v>18239</v>
      </c>
      <c r="E1846" s="4" t="s">
        <v>7960</v>
      </c>
      <c r="F1846" s="4" t="s">
        <v>7961</v>
      </c>
      <c r="H1846" s="4" t="s">
        <v>20327</v>
      </c>
    </row>
    <row r="1847" spans="1:8" x14ac:dyDescent="0.2">
      <c r="A1847" s="4" t="str">
        <f t="shared" si="49"/>
        <v>51</v>
      </c>
      <c r="B1847" s="4" t="str">
        <f>"51.2307"</f>
        <v>51.2307</v>
      </c>
      <c r="C1847" s="4" t="s">
        <v>18238</v>
      </c>
      <c r="D1847" s="4" t="s">
        <v>18239</v>
      </c>
      <c r="E1847" s="4" t="s">
        <v>7962</v>
      </c>
      <c r="F1847" s="4" t="s">
        <v>7963</v>
      </c>
      <c r="H1847" s="4" t="s">
        <v>20327</v>
      </c>
    </row>
    <row r="1848" spans="1:8" x14ac:dyDescent="0.2">
      <c r="A1848" s="4" t="str">
        <f t="shared" ref="A1848:A1911" si="50">"51"</f>
        <v>51</v>
      </c>
      <c r="B1848" s="4" t="str">
        <f>"51.2308"</f>
        <v>51.2308</v>
      </c>
      <c r="C1848" s="4" t="s">
        <v>18238</v>
      </c>
      <c r="D1848" s="4" t="s">
        <v>18239</v>
      </c>
      <c r="E1848" s="4" t="s">
        <v>7964</v>
      </c>
      <c r="F1848" s="4" t="s">
        <v>7965</v>
      </c>
      <c r="H1848" s="4" t="s">
        <v>20327</v>
      </c>
    </row>
    <row r="1849" spans="1:8" x14ac:dyDescent="0.2">
      <c r="A1849" s="4" t="str">
        <f t="shared" si="50"/>
        <v>51</v>
      </c>
      <c r="B1849" s="4" t="str">
        <f>"51.2309"</f>
        <v>51.2309</v>
      </c>
      <c r="C1849" s="4" t="s">
        <v>18238</v>
      </c>
      <c r="D1849" s="4" t="s">
        <v>18239</v>
      </c>
      <c r="E1849" s="4" t="s">
        <v>7966</v>
      </c>
      <c r="F1849" s="4" t="s">
        <v>7967</v>
      </c>
      <c r="H1849" s="4" t="s">
        <v>20327</v>
      </c>
    </row>
    <row r="1850" spans="1:8" x14ac:dyDescent="0.2">
      <c r="A1850" s="4" t="str">
        <f t="shared" si="50"/>
        <v>51</v>
      </c>
      <c r="B1850" s="4" t="str">
        <f>"51.2310"</f>
        <v>51.2310</v>
      </c>
      <c r="C1850" s="4" t="s">
        <v>18238</v>
      </c>
      <c r="D1850" s="4" t="s">
        <v>18307</v>
      </c>
      <c r="E1850" s="4" t="s">
        <v>7968</v>
      </c>
      <c r="F1850" s="4" t="s">
        <v>20330</v>
      </c>
      <c r="H1850" s="4" t="s">
        <v>20331</v>
      </c>
    </row>
    <row r="1851" spans="1:8" x14ac:dyDescent="0.2">
      <c r="A1851" s="4" t="str">
        <f t="shared" si="50"/>
        <v>51</v>
      </c>
      <c r="B1851" s="4" t="str">
        <f>"51.2311"</f>
        <v>51.2311</v>
      </c>
      <c r="C1851" s="4" t="s">
        <v>18238</v>
      </c>
      <c r="D1851" s="4" t="s">
        <v>18239</v>
      </c>
      <c r="E1851" s="4" t="s">
        <v>7971</v>
      </c>
      <c r="F1851" s="4" t="s">
        <v>20332</v>
      </c>
      <c r="G1851" s="4" t="s">
        <v>20333</v>
      </c>
      <c r="H1851" s="4" t="s">
        <v>20331</v>
      </c>
    </row>
    <row r="1852" spans="1:8" x14ac:dyDescent="0.2">
      <c r="A1852" s="4" t="str">
        <f t="shared" si="50"/>
        <v>51</v>
      </c>
      <c r="B1852" s="4" t="str">
        <f>"51.2312"</f>
        <v>51.2312</v>
      </c>
      <c r="C1852" s="4" t="s">
        <v>18238</v>
      </c>
      <c r="D1852" s="4" t="s">
        <v>18239</v>
      </c>
      <c r="E1852" s="4" t="s">
        <v>20334</v>
      </c>
      <c r="F1852" s="4" t="s">
        <v>20335</v>
      </c>
      <c r="H1852" s="4" t="s">
        <v>20331</v>
      </c>
    </row>
    <row r="1853" spans="1:8" x14ac:dyDescent="0.2">
      <c r="A1853" s="4" t="str">
        <f t="shared" si="50"/>
        <v>51</v>
      </c>
      <c r="B1853" s="4" t="str">
        <f>"51.2313"</f>
        <v>51.2313</v>
      </c>
      <c r="C1853" s="4" t="s">
        <v>18258</v>
      </c>
      <c r="D1853" s="4" t="s">
        <v>18239</v>
      </c>
      <c r="E1853" s="4" t="s">
        <v>20336</v>
      </c>
      <c r="F1853" s="4" t="s">
        <v>20337</v>
      </c>
      <c r="H1853" s="4" t="s">
        <v>20338</v>
      </c>
    </row>
    <row r="1854" spans="1:8" x14ac:dyDescent="0.2">
      <c r="A1854" s="4" t="str">
        <f t="shared" si="50"/>
        <v>51</v>
      </c>
      <c r="B1854" s="4" t="str">
        <f>"51.2314"</f>
        <v>51.2314</v>
      </c>
      <c r="C1854" s="4" t="s">
        <v>18258</v>
      </c>
      <c r="D1854" s="4" t="s">
        <v>18239</v>
      </c>
      <c r="E1854" s="4" t="s">
        <v>20339</v>
      </c>
      <c r="F1854" s="4" t="s">
        <v>20340</v>
      </c>
      <c r="H1854" s="4" t="s">
        <v>20338</v>
      </c>
    </row>
    <row r="1855" spans="1:8" x14ac:dyDescent="0.2">
      <c r="A1855" s="4" t="str">
        <f t="shared" si="50"/>
        <v>51</v>
      </c>
      <c r="B1855" s="4" t="str">
        <f>"51.2399"</f>
        <v>51.2399</v>
      </c>
      <c r="C1855" s="4" t="s">
        <v>18238</v>
      </c>
      <c r="D1855" s="4" t="s">
        <v>18239</v>
      </c>
      <c r="E1855" s="4" t="s">
        <v>7976</v>
      </c>
      <c r="F1855" s="4" t="s">
        <v>7977</v>
      </c>
      <c r="H1855" s="4" t="s">
        <v>20338</v>
      </c>
    </row>
    <row r="1856" spans="1:8" x14ac:dyDescent="0.2">
      <c r="A1856" s="4" t="str">
        <f t="shared" si="50"/>
        <v>51</v>
      </c>
      <c r="B1856" s="4" t="str">
        <f>"51.24"</f>
        <v>51.24</v>
      </c>
      <c r="C1856" s="4" t="s">
        <v>18238</v>
      </c>
      <c r="D1856" s="4" t="s">
        <v>18239</v>
      </c>
      <c r="E1856" s="4" t="s">
        <v>20341</v>
      </c>
      <c r="F1856" s="4" t="s">
        <v>7978</v>
      </c>
      <c r="H1856" s="4" t="s">
        <v>20338</v>
      </c>
    </row>
    <row r="1857" spans="1:8" x14ac:dyDescent="0.2">
      <c r="A1857" s="4" t="str">
        <f t="shared" si="50"/>
        <v>51</v>
      </c>
      <c r="B1857" s="4" t="str">
        <f>"51.2401"</f>
        <v>51.2401</v>
      </c>
      <c r="C1857" s="4" t="s">
        <v>18238</v>
      </c>
      <c r="D1857" s="4" t="s">
        <v>18239</v>
      </c>
      <c r="E1857" s="4" t="s">
        <v>20341</v>
      </c>
      <c r="F1857" s="4" t="s">
        <v>7979</v>
      </c>
      <c r="H1857" s="4" t="s">
        <v>20342</v>
      </c>
    </row>
    <row r="1858" spans="1:8" x14ac:dyDescent="0.2">
      <c r="A1858" s="4" t="str">
        <f t="shared" si="50"/>
        <v>51</v>
      </c>
      <c r="B1858" s="4" t="str">
        <f>"51.25"</f>
        <v>51.25</v>
      </c>
      <c r="C1858" s="4" t="s">
        <v>18238</v>
      </c>
      <c r="D1858" s="4" t="s">
        <v>18239</v>
      </c>
      <c r="E1858" s="4" t="s">
        <v>20343</v>
      </c>
      <c r="F1858" s="4" t="s">
        <v>20344</v>
      </c>
      <c r="H1858" s="4" t="s">
        <v>20342</v>
      </c>
    </row>
    <row r="1859" spans="1:8" x14ac:dyDescent="0.2">
      <c r="A1859" s="4" t="str">
        <f t="shared" si="50"/>
        <v>51</v>
      </c>
      <c r="B1859" s="4" t="str">
        <f>"51.2501"</f>
        <v>51.2501</v>
      </c>
      <c r="C1859" s="4" t="s">
        <v>18238</v>
      </c>
      <c r="D1859" s="4" t="s">
        <v>18239</v>
      </c>
      <c r="E1859" s="4" t="s">
        <v>20345</v>
      </c>
      <c r="F1859" s="4" t="s">
        <v>20346</v>
      </c>
      <c r="H1859" s="4" t="s">
        <v>20347</v>
      </c>
    </row>
    <row r="1860" spans="1:8" x14ac:dyDescent="0.2">
      <c r="A1860" s="4" t="str">
        <f t="shared" si="50"/>
        <v>51</v>
      </c>
      <c r="B1860" s="4" t="str">
        <f>"51.2502"</f>
        <v>51.2502</v>
      </c>
      <c r="C1860" s="4" t="s">
        <v>18238</v>
      </c>
      <c r="D1860" s="4" t="s">
        <v>18239</v>
      </c>
      <c r="E1860" s="4" t="s">
        <v>20348</v>
      </c>
      <c r="F1860" s="4" t="s">
        <v>20349</v>
      </c>
      <c r="H1860" s="4" t="s">
        <v>20350</v>
      </c>
    </row>
    <row r="1861" spans="1:8" x14ac:dyDescent="0.2">
      <c r="A1861" s="4" t="str">
        <f t="shared" si="50"/>
        <v>51</v>
      </c>
      <c r="B1861" s="4" t="str">
        <f>"51.2503"</f>
        <v>51.2503</v>
      </c>
      <c r="C1861" s="4" t="s">
        <v>18238</v>
      </c>
      <c r="D1861" s="4" t="s">
        <v>18239</v>
      </c>
      <c r="E1861" s="4" t="s">
        <v>20351</v>
      </c>
      <c r="F1861" s="4" t="s">
        <v>20352</v>
      </c>
      <c r="H1861" s="4" t="s">
        <v>20353</v>
      </c>
    </row>
    <row r="1862" spans="1:8" x14ac:dyDescent="0.2">
      <c r="A1862" s="4" t="str">
        <f t="shared" si="50"/>
        <v>51</v>
      </c>
      <c r="B1862" s="4" t="str">
        <f>"51.2504"</f>
        <v>51.2504</v>
      </c>
      <c r="C1862" s="4" t="s">
        <v>18238</v>
      </c>
      <c r="D1862" s="4" t="s">
        <v>18239</v>
      </c>
      <c r="E1862" s="4" t="s">
        <v>20354</v>
      </c>
      <c r="F1862" s="4" t="s">
        <v>20355</v>
      </c>
      <c r="H1862" s="4" t="s">
        <v>20356</v>
      </c>
    </row>
    <row r="1863" spans="1:8" x14ac:dyDescent="0.2">
      <c r="A1863" s="4" t="str">
        <f t="shared" si="50"/>
        <v>51</v>
      </c>
      <c r="B1863" s="4" t="str">
        <f>"51.2505"</f>
        <v>51.2505</v>
      </c>
      <c r="C1863" s="4" t="s">
        <v>18238</v>
      </c>
      <c r="D1863" s="4" t="s">
        <v>18239</v>
      </c>
      <c r="E1863" s="4" t="s">
        <v>20357</v>
      </c>
      <c r="F1863" s="4" t="s">
        <v>20358</v>
      </c>
      <c r="H1863" s="4" t="s">
        <v>20359</v>
      </c>
    </row>
    <row r="1864" spans="1:8" x14ac:dyDescent="0.2">
      <c r="A1864" s="4" t="str">
        <f t="shared" si="50"/>
        <v>51</v>
      </c>
      <c r="B1864" s="4" t="str">
        <f>"51.2506"</f>
        <v>51.2506</v>
      </c>
      <c r="C1864" s="4" t="s">
        <v>18238</v>
      </c>
      <c r="D1864" s="4" t="s">
        <v>18239</v>
      </c>
      <c r="E1864" s="4" t="s">
        <v>20360</v>
      </c>
      <c r="F1864" s="4" t="s">
        <v>20361</v>
      </c>
      <c r="H1864" s="4" t="s">
        <v>20362</v>
      </c>
    </row>
    <row r="1865" spans="1:8" x14ac:dyDescent="0.2">
      <c r="A1865" s="4" t="str">
        <f t="shared" si="50"/>
        <v>51</v>
      </c>
      <c r="B1865" s="4" t="str">
        <f>"51.2507"</f>
        <v>51.2507</v>
      </c>
      <c r="C1865" s="4" t="s">
        <v>18238</v>
      </c>
      <c r="D1865" s="4" t="s">
        <v>18239</v>
      </c>
      <c r="E1865" s="4" t="s">
        <v>20363</v>
      </c>
      <c r="F1865" s="4" t="s">
        <v>20364</v>
      </c>
      <c r="H1865" s="4" t="s">
        <v>20365</v>
      </c>
    </row>
    <row r="1866" spans="1:8" x14ac:dyDescent="0.2">
      <c r="A1866" s="4" t="str">
        <f t="shared" si="50"/>
        <v>51</v>
      </c>
      <c r="B1866" s="4" t="str">
        <f>"51.2508"</f>
        <v>51.2508</v>
      </c>
      <c r="C1866" s="4" t="s">
        <v>18238</v>
      </c>
      <c r="D1866" s="4" t="s">
        <v>18239</v>
      </c>
      <c r="E1866" s="4" t="s">
        <v>20366</v>
      </c>
      <c r="F1866" s="4" t="s">
        <v>20367</v>
      </c>
      <c r="H1866" s="4" t="s">
        <v>20368</v>
      </c>
    </row>
    <row r="1867" spans="1:8" x14ac:dyDescent="0.2">
      <c r="A1867" s="4" t="str">
        <f t="shared" si="50"/>
        <v>51</v>
      </c>
      <c r="B1867" s="4" t="str">
        <f>"51.2509"</f>
        <v>51.2509</v>
      </c>
      <c r="C1867" s="4" t="s">
        <v>18238</v>
      </c>
      <c r="D1867" s="4" t="s">
        <v>18239</v>
      </c>
      <c r="E1867" s="4" t="s">
        <v>20369</v>
      </c>
      <c r="F1867" s="4" t="s">
        <v>20370</v>
      </c>
      <c r="H1867" s="4" t="s">
        <v>20371</v>
      </c>
    </row>
    <row r="1868" spans="1:8" x14ac:dyDescent="0.2">
      <c r="A1868" s="4" t="str">
        <f t="shared" si="50"/>
        <v>51</v>
      </c>
      <c r="B1868" s="4" t="str">
        <f>"51.2510"</f>
        <v>51.2510</v>
      </c>
      <c r="C1868" s="4" t="s">
        <v>18238</v>
      </c>
      <c r="D1868" s="4" t="s">
        <v>18239</v>
      </c>
      <c r="E1868" s="4" t="s">
        <v>20372</v>
      </c>
      <c r="F1868" s="4" t="s">
        <v>20373</v>
      </c>
      <c r="H1868" s="4" t="s">
        <v>20374</v>
      </c>
    </row>
    <row r="1869" spans="1:8" x14ac:dyDescent="0.2">
      <c r="A1869" s="4" t="str">
        <f t="shared" si="50"/>
        <v>51</v>
      </c>
      <c r="B1869" s="4" t="str">
        <f>"51.2511"</f>
        <v>51.2511</v>
      </c>
      <c r="C1869" s="4" t="s">
        <v>18238</v>
      </c>
      <c r="D1869" s="4" t="s">
        <v>18239</v>
      </c>
      <c r="E1869" s="4" t="s">
        <v>20375</v>
      </c>
      <c r="F1869" s="4" t="s">
        <v>20376</v>
      </c>
      <c r="H1869" s="4" t="s">
        <v>20377</v>
      </c>
    </row>
    <row r="1870" spans="1:8" x14ac:dyDescent="0.2">
      <c r="A1870" s="4" t="str">
        <f t="shared" si="50"/>
        <v>51</v>
      </c>
      <c r="B1870" s="4" t="str">
        <f>"51.2599"</f>
        <v>51.2599</v>
      </c>
      <c r="C1870" s="4" t="s">
        <v>18238</v>
      </c>
      <c r="D1870" s="4" t="s">
        <v>18239</v>
      </c>
      <c r="E1870" s="4" t="s">
        <v>20378</v>
      </c>
      <c r="F1870" s="4" t="s">
        <v>20379</v>
      </c>
      <c r="H1870" s="4" t="s">
        <v>20380</v>
      </c>
    </row>
    <row r="1871" spans="1:8" x14ac:dyDescent="0.2">
      <c r="A1871" s="4" t="str">
        <f t="shared" si="50"/>
        <v>51</v>
      </c>
      <c r="B1871" s="4" t="str">
        <f>"51.26"</f>
        <v>51.26</v>
      </c>
      <c r="C1871" s="4" t="s">
        <v>18238</v>
      </c>
      <c r="D1871" s="4" t="s">
        <v>18239</v>
      </c>
      <c r="E1871" s="4" t="s">
        <v>10730</v>
      </c>
      <c r="F1871" s="4" t="s">
        <v>20381</v>
      </c>
      <c r="H1871" s="4" t="s">
        <v>20380</v>
      </c>
    </row>
    <row r="1872" spans="1:8" x14ac:dyDescent="0.2">
      <c r="A1872" s="4" t="str">
        <f t="shared" si="50"/>
        <v>51</v>
      </c>
      <c r="B1872" s="4" t="str">
        <f>"51.2601"</f>
        <v>51.2601</v>
      </c>
      <c r="C1872" s="4" t="s">
        <v>18238</v>
      </c>
      <c r="D1872" s="4" t="s">
        <v>18239</v>
      </c>
      <c r="E1872" s="4" t="s">
        <v>7709</v>
      </c>
      <c r="F1872" s="4" t="s">
        <v>7710</v>
      </c>
      <c r="H1872" s="4" t="s">
        <v>20380</v>
      </c>
    </row>
    <row r="1873" spans="1:8" x14ac:dyDescent="0.2">
      <c r="A1873" s="4" t="str">
        <f t="shared" si="50"/>
        <v>51</v>
      </c>
      <c r="B1873" s="4" t="str">
        <f>"51.2602"</f>
        <v>51.2602</v>
      </c>
      <c r="C1873" s="4" t="s">
        <v>18238</v>
      </c>
      <c r="D1873" s="4" t="s">
        <v>18239</v>
      </c>
      <c r="E1873" s="4" t="s">
        <v>7712</v>
      </c>
      <c r="F1873" s="4" t="s">
        <v>20382</v>
      </c>
      <c r="H1873" s="4" t="s">
        <v>20380</v>
      </c>
    </row>
    <row r="1874" spans="1:8" x14ac:dyDescent="0.2">
      <c r="A1874" s="4" t="str">
        <f t="shared" si="50"/>
        <v>51</v>
      </c>
      <c r="B1874" s="4" t="str">
        <f>"51.2603"</f>
        <v>51.2603</v>
      </c>
      <c r="C1874" s="4" t="s">
        <v>18238</v>
      </c>
      <c r="D1874" s="4" t="s">
        <v>18239</v>
      </c>
      <c r="E1874" s="4" t="s">
        <v>7715</v>
      </c>
      <c r="F1874" s="4" t="s">
        <v>20383</v>
      </c>
      <c r="H1874" s="4" t="s">
        <v>20380</v>
      </c>
    </row>
    <row r="1875" spans="1:8" x14ac:dyDescent="0.2">
      <c r="A1875" s="4" t="str">
        <f t="shared" si="50"/>
        <v>51</v>
      </c>
      <c r="B1875" s="4" t="str">
        <f>"51.2604"</f>
        <v>51.2604</v>
      </c>
      <c r="C1875" s="4" t="s">
        <v>18258</v>
      </c>
      <c r="D1875" s="4" t="s">
        <v>18239</v>
      </c>
      <c r="E1875" s="4" t="s">
        <v>20384</v>
      </c>
      <c r="F1875" s="4" t="s">
        <v>20385</v>
      </c>
      <c r="H1875" s="4" t="s">
        <v>20380</v>
      </c>
    </row>
    <row r="1876" spans="1:8" x14ac:dyDescent="0.2">
      <c r="A1876" s="4" t="str">
        <f t="shared" si="50"/>
        <v>51</v>
      </c>
      <c r="B1876" s="4" t="str">
        <f>"51.2699"</f>
        <v>51.2699</v>
      </c>
      <c r="C1876" s="4" t="s">
        <v>18238</v>
      </c>
      <c r="D1876" s="4" t="s">
        <v>18239</v>
      </c>
      <c r="E1876" s="4" t="s">
        <v>7718</v>
      </c>
      <c r="F1876" s="4" t="s">
        <v>20386</v>
      </c>
      <c r="H1876" s="4" t="s">
        <v>20380</v>
      </c>
    </row>
    <row r="1877" spans="1:8" x14ac:dyDescent="0.2">
      <c r="A1877" s="4" t="str">
        <f t="shared" si="50"/>
        <v>51</v>
      </c>
      <c r="B1877" s="4" t="str">
        <f>"51.27"</f>
        <v>51.27</v>
      </c>
      <c r="C1877" s="4" t="s">
        <v>18238</v>
      </c>
      <c r="D1877" s="4" t="s">
        <v>18239</v>
      </c>
      <c r="E1877" s="4" t="s">
        <v>7721</v>
      </c>
      <c r="F1877" s="4" t="s">
        <v>20387</v>
      </c>
      <c r="H1877" s="4" t="s">
        <v>20380</v>
      </c>
    </row>
    <row r="1878" spans="1:8" x14ac:dyDescent="0.2">
      <c r="A1878" s="4" t="str">
        <f t="shared" si="50"/>
        <v>51</v>
      </c>
      <c r="B1878" s="4" t="str">
        <f>"51.2703"</f>
        <v>51.2703</v>
      </c>
      <c r="C1878" s="4" t="s">
        <v>18238</v>
      </c>
      <c r="D1878" s="4" t="s">
        <v>18239</v>
      </c>
      <c r="E1878" s="4" t="s">
        <v>7727</v>
      </c>
      <c r="F1878" s="4" t="s">
        <v>7728</v>
      </c>
      <c r="H1878" s="4" t="s">
        <v>20380</v>
      </c>
    </row>
    <row r="1879" spans="1:8" x14ac:dyDescent="0.2">
      <c r="A1879" s="4" t="str">
        <f t="shared" si="50"/>
        <v>51</v>
      </c>
      <c r="B1879" s="4" t="str">
        <f>"51.2706"</f>
        <v>51.2706</v>
      </c>
      <c r="C1879" s="4" t="s">
        <v>18238</v>
      </c>
      <c r="D1879" s="4" t="s">
        <v>18239</v>
      </c>
      <c r="E1879" s="4" t="s">
        <v>11161</v>
      </c>
      <c r="F1879" s="4" t="s">
        <v>20388</v>
      </c>
      <c r="G1879" s="4" t="s">
        <v>20389</v>
      </c>
      <c r="H1879" s="4" t="s">
        <v>20390</v>
      </c>
    </row>
    <row r="1880" spans="1:8" x14ac:dyDescent="0.2">
      <c r="A1880" s="4" t="str">
        <f t="shared" si="50"/>
        <v>51</v>
      </c>
      <c r="B1880" s="4" t="str">
        <f>"51.2799"</f>
        <v>51.2799</v>
      </c>
      <c r="C1880" s="4" t="s">
        <v>18238</v>
      </c>
      <c r="D1880" s="4" t="s">
        <v>18239</v>
      </c>
      <c r="E1880" s="4" t="s">
        <v>7735</v>
      </c>
      <c r="F1880" s="4" t="s">
        <v>20391</v>
      </c>
      <c r="H1880" s="4" t="s">
        <v>20390</v>
      </c>
    </row>
    <row r="1881" spans="1:8" x14ac:dyDescent="0.2">
      <c r="A1881" s="4" t="str">
        <f t="shared" si="50"/>
        <v>51</v>
      </c>
      <c r="B1881" s="4" t="str">
        <f>"51.31"</f>
        <v>51.31</v>
      </c>
      <c r="C1881" s="4" t="s">
        <v>18238</v>
      </c>
      <c r="D1881" s="4" t="s">
        <v>18239</v>
      </c>
      <c r="E1881" s="4" t="s">
        <v>7737</v>
      </c>
      <c r="F1881" s="4" t="s">
        <v>20392</v>
      </c>
      <c r="H1881" s="4" t="s">
        <v>20390</v>
      </c>
    </row>
    <row r="1882" spans="1:8" x14ac:dyDescent="0.2">
      <c r="A1882" s="4" t="str">
        <f t="shared" si="50"/>
        <v>51</v>
      </c>
      <c r="B1882" s="4" t="str">
        <f>"51.3101"</f>
        <v>51.3101</v>
      </c>
      <c r="C1882" s="4" t="s">
        <v>18238</v>
      </c>
      <c r="D1882" s="4" t="s">
        <v>18239</v>
      </c>
      <c r="E1882" s="4" t="s">
        <v>20393</v>
      </c>
      <c r="F1882" s="4" t="s">
        <v>20394</v>
      </c>
      <c r="H1882" s="4" t="s">
        <v>20395</v>
      </c>
    </row>
    <row r="1883" spans="1:8" x14ac:dyDescent="0.2">
      <c r="A1883" s="4" t="str">
        <f t="shared" si="50"/>
        <v>51</v>
      </c>
      <c r="B1883" s="4" t="str">
        <f>"51.3102"</f>
        <v>51.3102</v>
      </c>
      <c r="C1883" s="4" t="s">
        <v>18238</v>
      </c>
      <c r="D1883" s="4" t="s">
        <v>18239</v>
      </c>
      <c r="E1883" s="4" t="s">
        <v>7743</v>
      </c>
      <c r="F1883" s="4" t="s">
        <v>20396</v>
      </c>
      <c r="G1883" s="4" t="s">
        <v>20397</v>
      </c>
      <c r="H1883" s="4" t="s">
        <v>20395</v>
      </c>
    </row>
    <row r="1884" spans="1:8" x14ac:dyDescent="0.2">
      <c r="A1884" s="4" t="str">
        <f t="shared" si="50"/>
        <v>51</v>
      </c>
      <c r="B1884" s="4" t="str">
        <f>"51.3103"</f>
        <v>51.3103</v>
      </c>
      <c r="C1884" s="4" t="s">
        <v>18238</v>
      </c>
      <c r="D1884" s="4" t="s">
        <v>18239</v>
      </c>
      <c r="E1884" s="4" t="s">
        <v>20398</v>
      </c>
      <c r="F1884" s="4" t="s">
        <v>20399</v>
      </c>
      <c r="H1884" s="4" t="s">
        <v>20400</v>
      </c>
    </row>
    <row r="1885" spans="1:8" x14ac:dyDescent="0.2">
      <c r="A1885" s="4" t="str">
        <f t="shared" si="50"/>
        <v>51</v>
      </c>
      <c r="B1885" s="4" t="str">
        <f>"51.3104"</f>
        <v>51.3104</v>
      </c>
      <c r="C1885" s="4" t="s">
        <v>18238</v>
      </c>
      <c r="D1885" s="4" t="s">
        <v>18239</v>
      </c>
      <c r="E1885" s="4" t="s">
        <v>7749</v>
      </c>
      <c r="F1885" s="4" t="s">
        <v>20401</v>
      </c>
      <c r="H1885" s="4" t="s">
        <v>20400</v>
      </c>
    </row>
    <row r="1886" spans="1:8" x14ac:dyDescent="0.2">
      <c r="A1886" s="4" t="str">
        <f t="shared" si="50"/>
        <v>51</v>
      </c>
      <c r="B1886" s="4" t="str">
        <f>"51.3199"</f>
        <v>51.3199</v>
      </c>
      <c r="C1886" s="4" t="s">
        <v>18238</v>
      </c>
      <c r="D1886" s="4" t="s">
        <v>18239</v>
      </c>
      <c r="E1886" s="4" t="s">
        <v>7752</v>
      </c>
      <c r="F1886" s="4" t="s">
        <v>20402</v>
      </c>
      <c r="H1886" s="4" t="s">
        <v>20400</v>
      </c>
    </row>
    <row r="1887" spans="1:8" x14ac:dyDescent="0.2">
      <c r="A1887" s="4" t="str">
        <f t="shared" si="50"/>
        <v>51</v>
      </c>
      <c r="B1887" s="4" t="str">
        <f>"51.32"</f>
        <v>51.32</v>
      </c>
      <c r="C1887" s="4" t="s">
        <v>18238</v>
      </c>
      <c r="D1887" s="4" t="s">
        <v>18239</v>
      </c>
      <c r="E1887" s="4" t="s">
        <v>7755</v>
      </c>
      <c r="F1887" s="4" t="s">
        <v>20403</v>
      </c>
      <c r="H1887" s="4" t="s">
        <v>20400</v>
      </c>
    </row>
    <row r="1888" spans="1:8" x14ac:dyDescent="0.2">
      <c r="A1888" s="4" t="str">
        <f t="shared" si="50"/>
        <v>51</v>
      </c>
      <c r="B1888" s="4" t="str">
        <f>"51.3201"</f>
        <v>51.3201</v>
      </c>
      <c r="C1888" s="4" t="s">
        <v>18238</v>
      </c>
      <c r="D1888" s="4" t="s">
        <v>18239</v>
      </c>
      <c r="E1888" s="4" t="s">
        <v>7755</v>
      </c>
      <c r="F1888" s="4" t="s">
        <v>20404</v>
      </c>
      <c r="G1888" s="4" t="s">
        <v>20405</v>
      </c>
      <c r="H1888" s="4" t="s">
        <v>20400</v>
      </c>
    </row>
    <row r="1889" spans="1:8" x14ac:dyDescent="0.2">
      <c r="A1889" s="4" t="str">
        <f t="shared" si="50"/>
        <v>51</v>
      </c>
      <c r="B1889" s="4" t="str">
        <f>"51.33"</f>
        <v>51.33</v>
      </c>
      <c r="C1889" s="4" t="s">
        <v>18238</v>
      </c>
      <c r="D1889" s="4" t="s">
        <v>18239</v>
      </c>
      <c r="E1889" s="4" t="s">
        <v>7763</v>
      </c>
      <c r="F1889" s="4" t="s">
        <v>20406</v>
      </c>
      <c r="H1889" s="4" t="s">
        <v>20400</v>
      </c>
    </row>
    <row r="1890" spans="1:8" x14ac:dyDescent="0.2">
      <c r="A1890" s="4" t="str">
        <f t="shared" si="50"/>
        <v>51</v>
      </c>
      <c r="B1890" s="4" t="str">
        <f>"51.3300"</f>
        <v>51.3300</v>
      </c>
      <c r="C1890" s="4" t="s">
        <v>18258</v>
      </c>
      <c r="D1890" s="4" t="s">
        <v>18239</v>
      </c>
      <c r="E1890" s="4" t="s">
        <v>20407</v>
      </c>
      <c r="F1890" s="4" t="s">
        <v>20408</v>
      </c>
      <c r="H1890" s="4" t="s">
        <v>20400</v>
      </c>
    </row>
    <row r="1891" spans="1:8" x14ac:dyDescent="0.2">
      <c r="A1891" s="4" t="str">
        <f t="shared" si="50"/>
        <v>51</v>
      </c>
      <c r="B1891" s="4" t="str">
        <f>"51.3301"</f>
        <v>51.3301</v>
      </c>
      <c r="C1891" s="4" t="s">
        <v>18238</v>
      </c>
      <c r="D1891" s="4" t="s">
        <v>18307</v>
      </c>
      <c r="E1891" s="4" t="s">
        <v>7723</v>
      </c>
      <c r="F1891" s="4" t="s">
        <v>20409</v>
      </c>
      <c r="H1891" s="4" t="s">
        <v>20410</v>
      </c>
    </row>
    <row r="1892" spans="1:8" x14ac:dyDescent="0.2">
      <c r="A1892" s="4" t="str">
        <f t="shared" si="50"/>
        <v>51</v>
      </c>
      <c r="B1892" s="4" t="str">
        <f>"51.3302"</f>
        <v>51.3302</v>
      </c>
      <c r="C1892" s="4" t="s">
        <v>18238</v>
      </c>
      <c r="D1892" s="4" t="s">
        <v>18307</v>
      </c>
      <c r="E1892" s="4" t="s">
        <v>20411</v>
      </c>
      <c r="F1892" s="4" t="s">
        <v>20412</v>
      </c>
      <c r="H1892" s="4" t="s">
        <v>20410</v>
      </c>
    </row>
    <row r="1893" spans="1:8" x14ac:dyDescent="0.2">
      <c r="A1893" s="4" t="str">
        <f t="shared" si="50"/>
        <v>51</v>
      </c>
      <c r="B1893" s="4" t="str">
        <f>"51.3303"</f>
        <v>51.3303</v>
      </c>
      <c r="C1893" s="4" t="s">
        <v>18238</v>
      </c>
      <c r="D1893" s="4" t="s">
        <v>18239</v>
      </c>
      <c r="E1893" s="4" t="s">
        <v>20413</v>
      </c>
      <c r="F1893" s="4" t="s">
        <v>20414</v>
      </c>
      <c r="H1893" s="4" t="s">
        <v>20415</v>
      </c>
    </row>
    <row r="1894" spans="1:8" x14ac:dyDescent="0.2">
      <c r="A1894" s="4" t="str">
        <f t="shared" si="50"/>
        <v>51</v>
      </c>
      <c r="B1894" s="4" t="str">
        <f>"51.3304"</f>
        <v>51.3304</v>
      </c>
      <c r="C1894" s="4" t="s">
        <v>18238</v>
      </c>
      <c r="D1894" s="4" t="s">
        <v>18239</v>
      </c>
      <c r="E1894" s="4" t="s">
        <v>7775</v>
      </c>
      <c r="F1894" s="4" t="s">
        <v>20416</v>
      </c>
      <c r="H1894" s="4" t="s">
        <v>20415</v>
      </c>
    </row>
    <row r="1895" spans="1:8" x14ac:dyDescent="0.2">
      <c r="A1895" s="4" t="str">
        <f t="shared" si="50"/>
        <v>51</v>
      </c>
      <c r="B1895" s="4" t="str">
        <f>"51.3305"</f>
        <v>51.3305</v>
      </c>
      <c r="C1895" s="4" t="s">
        <v>18238</v>
      </c>
      <c r="D1895" s="4" t="s">
        <v>18239</v>
      </c>
      <c r="E1895" s="4" t="s">
        <v>7778</v>
      </c>
      <c r="F1895" s="4" t="s">
        <v>20417</v>
      </c>
      <c r="H1895" s="4" t="s">
        <v>20415</v>
      </c>
    </row>
    <row r="1896" spans="1:8" x14ac:dyDescent="0.2">
      <c r="A1896" s="4" t="str">
        <f t="shared" si="50"/>
        <v>51</v>
      </c>
      <c r="B1896" s="4" t="str">
        <f>"51.3306"</f>
        <v>51.3306</v>
      </c>
      <c r="C1896" s="4" t="s">
        <v>18258</v>
      </c>
      <c r="D1896" s="4" t="s">
        <v>18239</v>
      </c>
      <c r="E1896" s="4" t="s">
        <v>20418</v>
      </c>
      <c r="F1896" s="4" t="s">
        <v>20419</v>
      </c>
      <c r="H1896" s="4" t="s">
        <v>20415</v>
      </c>
    </row>
    <row r="1897" spans="1:8" x14ac:dyDescent="0.2">
      <c r="A1897" s="4" t="str">
        <f t="shared" si="50"/>
        <v>51</v>
      </c>
      <c r="B1897" s="4" t="str">
        <f>"51.3399"</f>
        <v>51.3399</v>
      </c>
      <c r="C1897" s="4" t="s">
        <v>18238</v>
      </c>
      <c r="D1897" s="4" t="s">
        <v>18239</v>
      </c>
      <c r="E1897" s="4" t="s">
        <v>7781</v>
      </c>
      <c r="F1897" s="4" t="s">
        <v>20420</v>
      </c>
      <c r="H1897" s="4" t="s">
        <v>20415</v>
      </c>
    </row>
    <row r="1898" spans="1:8" x14ac:dyDescent="0.2">
      <c r="A1898" s="4" t="str">
        <f t="shared" si="50"/>
        <v>51</v>
      </c>
      <c r="B1898" s="4" t="str">
        <f>"51.34"</f>
        <v>51.34</v>
      </c>
      <c r="C1898" s="4" t="s">
        <v>18238</v>
      </c>
      <c r="D1898" s="4" t="s">
        <v>18239</v>
      </c>
      <c r="E1898" s="4" t="s">
        <v>7784</v>
      </c>
      <c r="F1898" s="4" t="s">
        <v>20421</v>
      </c>
      <c r="H1898" s="4" t="s">
        <v>20415</v>
      </c>
    </row>
    <row r="1899" spans="1:8" x14ac:dyDescent="0.2">
      <c r="A1899" s="4" t="str">
        <f t="shared" si="50"/>
        <v>51</v>
      </c>
      <c r="B1899" s="4" t="str">
        <f>"51.3401"</f>
        <v>51.3401</v>
      </c>
      <c r="C1899" s="4" t="s">
        <v>18238</v>
      </c>
      <c r="D1899" s="4" t="s">
        <v>18239</v>
      </c>
      <c r="E1899" s="4" t="s">
        <v>20422</v>
      </c>
      <c r="F1899" s="4" t="s">
        <v>20423</v>
      </c>
      <c r="H1899" s="4" t="s">
        <v>20424</v>
      </c>
    </row>
    <row r="1900" spans="1:8" x14ac:dyDescent="0.2">
      <c r="A1900" s="4" t="str">
        <f t="shared" si="50"/>
        <v>51</v>
      </c>
      <c r="B1900" s="4" t="str">
        <f>"51.3499"</f>
        <v>51.3499</v>
      </c>
      <c r="C1900" s="4" t="s">
        <v>18238</v>
      </c>
      <c r="D1900" s="4" t="s">
        <v>18239</v>
      </c>
      <c r="E1900" s="4" t="s">
        <v>7790</v>
      </c>
      <c r="F1900" s="4" t="s">
        <v>20425</v>
      </c>
      <c r="H1900" s="4" t="s">
        <v>20424</v>
      </c>
    </row>
    <row r="1901" spans="1:8" x14ac:dyDescent="0.2">
      <c r="A1901" s="4" t="str">
        <f t="shared" si="50"/>
        <v>51</v>
      </c>
      <c r="B1901" s="4" t="str">
        <f>"51.35"</f>
        <v>51.35</v>
      </c>
      <c r="C1901" s="4" t="s">
        <v>18238</v>
      </c>
      <c r="D1901" s="4" t="s">
        <v>18239</v>
      </c>
      <c r="E1901" s="4" t="s">
        <v>7948</v>
      </c>
      <c r="F1901" s="4" t="s">
        <v>20426</v>
      </c>
      <c r="H1901" s="4" t="s">
        <v>20424</v>
      </c>
    </row>
    <row r="1902" spans="1:8" x14ac:dyDescent="0.2">
      <c r="A1902" s="4" t="str">
        <f t="shared" si="50"/>
        <v>51</v>
      </c>
      <c r="B1902" s="4" t="str">
        <f>"51.3501"</f>
        <v>51.3501</v>
      </c>
      <c r="C1902" s="4" t="s">
        <v>18238</v>
      </c>
      <c r="D1902" s="4" t="s">
        <v>18239</v>
      </c>
      <c r="E1902" s="4" t="s">
        <v>7794</v>
      </c>
      <c r="F1902" s="4" t="s">
        <v>20427</v>
      </c>
      <c r="H1902" s="4" t="s">
        <v>20424</v>
      </c>
    </row>
    <row r="1903" spans="1:8" x14ac:dyDescent="0.2">
      <c r="A1903" s="4" t="str">
        <f t="shared" si="50"/>
        <v>51</v>
      </c>
      <c r="B1903" s="4" t="str">
        <f>"51.3502"</f>
        <v>51.3502</v>
      </c>
      <c r="C1903" s="4" t="s">
        <v>18238</v>
      </c>
      <c r="D1903" s="4" t="s">
        <v>18239</v>
      </c>
      <c r="E1903" s="4" t="s">
        <v>7797</v>
      </c>
      <c r="F1903" s="4" t="s">
        <v>20428</v>
      </c>
      <c r="H1903" s="4" t="s">
        <v>20424</v>
      </c>
    </row>
    <row r="1904" spans="1:8" x14ac:dyDescent="0.2">
      <c r="A1904" s="4" t="str">
        <f t="shared" si="50"/>
        <v>51</v>
      </c>
      <c r="B1904" s="4" t="str">
        <f>"51.3503"</f>
        <v>51.3503</v>
      </c>
      <c r="C1904" s="4" t="s">
        <v>18238</v>
      </c>
      <c r="D1904" s="4" t="s">
        <v>18239</v>
      </c>
      <c r="E1904" s="4" t="s">
        <v>7800</v>
      </c>
      <c r="F1904" s="4" t="s">
        <v>20429</v>
      </c>
      <c r="H1904" s="4" t="s">
        <v>20424</v>
      </c>
    </row>
    <row r="1905" spans="1:8" x14ac:dyDescent="0.2">
      <c r="A1905" s="4" t="str">
        <f t="shared" si="50"/>
        <v>51</v>
      </c>
      <c r="B1905" s="4" t="str">
        <f>"51.3599"</f>
        <v>51.3599</v>
      </c>
      <c r="C1905" s="4" t="s">
        <v>18238</v>
      </c>
      <c r="D1905" s="4" t="s">
        <v>18239</v>
      </c>
      <c r="E1905" s="4" t="s">
        <v>7803</v>
      </c>
      <c r="F1905" s="4" t="s">
        <v>20430</v>
      </c>
      <c r="H1905" s="4" t="s">
        <v>20424</v>
      </c>
    </row>
    <row r="1906" spans="1:8" x14ac:dyDescent="0.2">
      <c r="A1906" s="4" t="str">
        <f t="shared" si="50"/>
        <v>51</v>
      </c>
      <c r="B1906" s="4" t="str">
        <f>"51.36"</f>
        <v>51.36</v>
      </c>
      <c r="C1906" s="4" t="s">
        <v>18238</v>
      </c>
      <c r="D1906" s="4" t="s">
        <v>18239</v>
      </c>
      <c r="E1906" s="4" t="s">
        <v>7950</v>
      </c>
      <c r="F1906" s="4" t="s">
        <v>20431</v>
      </c>
      <c r="H1906" s="4" t="s">
        <v>20424</v>
      </c>
    </row>
    <row r="1907" spans="1:8" x14ac:dyDescent="0.2">
      <c r="A1907" s="4" t="str">
        <f t="shared" si="50"/>
        <v>51</v>
      </c>
      <c r="B1907" s="4" t="str">
        <f>"51.3601"</f>
        <v>51.3601</v>
      </c>
      <c r="C1907" s="4" t="s">
        <v>18238</v>
      </c>
      <c r="D1907" s="4" t="s">
        <v>18239</v>
      </c>
      <c r="E1907" s="4" t="s">
        <v>7807</v>
      </c>
      <c r="F1907" s="4" t="s">
        <v>20432</v>
      </c>
      <c r="G1907" s="4" t="s">
        <v>20433</v>
      </c>
      <c r="H1907" s="4" t="s">
        <v>20424</v>
      </c>
    </row>
    <row r="1908" spans="1:8" x14ac:dyDescent="0.2">
      <c r="A1908" s="4" t="str">
        <f t="shared" si="50"/>
        <v>51</v>
      </c>
      <c r="B1908" s="4" t="str">
        <f>"51.3602"</f>
        <v>51.3602</v>
      </c>
      <c r="C1908" s="4" t="s">
        <v>18238</v>
      </c>
      <c r="D1908" s="4" t="s">
        <v>18239</v>
      </c>
      <c r="E1908" s="4" t="s">
        <v>7810</v>
      </c>
      <c r="F1908" s="4" t="s">
        <v>20434</v>
      </c>
      <c r="H1908" s="4" t="s">
        <v>20424</v>
      </c>
    </row>
    <row r="1909" spans="1:8" x14ac:dyDescent="0.2">
      <c r="A1909" s="4" t="str">
        <f t="shared" si="50"/>
        <v>51</v>
      </c>
      <c r="B1909" s="4" t="str">
        <f>"51.3603"</f>
        <v>51.3603</v>
      </c>
      <c r="C1909" s="4" t="s">
        <v>18238</v>
      </c>
      <c r="D1909" s="4" t="s">
        <v>18239</v>
      </c>
      <c r="E1909" s="4" t="s">
        <v>7813</v>
      </c>
      <c r="F1909" s="4" t="s">
        <v>20435</v>
      </c>
      <c r="H1909" s="4" t="s">
        <v>20424</v>
      </c>
    </row>
    <row r="1910" spans="1:8" x14ac:dyDescent="0.2">
      <c r="A1910" s="4" t="str">
        <f t="shared" si="50"/>
        <v>51</v>
      </c>
      <c r="B1910" s="4" t="str">
        <f>"51.3699"</f>
        <v>51.3699</v>
      </c>
      <c r="C1910" s="4" t="s">
        <v>18238</v>
      </c>
      <c r="D1910" s="4" t="s">
        <v>18239</v>
      </c>
      <c r="E1910" s="4" t="s">
        <v>7816</v>
      </c>
      <c r="F1910" s="4" t="s">
        <v>20436</v>
      </c>
      <c r="H1910" s="4" t="s">
        <v>20424</v>
      </c>
    </row>
    <row r="1911" spans="1:8" x14ac:dyDescent="0.2">
      <c r="A1911" s="4" t="str">
        <f t="shared" si="50"/>
        <v>51</v>
      </c>
      <c r="B1911" s="4" t="str">
        <f>"51.37"</f>
        <v>51.37</v>
      </c>
      <c r="C1911" s="4" t="s">
        <v>18238</v>
      </c>
      <c r="D1911" s="4" t="s">
        <v>18239</v>
      </c>
      <c r="E1911" s="4" t="s">
        <v>7952</v>
      </c>
      <c r="F1911" s="4" t="s">
        <v>20437</v>
      </c>
      <c r="H1911" s="4" t="s">
        <v>20424</v>
      </c>
    </row>
    <row r="1912" spans="1:8" x14ac:dyDescent="0.2">
      <c r="A1912" s="4" t="str">
        <f t="shared" ref="A1912:A1946" si="51">"51"</f>
        <v>51</v>
      </c>
      <c r="B1912" s="4" t="str">
        <f>"51.3701"</f>
        <v>51.3701</v>
      </c>
      <c r="C1912" s="4" t="s">
        <v>18238</v>
      </c>
      <c r="D1912" s="4" t="s">
        <v>18239</v>
      </c>
      <c r="E1912" s="4" t="s">
        <v>7820</v>
      </c>
      <c r="F1912" s="4" t="s">
        <v>20438</v>
      </c>
      <c r="H1912" s="4" t="s">
        <v>20424</v>
      </c>
    </row>
    <row r="1913" spans="1:8" x14ac:dyDescent="0.2">
      <c r="A1913" s="4" t="str">
        <f t="shared" si="51"/>
        <v>51</v>
      </c>
      <c r="B1913" s="4" t="str">
        <f>"51.3702"</f>
        <v>51.3702</v>
      </c>
      <c r="C1913" s="4" t="s">
        <v>18238</v>
      </c>
      <c r="D1913" s="4" t="s">
        <v>18239</v>
      </c>
      <c r="E1913" s="4" t="s">
        <v>7823</v>
      </c>
      <c r="F1913" s="4" t="s">
        <v>20439</v>
      </c>
      <c r="H1913" s="4" t="s">
        <v>20424</v>
      </c>
    </row>
    <row r="1914" spans="1:8" x14ac:dyDescent="0.2">
      <c r="A1914" s="4" t="str">
        <f t="shared" si="51"/>
        <v>51</v>
      </c>
      <c r="B1914" s="4" t="str">
        <f>"51.3703"</f>
        <v>51.3703</v>
      </c>
      <c r="C1914" s="4" t="s">
        <v>18238</v>
      </c>
      <c r="D1914" s="4" t="s">
        <v>18239</v>
      </c>
      <c r="E1914" s="4" t="s">
        <v>7826</v>
      </c>
      <c r="F1914" s="4" t="s">
        <v>20440</v>
      </c>
      <c r="H1914" s="4" t="s">
        <v>20424</v>
      </c>
    </row>
    <row r="1915" spans="1:8" x14ac:dyDescent="0.2">
      <c r="A1915" s="4" t="str">
        <f t="shared" si="51"/>
        <v>51</v>
      </c>
      <c r="B1915" s="4" t="str">
        <f>"51.3704"</f>
        <v>51.3704</v>
      </c>
      <c r="C1915" s="4" t="s">
        <v>18238</v>
      </c>
      <c r="D1915" s="4" t="s">
        <v>18239</v>
      </c>
      <c r="E1915" s="4" t="s">
        <v>7829</v>
      </c>
      <c r="F1915" s="4" t="s">
        <v>20441</v>
      </c>
      <c r="H1915" s="4" t="s">
        <v>20424</v>
      </c>
    </row>
    <row r="1916" spans="1:8" x14ac:dyDescent="0.2">
      <c r="A1916" s="4" t="str">
        <f t="shared" si="51"/>
        <v>51</v>
      </c>
      <c r="B1916" s="4" t="str">
        <f>"51.3799"</f>
        <v>51.3799</v>
      </c>
      <c r="C1916" s="4" t="s">
        <v>18238</v>
      </c>
      <c r="D1916" s="4" t="s">
        <v>18239</v>
      </c>
      <c r="E1916" s="4" t="s">
        <v>7832</v>
      </c>
      <c r="F1916" s="4" t="s">
        <v>20442</v>
      </c>
      <c r="H1916" s="4" t="s">
        <v>20424</v>
      </c>
    </row>
    <row r="1917" spans="1:8" x14ac:dyDescent="0.2">
      <c r="A1917" s="4" t="str">
        <f t="shared" si="51"/>
        <v>51</v>
      </c>
      <c r="B1917" s="4" t="str">
        <f>"51.38"</f>
        <v>51.38</v>
      </c>
      <c r="C1917" s="4" t="s">
        <v>18258</v>
      </c>
      <c r="D1917" s="4" t="s">
        <v>18239</v>
      </c>
      <c r="E1917" s="4" t="s">
        <v>20443</v>
      </c>
      <c r="F1917" s="4" t="s">
        <v>20444</v>
      </c>
      <c r="H1917" s="4" t="s">
        <v>20424</v>
      </c>
    </row>
    <row r="1918" spans="1:8" x14ac:dyDescent="0.2">
      <c r="A1918" s="4" t="str">
        <f t="shared" si="51"/>
        <v>51</v>
      </c>
      <c r="B1918" s="4" t="str">
        <f>"51.3801"</f>
        <v>51.3801</v>
      </c>
      <c r="C1918" s="4" t="s">
        <v>19061</v>
      </c>
      <c r="D1918" s="4" t="s">
        <v>18307</v>
      </c>
      <c r="E1918" s="4" t="s">
        <v>20445</v>
      </c>
      <c r="F1918" s="4" t="s">
        <v>20446</v>
      </c>
      <c r="H1918" s="4" t="s">
        <v>20447</v>
      </c>
    </row>
    <row r="1919" spans="1:8" x14ac:dyDescent="0.2">
      <c r="A1919" s="4" t="str">
        <f t="shared" si="51"/>
        <v>51</v>
      </c>
      <c r="B1919" s="4" t="str">
        <f>"51.3802"</f>
        <v>51.3802</v>
      </c>
      <c r="C1919" s="4" t="s">
        <v>19061</v>
      </c>
      <c r="D1919" s="4" t="s">
        <v>18239</v>
      </c>
      <c r="E1919" s="4" t="s">
        <v>20448</v>
      </c>
      <c r="F1919" s="4" t="s">
        <v>20449</v>
      </c>
      <c r="H1919" s="4" t="s">
        <v>20450</v>
      </c>
    </row>
    <row r="1920" spans="1:8" x14ac:dyDescent="0.2">
      <c r="A1920" s="4" t="str">
        <f t="shared" si="51"/>
        <v>51</v>
      </c>
      <c r="B1920" s="4" t="str">
        <f>"51.3803"</f>
        <v>51.3803</v>
      </c>
      <c r="C1920" s="4" t="s">
        <v>19061</v>
      </c>
      <c r="D1920" s="4" t="s">
        <v>18239</v>
      </c>
      <c r="E1920" s="4" t="s">
        <v>8137</v>
      </c>
      <c r="F1920" s="4" t="s">
        <v>20451</v>
      </c>
      <c r="H1920" s="4" t="s">
        <v>20452</v>
      </c>
    </row>
    <row r="1921" spans="1:8" x14ac:dyDescent="0.2">
      <c r="A1921" s="4" t="str">
        <f t="shared" si="51"/>
        <v>51</v>
      </c>
      <c r="B1921" s="4" t="str">
        <f>"51.3804"</f>
        <v>51.3804</v>
      </c>
      <c r="C1921" s="4" t="s">
        <v>19061</v>
      </c>
      <c r="D1921" s="4" t="s">
        <v>18239</v>
      </c>
      <c r="E1921" s="4" t="s">
        <v>8139</v>
      </c>
      <c r="F1921" s="4" t="s">
        <v>20453</v>
      </c>
      <c r="H1921" s="4" t="s">
        <v>20452</v>
      </c>
    </row>
    <row r="1922" spans="1:8" x14ac:dyDescent="0.2">
      <c r="A1922" s="4" t="str">
        <f t="shared" si="51"/>
        <v>51</v>
      </c>
      <c r="B1922" s="4" t="str">
        <f>"51.3805"</f>
        <v>51.3805</v>
      </c>
      <c r="C1922" s="4" t="s">
        <v>19061</v>
      </c>
      <c r="D1922" s="4" t="s">
        <v>18239</v>
      </c>
      <c r="E1922" s="4" t="s">
        <v>20454</v>
      </c>
      <c r="F1922" s="4" t="s">
        <v>20455</v>
      </c>
      <c r="H1922" s="4" t="s">
        <v>20456</v>
      </c>
    </row>
    <row r="1923" spans="1:8" x14ac:dyDescent="0.2">
      <c r="A1923" s="4" t="str">
        <f t="shared" si="51"/>
        <v>51</v>
      </c>
      <c r="B1923" s="4" t="str">
        <f>"51.3806"</f>
        <v>51.3806</v>
      </c>
      <c r="C1923" s="4" t="s">
        <v>19061</v>
      </c>
      <c r="D1923" s="4" t="s">
        <v>18239</v>
      </c>
      <c r="E1923" s="4" t="s">
        <v>8143</v>
      </c>
      <c r="F1923" s="4" t="s">
        <v>20457</v>
      </c>
      <c r="H1923" s="4" t="s">
        <v>20458</v>
      </c>
    </row>
    <row r="1924" spans="1:8" x14ac:dyDescent="0.2">
      <c r="A1924" s="4" t="str">
        <f t="shared" si="51"/>
        <v>51</v>
      </c>
      <c r="B1924" s="4" t="str">
        <f>"51.3807"</f>
        <v>51.3807</v>
      </c>
      <c r="C1924" s="4" t="s">
        <v>19061</v>
      </c>
      <c r="D1924" s="4" t="s">
        <v>18239</v>
      </c>
      <c r="E1924" s="4" t="s">
        <v>8145</v>
      </c>
      <c r="F1924" s="4" t="s">
        <v>20459</v>
      </c>
      <c r="H1924" s="4" t="s">
        <v>20458</v>
      </c>
    </row>
    <row r="1925" spans="1:8" x14ac:dyDescent="0.2">
      <c r="A1925" s="4" t="str">
        <f t="shared" si="51"/>
        <v>51</v>
      </c>
      <c r="B1925" s="4" t="str">
        <f>"51.3808"</f>
        <v>51.3808</v>
      </c>
      <c r="C1925" s="4" t="s">
        <v>19061</v>
      </c>
      <c r="D1925" s="4" t="s">
        <v>18239</v>
      </c>
      <c r="E1925" s="4" t="s">
        <v>20460</v>
      </c>
      <c r="F1925" s="4" t="s">
        <v>8148</v>
      </c>
      <c r="H1925" s="4" t="s">
        <v>20461</v>
      </c>
    </row>
    <row r="1926" spans="1:8" x14ac:dyDescent="0.2">
      <c r="A1926" s="4" t="str">
        <f t="shared" si="51"/>
        <v>51</v>
      </c>
      <c r="B1926" s="4" t="str">
        <f>"51.3809"</f>
        <v>51.3809</v>
      </c>
      <c r="C1926" s="4" t="s">
        <v>19061</v>
      </c>
      <c r="D1926" s="4" t="s">
        <v>18239</v>
      </c>
      <c r="E1926" s="4" t="s">
        <v>8149</v>
      </c>
      <c r="F1926" s="4" t="s">
        <v>20462</v>
      </c>
      <c r="H1926" s="4" t="s">
        <v>20463</v>
      </c>
    </row>
    <row r="1927" spans="1:8" x14ac:dyDescent="0.2">
      <c r="A1927" s="4" t="str">
        <f t="shared" si="51"/>
        <v>51</v>
      </c>
      <c r="B1927" s="4" t="str">
        <f>"51.3810"</f>
        <v>51.3810</v>
      </c>
      <c r="C1927" s="4" t="s">
        <v>19061</v>
      </c>
      <c r="D1927" s="4" t="s">
        <v>18239</v>
      </c>
      <c r="E1927" s="4" t="s">
        <v>8151</v>
      </c>
      <c r="F1927" s="4" t="s">
        <v>20464</v>
      </c>
      <c r="H1927" s="4" t="s">
        <v>20465</v>
      </c>
    </row>
    <row r="1928" spans="1:8" x14ac:dyDescent="0.2">
      <c r="A1928" s="4" t="str">
        <f t="shared" si="51"/>
        <v>51</v>
      </c>
      <c r="B1928" s="4" t="str">
        <f>"51.3811"</f>
        <v>51.3811</v>
      </c>
      <c r="C1928" s="4" t="s">
        <v>19061</v>
      </c>
      <c r="D1928" s="4" t="s">
        <v>18239</v>
      </c>
      <c r="E1928" s="4" t="s">
        <v>8153</v>
      </c>
      <c r="F1928" s="4" t="s">
        <v>20466</v>
      </c>
      <c r="H1928" s="4" t="s">
        <v>20465</v>
      </c>
    </row>
    <row r="1929" spans="1:8" x14ac:dyDescent="0.2">
      <c r="A1929" s="4" t="str">
        <f t="shared" si="51"/>
        <v>51</v>
      </c>
      <c r="B1929" s="4" t="str">
        <f>"51.3812"</f>
        <v>51.3812</v>
      </c>
      <c r="C1929" s="4" t="s">
        <v>19061</v>
      </c>
      <c r="D1929" s="4" t="s">
        <v>18239</v>
      </c>
      <c r="E1929" s="4" t="s">
        <v>8155</v>
      </c>
      <c r="F1929" s="4" t="s">
        <v>20467</v>
      </c>
      <c r="H1929" s="4" t="s">
        <v>20465</v>
      </c>
    </row>
    <row r="1930" spans="1:8" x14ac:dyDescent="0.2">
      <c r="A1930" s="4" t="str">
        <f t="shared" si="51"/>
        <v>51</v>
      </c>
      <c r="B1930" s="4" t="str">
        <f>"51.3813"</f>
        <v>51.3813</v>
      </c>
      <c r="C1930" s="4" t="s">
        <v>19061</v>
      </c>
      <c r="D1930" s="4" t="s">
        <v>18239</v>
      </c>
      <c r="E1930" s="4" t="s">
        <v>8164</v>
      </c>
      <c r="F1930" s="4" t="s">
        <v>20468</v>
      </c>
      <c r="H1930" s="4" t="s">
        <v>20465</v>
      </c>
    </row>
    <row r="1931" spans="1:8" x14ac:dyDescent="0.2">
      <c r="A1931" s="4" t="str">
        <f t="shared" si="51"/>
        <v>51</v>
      </c>
      <c r="B1931" s="4" t="str">
        <f>"51.3814"</f>
        <v>51.3814</v>
      </c>
      <c r="C1931" s="4" t="s">
        <v>19061</v>
      </c>
      <c r="D1931" s="4" t="s">
        <v>18239</v>
      </c>
      <c r="E1931" s="4" t="s">
        <v>8167</v>
      </c>
      <c r="F1931" s="4" t="s">
        <v>20469</v>
      </c>
      <c r="H1931" s="4" t="s">
        <v>20470</v>
      </c>
    </row>
    <row r="1932" spans="1:8" x14ac:dyDescent="0.2">
      <c r="A1932" s="4" t="str">
        <f t="shared" si="51"/>
        <v>51</v>
      </c>
      <c r="B1932" s="4" t="str">
        <f>"51.3815"</f>
        <v>51.3815</v>
      </c>
      <c r="C1932" s="4" t="s">
        <v>19061</v>
      </c>
      <c r="D1932" s="4" t="s">
        <v>18239</v>
      </c>
      <c r="E1932" s="4" t="s">
        <v>8170</v>
      </c>
      <c r="F1932" s="4" t="s">
        <v>20471</v>
      </c>
      <c r="H1932" s="4" t="s">
        <v>20470</v>
      </c>
    </row>
    <row r="1933" spans="1:8" x14ac:dyDescent="0.2">
      <c r="A1933" s="4" t="str">
        <f t="shared" si="51"/>
        <v>51</v>
      </c>
      <c r="B1933" s="4" t="str">
        <f>"51.3816"</f>
        <v>51.3816</v>
      </c>
      <c r="C1933" s="4" t="s">
        <v>18258</v>
      </c>
      <c r="D1933" s="4" t="s">
        <v>18239</v>
      </c>
      <c r="E1933" s="4" t="s">
        <v>20472</v>
      </c>
      <c r="F1933" s="4" t="s">
        <v>20473</v>
      </c>
      <c r="H1933" s="4" t="s">
        <v>20474</v>
      </c>
    </row>
    <row r="1934" spans="1:8" x14ac:dyDescent="0.2">
      <c r="A1934" s="4" t="str">
        <f t="shared" si="51"/>
        <v>51</v>
      </c>
      <c r="B1934" s="4" t="str">
        <f>"51.3817"</f>
        <v>51.3817</v>
      </c>
      <c r="C1934" s="4" t="s">
        <v>18258</v>
      </c>
      <c r="D1934" s="4" t="s">
        <v>18239</v>
      </c>
      <c r="E1934" s="4" t="s">
        <v>20475</v>
      </c>
      <c r="F1934" s="4" t="s">
        <v>20476</v>
      </c>
      <c r="H1934" s="4" t="s">
        <v>20474</v>
      </c>
    </row>
    <row r="1935" spans="1:8" x14ac:dyDescent="0.2">
      <c r="A1935" s="4" t="str">
        <f t="shared" si="51"/>
        <v>51</v>
      </c>
      <c r="B1935" s="4" t="str">
        <f>"51.3818"</f>
        <v>51.3818</v>
      </c>
      <c r="C1935" s="4" t="s">
        <v>18258</v>
      </c>
      <c r="D1935" s="4" t="s">
        <v>18239</v>
      </c>
      <c r="E1935" s="4" t="s">
        <v>20477</v>
      </c>
      <c r="F1935" s="4" t="s">
        <v>20478</v>
      </c>
      <c r="H1935" s="4" t="s">
        <v>20479</v>
      </c>
    </row>
    <row r="1936" spans="1:8" x14ac:dyDescent="0.2">
      <c r="A1936" s="4" t="str">
        <f t="shared" si="51"/>
        <v>51</v>
      </c>
      <c r="B1936" s="4" t="str">
        <f>"51.3819"</f>
        <v>51.3819</v>
      </c>
      <c r="C1936" s="4" t="s">
        <v>18258</v>
      </c>
      <c r="D1936" s="4" t="s">
        <v>18239</v>
      </c>
      <c r="E1936" s="4" t="s">
        <v>20480</v>
      </c>
      <c r="F1936" s="4" t="s">
        <v>20481</v>
      </c>
      <c r="H1936" s="4" t="s">
        <v>20479</v>
      </c>
    </row>
    <row r="1937" spans="1:8" x14ac:dyDescent="0.2">
      <c r="A1937" s="4" t="str">
        <f t="shared" si="51"/>
        <v>51</v>
      </c>
      <c r="B1937" s="4" t="str">
        <f>"51.3820"</f>
        <v>51.3820</v>
      </c>
      <c r="C1937" s="4" t="s">
        <v>18258</v>
      </c>
      <c r="D1937" s="4" t="s">
        <v>18239</v>
      </c>
      <c r="E1937" s="4" t="s">
        <v>20482</v>
      </c>
      <c r="F1937" s="4" t="s">
        <v>20483</v>
      </c>
      <c r="H1937" s="4" t="s">
        <v>20479</v>
      </c>
    </row>
    <row r="1938" spans="1:8" x14ac:dyDescent="0.2">
      <c r="A1938" s="4" t="str">
        <f t="shared" si="51"/>
        <v>51</v>
      </c>
      <c r="B1938" s="4" t="str">
        <f>"51.3821"</f>
        <v>51.3821</v>
      </c>
      <c r="C1938" s="4" t="s">
        <v>18258</v>
      </c>
      <c r="D1938" s="4" t="s">
        <v>18239</v>
      </c>
      <c r="E1938" s="4" t="s">
        <v>20484</v>
      </c>
      <c r="F1938" s="4" t="s">
        <v>20485</v>
      </c>
      <c r="H1938" s="4" t="s">
        <v>20486</v>
      </c>
    </row>
    <row r="1939" spans="1:8" x14ac:dyDescent="0.2">
      <c r="A1939" s="4" t="str">
        <f t="shared" si="51"/>
        <v>51</v>
      </c>
      <c r="B1939" s="4" t="str">
        <f>"51.3822"</f>
        <v>51.3822</v>
      </c>
      <c r="C1939" s="4" t="s">
        <v>18258</v>
      </c>
      <c r="D1939" s="4" t="s">
        <v>18239</v>
      </c>
      <c r="E1939" s="4" t="s">
        <v>20487</v>
      </c>
      <c r="F1939" s="4" t="s">
        <v>20488</v>
      </c>
      <c r="H1939" s="4" t="s">
        <v>20489</v>
      </c>
    </row>
    <row r="1940" spans="1:8" x14ac:dyDescent="0.2">
      <c r="A1940" s="4" t="str">
        <f t="shared" si="51"/>
        <v>51</v>
      </c>
      <c r="B1940" s="4" t="str">
        <f>"51.3899"</f>
        <v>51.3899</v>
      </c>
      <c r="C1940" s="4" t="s">
        <v>18258</v>
      </c>
      <c r="D1940" s="4" t="s">
        <v>18239</v>
      </c>
      <c r="E1940" s="4" t="s">
        <v>20490</v>
      </c>
      <c r="F1940" s="4" t="s">
        <v>20491</v>
      </c>
      <c r="H1940" s="4" t="s">
        <v>20492</v>
      </c>
    </row>
    <row r="1941" spans="1:8" x14ac:dyDescent="0.2">
      <c r="A1941" s="4" t="str">
        <f t="shared" si="51"/>
        <v>51</v>
      </c>
      <c r="B1941" s="4" t="str">
        <f>"51.39"</f>
        <v>51.39</v>
      </c>
      <c r="C1941" s="4" t="s">
        <v>18258</v>
      </c>
      <c r="D1941" s="4" t="s">
        <v>18239</v>
      </c>
      <c r="E1941" s="4" t="s">
        <v>20493</v>
      </c>
      <c r="F1941" s="4" t="s">
        <v>20494</v>
      </c>
      <c r="H1941" s="4" t="s">
        <v>20492</v>
      </c>
    </row>
    <row r="1942" spans="1:8" x14ac:dyDescent="0.2">
      <c r="A1942" s="4" t="str">
        <f t="shared" si="51"/>
        <v>51</v>
      </c>
      <c r="B1942" s="4" t="str">
        <f>"51.3901"</f>
        <v>51.3901</v>
      </c>
      <c r="C1942" s="4" t="s">
        <v>19061</v>
      </c>
      <c r="D1942" s="4" t="s">
        <v>18239</v>
      </c>
      <c r="E1942" s="4" t="s">
        <v>20495</v>
      </c>
      <c r="F1942" s="4" t="s">
        <v>20496</v>
      </c>
      <c r="H1942" s="4" t="s">
        <v>20497</v>
      </c>
    </row>
    <row r="1943" spans="1:8" x14ac:dyDescent="0.2">
      <c r="A1943" s="4" t="str">
        <f t="shared" si="51"/>
        <v>51</v>
      </c>
      <c r="B1943" s="4" t="str">
        <f>"51.3902"</f>
        <v>51.3902</v>
      </c>
      <c r="C1943" s="4" t="s">
        <v>19061</v>
      </c>
      <c r="D1943" s="4" t="s">
        <v>18307</v>
      </c>
      <c r="E1943" s="4" t="s">
        <v>20498</v>
      </c>
      <c r="F1943" s="4" t="s">
        <v>8160</v>
      </c>
      <c r="H1943" s="4" t="s">
        <v>20497</v>
      </c>
    </row>
    <row r="1944" spans="1:8" x14ac:dyDescent="0.2">
      <c r="A1944" s="4" t="str">
        <f t="shared" si="51"/>
        <v>51</v>
      </c>
      <c r="B1944" s="4" t="str">
        <f>"51.3999"</f>
        <v>51.3999</v>
      </c>
      <c r="C1944" s="4" t="s">
        <v>18258</v>
      </c>
      <c r="D1944" s="4" t="s">
        <v>18239</v>
      </c>
      <c r="E1944" s="4" t="s">
        <v>20499</v>
      </c>
      <c r="F1944" s="4" t="s">
        <v>20500</v>
      </c>
      <c r="H1944" s="4" t="s">
        <v>20497</v>
      </c>
    </row>
    <row r="1945" spans="1:8" x14ac:dyDescent="0.2">
      <c r="A1945" s="4" t="str">
        <f t="shared" si="51"/>
        <v>51</v>
      </c>
      <c r="B1945" s="4" t="str">
        <f>"51.99"</f>
        <v>51.99</v>
      </c>
      <c r="C1945" s="4" t="s">
        <v>18238</v>
      </c>
      <c r="D1945" s="4" t="s">
        <v>18239</v>
      </c>
      <c r="E1945" s="4" t="s">
        <v>7835</v>
      </c>
      <c r="F1945" s="4" t="s">
        <v>7836</v>
      </c>
      <c r="H1945" s="4" t="s">
        <v>20497</v>
      </c>
    </row>
    <row r="1946" spans="1:8" x14ac:dyDescent="0.2">
      <c r="A1946" s="4" t="str">
        <f t="shared" si="51"/>
        <v>51</v>
      </c>
      <c r="B1946" s="4" t="str">
        <f>"51.9999"</f>
        <v>51.9999</v>
      </c>
      <c r="C1946" s="4" t="s">
        <v>18238</v>
      </c>
      <c r="D1946" s="4" t="s">
        <v>18239</v>
      </c>
      <c r="E1946" s="4" t="s">
        <v>7835</v>
      </c>
      <c r="F1946" s="4" t="s">
        <v>7837</v>
      </c>
      <c r="H1946" s="4" t="s">
        <v>20497</v>
      </c>
    </row>
    <row r="1947" spans="1:8" x14ac:dyDescent="0.2">
      <c r="A1947" s="4" t="str">
        <f>"52"</f>
        <v>52</v>
      </c>
      <c r="B1947" s="4" t="str">
        <f>"52"</f>
        <v>52</v>
      </c>
      <c r="C1947" s="4" t="s">
        <v>18238</v>
      </c>
      <c r="D1947" s="4" t="s">
        <v>18239</v>
      </c>
      <c r="E1947" s="4" t="s">
        <v>7838</v>
      </c>
      <c r="F1947" s="4" t="s">
        <v>7839</v>
      </c>
      <c r="H1947" s="4" t="s">
        <v>20497</v>
      </c>
    </row>
    <row r="1948" spans="1:8" x14ac:dyDescent="0.2">
      <c r="A1948" s="4" t="str">
        <f t="shared" ref="A1948:A2011" si="52">"52"</f>
        <v>52</v>
      </c>
      <c r="B1948" s="4" t="str">
        <f>"52.01"</f>
        <v>52.01</v>
      </c>
      <c r="C1948" s="4" t="s">
        <v>18238</v>
      </c>
      <c r="D1948" s="4" t="s">
        <v>18239</v>
      </c>
      <c r="E1948" s="4" t="s">
        <v>7841</v>
      </c>
      <c r="F1948" s="4" t="s">
        <v>7842</v>
      </c>
      <c r="H1948" s="4" t="s">
        <v>20497</v>
      </c>
    </row>
    <row r="1949" spans="1:8" x14ac:dyDescent="0.2">
      <c r="A1949" s="4" t="str">
        <f t="shared" si="52"/>
        <v>52</v>
      </c>
      <c r="B1949" s="4" t="str">
        <f>"52.0101"</f>
        <v>52.0101</v>
      </c>
      <c r="C1949" s="4" t="s">
        <v>18238</v>
      </c>
      <c r="D1949" s="4" t="s">
        <v>18239</v>
      </c>
      <c r="E1949" s="4" t="s">
        <v>7841</v>
      </c>
      <c r="F1949" s="4" t="s">
        <v>7843</v>
      </c>
      <c r="H1949" s="4" t="s">
        <v>20497</v>
      </c>
    </row>
    <row r="1950" spans="1:8" x14ac:dyDescent="0.2">
      <c r="A1950" s="4" t="str">
        <f t="shared" si="52"/>
        <v>52</v>
      </c>
      <c r="B1950" s="4" t="str">
        <f>"52.02"</f>
        <v>52.02</v>
      </c>
      <c r="C1950" s="4" t="s">
        <v>18238</v>
      </c>
      <c r="D1950" s="4" t="s">
        <v>18239</v>
      </c>
      <c r="E1950" s="4" t="s">
        <v>7845</v>
      </c>
      <c r="F1950" s="4" t="s">
        <v>20501</v>
      </c>
      <c r="H1950" s="4" t="s">
        <v>20497</v>
      </c>
    </row>
    <row r="1951" spans="1:8" x14ac:dyDescent="0.2">
      <c r="A1951" s="4" t="str">
        <f t="shared" si="52"/>
        <v>52</v>
      </c>
      <c r="B1951" s="4" t="str">
        <f>"52.0201"</f>
        <v>52.0201</v>
      </c>
      <c r="C1951" s="4" t="s">
        <v>18238</v>
      </c>
      <c r="D1951" s="4" t="s">
        <v>18239</v>
      </c>
      <c r="E1951" s="4" t="s">
        <v>11589</v>
      </c>
      <c r="F1951" s="4" t="s">
        <v>7847</v>
      </c>
      <c r="H1951" s="4" t="s">
        <v>20502</v>
      </c>
    </row>
    <row r="1952" spans="1:8" x14ac:dyDescent="0.2">
      <c r="A1952" s="4" t="str">
        <f t="shared" si="52"/>
        <v>52</v>
      </c>
      <c r="B1952" s="4" t="str">
        <f>"52.0202"</f>
        <v>52.0202</v>
      </c>
      <c r="C1952" s="4" t="s">
        <v>18238</v>
      </c>
      <c r="D1952" s="4" t="s">
        <v>18239</v>
      </c>
      <c r="E1952" s="4" t="s">
        <v>7848</v>
      </c>
      <c r="F1952" s="4" t="s">
        <v>7849</v>
      </c>
      <c r="H1952" s="4" t="s">
        <v>20503</v>
      </c>
    </row>
    <row r="1953" spans="1:8" x14ac:dyDescent="0.2">
      <c r="A1953" s="4" t="str">
        <f t="shared" si="52"/>
        <v>52</v>
      </c>
      <c r="B1953" s="4" t="str">
        <f>"52.0203"</f>
        <v>52.0203</v>
      </c>
      <c r="C1953" s="4" t="s">
        <v>18238</v>
      </c>
      <c r="D1953" s="4" t="s">
        <v>18307</v>
      </c>
      <c r="E1953" s="4" t="s">
        <v>20504</v>
      </c>
      <c r="F1953" s="4" t="s">
        <v>7851</v>
      </c>
      <c r="H1953" s="4" t="s">
        <v>20505</v>
      </c>
    </row>
    <row r="1954" spans="1:8" x14ac:dyDescent="0.2">
      <c r="A1954" s="4" t="str">
        <f t="shared" si="52"/>
        <v>52</v>
      </c>
      <c r="B1954" s="4" t="str">
        <f>"52.0204"</f>
        <v>52.0204</v>
      </c>
      <c r="C1954" s="4" t="s">
        <v>18238</v>
      </c>
      <c r="D1954" s="4" t="s">
        <v>18239</v>
      </c>
      <c r="E1954" s="4" t="s">
        <v>7852</v>
      </c>
      <c r="F1954" s="4" t="s">
        <v>7853</v>
      </c>
      <c r="G1954" s="4" t="s">
        <v>20506</v>
      </c>
      <c r="H1954" s="4" t="s">
        <v>20505</v>
      </c>
    </row>
    <row r="1955" spans="1:8" x14ac:dyDescent="0.2">
      <c r="A1955" s="4" t="str">
        <f t="shared" si="52"/>
        <v>52</v>
      </c>
      <c r="B1955" s="4" t="str">
        <f>"52.0205"</f>
        <v>52.0205</v>
      </c>
      <c r="C1955" s="4" t="s">
        <v>18238</v>
      </c>
      <c r="D1955" s="4" t="s">
        <v>18239</v>
      </c>
      <c r="E1955" s="4" t="s">
        <v>11592</v>
      </c>
      <c r="F1955" s="4" t="s">
        <v>7854</v>
      </c>
      <c r="H1955" s="4" t="s">
        <v>20507</v>
      </c>
    </row>
    <row r="1956" spans="1:8" x14ac:dyDescent="0.2">
      <c r="A1956" s="4" t="str">
        <f t="shared" si="52"/>
        <v>52</v>
      </c>
      <c r="B1956" s="4" t="str">
        <f>"52.0206"</f>
        <v>52.0206</v>
      </c>
      <c r="C1956" s="4" t="s">
        <v>18238</v>
      </c>
      <c r="D1956" s="4" t="s">
        <v>18239</v>
      </c>
      <c r="E1956" s="4" t="s">
        <v>7855</v>
      </c>
      <c r="F1956" s="4" t="s">
        <v>7856</v>
      </c>
      <c r="H1956" s="4" t="s">
        <v>20507</v>
      </c>
    </row>
    <row r="1957" spans="1:8" x14ac:dyDescent="0.2">
      <c r="A1957" s="4" t="str">
        <f t="shared" si="52"/>
        <v>52</v>
      </c>
      <c r="B1957" s="4" t="str">
        <f>"52.0207"</f>
        <v>52.0207</v>
      </c>
      <c r="C1957" s="4" t="s">
        <v>18238</v>
      </c>
      <c r="D1957" s="4" t="s">
        <v>18239</v>
      </c>
      <c r="E1957" s="4" t="s">
        <v>10807</v>
      </c>
      <c r="F1957" s="4" t="s">
        <v>20508</v>
      </c>
      <c r="H1957" s="4" t="s">
        <v>20507</v>
      </c>
    </row>
    <row r="1958" spans="1:8" x14ac:dyDescent="0.2">
      <c r="A1958" s="4" t="str">
        <f t="shared" si="52"/>
        <v>52</v>
      </c>
      <c r="B1958" s="4" t="str">
        <f>"52.0208"</f>
        <v>52.0208</v>
      </c>
      <c r="C1958" s="4" t="s">
        <v>18238</v>
      </c>
      <c r="D1958" s="4" t="s">
        <v>18239</v>
      </c>
      <c r="E1958" s="4" t="s">
        <v>7859</v>
      </c>
      <c r="F1958" s="4" t="s">
        <v>20509</v>
      </c>
      <c r="H1958" s="4" t="s">
        <v>20507</v>
      </c>
    </row>
    <row r="1959" spans="1:8" x14ac:dyDescent="0.2">
      <c r="A1959" s="4" t="str">
        <f t="shared" si="52"/>
        <v>52</v>
      </c>
      <c r="B1959" s="4" t="str">
        <f>"52.0209"</f>
        <v>52.0209</v>
      </c>
      <c r="C1959" s="4" t="s">
        <v>18238</v>
      </c>
      <c r="D1959" s="4" t="s">
        <v>18307</v>
      </c>
      <c r="E1959" s="4" t="s">
        <v>20510</v>
      </c>
      <c r="F1959" s="4" t="s">
        <v>20511</v>
      </c>
      <c r="H1959" s="4" t="s">
        <v>20512</v>
      </c>
    </row>
    <row r="1960" spans="1:8" x14ac:dyDescent="0.2">
      <c r="A1960" s="4" t="str">
        <f t="shared" si="52"/>
        <v>52</v>
      </c>
      <c r="B1960" s="4" t="str">
        <f>"52.0210"</f>
        <v>52.0210</v>
      </c>
      <c r="C1960" s="4" t="s">
        <v>18258</v>
      </c>
      <c r="D1960" s="4" t="s">
        <v>18239</v>
      </c>
      <c r="E1960" s="4" t="s">
        <v>20513</v>
      </c>
      <c r="F1960" s="4" t="s">
        <v>20514</v>
      </c>
      <c r="H1960" s="4" t="s">
        <v>20512</v>
      </c>
    </row>
    <row r="1961" spans="1:8" x14ac:dyDescent="0.2">
      <c r="A1961" s="4" t="str">
        <f t="shared" si="52"/>
        <v>52</v>
      </c>
      <c r="B1961" s="4" t="str">
        <f>"52.0211"</f>
        <v>52.0211</v>
      </c>
      <c r="C1961" s="4" t="s">
        <v>18258</v>
      </c>
      <c r="D1961" s="4" t="s">
        <v>18239</v>
      </c>
      <c r="E1961" s="4" t="s">
        <v>20515</v>
      </c>
      <c r="F1961" s="4" t="s">
        <v>20516</v>
      </c>
      <c r="G1961" s="4" t="s">
        <v>20517</v>
      </c>
      <c r="H1961" s="4" t="s">
        <v>20512</v>
      </c>
    </row>
    <row r="1962" spans="1:8" x14ac:dyDescent="0.2">
      <c r="A1962" s="4" t="str">
        <f t="shared" si="52"/>
        <v>52</v>
      </c>
      <c r="B1962" s="4" t="str">
        <f>"52.0212"</f>
        <v>52.0212</v>
      </c>
      <c r="C1962" s="4" t="s">
        <v>18258</v>
      </c>
      <c r="D1962" s="4" t="s">
        <v>18239</v>
      </c>
      <c r="E1962" s="4" t="s">
        <v>20518</v>
      </c>
      <c r="F1962" s="4" t="s">
        <v>20519</v>
      </c>
      <c r="H1962" s="4" t="s">
        <v>20512</v>
      </c>
    </row>
    <row r="1963" spans="1:8" x14ac:dyDescent="0.2">
      <c r="A1963" s="4" t="str">
        <f t="shared" si="52"/>
        <v>52</v>
      </c>
      <c r="B1963" s="4" t="str">
        <f>"52.0213"</f>
        <v>52.0213</v>
      </c>
      <c r="C1963" s="4" t="s">
        <v>18258</v>
      </c>
      <c r="D1963" s="4" t="s">
        <v>18239</v>
      </c>
      <c r="E1963" s="4" t="s">
        <v>20520</v>
      </c>
      <c r="F1963" s="4" t="s">
        <v>20521</v>
      </c>
      <c r="H1963" s="4" t="s">
        <v>20522</v>
      </c>
    </row>
    <row r="1964" spans="1:8" x14ac:dyDescent="0.2">
      <c r="A1964" s="4" t="str">
        <f t="shared" si="52"/>
        <v>52</v>
      </c>
      <c r="B1964" s="4" t="str">
        <f>"52.0299"</f>
        <v>52.0299</v>
      </c>
      <c r="C1964" s="4" t="s">
        <v>18238</v>
      </c>
      <c r="D1964" s="4" t="s">
        <v>18239</v>
      </c>
      <c r="E1964" s="4" t="s">
        <v>7864</v>
      </c>
      <c r="F1964" s="4" t="s">
        <v>7865</v>
      </c>
      <c r="G1964" s="4" t="s">
        <v>20523</v>
      </c>
      <c r="H1964" s="4" t="s">
        <v>20522</v>
      </c>
    </row>
    <row r="1965" spans="1:8" x14ac:dyDescent="0.2">
      <c r="A1965" s="4" t="str">
        <f t="shared" si="52"/>
        <v>52</v>
      </c>
      <c r="B1965" s="4" t="str">
        <f>"52.03"</f>
        <v>52.03</v>
      </c>
      <c r="C1965" s="4" t="s">
        <v>18238</v>
      </c>
      <c r="D1965" s="4" t="s">
        <v>18239</v>
      </c>
      <c r="E1965" s="4" t="s">
        <v>7867</v>
      </c>
      <c r="F1965" s="4" t="s">
        <v>7868</v>
      </c>
      <c r="H1965" s="4" t="s">
        <v>20522</v>
      </c>
    </row>
    <row r="1966" spans="1:8" x14ac:dyDescent="0.2">
      <c r="A1966" s="4" t="str">
        <f t="shared" si="52"/>
        <v>52</v>
      </c>
      <c r="B1966" s="4" t="str">
        <f>"52.0301"</f>
        <v>52.0301</v>
      </c>
      <c r="C1966" s="4" t="s">
        <v>18238</v>
      </c>
      <c r="D1966" s="4" t="s">
        <v>18239</v>
      </c>
      <c r="E1966" s="4" t="s">
        <v>7869</v>
      </c>
      <c r="F1966" s="4" t="s">
        <v>7870</v>
      </c>
      <c r="H1966" s="4" t="s">
        <v>20522</v>
      </c>
    </row>
    <row r="1967" spans="1:8" x14ac:dyDescent="0.2">
      <c r="A1967" s="4" t="str">
        <f t="shared" si="52"/>
        <v>52</v>
      </c>
      <c r="B1967" s="4" t="str">
        <f>"52.0302"</f>
        <v>52.0302</v>
      </c>
      <c r="C1967" s="4" t="s">
        <v>18238</v>
      </c>
      <c r="D1967" s="4" t="s">
        <v>18239</v>
      </c>
      <c r="E1967" s="4" t="s">
        <v>7505</v>
      </c>
      <c r="F1967" s="4" t="s">
        <v>7506</v>
      </c>
      <c r="H1967" s="4" t="s">
        <v>20522</v>
      </c>
    </row>
    <row r="1968" spans="1:8" x14ac:dyDescent="0.2">
      <c r="A1968" s="4" t="str">
        <f t="shared" si="52"/>
        <v>52</v>
      </c>
      <c r="B1968" s="4" t="str">
        <f>"52.0303"</f>
        <v>52.0303</v>
      </c>
      <c r="C1968" s="4" t="s">
        <v>18238</v>
      </c>
      <c r="D1968" s="4" t="s">
        <v>18239</v>
      </c>
      <c r="E1968" s="4" t="s">
        <v>7508</v>
      </c>
      <c r="F1968" s="4" t="s">
        <v>20524</v>
      </c>
      <c r="H1968" s="4" t="s">
        <v>20522</v>
      </c>
    </row>
    <row r="1969" spans="1:8" x14ac:dyDescent="0.2">
      <c r="A1969" s="4" t="str">
        <f t="shared" si="52"/>
        <v>52</v>
      </c>
      <c r="B1969" s="4" t="str">
        <f>"52.0304"</f>
        <v>52.0304</v>
      </c>
      <c r="C1969" s="4" t="s">
        <v>18238</v>
      </c>
      <c r="D1969" s="4" t="s">
        <v>18239</v>
      </c>
      <c r="E1969" s="4" t="s">
        <v>7511</v>
      </c>
      <c r="F1969" s="4" t="s">
        <v>20525</v>
      </c>
      <c r="G1969" s="4" t="s">
        <v>20526</v>
      </c>
      <c r="H1969" s="4" t="s">
        <v>20522</v>
      </c>
    </row>
    <row r="1970" spans="1:8" x14ac:dyDescent="0.2">
      <c r="A1970" s="4" t="str">
        <f t="shared" si="52"/>
        <v>52</v>
      </c>
      <c r="B1970" s="4" t="str">
        <f>"52.0305"</f>
        <v>52.0305</v>
      </c>
      <c r="C1970" s="4" t="s">
        <v>18238</v>
      </c>
      <c r="D1970" s="4" t="s">
        <v>18239</v>
      </c>
      <c r="E1970" s="4" t="s">
        <v>7514</v>
      </c>
      <c r="F1970" s="4" t="s">
        <v>20527</v>
      </c>
      <c r="G1970" s="4" t="s">
        <v>20528</v>
      </c>
      <c r="H1970" s="4" t="s">
        <v>20522</v>
      </c>
    </row>
    <row r="1971" spans="1:8" x14ac:dyDescent="0.2">
      <c r="A1971" s="4" t="str">
        <f t="shared" si="52"/>
        <v>52</v>
      </c>
      <c r="B1971" s="4" t="str">
        <f>"52.0399"</f>
        <v>52.0399</v>
      </c>
      <c r="C1971" s="4" t="s">
        <v>18238</v>
      </c>
      <c r="D1971" s="4" t="s">
        <v>18239</v>
      </c>
      <c r="E1971" s="4" t="s">
        <v>7516</v>
      </c>
      <c r="F1971" s="4" t="s">
        <v>7517</v>
      </c>
      <c r="H1971" s="4" t="s">
        <v>20529</v>
      </c>
    </row>
    <row r="1972" spans="1:8" x14ac:dyDescent="0.2">
      <c r="A1972" s="4" t="str">
        <f t="shared" si="52"/>
        <v>52</v>
      </c>
      <c r="B1972" s="4" t="str">
        <f>"52.04"</f>
        <v>52.04</v>
      </c>
      <c r="C1972" s="4" t="s">
        <v>18238</v>
      </c>
      <c r="D1972" s="4" t="s">
        <v>18239</v>
      </c>
      <c r="E1972" s="4" t="s">
        <v>7519</v>
      </c>
      <c r="F1972" s="4" t="s">
        <v>7520</v>
      </c>
      <c r="H1972" s="4" t="s">
        <v>20529</v>
      </c>
    </row>
    <row r="1973" spans="1:8" x14ac:dyDescent="0.2">
      <c r="A1973" s="4" t="str">
        <f t="shared" si="52"/>
        <v>52</v>
      </c>
      <c r="B1973" s="4" t="str">
        <f>"52.0401"</f>
        <v>52.0401</v>
      </c>
      <c r="C1973" s="4" t="s">
        <v>18238</v>
      </c>
      <c r="D1973" s="4" t="s">
        <v>18239</v>
      </c>
      <c r="E1973" s="4" t="s">
        <v>7521</v>
      </c>
      <c r="F1973" s="4" t="s">
        <v>7522</v>
      </c>
      <c r="G1973" s="4" t="s">
        <v>20530</v>
      </c>
      <c r="H1973" s="4" t="s">
        <v>20529</v>
      </c>
    </row>
    <row r="1974" spans="1:8" x14ac:dyDescent="0.2">
      <c r="A1974" s="4" t="str">
        <f t="shared" si="52"/>
        <v>52</v>
      </c>
      <c r="B1974" s="4" t="str">
        <f>"52.0402"</f>
        <v>52.0402</v>
      </c>
      <c r="C1974" s="4" t="s">
        <v>18238</v>
      </c>
      <c r="D1974" s="4" t="s">
        <v>18239</v>
      </c>
      <c r="E1974" s="4" t="s">
        <v>7523</v>
      </c>
      <c r="F1974" s="4" t="s">
        <v>7524</v>
      </c>
      <c r="G1974" s="4" t="s">
        <v>20531</v>
      </c>
      <c r="H1974" s="4" t="s">
        <v>20529</v>
      </c>
    </row>
    <row r="1975" spans="1:8" x14ac:dyDescent="0.2">
      <c r="A1975" s="4" t="str">
        <f t="shared" si="52"/>
        <v>52</v>
      </c>
      <c r="B1975" s="4" t="str">
        <f>"52.0406"</f>
        <v>52.0406</v>
      </c>
      <c r="C1975" s="4" t="s">
        <v>18238</v>
      </c>
      <c r="D1975" s="4" t="s">
        <v>18239</v>
      </c>
      <c r="E1975" s="4" t="s">
        <v>7529</v>
      </c>
      <c r="F1975" s="4" t="s">
        <v>7530</v>
      </c>
      <c r="G1975" s="4" t="s">
        <v>20532</v>
      </c>
      <c r="H1975" s="4" t="s">
        <v>20529</v>
      </c>
    </row>
    <row r="1976" spans="1:8" x14ac:dyDescent="0.2">
      <c r="A1976" s="4" t="str">
        <f t="shared" si="52"/>
        <v>52</v>
      </c>
      <c r="B1976" s="4" t="str">
        <f>"52.0407"</f>
        <v>52.0407</v>
      </c>
      <c r="C1976" s="4" t="s">
        <v>18238</v>
      </c>
      <c r="D1976" s="4" t="s">
        <v>18239</v>
      </c>
      <c r="E1976" s="4" t="s">
        <v>7531</v>
      </c>
      <c r="F1976" s="4" t="s">
        <v>20533</v>
      </c>
      <c r="H1976" s="4" t="s">
        <v>20529</v>
      </c>
    </row>
    <row r="1977" spans="1:8" x14ac:dyDescent="0.2">
      <c r="A1977" s="4" t="str">
        <f t="shared" si="52"/>
        <v>52</v>
      </c>
      <c r="B1977" s="4" t="str">
        <f>"52.0408"</f>
        <v>52.0408</v>
      </c>
      <c r="C1977" s="4" t="s">
        <v>18238</v>
      </c>
      <c r="D1977" s="4" t="s">
        <v>18239</v>
      </c>
      <c r="E1977" s="4" t="s">
        <v>7533</v>
      </c>
      <c r="F1977" s="4" t="s">
        <v>7534</v>
      </c>
      <c r="H1977" s="4" t="s">
        <v>20529</v>
      </c>
    </row>
    <row r="1978" spans="1:8" x14ac:dyDescent="0.2">
      <c r="A1978" s="4" t="str">
        <f t="shared" si="52"/>
        <v>52</v>
      </c>
      <c r="B1978" s="4" t="str">
        <f>"52.0409"</f>
        <v>52.0409</v>
      </c>
      <c r="C1978" s="4" t="s">
        <v>18238</v>
      </c>
      <c r="D1978" s="4" t="s">
        <v>18239</v>
      </c>
      <c r="E1978" s="4" t="s">
        <v>7536</v>
      </c>
      <c r="F1978" s="4" t="s">
        <v>20534</v>
      </c>
      <c r="H1978" s="4" t="s">
        <v>20529</v>
      </c>
    </row>
    <row r="1979" spans="1:8" x14ac:dyDescent="0.2">
      <c r="A1979" s="4" t="str">
        <f t="shared" si="52"/>
        <v>52</v>
      </c>
      <c r="B1979" s="4" t="str">
        <f>"52.0410"</f>
        <v>52.0410</v>
      </c>
      <c r="C1979" s="4" t="s">
        <v>18238</v>
      </c>
      <c r="D1979" s="4" t="s">
        <v>18307</v>
      </c>
      <c r="E1979" s="4" t="s">
        <v>7539</v>
      </c>
      <c r="F1979" s="4" t="s">
        <v>20535</v>
      </c>
      <c r="H1979" s="4" t="s">
        <v>20529</v>
      </c>
    </row>
    <row r="1980" spans="1:8" x14ac:dyDescent="0.2">
      <c r="A1980" s="4" t="str">
        <f t="shared" si="52"/>
        <v>52</v>
      </c>
      <c r="B1980" s="4" t="str">
        <f>"52.0411"</f>
        <v>52.0411</v>
      </c>
      <c r="C1980" s="4" t="s">
        <v>18238</v>
      </c>
      <c r="D1980" s="4" t="s">
        <v>18239</v>
      </c>
      <c r="E1980" s="4" t="s">
        <v>7542</v>
      </c>
      <c r="F1980" s="4" t="s">
        <v>20536</v>
      </c>
      <c r="H1980" s="4" t="s">
        <v>20529</v>
      </c>
    </row>
    <row r="1981" spans="1:8" x14ac:dyDescent="0.2">
      <c r="A1981" s="4" t="str">
        <f t="shared" si="52"/>
        <v>52</v>
      </c>
      <c r="B1981" s="4" t="str">
        <f>"52.0499"</f>
        <v>52.0499</v>
      </c>
      <c r="C1981" s="4" t="s">
        <v>18238</v>
      </c>
      <c r="D1981" s="4" t="s">
        <v>18239</v>
      </c>
      <c r="E1981" s="4" t="s">
        <v>7544</v>
      </c>
      <c r="F1981" s="4" t="s">
        <v>7545</v>
      </c>
      <c r="H1981" s="4" t="s">
        <v>20529</v>
      </c>
    </row>
    <row r="1982" spans="1:8" x14ac:dyDescent="0.2">
      <c r="A1982" s="4" t="str">
        <f t="shared" si="52"/>
        <v>52</v>
      </c>
      <c r="B1982" s="4" t="str">
        <f>"52.05"</f>
        <v>52.05</v>
      </c>
      <c r="C1982" s="4" t="s">
        <v>18238</v>
      </c>
      <c r="D1982" s="4" t="s">
        <v>18239</v>
      </c>
      <c r="E1982" s="4" t="s">
        <v>7547</v>
      </c>
      <c r="F1982" s="4" t="s">
        <v>7548</v>
      </c>
      <c r="H1982" s="4" t="s">
        <v>20529</v>
      </c>
    </row>
    <row r="1983" spans="1:8" x14ac:dyDescent="0.2">
      <c r="A1983" s="4" t="str">
        <f t="shared" si="52"/>
        <v>52</v>
      </c>
      <c r="B1983" s="4" t="str">
        <f>"52.0501"</f>
        <v>52.0501</v>
      </c>
      <c r="C1983" s="4" t="s">
        <v>18238</v>
      </c>
      <c r="D1983" s="4" t="s">
        <v>18239</v>
      </c>
      <c r="E1983" s="4" t="s">
        <v>7547</v>
      </c>
      <c r="F1983" s="4" t="s">
        <v>7549</v>
      </c>
      <c r="H1983" s="4" t="s">
        <v>20529</v>
      </c>
    </row>
    <row r="1984" spans="1:8" x14ac:dyDescent="0.2">
      <c r="A1984" s="4" t="str">
        <f t="shared" si="52"/>
        <v>52</v>
      </c>
      <c r="B1984" s="4" t="str">
        <f>"52.06"</f>
        <v>52.06</v>
      </c>
      <c r="C1984" s="4" t="s">
        <v>18238</v>
      </c>
      <c r="D1984" s="4" t="s">
        <v>18239</v>
      </c>
      <c r="E1984" s="4" t="s">
        <v>8843</v>
      </c>
      <c r="F1984" s="4" t="s">
        <v>7551</v>
      </c>
      <c r="H1984" s="4" t="s">
        <v>20529</v>
      </c>
    </row>
    <row r="1985" spans="1:8" x14ac:dyDescent="0.2">
      <c r="A1985" s="4" t="str">
        <f t="shared" si="52"/>
        <v>52</v>
      </c>
      <c r="B1985" s="4" t="str">
        <f>"52.0601"</f>
        <v>52.0601</v>
      </c>
      <c r="C1985" s="4" t="s">
        <v>18238</v>
      </c>
      <c r="D1985" s="4" t="s">
        <v>18239</v>
      </c>
      <c r="E1985" s="4" t="s">
        <v>8843</v>
      </c>
      <c r="F1985" s="4" t="s">
        <v>7552</v>
      </c>
      <c r="H1985" s="4" t="s">
        <v>20529</v>
      </c>
    </row>
    <row r="1986" spans="1:8" x14ac:dyDescent="0.2">
      <c r="A1986" s="4" t="str">
        <f t="shared" si="52"/>
        <v>52</v>
      </c>
      <c r="B1986" s="4" t="str">
        <f>"52.07"</f>
        <v>52.07</v>
      </c>
      <c r="C1986" s="4" t="s">
        <v>18238</v>
      </c>
      <c r="D1986" s="4" t="s">
        <v>18239</v>
      </c>
      <c r="E1986" s="4" t="s">
        <v>7554</v>
      </c>
      <c r="F1986" s="4" t="s">
        <v>7555</v>
      </c>
      <c r="H1986" s="4" t="s">
        <v>20529</v>
      </c>
    </row>
    <row r="1987" spans="1:8" x14ac:dyDescent="0.2">
      <c r="A1987" s="4" t="str">
        <f t="shared" si="52"/>
        <v>52</v>
      </c>
      <c r="B1987" s="4" t="str">
        <f>"52.0701"</f>
        <v>52.0701</v>
      </c>
      <c r="C1987" s="4" t="s">
        <v>18238</v>
      </c>
      <c r="D1987" s="4" t="s">
        <v>18239</v>
      </c>
      <c r="E1987" s="4" t="s">
        <v>11600</v>
      </c>
      <c r="F1987" s="4" t="s">
        <v>7556</v>
      </c>
      <c r="H1987" s="4" t="s">
        <v>20529</v>
      </c>
    </row>
    <row r="1988" spans="1:8" x14ac:dyDescent="0.2">
      <c r="A1988" s="4" t="str">
        <f t="shared" si="52"/>
        <v>52</v>
      </c>
      <c r="B1988" s="4" t="str">
        <f>"52.0702"</f>
        <v>52.0702</v>
      </c>
      <c r="C1988" s="4" t="s">
        <v>18238</v>
      </c>
      <c r="D1988" s="4" t="s">
        <v>18239</v>
      </c>
      <c r="E1988" s="4" t="s">
        <v>7557</v>
      </c>
      <c r="F1988" s="4" t="s">
        <v>7558</v>
      </c>
      <c r="H1988" s="4" t="s">
        <v>20529</v>
      </c>
    </row>
    <row r="1989" spans="1:8" x14ac:dyDescent="0.2">
      <c r="A1989" s="4" t="str">
        <f t="shared" si="52"/>
        <v>52</v>
      </c>
      <c r="B1989" s="4" t="str">
        <f>"52.0703"</f>
        <v>52.0703</v>
      </c>
      <c r="C1989" s="4" t="s">
        <v>18238</v>
      </c>
      <c r="D1989" s="4" t="s">
        <v>18239</v>
      </c>
      <c r="E1989" s="4" t="s">
        <v>7559</v>
      </c>
      <c r="F1989" s="4" t="s">
        <v>20537</v>
      </c>
      <c r="H1989" s="4" t="s">
        <v>20529</v>
      </c>
    </row>
    <row r="1990" spans="1:8" x14ac:dyDescent="0.2">
      <c r="A1990" s="4" t="str">
        <f t="shared" si="52"/>
        <v>52</v>
      </c>
      <c r="B1990" s="4" t="str">
        <f>"52.0799"</f>
        <v>52.0799</v>
      </c>
      <c r="C1990" s="4" t="s">
        <v>18238</v>
      </c>
      <c r="D1990" s="4" t="s">
        <v>18239</v>
      </c>
      <c r="E1990" s="4" t="s">
        <v>7561</v>
      </c>
      <c r="F1990" s="4" t="s">
        <v>7562</v>
      </c>
      <c r="H1990" s="4" t="s">
        <v>20529</v>
      </c>
    </row>
    <row r="1991" spans="1:8" x14ac:dyDescent="0.2">
      <c r="A1991" s="4" t="str">
        <f t="shared" si="52"/>
        <v>52</v>
      </c>
      <c r="B1991" s="4" t="str">
        <f>"52.08"</f>
        <v>52.08</v>
      </c>
      <c r="C1991" s="4" t="s">
        <v>18238</v>
      </c>
      <c r="D1991" s="4" t="s">
        <v>18239</v>
      </c>
      <c r="E1991" s="4" t="s">
        <v>7564</v>
      </c>
      <c r="F1991" s="4" t="s">
        <v>20538</v>
      </c>
      <c r="H1991" s="4" t="s">
        <v>20529</v>
      </c>
    </row>
    <row r="1992" spans="1:8" x14ac:dyDescent="0.2">
      <c r="A1992" s="4" t="str">
        <f t="shared" si="52"/>
        <v>52</v>
      </c>
      <c r="B1992" s="4" t="str">
        <f>"52.0801"</f>
        <v>52.0801</v>
      </c>
      <c r="C1992" s="4" t="s">
        <v>18238</v>
      </c>
      <c r="D1992" s="4" t="s">
        <v>18239</v>
      </c>
      <c r="E1992" s="4" t="s">
        <v>7566</v>
      </c>
      <c r="F1992" s="4" t="s">
        <v>20539</v>
      </c>
      <c r="H1992" s="4" t="s">
        <v>20529</v>
      </c>
    </row>
    <row r="1993" spans="1:8" x14ac:dyDescent="0.2">
      <c r="A1993" s="4" t="str">
        <f t="shared" si="52"/>
        <v>52</v>
      </c>
      <c r="B1993" s="4" t="str">
        <f>"52.0803"</f>
        <v>52.0803</v>
      </c>
      <c r="C1993" s="4" t="s">
        <v>18238</v>
      </c>
      <c r="D1993" s="4" t="s">
        <v>18239</v>
      </c>
      <c r="E1993" s="4" t="s">
        <v>7569</v>
      </c>
      <c r="F1993" s="4" t="s">
        <v>7570</v>
      </c>
      <c r="H1993" s="4" t="s">
        <v>20529</v>
      </c>
    </row>
    <row r="1994" spans="1:8" x14ac:dyDescent="0.2">
      <c r="A1994" s="4" t="str">
        <f t="shared" si="52"/>
        <v>52</v>
      </c>
      <c r="B1994" s="4" t="str">
        <f>"52.0804"</f>
        <v>52.0804</v>
      </c>
      <c r="C1994" s="4" t="s">
        <v>18238</v>
      </c>
      <c r="D1994" s="4" t="s">
        <v>18239</v>
      </c>
      <c r="E1994" s="4" t="s">
        <v>10009</v>
      </c>
      <c r="F1994" s="4" t="s">
        <v>7571</v>
      </c>
      <c r="G1994" s="4" t="s">
        <v>20540</v>
      </c>
      <c r="H1994" s="4" t="s">
        <v>20529</v>
      </c>
    </row>
    <row r="1995" spans="1:8" x14ac:dyDescent="0.2">
      <c r="A1995" s="4" t="str">
        <f t="shared" si="52"/>
        <v>52</v>
      </c>
      <c r="B1995" s="4" t="str">
        <f>"52.0806"</f>
        <v>52.0806</v>
      </c>
      <c r="C1995" s="4" t="s">
        <v>18238</v>
      </c>
      <c r="D1995" s="4" t="s">
        <v>18239</v>
      </c>
      <c r="E1995" s="4" t="s">
        <v>8851</v>
      </c>
      <c r="F1995" s="4" t="s">
        <v>7574</v>
      </c>
      <c r="G1995" s="4" t="s">
        <v>20541</v>
      </c>
      <c r="H1995" s="4" t="s">
        <v>20529</v>
      </c>
    </row>
    <row r="1996" spans="1:8" x14ac:dyDescent="0.2">
      <c r="A1996" s="4" t="str">
        <f t="shared" si="52"/>
        <v>52</v>
      </c>
      <c r="B1996" s="4" t="str">
        <f>"52.0807"</f>
        <v>52.0807</v>
      </c>
      <c r="C1996" s="4" t="s">
        <v>18238</v>
      </c>
      <c r="D1996" s="4" t="s">
        <v>18239</v>
      </c>
      <c r="E1996" s="4" t="s">
        <v>7575</v>
      </c>
      <c r="F1996" s="4" t="s">
        <v>7576</v>
      </c>
      <c r="H1996" s="4" t="s">
        <v>20529</v>
      </c>
    </row>
    <row r="1997" spans="1:8" x14ac:dyDescent="0.2">
      <c r="A1997" s="4" t="str">
        <f t="shared" si="52"/>
        <v>52</v>
      </c>
      <c r="B1997" s="4" t="str">
        <f>"52.0808"</f>
        <v>52.0808</v>
      </c>
      <c r="C1997" s="4" t="s">
        <v>18238</v>
      </c>
      <c r="D1997" s="4" t="s">
        <v>18239</v>
      </c>
      <c r="E1997" s="4" t="s">
        <v>7577</v>
      </c>
      <c r="F1997" s="4" t="s">
        <v>7578</v>
      </c>
      <c r="H1997" s="4" t="s">
        <v>20529</v>
      </c>
    </row>
    <row r="1998" spans="1:8" x14ac:dyDescent="0.2">
      <c r="A1998" s="4" t="str">
        <f t="shared" si="52"/>
        <v>52</v>
      </c>
      <c r="B1998" s="4" t="str">
        <f>"52.0809"</f>
        <v>52.0809</v>
      </c>
      <c r="C1998" s="4" t="s">
        <v>18238</v>
      </c>
      <c r="D1998" s="4" t="s">
        <v>18239</v>
      </c>
      <c r="E1998" s="4" t="s">
        <v>7580</v>
      </c>
      <c r="F1998" s="4" t="s">
        <v>20542</v>
      </c>
      <c r="H1998" s="4" t="s">
        <v>20543</v>
      </c>
    </row>
    <row r="1999" spans="1:8" x14ac:dyDescent="0.2">
      <c r="A1999" s="4" t="str">
        <f t="shared" si="52"/>
        <v>52</v>
      </c>
      <c r="B1999" s="4" t="str">
        <f>"52.0899"</f>
        <v>52.0899</v>
      </c>
      <c r="C1999" s="4" t="s">
        <v>18238</v>
      </c>
      <c r="D1999" s="4" t="s">
        <v>18239</v>
      </c>
      <c r="E1999" s="4" t="s">
        <v>7582</v>
      </c>
      <c r="F1999" s="4" t="s">
        <v>7583</v>
      </c>
      <c r="H1999" s="4" t="s">
        <v>20543</v>
      </c>
    </row>
    <row r="2000" spans="1:8" x14ac:dyDescent="0.2">
      <c r="A2000" s="4" t="str">
        <f t="shared" si="52"/>
        <v>52</v>
      </c>
      <c r="B2000" s="4" t="str">
        <f>"52.09"</f>
        <v>52.09</v>
      </c>
      <c r="C2000" s="4" t="s">
        <v>18238</v>
      </c>
      <c r="D2000" s="4" t="s">
        <v>18239</v>
      </c>
      <c r="E2000" s="4" t="s">
        <v>10891</v>
      </c>
      <c r="F2000" s="4" t="s">
        <v>7585</v>
      </c>
      <c r="H2000" s="4" t="s">
        <v>20543</v>
      </c>
    </row>
    <row r="2001" spans="1:8" x14ac:dyDescent="0.2">
      <c r="A2001" s="4" t="str">
        <f t="shared" si="52"/>
        <v>52</v>
      </c>
      <c r="B2001" s="4" t="str">
        <f>"52.0901"</f>
        <v>52.0901</v>
      </c>
      <c r="C2001" s="4" t="s">
        <v>18238</v>
      </c>
      <c r="D2001" s="4" t="s">
        <v>18239</v>
      </c>
      <c r="E2001" s="4" t="s">
        <v>7586</v>
      </c>
      <c r="F2001" s="4" t="s">
        <v>7587</v>
      </c>
      <c r="H2001" s="4" t="s">
        <v>20543</v>
      </c>
    </row>
    <row r="2002" spans="1:8" x14ac:dyDescent="0.2">
      <c r="A2002" s="4" t="str">
        <f t="shared" si="52"/>
        <v>52</v>
      </c>
      <c r="B2002" s="4" t="str">
        <f>"52.0903"</f>
        <v>52.0903</v>
      </c>
      <c r="C2002" s="4" t="s">
        <v>18238</v>
      </c>
      <c r="D2002" s="4" t="s">
        <v>18239</v>
      </c>
      <c r="E2002" s="4" t="s">
        <v>7590</v>
      </c>
      <c r="F2002" s="4" t="s">
        <v>7591</v>
      </c>
      <c r="G2002" s="4" t="s">
        <v>20544</v>
      </c>
      <c r="H2002" s="4" t="s">
        <v>20543</v>
      </c>
    </row>
    <row r="2003" spans="1:8" x14ac:dyDescent="0.2">
      <c r="A2003" s="4" t="str">
        <f t="shared" si="52"/>
        <v>52</v>
      </c>
      <c r="B2003" s="4" t="str">
        <f>"52.0904"</f>
        <v>52.0904</v>
      </c>
      <c r="C2003" s="4" t="s">
        <v>18238</v>
      </c>
      <c r="D2003" s="4" t="s">
        <v>18239</v>
      </c>
      <c r="E2003" s="4" t="s">
        <v>7593</v>
      </c>
      <c r="F2003" s="4" t="s">
        <v>20545</v>
      </c>
      <c r="H2003" s="4" t="s">
        <v>20543</v>
      </c>
    </row>
    <row r="2004" spans="1:8" x14ac:dyDescent="0.2">
      <c r="A2004" s="4" t="str">
        <f t="shared" si="52"/>
        <v>52</v>
      </c>
      <c r="B2004" s="4" t="str">
        <f>"52.0905"</f>
        <v>52.0905</v>
      </c>
      <c r="C2004" s="4" t="s">
        <v>18238</v>
      </c>
      <c r="D2004" s="4" t="s">
        <v>18239</v>
      </c>
      <c r="E2004" s="4" t="s">
        <v>10031</v>
      </c>
      <c r="F2004" s="4" t="s">
        <v>20546</v>
      </c>
      <c r="G2004" s="4" t="s">
        <v>20547</v>
      </c>
      <c r="H2004" s="4" t="s">
        <v>20543</v>
      </c>
    </row>
    <row r="2005" spans="1:8" x14ac:dyDescent="0.2">
      <c r="A2005" s="4" t="str">
        <f t="shared" si="52"/>
        <v>52</v>
      </c>
      <c r="B2005" s="4" t="str">
        <f>"52.0906"</f>
        <v>52.0906</v>
      </c>
      <c r="C2005" s="4" t="s">
        <v>18238</v>
      </c>
      <c r="D2005" s="4" t="s">
        <v>18239</v>
      </c>
      <c r="E2005" s="4" t="s">
        <v>7598</v>
      </c>
      <c r="F2005" s="4" t="s">
        <v>20548</v>
      </c>
      <c r="H2005" s="4" t="s">
        <v>20549</v>
      </c>
    </row>
    <row r="2006" spans="1:8" x14ac:dyDescent="0.2">
      <c r="A2006" s="4" t="str">
        <f t="shared" si="52"/>
        <v>52</v>
      </c>
      <c r="B2006" s="4" t="str">
        <f>"52.0907"</f>
        <v>52.0907</v>
      </c>
      <c r="C2006" s="4" t="s">
        <v>18258</v>
      </c>
      <c r="D2006" s="4" t="s">
        <v>18239</v>
      </c>
      <c r="E2006" s="4" t="s">
        <v>20550</v>
      </c>
      <c r="F2006" s="4" t="s">
        <v>20551</v>
      </c>
      <c r="G2006" s="4" t="s">
        <v>20552</v>
      </c>
      <c r="H2006" s="4" t="s">
        <v>20553</v>
      </c>
    </row>
    <row r="2007" spans="1:8" x14ac:dyDescent="0.2">
      <c r="A2007" s="4" t="str">
        <f t="shared" si="52"/>
        <v>52</v>
      </c>
      <c r="B2007" s="4" t="str">
        <f>"52.0908"</f>
        <v>52.0908</v>
      </c>
      <c r="C2007" s="4" t="s">
        <v>18258</v>
      </c>
      <c r="D2007" s="4" t="s">
        <v>18239</v>
      </c>
      <c r="E2007" s="4" t="s">
        <v>20554</v>
      </c>
      <c r="F2007" s="4" t="s">
        <v>20555</v>
      </c>
      <c r="H2007" s="4" t="s">
        <v>20556</v>
      </c>
    </row>
    <row r="2008" spans="1:8" x14ac:dyDescent="0.2">
      <c r="A2008" s="4" t="str">
        <f t="shared" si="52"/>
        <v>52</v>
      </c>
      <c r="B2008" s="4" t="str">
        <f>"52.0909"</f>
        <v>52.0909</v>
      </c>
      <c r="C2008" s="4" t="s">
        <v>18258</v>
      </c>
      <c r="D2008" s="4" t="s">
        <v>18239</v>
      </c>
      <c r="E2008" s="4" t="s">
        <v>7588</v>
      </c>
      <c r="F2008" s="4" t="s">
        <v>20557</v>
      </c>
      <c r="G2008" s="4" t="s">
        <v>20558</v>
      </c>
      <c r="H2008" s="4" t="s">
        <v>20556</v>
      </c>
    </row>
    <row r="2009" spans="1:8" x14ac:dyDescent="0.2">
      <c r="A2009" s="4" t="str">
        <f t="shared" si="52"/>
        <v>52</v>
      </c>
      <c r="B2009" s="4" t="str">
        <f>"52.0999"</f>
        <v>52.0999</v>
      </c>
      <c r="C2009" s="4" t="s">
        <v>18238</v>
      </c>
      <c r="D2009" s="4" t="s">
        <v>18239</v>
      </c>
      <c r="E2009" s="4" t="s">
        <v>7600</v>
      </c>
      <c r="F2009" s="4" t="s">
        <v>7601</v>
      </c>
      <c r="H2009" s="4" t="s">
        <v>20556</v>
      </c>
    </row>
    <row r="2010" spans="1:8" x14ac:dyDescent="0.2">
      <c r="A2010" s="4" t="str">
        <f t="shared" si="52"/>
        <v>52</v>
      </c>
      <c r="B2010" s="4" t="str">
        <f>"52.10"</f>
        <v>52.10</v>
      </c>
      <c r="C2010" s="4" t="s">
        <v>18238</v>
      </c>
      <c r="D2010" s="4" t="s">
        <v>18239</v>
      </c>
      <c r="E2010" s="4" t="s">
        <v>7603</v>
      </c>
      <c r="F2010" s="4" t="s">
        <v>7604</v>
      </c>
      <c r="H2010" s="4" t="s">
        <v>20556</v>
      </c>
    </row>
    <row r="2011" spans="1:8" x14ac:dyDescent="0.2">
      <c r="A2011" s="4" t="str">
        <f t="shared" si="52"/>
        <v>52</v>
      </c>
      <c r="B2011" s="4" t="str">
        <f>"52.1001"</f>
        <v>52.1001</v>
      </c>
      <c r="C2011" s="4" t="s">
        <v>18238</v>
      </c>
      <c r="D2011" s="4" t="s">
        <v>18239</v>
      </c>
      <c r="E2011" s="4" t="s">
        <v>7605</v>
      </c>
      <c r="F2011" s="4" t="s">
        <v>7606</v>
      </c>
      <c r="H2011" s="4" t="s">
        <v>20556</v>
      </c>
    </row>
    <row r="2012" spans="1:8" x14ac:dyDescent="0.2">
      <c r="A2012" s="4" t="str">
        <f t="shared" ref="A2012:A2063" si="53">"52"</f>
        <v>52</v>
      </c>
      <c r="B2012" s="4" t="str">
        <f>"52.1002"</f>
        <v>52.1002</v>
      </c>
      <c r="C2012" s="4" t="s">
        <v>18238</v>
      </c>
      <c r="D2012" s="4" t="s">
        <v>18239</v>
      </c>
      <c r="E2012" s="4" t="s">
        <v>7607</v>
      </c>
      <c r="F2012" s="4" t="s">
        <v>7608</v>
      </c>
      <c r="H2012" s="4" t="s">
        <v>20556</v>
      </c>
    </row>
    <row r="2013" spans="1:8" x14ac:dyDescent="0.2">
      <c r="A2013" s="4" t="str">
        <f t="shared" si="53"/>
        <v>52</v>
      </c>
      <c r="B2013" s="4" t="str">
        <f>"52.1003"</f>
        <v>52.1003</v>
      </c>
      <c r="C2013" s="4" t="s">
        <v>18238</v>
      </c>
      <c r="D2013" s="4" t="s">
        <v>18239</v>
      </c>
      <c r="E2013" s="4" t="s">
        <v>9083</v>
      </c>
      <c r="F2013" s="4" t="s">
        <v>7609</v>
      </c>
      <c r="G2013" s="4" t="s">
        <v>20559</v>
      </c>
      <c r="H2013" s="4" t="s">
        <v>20556</v>
      </c>
    </row>
    <row r="2014" spans="1:8" x14ac:dyDescent="0.2">
      <c r="A2014" s="4" t="str">
        <f t="shared" si="53"/>
        <v>52</v>
      </c>
      <c r="B2014" s="4" t="str">
        <f>"52.1004"</f>
        <v>52.1004</v>
      </c>
      <c r="C2014" s="4" t="s">
        <v>18238</v>
      </c>
      <c r="D2014" s="4" t="s">
        <v>18239</v>
      </c>
      <c r="E2014" s="4" t="s">
        <v>7611</v>
      </c>
      <c r="F2014" s="4" t="s">
        <v>20560</v>
      </c>
      <c r="H2014" s="4" t="s">
        <v>20556</v>
      </c>
    </row>
    <row r="2015" spans="1:8" x14ac:dyDescent="0.2">
      <c r="A2015" s="4" t="str">
        <f t="shared" si="53"/>
        <v>52</v>
      </c>
      <c r="B2015" s="4" t="str">
        <f>"52.1005"</f>
        <v>52.1005</v>
      </c>
      <c r="C2015" s="4" t="s">
        <v>18238</v>
      </c>
      <c r="D2015" s="4" t="s">
        <v>18239</v>
      </c>
      <c r="E2015" s="4" t="s">
        <v>7614</v>
      </c>
      <c r="F2015" s="4" t="s">
        <v>20561</v>
      </c>
      <c r="H2015" s="4" t="s">
        <v>20556</v>
      </c>
    </row>
    <row r="2016" spans="1:8" x14ac:dyDescent="0.2">
      <c r="A2016" s="4" t="str">
        <f t="shared" si="53"/>
        <v>52</v>
      </c>
      <c r="B2016" s="4" t="str">
        <f>"52.1099"</f>
        <v>52.1099</v>
      </c>
      <c r="C2016" s="4" t="s">
        <v>18238</v>
      </c>
      <c r="D2016" s="4" t="s">
        <v>18239</v>
      </c>
      <c r="E2016" s="4" t="s">
        <v>7616</v>
      </c>
      <c r="F2016" s="4" t="s">
        <v>7617</v>
      </c>
      <c r="H2016" s="4" t="s">
        <v>20556</v>
      </c>
    </row>
    <row r="2017" spans="1:8" x14ac:dyDescent="0.2">
      <c r="A2017" s="4" t="str">
        <f t="shared" si="53"/>
        <v>52</v>
      </c>
      <c r="B2017" s="4" t="str">
        <f>"52.11"</f>
        <v>52.11</v>
      </c>
      <c r="C2017" s="4" t="s">
        <v>18238</v>
      </c>
      <c r="D2017" s="4" t="s">
        <v>18239</v>
      </c>
      <c r="E2017" s="4" t="s">
        <v>7619</v>
      </c>
      <c r="F2017" s="4" t="s">
        <v>7620</v>
      </c>
      <c r="H2017" s="4" t="s">
        <v>20556</v>
      </c>
    </row>
    <row r="2018" spans="1:8" x14ac:dyDescent="0.2">
      <c r="A2018" s="4" t="str">
        <f t="shared" si="53"/>
        <v>52</v>
      </c>
      <c r="B2018" s="4" t="str">
        <f>"52.1101"</f>
        <v>52.1101</v>
      </c>
      <c r="C2018" s="4" t="s">
        <v>18238</v>
      </c>
      <c r="D2018" s="4" t="s">
        <v>18239</v>
      </c>
      <c r="E2018" s="4" t="s">
        <v>8852</v>
      </c>
      <c r="F2018" s="4" t="s">
        <v>7621</v>
      </c>
      <c r="G2018" s="4" t="s">
        <v>20541</v>
      </c>
      <c r="H2018" s="4" t="s">
        <v>20562</v>
      </c>
    </row>
    <row r="2019" spans="1:8" x14ac:dyDescent="0.2">
      <c r="A2019" s="4" t="str">
        <f t="shared" si="53"/>
        <v>52</v>
      </c>
      <c r="B2019" s="4" t="str">
        <f>"52.12"</f>
        <v>52.12</v>
      </c>
      <c r="C2019" s="4" t="s">
        <v>18238</v>
      </c>
      <c r="D2019" s="4" t="s">
        <v>18239</v>
      </c>
      <c r="E2019" s="4" t="s">
        <v>7622</v>
      </c>
      <c r="F2019" s="4" t="s">
        <v>20563</v>
      </c>
      <c r="H2019" s="4" t="s">
        <v>20562</v>
      </c>
    </row>
    <row r="2020" spans="1:8" x14ac:dyDescent="0.2">
      <c r="A2020" s="4" t="str">
        <f t="shared" si="53"/>
        <v>52</v>
      </c>
      <c r="B2020" s="4" t="str">
        <f>"52.1201"</f>
        <v>52.1201</v>
      </c>
      <c r="C2020" s="4" t="s">
        <v>18238</v>
      </c>
      <c r="D2020" s="4" t="s">
        <v>18239</v>
      </c>
      <c r="E2020" s="4" t="s">
        <v>7625</v>
      </c>
      <c r="F2020" s="4" t="s">
        <v>7626</v>
      </c>
      <c r="G2020" s="4" t="s">
        <v>20564</v>
      </c>
      <c r="H2020" s="4" t="s">
        <v>20562</v>
      </c>
    </row>
    <row r="2021" spans="1:8" x14ac:dyDescent="0.2">
      <c r="A2021" s="4" t="str">
        <f t="shared" si="53"/>
        <v>52</v>
      </c>
      <c r="B2021" s="4" t="str">
        <f>"52.1206"</f>
        <v>52.1206</v>
      </c>
      <c r="C2021" s="4" t="s">
        <v>18238</v>
      </c>
      <c r="D2021" s="4" t="s">
        <v>18239</v>
      </c>
      <c r="E2021" s="4" t="s">
        <v>20565</v>
      </c>
      <c r="F2021" s="4" t="s">
        <v>20566</v>
      </c>
      <c r="H2021" s="4" t="s">
        <v>20567</v>
      </c>
    </row>
    <row r="2022" spans="1:8" x14ac:dyDescent="0.2">
      <c r="A2022" s="4" t="str">
        <f t="shared" si="53"/>
        <v>52</v>
      </c>
      <c r="B2022" s="4" t="str">
        <f>"52.1207"</f>
        <v>52.1207</v>
      </c>
      <c r="C2022" s="4" t="s">
        <v>18238</v>
      </c>
      <c r="D2022" s="4" t="s">
        <v>18239</v>
      </c>
      <c r="E2022" s="4" t="s">
        <v>7637</v>
      </c>
      <c r="F2022" s="4" t="s">
        <v>20568</v>
      </c>
      <c r="H2022" s="4" t="s">
        <v>20567</v>
      </c>
    </row>
    <row r="2023" spans="1:8" x14ac:dyDescent="0.2">
      <c r="A2023" s="4" t="str">
        <f t="shared" si="53"/>
        <v>52</v>
      </c>
      <c r="B2023" s="4" t="str">
        <f>"52.1299"</f>
        <v>52.1299</v>
      </c>
      <c r="C2023" s="4" t="s">
        <v>18238</v>
      </c>
      <c r="D2023" s="4" t="s">
        <v>18239</v>
      </c>
      <c r="E2023" s="4" t="s">
        <v>7639</v>
      </c>
      <c r="F2023" s="4" t="s">
        <v>7640</v>
      </c>
      <c r="H2023" s="4" t="s">
        <v>20567</v>
      </c>
    </row>
    <row r="2024" spans="1:8" x14ac:dyDescent="0.2">
      <c r="A2024" s="4" t="str">
        <f t="shared" si="53"/>
        <v>52</v>
      </c>
      <c r="B2024" s="4" t="str">
        <f>"52.13"</f>
        <v>52.13</v>
      </c>
      <c r="C2024" s="4" t="s">
        <v>18238</v>
      </c>
      <c r="D2024" s="4" t="s">
        <v>18239</v>
      </c>
      <c r="E2024" s="4" t="s">
        <v>7642</v>
      </c>
      <c r="F2024" s="4" t="s">
        <v>20569</v>
      </c>
      <c r="H2024" s="4" t="s">
        <v>20567</v>
      </c>
    </row>
    <row r="2025" spans="1:8" x14ac:dyDescent="0.2">
      <c r="A2025" s="4" t="str">
        <f t="shared" si="53"/>
        <v>52</v>
      </c>
      <c r="B2025" s="4" t="str">
        <f>"52.1301"</f>
        <v>52.1301</v>
      </c>
      <c r="C2025" s="4" t="s">
        <v>18238</v>
      </c>
      <c r="D2025" s="4" t="s">
        <v>18307</v>
      </c>
      <c r="E2025" s="4" t="s">
        <v>20570</v>
      </c>
      <c r="F2025" s="4" t="s">
        <v>20571</v>
      </c>
      <c r="H2025" s="4" t="s">
        <v>20572</v>
      </c>
    </row>
    <row r="2026" spans="1:8" x14ac:dyDescent="0.2">
      <c r="A2026" s="4" t="str">
        <f t="shared" si="53"/>
        <v>52</v>
      </c>
      <c r="B2026" s="4" t="str">
        <f>"52.1302"</f>
        <v>52.1302</v>
      </c>
      <c r="C2026" s="4" t="s">
        <v>18238</v>
      </c>
      <c r="D2026" s="4" t="s">
        <v>18239</v>
      </c>
      <c r="E2026" s="4" t="s">
        <v>7646</v>
      </c>
      <c r="F2026" s="4" t="s">
        <v>7647</v>
      </c>
      <c r="G2026" s="4" t="s">
        <v>19199</v>
      </c>
      <c r="H2026" s="4" t="s">
        <v>20572</v>
      </c>
    </row>
    <row r="2027" spans="1:8" x14ac:dyDescent="0.2">
      <c r="A2027" s="4" t="str">
        <f t="shared" si="53"/>
        <v>52</v>
      </c>
      <c r="B2027" s="4" t="str">
        <f>"52.1304"</f>
        <v>52.1304</v>
      </c>
      <c r="C2027" s="4" t="s">
        <v>18238</v>
      </c>
      <c r="D2027" s="4" t="s">
        <v>18239</v>
      </c>
      <c r="E2027" s="4" t="s">
        <v>9181</v>
      </c>
      <c r="F2027" s="4" t="s">
        <v>20573</v>
      </c>
      <c r="H2027" s="4" t="s">
        <v>20572</v>
      </c>
    </row>
    <row r="2028" spans="1:8" x14ac:dyDescent="0.2">
      <c r="A2028" s="4" t="str">
        <f t="shared" si="53"/>
        <v>52</v>
      </c>
      <c r="B2028" s="4" t="str">
        <f>"52.1399"</f>
        <v>52.1399</v>
      </c>
      <c r="C2028" s="4" t="s">
        <v>18238</v>
      </c>
      <c r="D2028" s="4" t="s">
        <v>18239</v>
      </c>
      <c r="E2028" s="4" t="s">
        <v>7649</v>
      </c>
      <c r="F2028" s="4" t="s">
        <v>7650</v>
      </c>
      <c r="H2028" s="4" t="s">
        <v>20572</v>
      </c>
    </row>
    <row r="2029" spans="1:8" x14ac:dyDescent="0.2">
      <c r="A2029" s="4" t="str">
        <f t="shared" si="53"/>
        <v>52</v>
      </c>
      <c r="B2029" s="4" t="str">
        <f>"52.14"</f>
        <v>52.14</v>
      </c>
      <c r="C2029" s="4" t="s">
        <v>18238</v>
      </c>
      <c r="D2029" s="4" t="s">
        <v>18239</v>
      </c>
      <c r="E2029" s="4" t="s">
        <v>7652</v>
      </c>
      <c r="F2029" s="4" t="s">
        <v>20574</v>
      </c>
      <c r="H2029" s="4" t="s">
        <v>20572</v>
      </c>
    </row>
    <row r="2030" spans="1:8" x14ac:dyDescent="0.2">
      <c r="A2030" s="4" t="str">
        <f t="shared" si="53"/>
        <v>52</v>
      </c>
      <c r="B2030" s="4" t="str">
        <f>"52.1401"</f>
        <v>52.1401</v>
      </c>
      <c r="C2030" s="4" t="s">
        <v>18238</v>
      </c>
      <c r="D2030" s="4" t="s">
        <v>18239</v>
      </c>
      <c r="E2030" s="4" t="s">
        <v>9997</v>
      </c>
      <c r="F2030" s="4" t="s">
        <v>7654</v>
      </c>
      <c r="H2030" s="4" t="s">
        <v>20572</v>
      </c>
    </row>
    <row r="2031" spans="1:8" x14ac:dyDescent="0.2">
      <c r="A2031" s="4" t="str">
        <f t="shared" si="53"/>
        <v>52</v>
      </c>
      <c r="B2031" s="4" t="str">
        <f>"52.1402"</f>
        <v>52.1402</v>
      </c>
      <c r="C2031" s="4" t="s">
        <v>18238</v>
      </c>
      <c r="D2031" s="4" t="s">
        <v>18239</v>
      </c>
      <c r="E2031" s="4" t="s">
        <v>10998</v>
      </c>
      <c r="F2031" s="4" t="s">
        <v>7655</v>
      </c>
      <c r="H2031" s="4" t="s">
        <v>20572</v>
      </c>
    </row>
    <row r="2032" spans="1:8" x14ac:dyDescent="0.2">
      <c r="A2032" s="4" t="str">
        <f t="shared" si="53"/>
        <v>52</v>
      </c>
      <c r="B2032" s="4" t="str">
        <f>"52.1403"</f>
        <v>52.1403</v>
      </c>
      <c r="C2032" s="4" t="s">
        <v>18238</v>
      </c>
      <c r="D2032" s="4" t="s">
        <v>18239</v>
      </c>
      <c r="E2032" s="4" t="s">
        <v>10999</v>
      </c>
      <c r="F2032" s="4" t="s">
        <v>7656</v>
      </c>
      <c r="G2032" s="4" t="s">
        <v>20541</v>
      </c>
      <c r="H2032" s="4" t="s">
        <v>20572</v>
      </c>
    </row>
    <row r="2033" spans="1:8" x14ac:dyDescent="0.2">
      <c r="A2033" s="4" t="str">
        <f t="shared" si="53"/>
        <v>52</v>
      </c>
      <c r="B2033" s="4" t="str">
        <f>"52.1499"</f>
        <v>52.1499</v>
      </c>
      <c r="C2033" s="4" t="s">
        <v>18238</v>
      </c>
      <c r="D2033" s="4" t="s">
        <v>18239</v>
      </c>
      <c r="E2033" s="4" t="s">
        <v>7657</v>
      </c>
      <c r="F2033" s="4" t="s">
        <v>7658</v>
      </c>
      <c r="G2033" s="4" t="s">
        <v>20575</v>
      </c>
      <c r="H2033" s="4" t="s">
        <v>20572</v>
      </c>
    </row>
    <row r="2034" spans="1:8" x14ac:dyDescent="0.2">
      <c r="A2034" s="4" t="str">
        <f t="shared" si="53"/>
        <v>52</v>
      </c>
      <c r="B2034" s="4" t="str">
        <f>"52.15"</f>
        <v>52.15</v>
      </c>
      <c r="C2034" s="4" t="s">
        <v>18238</v>
      </c>
      <c r="D2034" s="4" t="s">
        <v>18239</v>
      </c>
      <c r="E2034" s="4" t="s">
        <v>7659</v>
      </c>
      <c r="F2034" s="4" t="s">
        <v>7660</v>
      </c>
      <c r="H2034" s="4" t="s">
        <v>20572</v>
      </c>
    </row>
    <row r="2035" spans="1:8" x14ac:dyDescent="0.2">
      <c r="A2035" s="4" t="str">
        <f t="shared" si="53"/>
        <v>52</v>
      </c>
      <c r="B2035" s="4" t="str">
        <f>"52.1501"</f>
        <v>52.1501</v>
      </c>
      <c r="C2035" s="4" t="s">
        <v>18238</v>
      </c>
      <c r="D2035" s="4" t="s">
        <v>18239</v>
      </c>
      <c r="E2035" s="4" t="s">
        <v>7659</v>
      </c>
      <c r="F2035" s="4" t="s">
        <v>20576</v>
      </c>
      <c r="G2035" s="4" t="s">
        <v>20577</v>
      </c>
      <c r="H2035" s="4" t="s">
        <v>20578</v>
      </c>
    </row>
    <row r="2036" spans="1:8" x14ac:dyDescent="0.2">
      <c r="A2036" s="4" t="str">
        <f t="shared" si="53"/>
        <v>52</v>
      </c>
      <c r="B2036" s="4" t="str">
        <f>"52.16"</f>
        <v>52.16</v>
      </c>
      <c r="C2036" s="4" t="s">
        <v>18238</v>
      </c>
      <c r="D2036" s="4" t="s">
        <v>18239</v>
      </c>
      <c r="E2036" s="4" t="s">
        <v>7663</v>
      </c>
      <c r="F2036" s="4" t="s">
        <v>7664</v>
      </c>
      <c r="H2036" s="4" t="s">
        <v>20578</v>
      </c>
    </row>
    <row r="2037" spans="1:8" x14ac:dyDescent="0.2">
      <c r="A2037" s="4" t="str">
        <f t="shared" si="53"/>
        <v>52</v>
      </c>
      <c r="B2037" s="4" t="str">
        <f>"52.1601"</f>
        <v>52.1601</v>
      </c>
      <c r="C2037" s="4" t="s">
        <v>18238</v>
      </c>
      <c r="D2037" s="4" t="s">
        <v>18239</v>
      </c>
      <c r="E2037" s="4" t="s">
        <v>7663</v>
      </c>
      <c r="F2037" s="4" t="s">
        <v>7665</v>
      </c>
      <c r="H2037" s="4" t="s">
        <v>20578</v>
      </c>
    </row>
    <row r="2038" spans="1:8" x14ac:dyDescent="0.2">
      <c r="A2038" s="4" t="str">
        <f t="shared" si="53"/>
        <v>52</v>
      </c>
      <c r="B2038" s="4" t="str">
        <f>"52.17"</f>
        <v>52.17</v>
      </c>
      <c r="C2038" s="4" t="s">
        <v>18238</v>
      </c>
      <c r="D2038" s="4" t="s">
        <v>18239</v>
      </c>
      <c r="E2038" s="4" t="s">
        <v>7667</v>
      </c>
      <c r="F2038" s="4" t="s">
        <v>20579</v>
      </c>
      <c r="H2038" s="4" t="s">
        <v>20578</v>
      </c>
    </row>
    <row r="2039" spans="1:8" x14ac:dyDescent="0.2">
      <c r="A2039" s="4" t="str">
        <f t="shared" si="53"/>
        <v>52</v>
      </c>
      <c r="B2039" s="4" t="str">
        <f>"52.1701"</f>
        <v>52.1701</v>
      </c>
      <c r="C2039" s="4" t="s">
        <v>18238</v>
      </c>
      <c r="D2039" s="4" t="s">
        <v>18239</v>
      </c>
      <c r="E2039" s="4" t="s">
        <v>7667</v>
      </c>
      <c r="F2039" s="4" t="s">
        <v>20580</v>
      </c>
      <c r="H2039" s="4" t="s">
        <v>20578</v>
      </c>
    </row>
    <row r="2040" spans="1:8" x14ac:dyDescent="0.2">
      <c r="A2040" s="4" t="str">
        <f t="shared" si="53"/>
        <v>52</v>
      </c>
      <c r="B2040" s="4" t="str">
        <f>"52.18"</f>
        <v>52.18</v>
      </c>
      <c r="C2040" s="4" t="s">
        <v>18238</v>
      </c>
      <c r="D2040" s="4" t="s">
        <v>18239</v>
      </c>
      <c r="E2040" s="4" t="s">
        <v>7672</v>
      </c>
      <c r="F2040" s="4" t="s">
        <v>20581</v>
      </c>
      <c r="H2040" s="4" t="s">
        <v>20578</v>
      </c>
    </row>
    <row r="2041" spans="1:8" x14ac:dyDescent="0.2">
      <c r="A2041" s="4" t="str">
        <f t="shared" si="53"/>
        <v>52</v>
      </c>
      <c r="B2041" s="4" t="str">
        <f>"52.1801"</f>
        <v>52.1801</v>
      </c>
      <c r="C2041" s="4" t="s">
        <v>18238</v>
      </c>
      <c r="D2041" s="4" t="s">
        <v>18239</v>
      </c>
      <c r="E2041" s="4" t="s">
        <v>7674</v>
      </c>
      <c r="F2041" s="4" t="s">
        <v>20582</v>
      </c>
      <c r="H2041" s="4" t="s">
        <v>20578</v>
      </c>
    </row>
    <row r="2042" spans="1:8" x14ac:dyDescent="0.2">
      <c r="A2042" s="4" t="str">
        <f t="shared" si="53"/>
        <v>52</v>
      </c>
      <c r="B2042" s="4" t="str">
        <f>"52.1802"</f>
        <v>52.1802</v>
      </c>
      <c r="C2042" s="4" t="s">
        <v>18238</v>
      </c>
      <c r="D2042" s="4" t="s">
        <v>18239</v>
      </c>
      <c r="E2042" s="4" t="s">
        <v>7677</v>
      </c>
      <c r="F2042" s="4" t="s">
        <v>20583</v>
      </c>
      <c r="H2042" s="4" t="s">
        <v>20578</v>
      </c>
    </row>
    <row r="2043" spans="1:8" x14ac:dyDescent="0.2">
      <c r="A2043" s="4" t="str">
        <f t="shared" si="53"/>
        <v>52</v>
      </c>
      <c r="B2043" s="4" t="str">
        <f>"52.1803"</f>
        <v>52.1803</v>
      </c>
      <c r="C2043" s="4" t="s">
        <v>18238</v>
      </c>
      <c r="D2043" s="4" t="s">
        <v>18239</v>
      </c>
      <c r="E2043" s="4" t="s">
        <v>9996</v>
      </c>
      <c r="F2043" s="4" t="s">
        <v>20584</v>
      </c>
      <c r="H2043" s="4" t="s">
        <v>20578</v>
      </c>
    </row>
    <row r="2044" spans="1:8" x14ac:dyDescent="0.2">
      <c r="A2044" s="4" t="str">
        <f t="shared" si="53"/>
        <v>52</v>
      </c>
      <c r="B2044" s="4" t="str">
        <f>"52.1804"</f>
        <v>52.1804</v>
      </c>
      <c r="C2044" s="4" t="s">
        <v>18238</v>
      </c>
      <c r="D2044" s="4" t="s">
        <v>18239</v>
      </c>
      <c r="E2044" s="4" t="s">
        <v>7681</v>
      </c>
      <c r="F2044" s="4" t="s">
        <v>20585</v>
      </c>
      <c r="H2044" s="4" t="s">
        <v>20578</v>
      </c>
    </row>
    <row r="2045" spans="1:8" x14ac:dyDescent="0.2">
      <c r="A2045" s="4" t="str">
        <f t="shared" si="53"/>
        <v>52</v>
      </c>
      <c r="B2045" s="4" t="str">
        <f>"52.1899"</f>
        <v>52.1899</v>
      </c>
      <c r="C2045" s="4" t="s">
        <v>18238</v>
      </c>
      <c r="D2045" s="4" t="s">
        <v>18239</v>
      </c>
      <c r="E2045" s="4" t="s">
        <v>7684</v>
      </c>
      <c r="F2045" s="4" t="s">
        <v>7685</v>
      </c>
      <c r="H2045" s="4" t="s">
        <v>20578</v>
      </c>
    </row>
    <row r="2046" spans="1:8" x14ac:dyDescent="0.2">
      <c r="A2046" s="4" t="str">
        <f t="shared" si="53"/>
        <v>52</v>
      </c>
      <c r="B2046" s="4" t="str">
        <f>"52.19"</f>
        <v>52.19</v>
      </c>
      <c r="C2046" s="4" t="s">
        <v>18238</v>
      </c>
      <c r="D2046" s="4" t="s">
        <v>18239</v>
      </c>
      <c r="E2046" s="4" t="s">
        <v>7687</v>
      </c>
      <c r="F2046" s="4" t="s">
        <v>20586</v>
      </c>
      <c r="H2046" s="4" t="s">
        <v>20578</v>
      </c>
    </row>
    <row r="2047" spans="1:8" x14ac:dyDescent="0.2">
      <c r="A2047" s="4" t="str">
        <f t="shared" si="53"/>
        <v>52</v>
      </c>
      <c r="B2047" s="4" t="str">
        <f>"52.1901"</f>
        <v>52.1901</v>
      </c>
      <c r="C2047" s="4" t="s">
        <v>18238</v>
      </c>
      <c r="D2047" s="4" t="s">
        <v>18239</v>
      </c>
      <c r="E2047" s="4" t="s">
        <v>7690</v>
      </c>
      <c r="F2047" s="4" t="s">
        <v>20587</v>
      </c>
      <c r="H2047" s="4" t="s">
        <v>20578</v>
      </c>
    </row>
    <row r="2048" spans="1:8" x14ac:dyDescent="0.2">
      <c r="A2048" s="4" t="str">
        <f t="shared" si="53"/>
        <v>52</v>
      </c>
      <c r="B2048" s="4" t="str">
        <f>"52.1902"</f>
        <v>52.1902</v>
      </c>
      <c r="C2048" s="4" t="s">
        <v>18238</v>
      </c>
      <c r="D2048" s="4" t="s">
        <v>18239</v>
      </c>
      <c r="E2048" s="4" t="s">
        <v>9590</v>
      </c>
      <c r="F2048" s="4" t="s">
        <v>20588</v>
      </c>
      <c r="G2048" s="4" t="s">
        <v>20589</v>
      </c>
      <c r="H2048" s="4" t="s">
        <v>20578</v>
      </c>
    </row>
    <row r="2049" spans="1:8" x14ac:dyDescent="0.2">
      <c r="A2049" s="4" t="str">
        <f t="shared" si="53"/>
        <v>52</v>
      </c>
      <c r="B2049" s="4" t="str">
        <f>"52.1903"</f>
        <v>52.1903</v>
      </c>
      <c r="C2049" s="4" t="s">
        <v>18238</v>
      </c>
      <c r="D2049" s="4" t="s">
        <v>18239</v>
      </c>
      <c r="E2049" s="4" t="s">
        <v>7694</v>
      </c>
      <c r="F2049" s="4" t="s">
        <v>20590</v>
      </c>
      <c r="H2049" s="4" t="s">
        <v>20578</v>
      </c>
    </row>
    <row r="2050" spans="1:8" x14ac:dyDescent="0.2">
      <c r="A2050" s="4" t="str">
        <f t="shared" si="53"/>
        <v>52</v>
      </c>
      <c r="B2050" s="4" t="str">
        <f>"52.1904"</f>
        <v>52.1904</v>
      </c>
      <c r="C2050" s="4" t="s">
        <v>18238</v>
      </c>
      <c r="D2050" s="4" t="s">
        <v>18239</v>
      </c>
      <c r="E2050" s="4" t="s">
        <v>10084</v>
      </c>
      <c r="F2050" s="4" t="s">
        <v>20591</v>
      </c>
      <c r="H2050" s="4" t="s">
        <v>20578</v>
      </c>
    </row>
    <row r="2051" spans="1:8" x14ac:dyDescent="0.2">
      <c r="A2051" s="4" t="str">
        <f t="shared" si="53"/>
        <v>52</v>
      </c>
      <c r="B2051" s="4" t="str">
        <f>"52.1905"</f>
        <v>52.1905</v>
      </c>
      <c r="C2051" s="4" t="s">
        <v>18238</v>
      </c>
      <c r="D2051" s="4" t="s">
        <v>18239</v>
      </c>
      <c r="E2051" s="4" t="s">
        <v>7699</v>
      </c>
      <c r="F2051" s="4" t="s">
        <v>20592</v>
      </c>
      <c r="H2051" s="4" t="s">
        <v>20578</v>
      </c>
    </row>
    <row r="2052" spans="1:8" x14ac:dyDescent="0.2">
      <c r="A2052" s="4" t="str">
        <f t="shared" si="53"/>
        <v>52</v>
      </c>
      <c r="B2052" s="4" t="str">
        <f>"52.1906"</f>
        <v>52.1906</v>
      </c>
      <c r="C2052" s="4" t="s">
        <v>18238</v>
      </c>
      <c r="D2052" s="4" t="s">
        <v>18239</v>
      </c>
      <c r="E2052" s="4" t="s">
        <v>7285</v>
      </c>
      <c r="F2052" s="4" t="s">
        <v>20593</v>
      </c>
      <c r="H2052" s="4" t="s">
        <v>20578</v>
      </c>
    </row>
    <row r="2053" spans="1:8" x14ac:dyDescent="0.2">
      <c r="A2053" s="4" t="str">
        <f t="shared" si="53"/>
        <v>52</v>
      </c>
      <c r="B2053" s="4" t="str">
        <f>"52.1907"</f>
        <v>52.1907</v>
      </c>
      <c r="C2053" s="4" t="s">
        <v>18238</v>
      </c>
      <c r="D2053" s="4" t="s">
        <v>18239</v>
      </c>
      <c r="E2053" s="4" t="s">
        <v>7288</v>
      </c>
      <c r="F2053" s="4" t="s">
        <v>20594</v>
      </c>
      <c r="H2053" s="4" t="s">
        <v>20578</v>
      </c>
    </row>
    <row r="2054" spans="1:8" x14ac:dyDescent="0.2">
      <c r="A2054" s="4" t="str">
        <f t="shared" si="53"/>
        <v>52</v>
      </c>
      <c r="B2054" s="4" t="str">
        <f>"52.1908"</f>
        <v>52.1908</v>
      </c>
      <c r="C2054" s="4" t="s">
        <v>18238</v>
      </c>
      <c r="D2054" s="4" t="s">
        <v>18239</v>
      </c>
      <c r="E2054" s="4" t="s">
        <v>7291</v>
      </c>
      <c r="F2054" s="4" t="s">
        <v>20595</v>
      </c>
      <c r="H2054" s="4" t="s">
        <v>20578</v>
      </c>
    </row>
    <row r="2055" spans="1:8" x14ac:dyDescent="0.2">
      <c r="A2055" s="4" t="str">
        <f t="shared" si="53"/>
        <v>52</v>
      </c>
      <c r="B2055" s="4" t="str">
        <f>"52.1909"</f>
        <v>52.1909</v>
      </c>
      <c r="C2055" s="4" t="s">
        <v>18238</v>
      </c>
      <c r="D2055" s="4" t="s">
        <v>18239</v>
      </c>
      <c r="E2055" s="4" t="s">
        <v>7294</v>
      </c>
      <c r="F2055" s="4" t="s">
        <v>20596</v>
      </c>
      <c r="H2055" s="4" t="s">
        <v>20578</v>
      </c>
    </row>
    <row r="2056" spans="1:8" x14ac:dyDescent="0.2">
      <c r="A2056" s="4" t="str">
        <f t="shared" si="53"/>
        <v>52</v>
      </c>
      <c r="B2056" s="4" t="str">
        <f>"52.1910"</f>
        <v>52.1910</v>
      </c>
      <c r="C2056" s="4" t="s">
        <v>18238</v>
      </c>
      <c r="D2056" s="4" t="s">
        <v>18239</v>
      </c>
      <c r="E2056" s="4" t="s">
        <v>7297</v>
      </c>
      <c r="F2056" s="4" t="s">
        <v>20597</v>
      </c>
      <c r="H2056" s="4" t="s">
        <v>20578</v>
      </c>
    </row>
    <row r="2057" spans="1:8" x14ac:dyDescent="0.2">
      <c r="A2057" s="4" t="str">
        <f t="shared" si="53"/>
        <v>52</v>
      </c>
      <c r="B2057" s="4" t="str">
        <f>"52.1999"</f>
        <v>52.1999</v>
      </c>
      <c r="C2057" s="4" t="s">
        <v>18238</v>
      </c>
      <c r="D2057" s="4" t="s">
        <v>18239</v>
      </c>
      <c r="E2057" s="4" t="s">
        <v>7300</v>
      </c>
      <c r="F2057" s="4" t="s">
        <v>20598</v>
      </c>
      <c r="H2057" s="4" t="s">
        <v>20599</v>
      </c>
    </row>
    <row r="2058" spans="1:8" x14ac:dyDescent="0.2">
      <c r="A2058" s="4" t="str">
        <f t="shared" si="53"/>
        <v>52</v>
      </c>
      <c r="B2058" s="4" t="str">
        <f>"52.20"</f>
        <v>52.20</v>
      </c>
      <c r="C2058" s="4" t="s">
        <v>18238</v>
      </c>
      <c r="D2058" s="4" t="s">
        <v>18239</v>
      </c>
      <c r="E2058" s="4" t="s">
        <v>8927</v>
      </c>
      <c r="F2058" s="4" t="s">
        <v>20600</v>
      </c>
      <c r="H2058" s="4" t="s">
        <v>20599</v>
      </c>
    </row>
    <row r="2059" spans="1:8" x14ac:dyDescent="0.2">
      <c r="A2059" s="4" t="str">
        <f t="shared" si="53"/>
        <v>52</v>
      </c>
      <c r="B2059" s="4" t="str">
        <f>"52.2001"</f>
        <v>52.2001</v>
      </c>
      <c r="C2059" s="4" t="s">
        <v>18238</v>
      </c>
      <c r="D2059" s="4" t="s">
        <v>18239</v>
      </c>
      <c r="E2059" s="4" t="s">
        <v>8927</v>
      </c>
      <c r="F2059" s="4" t="s">
        <v>20601</v>
      </c>
      <c r="G2059" s="4" t="s">
        <v>20602</v>
      </c>
      <c r="H2059" s="4" t="s">
        <v>20599</v>
      </c>
    </row>
    <row r="2060" spans="1:8" x14ac:dyDescent="0.2">
      <c r="A2060" s="4" t="str">
        <f t="shared" si="53"/>
        <v>52</v>
      </c>
      <c r="B2060" s="4" t="str">
        <f>"52.21"</f>
        <v>52.21</v>
      </c>
      <c r="C2060" s="4" t="s">
        <v>18258</v>
      </c>
      <c r="D2060" s="4" t="s">
        <v>18239</v>
      </c>
      <c r="E2060" s="4" t="s">
        <v>20603</v>
      </c>
      <c r="F2060" s="4" t="s">
        <v>20604</v>
      </c>
      <c r="H2060" s="4" t="s">
        <v>20599</v>
      </c>
    </row>
    <row r="2061" spans="1:8" x14ac:dyDescent="0.2">
      <c r="A2061" s="4" t="str">
        <f t="shared" si="53"/>
        <v>52</v>
      </c>
      <c r="B2061" s="4" t="str">
        <f>"52.2101"</f>
        <v>52.2101</v>
      </c>
      <c r="C2061" s="4" t="s">
        <v>18258</v>
      </c>
      <c r="D2061" s="4" t="s">
        <v>18239</v>
      </c>
      <c r="E2061" s="4" t="s">
        <v>20603</v>
      </c>
      <c r="F2061" s="4" t="s">
        <v>20605</v>
      </c>
      <c r="H2061" s="4" t="s">
        <v>20599</v>
      </c>
    </row>
    <row r="2062" spans="1:8" x14ac:dyDescent="0.2">
      <c r="A2062" s="4" t="str">
        <f t="shared" si="53"/>
        <v>52</v>
      </c>
      <c r="B2062" s="4" t="str">
        <f>"52.99"</f>
        <v>52.99</v>
      </c>
      <c r="C2062" s="4" t="s">
        <v>18238</v>
      </c>
      <c r="D2062" s="4" t="s">
        <v>18239</v>
      </c>
      <c r="E2062" s="4" t="s">
        <v>7305</v>
      </c>
      <c r="F2062" s="4" t="s">
        <v>7306</v>
      </c>
      <c r="H2062" s="4" t="s">
        <v>20599</v>
      </c>
    </row>
    <row r="2063" spans="1:8" x14ac:dyDescent="0.2">
      <c r="A2063" s="4" t="str">
        <f t="shared" si="53"/>
        <v>52</v>
      </c>
      <c r="B2063" s="4" t="str">
        <f>"52.9999"</f>
        <v>52.9999</v>
      </c>
      <c r="C2063" s="4" t="s">
        <v>18238</v>
      </c>
      <c r="D2063" s="4" t="s">
        <v>18239</v>
      </c>
      <c r="E2063" s="4" t="s">
        <v>7305</v>
      </c>
      <c r="F2063" s="4" t="s">
        <v>7307</v>
      </c>
      <c r="H2063" s="4" t="s">
        <v>20599</v>
      </c>
    </row>
    <row r="2064" spans="1:8" x14ac:dyDescent="0.2">
      <c r="A2064" s="4" t="str">
        <f>"53"</f>
        <v>53</v>
      </c>
      <c r="B2064" s="4" t="str">
        <f>"53"</f>
        <v>53</v>
      </c>
      <c r="C2064" s="4" t="s">
        <v>18238</v>
      </c>
      <c r="D2064" s="4" t="s">
        <v>18239</v>
      </c>
      <c r="E2064" s="4" t="s">
        <v>6446</v>
      </c>
      <c r="F2064" s="4" t="s">
        <v>20606</v>
      </c>
      <c r="H2064" s="4" t="s">
        <v>20599</v>
      </c>
    </row>
    <row r="2065" spans="1:8" x14ac:dyDescent="0.2">
      <c r="A2065" s="4" t="str">
        <f t="shared" ref="A2065:A2076" si="54">"53"</f>
        <v>53</v>
      </c>
      <c r="B2065" s="4" t="str">
        <f>"53.01"</f>
        <v>53.01</v>
      </c>
      <c r="C2065" s="4" t="s">
        <v>18238</v>
      </c>
      <c r="D2065" s="4" t="s">
        <v>18239</v>
      </c>
      <c r="E2065" s="4" t="s">
        <v>6449</v>
      </c>
      <c r="F2065" s="4" t="s">
        <v>20607</v>
      </c>
      <c r="H2065" s="4" t="s">
        <v>20599</v>
      </c>
    </row>
    <row r="2066" spans="1:8" x14ac:dyDescent="0.2">
      <c r="A2066" s="4" t="str">
        <f t="shared" si="54"/>
        <v>53</v>
      </c>
      <c r="B2066" s="4" t="str">
        <f>"53.0101"</f>
        <v>53.0101</v>
      </c>
      <c r="C2066" s="4" t="s">
        <v>18238</v>
      </c>
      <c r="D2066" s="4" t="s">
        <v>18239</v>
      </c>
      <c r="E2066" s="4" t="s">
        <v>6451</v>
      </c>
      <c r="F2066" s="4" t="s">
        <v>20608</v>
      </c>
      <c r="H2066" s="4" t="s">
        <v>20599</v>
      </c>
    </row>
    <row r="2067" spans="1:8" x14ac:dyDescent="0.2">
      <c r="A2067" s="4" t="str">
        <f t="shared" si="54"/>
        <v>53</v>
      </c>
      <c r="B2067" s="4" t="str">
        <f>"53.0102"</f>
        <v>53.0102</v>
      </c>
      <c r="C2067" s="4" t="s">
        <v>18238</v>
      </c>
      <c r="D2067" s="4" t="s">
        <v>18239</v>
      </c>
      <c r="E2067" s="4" t="s">
        <v>6453</v>
      </c>
      <c r="F2067" s="4" t="s">
        <v>20609</v>
      </c>
      <c r="H2067" s="4" t="s">
        <v>20599</v>
      </c>
    </row>
    <row r="2068" spans="1:8" x14ac:dyDescent="0.2">
      <c r="A2068" s="4" t="str">
        <f t="shared" si="54"/>
        <v>53</v>
      </c>
      <c r="B2068" s="4" t="str">
        <f>"53.0103"</f>
        <v>53.0103</v>
      </c>
      <c r="C2068" s="4" t="s">
        <v>18238</v>
      </c>
      <c r="D2068" s="4" t="s">
        <v>18239</v>
      </c>
      <c r="E2068" s="4" t="s">
        <v>6455</v>
      </c>
      <c r="F2068" s="4" t="s">
        <v>20610</v>
      </c>
      <c r="H2068" s="4" t="s">
        <v>20599</v>
      </c>
    </row>
    <row r="2069" spans="1:8" x14ac:dyDescent="0.2">
      <c r="A2069" s="4" t="str">
        <f t="shared" si="54"/>
        <v>53</v>
      </c>
      <c r="B2069" s="4" t="str">
        <f>"53.0104"</f>
        <v>53.0104</v>
      </c>
      <c r="C2069" s="4" t="s">
        <v>18238</v>
      </c>
      <c r="D2069" s="4" t="s">
        <v>18239</v>
      </c>
      <c r="E2069" s="4" t="s">
        <v>6457</v>
      </c>
      <c r="F2069" s="4" t="s">
        <v>20611</v>
      </c>
      <c r="H2069" s="4" t="s">
        <v>20599</v>
      </c>
    </row>
    <row r="2070" spans="1:8" x14ac:dyDescent="0.2">
      <c r="A2070" s="4" t="str">
        <f t="shared" si="54"/>
        <v>53</v>
      </c>
      <c r="B2070" s="4" t="str">
        <f>"53.0105"</f>
        <v>53.0105</v>
      </c>
      <c r="C2070" s="4" t="s">
        <v>18238</v>
      </c>
      <c r="D2070" s="4" t="s">
        <v>18239</v>
      </c>
      <c r="E2070" s="4" t="s">
        <v>20612</v>
      </c>
      <c r="F2070" s="4" t="s">
        <v>20613</v>
      </c>
      <c r="H2070" s="4" t="s">
        <v>20599</v>
      </c>
    </row>
    <row r="2071" spans="1:8" x14ac:dyDescent="0.2">
      <c r="A2071" s="4" t="str">
        <f t="shared" si="54"/>
        <v>53</v>
      </c>
      <c r="B2071" s="4" t="str">
        <f>"53.0199"</f>
        <v>53.0199</v>
      </c>
      <c r="C2071" s="4" t="s">
        <v>18238</v>
      </c>
      <c r="D2071" s="4" t="s">
        <v>18239</v>
      </c>
      <c r="E2071" s="4" t="s">
        <v>6462</v>
      </c>
      <c r="F2071" s="4" t="s">
        <v>20614</v>
      </c>
      <c r="H2071" s="4" t="s">
        <v>20599</v>
      </c>
    </row>
    <row r="2072" spans="1:8" x14ac:dyDescent="0.2">
      <c r="A2072" s="4" t="str">
        <f t="shared" si="54"/>
        <v>53</v>
      </c>
      <c r="B2072" s="4" t="str">
        <f>"53.02"</f>
        <v>53.02</v>
      </c>
      <c r="C2072" s="4" t="s">
        <v>18238</v>
      </c>
      <c r="D2072" s="4" t="s">
        <v>18239</v>
      </c>
      <c r="E2072" s="4" t="s">
        <v>6465</v>
      </c>
      <c r="F2072" s="4" t="s">
        <v>20615</v>
      </c>
      <c r="H2072" s="4" t="s">
        <v>20599</v>
      </c>
    </row>
    <row r="2073" spans="1:8" x14ac:dyDescent="0.2">
      <c r="A2073" s="4" t="str">
        <f t="shared" si="54"/>
        <v>53</v>
      </c>
      <c r="B2073" s="4" t="str">
        <f>"53.0201"</f>
        <v>53.0201</v>
      </c>
      <c r="C2073" s="4" t="s">
        <v>18238</v>
      </c>
      <c r="D2073" s="4" t="s">
        <v>18239</v>
      </c>
      <c r="E2073" s="4" t="s">
        <v>6467</v>
      </c>
      <c r="F2073" s="4" t="s">
        <v>20616</v>
      </c>
      <c r="H2073" s="4" t="s">
        <v>20599</v>
      </c>
    </row>
    <row r="2074" spans="1:8" x14ac:dyDescent="0.2">
      <c r="A2074" s="4" t="str">
        <f t="shared" si="54"/>
        <v>53</v>
      </c>
      <c r="B2074" s="4" t="str">
        <f>"53.0202"</f>
        <v>53.0202</v>
      </c>
      <c r="C2074" s="4" t="s">
        <v>18238</v>
      </c>
      <c r="D2074" s="4" t="s">
        <v>18239</v>
      </c>
      <c r="E2074" s="4" t="s">
        <v>6469</v>
      </c>
      <c r="F2074" s="4" t="s">
        <v>20617</v>
      </c>
      <c r="H2074" s="4" t="s">
        <v>20599</v>
      </c>
    </row>
    <row r="2075" spans="1:8" x14ac:dyDescent="0.2">
      <c r="A2075" s="4" t="str">
        <f t="shared" si="54"/>
        <v>53</v>
      </c>
      <c r="B2075" s="4" t="str">
        <f>"53.0203"</f>
        <v>53.0203</v>
      </c>
      <c r="C2075" s="4" t="s">
        <v>18238</v>
      </c>
      <c r="D2075" s="4" t="s">
        <v>18239</v>
      </c>
      <c r="E2075" s="4" t="s">
        <v>6471</v>
      </c>
      <c r="F2075" s="4" t="s">
        <v>20618</v>
      </c>
      <c r="H2075" s="4" t="s">
        <v>20599</v>
      </c>
    </row>
    <row r="2076" spans="1:8" x14ac:dyDescent="0.2">
      <c r="A2076" s="4" t="str">
        <f t="shared" si="54"/>
        <v>53</v>
      </c>
      <c r="B2076" s="4" t="str">
        <f>"53.0299"</f>
        <v>53.0299</v>
      </c>
      <c r="C2076" s="4" t="s">
        <v>18238</v>
      </c>
      <c r="D2076" s="4" t="s">
        <v>18239</v>
      </c>
      <c r="E2076" s="4" t="s">
        <v>6473</v>
      </c>
      <c r="F2076" s="4" t="s">
        <v>20619</v>
      </c>
      <c r="H2076" s="4" t="s">
        <v>20599</v>
      </c>
    </row>
    <row r="2077" spans="1:8" x14ac:dyDescent="0.2">
      <c r="A2077" s="4" t="str">
        <f>"54"</f>
        <v>54</v>
      </c>
      <c r="B2077" s="4" t="str">
        <f>"54"</f>
        <v>54</v>
      </c>
      <c r="C2077" s="4" t="s">
        <v>18238</v>
      </c>
      <c r="D2077" s="4" t="s">
        <v>18239</v>
      </c>
      <c r="E2077" s="4" t="s">
        <v>20620</v>
      </c>
      <c r="F2077" s="4" t="s">
        <v>20621</v>
      </c>
      <c r="H2077" s="4" t="s">
        <v>20599</v>
      </c>
    </row>
    <row r="2078" spans="1:8" x14ac:dyDescent="0.2">
      <c r="A2078" s="4" t="str">
        <f t="shared" ref="A2078:A2087" si="55">"54"</f>
        <v>54</v>
      </c>
      <c r="B2078" s="4" t="str">
        <f>"54.01"</f>
        <v>54.01</v>
      </c>
      <c r="C2078" s="4" t="s">
        <v>18238</v>
      </c>
      <c r="D2078" s="4" t="s">
        <v>18239</v>
      </c>
      <c r="E2078" s="4" t="s">
        <v>9898</v>
      </c>
      <c r="F2078" s="4" t="s">
        <v>20622</v>
      </c>
      <c r="H2078" s="4" t="s">
        <v>20599</v>
      </c>
    </row>
    <row r="2079" spans="1:8" x14ac:dyDescent="0.2">
      <c r="A2079" s="4" t="str">
        <f t="shared" si="55"/>
        <v>54</v>
      </c>
      <c r="B2079" s="4" t="str">
        <f>"54.0101"</f>
        <v>54.0101</v>
      </c>
      <c r="C2079" s="4" t="s">
        <v>18238</v>
      </c>
      <c r="D2079" s="4" t="s">
        <v>18239</v>
      </c>
      <c r="E2079" s="4" t="s">
        <v>8866</v>
      </c>
      <c r="F2079" s="4" t="s">
        <v>20623</v>
      </c>
      <c r="H2079" s="4" t="s">
        <v>20599</v>
      </c>
    </row>
    <row r="2080" spans="1:8" x14ac:dyDescent="0.2">
      <c r="A2080" s="4" t="str">
        <f t="shared" si="55"/>
        <v>54</v>
      </c>
      <c r="B2080" s="4" t="str">
        <f>"54.0102"</f>
        <v>54.0102</v>
      </c>
      <c r="C2080" s="4" t="s">
        <v>18238</v>
      </c>
      <c r="D2080" s="4" t="s">
        <v>18239</v>
      </c>
      <c r="E2080" s="4" t="s">
        <v>7316</v>
      </c>
      <c r="F2080" s="4" t="s">
        <v>20624</v>
      </c>
      <c r="H2080" s="4" t="s">
        <v>20599</v>
      </c>
    </row>
    <row r="2081" spans="1:8" x14ac:dyDescent="0.2">
      <c r="A2081" s="4" t="str">
        <f t="shared" si="55"/>
        <v>54</v>
      </c>
      <c r="B2081" s="4" t="str">
        <f>"54.0103"</f>
        <v>54.0103</v>
      </c>
      <c r="C2081" s="4" t="s">
        <v>18238</v>
      </c>
      <c r="D2081" s="4" t="s">
        <v>18239</v>
      </c>
      <c r="E2081" s="4" t="s">
        <v>11353</v>
      </c>
      <c r="F2081" s="4" t="s">
        <v>20625</v>
      </c>
      <c r="G2081" s="4" t="s">
        <v>20626</v>
      </c>
      <c r="H2081" s="4" t="s">
        <v>20599</v>
      </c>
    </row>
    <row r="2082" spans="1:8" x14ac:dyDescent="0.2">
      <c r="A2082" s="4" t="str">
        <f t="shared" si="55"/>
        <v>54</v>
      </c>
      <c r="B2082" s="4" t="str">
        <f>"54.0104"</f>
        <v>54.0104</v>
      </c>
      <c r="C2082" s="4" t="s">
        <v>18238</v>
      </c>
      <c r="D2082" s="4" t="s">
        <v>18307</v>
      </c>
      <c r="E2082" s="4" t="s">
        <v>8871</v>
      </c>
      <c r="F2082" s="4" t="s">
        <v>20627</v>
      </c>
      <c r="G2082" s="4" t="s">
        <v>20628</v>
      </c>
      <c r="H2082" s="4" t="s">
        <v>20629</v>
      </c>
    </row>
    <row r="2083" spans="1:8" x14ac:dyDescent="0.2">
      <c r="A2083" s="4" t="str">
        <f t="shared" si="55"/>
        <v>54</v>
      </c>
      <c r="B2083" s="4" t="str">
        <f>"54.0105"</f>
        <v>54.0105</v>
      </c>
      <c r="C2083" s="4" t="s">
        <v>18238</v>
      </c>
      <c r="D2083" s="4" t="s">
        <v>18307</v>
      </c>
      <c r="E2083" s="4" t="s">
        <v>20630</v>
      </c>
      <c r="F2083" s="4" t="s">
        <v>20631</v>
      </c>
      <c r="G2083" s="4" t="s">
        <v>20632</v>
      </c>
      <c r="H2083" s="4" t="s">
        <v>20629</v>
      </c>
    </row>
    <row r="2084" spans="1:8" x14ac:dyDescent="0.2">
      <c r="A2084" s="4" t="str">
        <f t="shared" si="55"/>
        <v>54</v>
      </c>
      <c r="B2084" s="4" t="str">
        <f>"54.0106"</f>
        <v>54.0106</v>
      </c>
      <c r="C2084" s="4" t="s">
        <v>18238</v>
      </c>
      <c r="D2084" s="4" t="s">
        <v>18239</v>
      </c>
      <c r="E2084" s="4" t="s">
        <v>11329</v>
      </c>
      <c r="F2084" s="4" t="s">
        <v>20633</v>
      </c>
      <c r="H2084" s="4" t="s">
        <v>20629</v>
      </c>
    </row>
    <row r="2085" spans="1:8" x14ac:dyDescent="0.2">
      <c r="A2085" s="4" t="str">
        <f t="shared" si="55"/>
        <v>54</v>
      </c>
      <c r="B2085" s="4" t="str">
        <f>"54.0107"</f>
        <v>54.0107</v>
      </c>
      <c r="C2085" s="4" t="s">
        <v>18238</v>
      </c>
      <c r="D2085" s="4" t="s">
        <v>18239</v>
      </c>
      <c r="E2085" s="4" t="s">
        <v>11382</v>
      </c>
      <c r="F2085" s="4" t="s">
        <v>20634</v>
      </c>
      <c r="H2085" s="4" t="s">
        <v>20629</v>
      </c>
    </row>
    <row r="2086" spans="1:8" x14ac:dyDescent="0.2">
      <c r="A2086" s="4" t="str">
        <f t="shared" si="55"/>
        <v>54</v>
      </c>
      <c r="B2086" s="4" t="str">
        <f>"54.0108"</f>
        <v>54.0108</v>
      </c>
      <c r="C2086" s="4" t="s">
        <v>18258</v>
      </c>
      <c r="D2086" s="4" t="s">
        <v>18239</v>
      </c>
      <c r="E2086" s="4" t="s">
        <v>20635</v>
      </c>
      <c r="F2086" s="4" t="s">
        <v>20636</v>
      </c>
      <c r="H2086" s="4" t="s">
        <v>20637</v>
      </c>
    </row>
    <row r="2087" spans="1:8" x14ac:dyDescent="0.2">
      <c r="A2087" s="4" t="str">
        <f t="shared" si="55"/>
        <v>54</v>
      </c>
      <c r="B2087" s="4" t="str">
        <f>"54.0199"</f>
        <v>54.0199</v>
      </c>
      <c r="C2087" s="4" t="s">
        <v>18238</v>
      </c>
      <c r="D2087" s="4" t="s">
        <v>18239</v>
      </c>
      <c r="E2087" s="4" t="s">
        <v>8874</v>
      </c>
      <c r="F2087" s="4" t="s">
        <v>20638</v>
      </c>
      <c r="H2087" s="4" t="s">
        <v>20637</v>
      </c>
    </row>
    <row r="2088" spans="1:8" x14ac:dyDescent="0.2">
      <c r="A2088" s="4" t="str">
        <f>"60"</f>
        <v>60</v>
      </c>
      <c r="B2088" s="4" t="str">
        <f>"60"</f>
        <v>60</v>
      </c>
      <c r="C2088" s="4" t="s">
        <v>18238</v>
      </c>
      <c r="D2088" s="4" t="s">
        <v>18307</v>
      </c>
      <c r="E2088" s="4" t="s">
        <v>20639</v>
      </c>
      <c r="F2088" s="4" t="s">
        <v>20640</v>
      </c>
      <c r="H2088" s="4" t="s">
        <v>20637</v>
      </c>
    </row>
    <row r="2089" spans="1:8" x14ac:dyDescent="0.2">
      <c r="A2089" s="4" t="str">
        <f t="shared" ref="A2089:A2152" si="56">"60"</f>
        <v>60</v>
      </c>
      <c r="B2089" s="4" t="str">
        <f>"60.01"</f>
        <v>60.01</v>
      </c>
      <c r="C2089" s="4" t="s">
        <v>18238</v>
      </c>
      <c r="D2089" s="4" t="s">
        <v>18239</v>
      </c>
      <c r="E2089" s="4" t="s">
        <v>7336</v>
      </c>
      <c r="F2089" s="4" t="s">
        <v>20641</v>
      </c>
      <c r="H2089" s="4" t="s">
        <v>20637</v>
      </c>
    </row>
    <row r="2090" spans="1:8" x14ac:dyDescent="0.2">
      <c r="A2090" s="4" t="str">
        <f t="shared" si="56"/>
        <v>60</v>
      </c>
      <c r="B2090" s="4" t="str">
        <f>"60.0101"</f>
        <v>60.0101</v>
      </c>
      <c r="C2090" s="4" t="s">
        <v>18238</v>
      </c>
      <c r="D2090" s="4" t="s">
        <v>18307</v>
      </c>
      <c r="E2090" s="4" t="s">
        <v>20642</v>
      </c>
      <c r="F2090" s="4" t="s">
        <v>20643</v>
      </c>
      <c r="H2090" s="4" t="s">
        <v>20644</v>
      </c>
    </row>
    <row r="2091" spans="1:8" x14ac:dyDescent="0.2">
      <c r="A2091" s="4" t="str">
        <f t="shared" si="56"/>
        <v>60</v>
      </c>
      <c r="B2091" s="4" t="str">
        <f>"60.0102"</f>
        <v>60.0102</v>
      </c>
      <c r="C2091" s="4" t="s">
        <v>18238</v>
      </c>
      <c r="D2091" s="4" t="s">
        <v>18239</v>
      </c>
      <c r="E2091" s="4" t="s">
        <v>20645</v>
      </c>
      <c r="F2091" s="4" t="s">
        <v>20646</v>
      </c>
      <c r="H2091" s="4" t="s">
        <v>20644</v>
      </c>
    </row>
    <row r="2092" spans="1:8" x14ac:dyDescent="0.2">
      <c r="A2092" s="4" t="str">
        <f t="shared" si="56"/>
        <v>60</v>
      </c>
      <c r="B2092" s="4" t="str">
        <f>"60.0103"</f>
        <v>60.0103</v>
      </c>
      <c r="C2092" s="4" t="s">
        <v>18238</v>
      </c>
      <c r="D2092" s="4" t="s">
        <v>18239</v>
      </c>
      <c r="E2092" s="4" t="s">
        <v>20647</v>
      </c>
      <c r="F2092" s="4" t="s">
        <v>20648</v>
      </c>
      <c r="H2092" s="4" t="s">
        <v>20644</v>
      </c>
    </row>
    <row r="2093" spans="1:8" x14ac:dyDescent="0.2">
      <c r="A2093" s="4" t="str">
        <f t="shared" si="56"/>
        <v>60</v>
      </c>
      <c r="B2093" s="4" t="str">
        <f>"60.0104"</f>
        <v>60.0104</v>
      </c>
      <c r="C2093" s="4" t="s">
        <v>18238</v>
      </c>
      <c r="D2093" s="4" t="s">
        <v>18307</v>
      </c>
      <c r="E2093" s="4" t="s">
        <v>20649</v>
      </c>
      <c r="F2093" s="4" t="s">
        <v>20650</v>
      </c>
      <c r="H2093" s="4" t="s">
        <v>20651</v>
      </c>
    </row>
    <row r="2094" spans="1:8" x14ac:dyDescent="0.2">
      <c r="A2094" s="4" t="str">
        <f t="shared" si="56"/>
        <v>60</v>
      </c>
      <c r="B2094" s="4" t="str">
        <f>"60.0105"</f>
        <v>60.0105</v>
      </c>
      <c r="C2094" s="4" t="s">
        <v>18238</v>
      </c>
      <c r="D2094" s="4" t="s">
        <v>18239</v>
      </c>
      <c r="E2094" s="4" t="s">
        <v>20652</v>
      </c>
      <c r="F2094" s="4" t="s">
        <v>20653</v>
      </c>
      <c r="H2094" s="4" t="s">
        <v>20651</v>
      </c>
    </row>
    <row r="2095" spans="1:8" x14ac:dyDescent="0.2">
      <c r="A2095" s="4" t="str">
        <f t="shared" si="56"/>
        <v>60</v>
      </c>
      <c r="B2095" s="4" t="str">
        <f>"60.0106"</f>
        <v>60.0106</v>
      </c>
      <c r="C2095" s="4" t="s">
        <v>18238</v>
      </c>
      <c r="D2095" s="4" t="s">
        <v>18307</v>
      </c>
      <c r="E2095" s="4" t="s">
        <v>20654</v>
      </c>
      <c r="F2095" s="4" t="s">
        <v>20655</v>
      </c>
      <c r="H2095" s="4" t="s">
        <v>20656</v>
      </c>
    </row>
    <row r="2096" spans="1:8" x14ac:dyDescent="0.2">
      <c r="A2096" s="4" t="str">
        <f t="shared" si="56"/>
        <v>60</v>
      </c>
      <c r="B2096" s="4" t="str">
        <f>"60.0107"</f>
        <v>60.0107</v>
      </c>
      <c r="C2096" s="4" t="s">
        <v>18238</v>
      </c>
      <c r="D2096" s="4" t="s">
        <v>18307</v>
      </c>
      <c r="E2096" s="4" t="s">
        <v>20657</v>
      </c>
      <c r="F2096" s="4" t="s">
        <v>20658</v>
      </c>
      <c r="H2096" s="4" t="s">
        <v>20659</v>
      </c>
    </row>
    <row r="2097" spans="1:8" x14ac:dyDescent="0.2">
      <c r="A2097" s="4" t="str">
        <f t="shared" si="56"/>
        <v>60</v>
      </c>
      <c r="B2097" s="4" t="str">
        <f>"60.0108"</f>
        <v>60.0108</v>
      </c>
      <c r="C2097" s="4" t="s">
        <v>18238</v>
      </c>
      <c r="D2097" s="4" t="s">
        <v>18239</v>
      </c>
      <c r="E2097" s="4" t="s">
        <v>20660</v>
      </c>
      <c r="F2097" s="4" t="s">
        <v>20661</v>
      </c>
      <c r="H2097" s="4" t="s">
        <v>20659</v>
      </c>
    </row>
    <row r="2098" spans="1:8" x14ac:dyDescent="0.2">
      <c r="A2098" s="4" t="str">
        <f t="shared" si="56"/>
        <v>60</v>
      </c>
      <c r="B2098" s="4" t="str">
        <f>"60.0109"</f>
        <v>60.0109</v>
      </c>
      <c r="C2098" s="4" t="s">
        <v>18258</v>
      </c>
      <c r="D2098" s="4" t="s">
        <v>18239</v>
      </c>
      <c r="E2098" s="4" t="s">
        <v>20662</v>
      </c>
      <c r="F2098" s="4" t="s">
        <v>20663</v>
      </c>
      <c r="H2098" s="4" t="s">
        <v>20659</v>
      </c>
    </row>
    <row r="2099" spans="1:8" x14ac:dyDescent="0.2">
      <c r="A2099" s="4" t="str">
        <f t="shared" si="56"/>
        <v>60</v>
      </c>
      <c r="B2099" s="4" t="str">
        <f>"60.0199"</f>
        <v>60.0199</v>
      </c>
      <c r="C2099" s="4" t="s">
        <v>18238</v>
      </c>
      <c r="D2099" s="4" t="s">
        <v>18239</v>
      </c>
      <c r="E2099" s="4" t="s">
        <v>7363</v>
      </c>
      <c r="F2099" s="4" t="s">
        <v>20664</v>
      </c>
      <c r="H2099" s="4" t="s">
        <v>20659</v>
      </c>
    </row>
    <row r="2100" spans="1:8" x14ac:dyDescent="0.2">
      <c r="A2100" s="4" t="str">
        <f t="shared" si="56"/>
        <v>60</v>
      </c>
      <c r="B2100" s="4" t="str">
        <f>"60.02"</f>
        <v>60.02</v>
      </c>
      <c r="C2100" s="4" t="s">
        <v>6584</v>
      </c>
      <c r="D2100" s="4" t="s">
        <v>18239</v>
      </c>
      <c r="E2100" s="4" t="s">
        <v>7366</v>
      </c>
      <c r="F2100" s="4" t="s">
        <v>20665</v>
      </c>
      <c r="H2100" s="4" t="s">
        <v>20659</v>
      </c>
    </row>
    <row r="2101" spans="1:8" x14ac:dyDescent="0.2">
      <c r="A2101" s="4" t="str">
        <f t="shared" si="56"/>
        <v>60</v>
      </c>
      <c r="B2101" s="4" t="str">
        <f>"60.0201"</f>
        <v>60.0201</v>
      </c>
      <c r="C2101" s="4" t="s">
        <v>18724</v>
      </c>
      <c r="D2101" s="4" t="s">
        <v>18239</v>
      </c>
      <c r="E2101" s="4" t="s">
        <v>7369</v>
      </c>
      <c r="F2101" s="4" t="s">
        <v>20666</v>
      </c>
      <c r="H2101" s="4" t="s">
        <v>20659</v>
      </c>
    </row>
    <row r="2102" spans="1:8" x14ac:dyDescent="0.2">
      <c r="A2102" s="4" t="str">
        <f t="shared" si="56"/>
        <v>60</v>
      </c>
      <c r="B2102" s="4" t="str">
        <f>"60.0202"</f>
        <v>60.0202</v>
      </c>
      <c r="C2102" s="4" t="s">
        <v>18724</v>
      </c>
      <c r="D2102" s="4" t="s">
        <v>18239</v>
      </c>
      <c r="E2102" s="4" t="s">
        <v>7372</v>
      </c>
      <c r="F2102" s="4" t="s">
        <v>20667</v>
      </c>
      <c r="H2102" s="4" t="s">
        <v>20659</v>
      </c>
    </row>
    <row r="2103" spans="1:8" x14ac:dyDescent="0.2">
      <c r="A2103" s="4" t="str">
        <f t="shared" si="56"/>
        <v>60</v>
      </c>
      <c r="B2103" s="4" t="str">
        <f>"60.0203"</f>
        <v>60.0203</v>
      </c>
      <c r="C2103" s="4" t="s">
        <v>18724</v>
      </c>
      <c r="D2103" s="4" t="s">
        <v>18239</v>
      </c>
      <c r="E2103" s="4" t="s">
        <v>7375</v>
      </c>
      <c r="F2103" s="4" t="s">
        <v>20668</v>
      </c>
      <c r="H2103" s="4" t="s">
        <v>20659</v>
      </c>
    </row>
    <row r="2104" spans="1:8" x14ac:dyDescent="0.2">
      <c r="A2104" s="4" t="str">
        <f t="shared" si="56"/>
        <v>60</v>
      </c>
      <c r="B2104" s="4" t="str">
        <f>"60.0204"</f>
        <v>60.0204</v>
      </c>
      <c r="C2104" s="4" t="s">
        <v>18724</v>
      </c>
      <c r="D2104" s="4" t="s">
        <v>18239</v>
      </c>
      <c r="E2104" s="4" t="s">
        <v>7378</v>
      </c>
      <c r="F2104" s="4" t="s">
        <v>20669</v>
      </c>
      <c r="H2104" s="4" t="s">
        <v>20659</v>
      </c>
    </row>
    <row r="2105" spans="1:8" x14ac:dyDescent="0.2">
      <c r="A2105" s="4" t="str">
        <f t="shared" si="56"/>
        <v>60</v>
      </c>
      <c r="B2105" s="4" t="str">
        <f>"60.0205"</f>
        <v>60.0205</v>
      </c>
      <c r="C2105" s="4" t="s">
        <v>18724</v>
      </c>
      <c r="D2105" s="4" t="s">
        <v>18239</v>
      </c>
      <c r="E2105" s="4" t="s">
        <v>7381</v>
      </c>
      <c r="F2105" s="4" t="s">
        <v>20670</v>
      </c>
      <c r="H2105" s="4" t="s">
        <v>20659</v>
      </c>
    </row>
    <row r="2106" spans="1:8" x14ac:dyDescent="0.2">
      <c r="A2106" s="4" t="str">
        <f t="shared" si="56"/>
        <v>60</v>
      </c>
      <c r="B2106" s="4" t="str">
        <f>"60.0206"</f>
        <v>60.0206</v>
      </c>
      <c r="C2106" s="4" t="s">
        <v>18724</v>
      </c>
      <c r="D2106" s="4" t="s">
        <v>18239</v>
      </c>
      <c r="E2106" s="4" t="s">
        <v>7384</v>
      </c>
      <c r="F2106" s="4" t="s">
        <v>20671</v>
      </c>
      <c r="H2106" s="4" t="s">
        <v>20659</v>
      </c>
    </row>
    <row r="2107" spans="1:8" x14ac:dyDescent="0.2">
      <c r="A2107" s="4" t="str">
        <f t="shared" si="56"/>
        <v>60</v>
      </c>
      <c r="B2107" s="4" t="str">
        <f>"60.0207"</f>
        <v>60.0207</v>
      </c>
      <c r="C2107" s="4" t="s">
        <v>6584</v>
      </c>
      <c r="D2107" s="4" t="s">
        <v>18239</v>
      </c>
      <c r="E2107" s="4" t="s">
        <v>7387</v>
      </c>
      <c r="F2107" s="4" t="s">
        <v>20672</v>
      </c>
      <c r="H2107" s="4" t="s">
        <v>20659</v>
      </c>
    </row>
    <row r="2108" spans="1:8" x14ac:dyDescent="0.2">
      <c r="A2108" s="4" t="str">
        <f t="shared" si="56"/>
        <v>60</v>
      </c>
      <c r="B2108" s="4" t="str">
        <f>"60.0208"</f>
        <v>60.0208</v>
      </c>
      <c r="C2108" s="4" t="s">
        <v>18724</v>
      </c>
      <c r="D2108" s="4" t="s">
        <v>18239</v>
      </c>
      <c r="E2108" s="4" t="s">
        <v>7390</v>
      </c>
      <c r="F2108" s="4" t="s">
        <v>20673</v>
      </c>
      <c r="H2108" s="4" t="s">
        <v>20659</v>
      </c>
    </row>
    <row r="2109" spans="1:8" x14ac:dyDescent="0.2">
      <c r="A2109" s="4" t="str">
        <f t="shared" si="56"/>
        <v>60</v>
      </c>
      <c r="B2109" s="4" t="str">
        <f>"60.0209"</f>
        <v>60.0209</v>
      </c>
      <c r="C2109" s="4" t="s">
        <v>18724</v>
      </c>
      <c r="D2109" s="4" t="s">
        <v>18239</v>
      </c>
      <c r="E2109" s="4" t="s">
        <v>7393</v>
      </c>
      <c r="F2109" s="4" t="s">
        <v>20674</v>
      </c>
      <c r="H2109" s="4" t="s">
        <v>20659</v>
      </c>
    </row>
    <row r="2110" spans="1:8" x14ac:dyDescent="0.2">
      <c r="A2110" s="4" t="str">
        <f t="shared" si="56"/>
        <v>60</v>
      </c>
      <c r="B2110" s="4" t="str">
        <f>"60.0210"</f>
        <v>60.0210</v>
      </c>
      <c r="C2110" s="4" t="s">
        <v>6584</v>
      </c>
      <c r="D2110" s="4" t="s">
        <v>18239</v>
      </c>
      <c r="E2110" s="4" t="s">
        <v>7396</v>
      </c>
      <c r="F2110" s="4" t="s">
        <v>20675</v>
      </c>
      <c r="H2110" s="4" t="s">
        <v>20659</v>
      </c>
    </row>
    <row r="2111" spans="1:8" x14ac:dyDescent="0.2">
      <c r="A2111" s="4" t="str">
        <f t="shared" si="56"/>
        <v>60</v>
      </c>
      <c r="B2111" s="4" t="str">
        <f>"60.0211"</f>
        <v>60.0211</v>
      </c>
      <c r="C2111" s="4" t="s">
        <v>18724</v>
      </c>
      <c r="D2111" s="4" t="s">
        <v>18239</v>
      </c>
      <c r="E2111" s="4" t="s">
        <v>7399</v>
      </c>
      <c r="F2111" s="4" t="s">
        <v>20676</v>
      </c>
      <c r="H2111" s="4" t="s">
        <v>20659</v>
      </c>
    </row>
    <row r="2112" spans="1:8" x14ac:dyDescent="0.2">
      <c r="A2112" s="4" t="str">
        <f t="shared" si="56"/>
        <v>60</v>
      </c>
      <c r="B2112" s="4" t="str">
        <f>"60.0212"</f>
        <v>60.0212</v>
      </c>
      <c r="C2112" s="4" t="s">
        <v>18724</v>
      </c>
      <c r="D2112" s="4" t="s">
        <v>18239</v>
      </c>
      <c r="E2112" s="4" t="s">
        <v>7402</v>
      </c>
      <c r="F2112" s="4" t="s">
        <v>20677</v>
      </c>
      <c r="H2112" s="4" t="s">
        <v>20659</v>
      </c>
    </row>
    <row r="2113" spans="1:8" x14ac:dyDescent="0.2">
      <c r="A2113" s="4" t="str">
        <f t="shared" si="56"/>
        <v>60</v>
      </c>
      <c r="B2113" s="4" t="str">
        <f>"60.0213"</f>
        <v>60.0213</v>
      </c>
      <c r="C2113" s="4" t="s">
        <v>18724</v>
      </c>
      <c r="D2113" s="4" t="s">
        <v>18239</v>
      </c>
      <c r="E2113" s="4" t="s">
        <v>7405</v>
      </c>
      <c r="F2113" s="4" t="s">
        <v>20678</v>
      </c>
      <c r="H2113" s="4" t="s">
        <v>20659</v>
      </c>
    </row>
    <row r="2114" spans="1:8" x14ac:dyDescent="0.2">
      <c r="A2114" s="4" t="str">
        <f t="shared" si="56"/>
        <v>60</v>
      </c>
      <c r="B2114" s="4" t="str">
        <f>"60.0214"</f>
        <v>60.0214</v>
      </c>
      <c r="C2114" s="4" t="s">
        <v>18724</v>
      </c>
      <c r="D2114" s="4" t="s">
        <v>18239</v>
      </c>
      <c r="E2114" s="4" t="s">
        <v>7408</v>
      </c>
      <c r="F2114" s="4" t="s">
        <v>20679</v>
      </c>
      <c r="H2114" s="4" t="s">
        <v>20659</v>
      </c>
    </row>
    <row r="2115" spans="1:8" x14ac:dyDescent="0.2">
      <c r="A2115" s="4" t="str">
        <f t="shared" si="56"/>
        <v>60</v>
      </c>
      <c r="B2115" s="4" t="str">
        <f>"60.0215"</f>
        <v>60.0215</v>
      </c>
      <c r="C2115" s="4" t="s">
        <v>18724</v>
      </c>
      <c r="D2115" s="4" t="s">
        <v>18239</v>
      </c>
      <c r="E2115" s="4" t="s">
        <v>7411</v>
      </c>
      <c r="F2115" s="4" t="s">
        <v>20680</v>
      </c>
      <c r="H2115" s="4" t="s">
        <v>20659</v>
      </c>
    </row>
    <row r="2116" spans="1:8" x14ac:dyDescent="0.2">
      <c r="A2116" s="4" t="str">
        <f t="shared" si="56"/>
        <v>60</v>
      </c>
      <c r="B2116" s="4" t="str">
        <f>"60.0216"</f>
        <v>60.0216</v>
      </c>
      <c r="C2116" s="4" t="s">
        <v>18724</v>
      </c>
      <c r="D2116" s="4" t="s">
        <v>18239</v>
      </c>
      <c r="E2116" s="4" t="s">
        <v>7414</v>
      </c>
      <c r="F2116" s="4" t="s">
        <v>20681</v>
      </c>
      <c r="H2116" s="4" t="s">
        <v>20659</v>
      </c>
    </row>
    <row r="2117" spans="1:8" x14ac:dyDescent="0.2">
      <c r="A2117" s="4" t="str">
        <f t="shared" si="56"/>
        <v>60</v>
      </c>
      <c r="B2117" s="4" t="str">
        <f>"60.0217"</f>
        <v>60.0217</v>
      </c>
      <c r="C2117" s="4" t="s">
        <v>18724</v>
      </c>
      <c r="D2117" s="4" t="s">
        <v>18239</v>
      </c>
      <c r="E2117" s="4" t="s">
        <v>7417</v>
      </c>
      <c r="F2117" s="4" t="s">
        <v>20682</v>
      </c>
      <c r="H2117" s="4" t="s">
        <v>20659</v>
      </c>
    </row>
    <row r="2118" spans="1:8" x14ac:dyDescent="0.2">
      <c r="A2118" s="4" t="str">
        <f t="shared" si="56"/>
        <v>60</v>
      </c>
      <c r="B2118" s="4" t="str">
        <f>"60.0218"</f>
        <v>60.0218</v>
      </c>
      <c r="C2118" s="4" t="s">
        <v>18724</v>
      </c>
      <c r="D2118" s="4" t="s">
        <v>18239</v>
      </c>
      <c r="E2118" s="4" t="s">
        <v>7420</v>
      </c>
      <c r="F2118" s="4" t="s">
        <v>20683</v>
      </c>
      <c r="H2118" s="4" t="s">
        <v>20659</v>
      </c>
    </row>
    <row r="2119" spans="1:8" x14ac:dyDescent="0.2">
      <c r="A2119" s="4" t="str">
        <f t="shared" si="56"/>
        <v>60</v>
      </c>
      <c r="B2119" s="4" t="str">
        <f>"60.0219"</f>
        <v>60.0219</v>
      </c>
      <c r="C2119" s="4" t="s">
        <v>18724</v>
      </c>
      <c r="D2119" s="4" t="s">
        <v>18239</v>
      </c>
      <c r="E2119" s="4" t="s">
        <v>7423</v>
      </c>
      <c r="F2119" s="4" t="s">
        <v>20684</v>
      </c>
      <c r="H2119" s="4" t="s">
        <v>20659</v>
      </c>
    </row>
    <row r="2120" spans="1:8" x14ac:dyDescent="0.2">
      <c r="A2120" s="4" t="str">
        <f t="shared" si="56"/>
        <v>60</v>
      </c>
      <c r="B2120" s="4" t="str">
        <f>"60.0220"</f>
        <v>60.0220</v>
      </c>
      <c r="C2120" s="4" t="s">
        <v>18724</v>
      </c>
      <c r="D2120" s="4" t="s">
        <v>18239</v>
      </c>
      <c r="E2120" s="4" t="s">
        <v>7426</v>
      </c>
      <c r="F2120" s="4" t="s">
        <v>20685</v>
      </c>
      <c r="H2120" s="4" t="s">
        <v>20659</v>
      </c>
    </row>
    <row r="2121" spans="1:8" x14ac:dyDescent="0.2">
      <c r="A2121" s="4" t="str">
        <f t="shared" si="56"/>
        <v>60</v>
      </c>
      <c r="B2121" s="4" t="str">
        <f>"60.0221"</f>
        <v>60.0221</v>
      </c>
      <c r="C2121" s="4" t="s">
        <v>18724</v>
      </c>
      <c r="D2121" s="4" t="s">
        <v>18239</v>
      </c>
      <c r="E2121" s="4" t="s">
        <v>7429</v>
      </c>
      <c r="F2121" s="4" t="s">
        <v>20686</v>
      </c>
      <c r="H2121" s="4" t="s">
        <v>20659</v>
      </c>
    </row>
    <row r="2122" spans="1:8" x14ac:dyDescent="0.2">
      <c r="A2122" s="4" t="str">
        <f t="shared" si="56"/>
        <v>60</v>
      </c>
      <c r="B2122" s="4" t="str">
        <f>"60.0222"</f>
        <v>60.0222</v>
      </c>
      <c r="C2122" s="4" t="s">
        <v>18724</v>
      </c>
      <c r="D2122" s="4" t="s">
        <v>18239</v>
      </c>
      <c r="E2122" s="4" t="s">
        <v>7432</v>
      </c>
      <c r="F2122" s="4" t="s">
        <v>20687</v>
      </c>
      <c r="H2122" s="4" t="s">
        <v>20659</v>
      </c>
    </row>
    <row r="2123" spans="1:8" x14ac:dyDescent="0.2">
      <c r="A2123" s="4" t="str">
        <f t="shared" si="56"/>
        <v>60</v>
      </c>
      <c r="B2123" s="4" t="str">
        <f>"60.0223"</f>
        <v>60.0223</v>
      </c>
      <c r="C2123" s="4" t="s">
        <v>18724</v>
      </c>
      <c r="D2123" s="4" t="s">
        <v>18239</v>
      </c>
      <c r="E2123" s="4" t="s">
        <v>7435</v>
      </c>
      <c r="F2123" s="4" t="s">
        <v>20688</v>
      </c>
      <c r="H2123" s="4" t="s">
        <v>20659</v>
      </c>
    </row>
    <row r="2124" spans="1:8" x14ac:dyDescent="0.2">
      <c r="A2124" s="4" t="str">
        <f t="shared" si="56"/>
        <v>60</v>
      </c>
      <c r="B2124" s="4" t="str">
        <f>"60.0224"</f>
        <v>60.0224</v>
      </c>
      <c r="C2124" s="4" t="s">
        <v>18724</v>
      </c>
      <c r="D2124" s="4" t="s">
        <v>18239</v>
      </c>
      <c r="E2124" s="4" t="s">
        <v>7438</v>
      </c>
      <c r="F2124" s="4" t="s">
        <v>20689</v>
      </c>
      <c r="H2124" s="4" t="s">
        <v>20659</v>
      </c>
    </row>
    <row r="2125" spans="1:8" x14ac:dyDescent="0.2">
      <c r="A2125" s="4" t="str">
        <f t="shared" si="56"/>
        <v>60</v>
      </c>
      <c r="B2125" s="4" t="str">
        <f>"60.0225"</f>
        <v>60.0225</v>
      </c>
      <c r="C2125" s="4" t="s">
        <v>18724</v>
      </c>
      <c r="D2125" s="4" t="s">
        <v>18239</v>
      </c>
      <c r="E2125" s="4" t="s">
        <v>7441</v>
      </c>
      <c r="F2125" s="4" t="s">
        <v>20690</v>
      </c>
      <c r="H2125" s="4" t="s">
        <v>20659</v>
      </c>
    </row>
    <row r="2126" spans="1:8" x14ac:dyDescent="0.2">
      <c r="A2126" s="4" t="str">
        <f t="shared" si="56"/>
        <v>60</v>
      </c>
      <c r="B2126" s="4" t="str">
        <f>"60.0226"</f>
        <v>60.0226</v>
      </c>
      <c r="C2126" s="4" t="s">
        <v>18724</v>
      </c>
      <c r="D2126" s="4" t="s">
        <v>18239</v>
      </c>
      <c r="E2126" s="4" t="s">
        <v>7444</v>
      </c>
      <c r="F2126" s="4" t="s">
        <v>20691</v>
      </c>
      <c r="H2126" s="4" t="s">
        <v>20659</v>
      </c>
    </row>
    <row r="2127" spans="1:8" x14ac:dyDescent="0.2">
      <c r="A2127" s="4" t="str">
        <f t="shared" si="56"/>
        <v>60</v>
      </c>
      <c r="B2127" s="4" t="str">
        <f>"60.0227"</f>
        <v>60.0227</v>
      </c>
      <c r="C2127" s="4" t="s">
        <v>18724</v>
      </c>
      <c r="D2127" s="4" t="s">
        <v>18239</v>
      </c>
      <c r="E2127" s="4" t="s">
        <v>7447</v>
      </c>
      <c r="F2127" s="4" t="s">
        <v>20692</v>
      </c>
      <c r="H2127" s="4" t="s">
        <v>20659</v>
      </c>
    </row>
    <row r="2128" spans="1:8" x14ac:dyDescent="0.2">
      <c r="A2128" s="4" t="str">
        <f t="shared" si="56"/>
        <v>60</v>
      </c>
      <c r="B2128" s="4" t="str">
        <f>"60.0228"</f>
        <v>60.0228</v>
      </c>
      <c r="C2128" s="4" t="s">
        <v>18724</v>
      </c>
      <c r="D2128" s="4" t="s">
        <v>18239</v>
      </c>
      <c r="E2128" s="4" t="s">
        <v>7450</v>
      </c>
      <c r="F2128" s="4" t="s">
        <v>20693</v>
      </c>
      <c r="H2128" s="4" t="s">
        <v>20659</v>
      </c>
    </row>
    <row r="2129" spans="1:8" x14ac:dyDescent="0.2">
      <c r="A2129" s="4" t="str">
        <f t="shared" si="56"/>
        <v>60</v>
      </c>
      <c r="B2129" s="4" t="str">
        <f>"60.0229"</f>
        <v>60.0229</v>
      </c>
      <c r="C2129" s="4" t="s">
        <v>18724</v>
      </c>
      <c r="D2129" s="4" t="s">
        <v>18239</v>
      </c>
      <c r="E2129" s="4" t="s">
        <v>7453</v>
      </c>
      <c r="F2129" s="4" t="s">
        <v>20694</v>
      </c>
      <c r="H2129" s="4" t="s">
        <v>20659</v>
      </c>
    </row>
    <row r="2130" spans="1:8" x14ac:dyDescent="0.2">
      <c r="A2130" s="4" t="str">
        <f t="shared" si="56"/>
        <v>60</v>
      </c>
      <c r="B2130" s="4" t="str">
        <f>"60.0230"</f>
        <v>60.0230</v>
      </c>
      <c r="C2130" s="4" t="s">
        <v>18724</v>
      </c>
      <c r="D2130" s="4" t="s">
        <v>18239</v>
      </c>
      <c r="E2130" s="4" t="s">
        <v>7456</v>
      </c>
      <c r="F2130" s="4" t="s">
        <v>20695</v>
      </c>
      <c r="H2130" s="4" t="s">
        <v>20659</v>
      </c>
    </row>
    <row r="2131" spans="1:8" x14ac:dyDescent="0.2">
      <c r="A2131" s="4" t="str">
        <f t="shared" si="56"/>
        <v>60</v>
      </c>
      <c r="B2131" s="4" t="str">
        <f>"60.0231"</f>
        <v>60.0231</v>
      </c>
      <c r="C2131" s="4" t="s">
        <v>18724</v>
      </c>
      <c r="D2131" s="4" t="s">
        <v>18239</v>
      </c>
      <c r="E2131" s="4" t="s">
        <v>7459</v>
      </c>
      <c r="F2131" s="4" t="s">
        <v>20696</v>
      </c>
      <c r="H2131" s="4" t="s">
        <v>20659</v>
      </c>
    </row>
    <row r="2132" spans="1:8" x14ac:dyDescent="0.2">
      <c r="A2132" s="4" t="str">
        <f t="shared" si="56"/>
        <v>60</v>
      </c>
      <c r="B2132" s="4" t="str">
        <f>"60.0232"</f>
        <v>60.0232</v>
      </c>
      <c r="C2132" s="4" t="s">
        <v>18724</v>
      </c>
      <c r="D2132" s="4" t="s">
        <v>18239</v>
      </c>
      <c r="E2132" s="4" t="s">
        <v>7462</v>
      </c>
      <c r="F2132" s="4" t="s">
        <v>20697</v>
      </c>
      <c r="H2132" s="4" t="s">
        <v>20659</v>
      </c>
    </row>
    <row r="2133" spans="1:8" x14ac:dyDescent="0.2">
      <c r="A2133" s="4" t="str">
        <f t="shared" si="56"/>
        <v>60</v>
      </c>
      <c r="B2133" s="4" t="str">
        <f>"60.0233"</f>
        <v>60.0233</v>
      </c>
      <c r="C2133" s="4" t="s">
        <v>18724</v>
      </c>
      <c r="D2133" s="4" t="s">
        <v>18239</v>
      </c>
      <c r="E2133" s="4" t="s">
        <v>7465</v>
      </c>
      <c r="F2133" s="4" t="s">
        <v>20698</v>
      </c>
      <c r="H2133" s="4" t="s">
        <v>20659</v>
      </c>
    </row>
    <row r="2134" spans="1:8" x14ac:dyDescent="0.2">
      <c r="A2134" s="4" t="str">
        <f t="shared" si="56"/>
        <v>60</v>
      </c>
      <c r="B2134" s="4" t="str">
        <f>"60.0234"</f>
        <v>60.0234</v>
      </c>
      <c r="C2134" s="4" t="s">
        <v>18724</v>
      </c>
      <c r="D2134" s="4" t="s">
        <v>18239</v>
      </c>
      <c r="E2134" s="4" t="s">
        <v>7468</v>
      </c>
      <c r="F2134" s="4" t="s">
        <v>20699</v>
      </c>
      <c r="H2134" s="4" t="s">
        <v>20659</v>
      </c>
    </row>
    <row r="2135" spans="1:8" x14ac:dyDescent="0.2">
      <c r="A2135" s="4" t="str">
        <f t="shared" si="56"/>
        <v>60</v>
      </c>
      <c r="B2135" s="4" t="str">
        <f>"60.0235"</f>
        <v>60.0235</v>
      </c>
      <c r="C2135" s="4" t="s">
        <v>18724</v>
      </c>
      <c r="D2135" s="4" t="s">
        <v>18239</v>
      </c>
      <c r="E2135" s="4" t="s">
        <v>7471</v>
      </c>
      <c r="F2135" s="4" t="s">
        <v>20700</v>
      </c>
      <c r="H2135" s="4" t="s">
        <v>20659</v>
      </c>
    </row>
    <row r="2136" spans="1:8" x14ac:dyDescent="0.2">
      <c r="A2136" s="4" t="str">
        <f t="shared" si="56"/>
        <v>60</v>
      </c>
      <c r="B2136" s="4" t="str">
        <f>"60.0236"</f>
        <v>60.0236</v>
      </c>
      <c r="C2136" s="4" t="s">
        <v>18724</v>
      </c>
      <c r="D2136" s="4" t="s">
        <v>18239</v>
      </c>
      <c r="E2136" s="4" t="s">
        <v>7474</v>
      </c>
      <c r="F2136" s="4" t="s">
        <v>20701</v>
      </c>
      <c r="H2136" s="4" t="s">
        <v>20659</v>
      </c>
    </row>
    <row r="2137" spans="1:8" x14ac:dyDescent="0.2">
      <c r="A2137" s="4" t="str">
        <f t="shared" si="56"/>
        <v>60</v>
      </c>
      <c r="B2137" s="4" t="str">
        <f>"60.0237"</f>
        <v>60.0237</v>
      </c>
      <c r="C2137" s="4" t="s">
        <v>18724</v>
      </c>
      <c r="D2137" s="4" t="s">
        <v>18239</v>
      </c>
      <c r="E2137" s="4" t="s">
        <v>7477</v>
      </c>
      <c r="F2137" s="4" t="s">
        <v>20702</v>
      </c>
      <c r="H2137" s="4" t="s">
        <v>20659</v>
      </c>
    </row>
    <row r="2138" spans="1:8" x14ac:dyDescent="0.2">
      <c r="A2138" s="4" t="str">
        <f t="shared" si="56"/>
        <v>60</v>
      </c>
      <c r="B2138" s="4" t="str">
        <f>"60.0238"</f>
        <v>60.0238</v>
      </c>
      <c r="C2138" s="4" t="s">
        <v>18724</v>
      </c>
      <c r="D2138" s="4" t="s">
        <v>18239</v>
      </c>
      <c r="E2138" s="4" t="s">
        <v>7480</v>
      </c>
      <c r="F2138" s="4" t="s">
        <v>20703</v>
      </c>
      <c r="H2138" s="4" t="s">
        <v>20659</v>
      </c>
    </row>
    <row r="2139" spans="1:8" x14ac:dyDescent="0.2">
      <c r="A2139" s="4" t="str">
        <f t="shared" si="56"/>
        <v>60</v>
      </c>
      <c r="B2139" s="4" t="str">
        <f>"60.0239"</f>
        <v>60.0239</v>
      </c>
      <c r="C2139" s="4" t="s">
        <v>18724</v>
      </c>
      <c r="D2139" s="4" t="s">
        <v>18239</v>
      </c>
      <c r="E2139" s="4" t="s">
        <v>7483</v>
      </c>
      <c r="F2139" s="4" t="s">
        <v>20704</v>
      </c>
      <c r="H2139" s="4" t="s">
        <v>20659</v>
      </c>
    </row>
    <row r="2140" spans="1:8" x14ac:dyDescent="0.2">
      <c r="A2140" s="4" t="str">
        <f t="shared" si="56"/>
        <v>60</v>
      </c>
      <c r="B2140" s="4" t="str">
        <f>"60.0240"</f>
        <v>60.0240</v>
      </c>
      <c r="C2140" s="4" t="s">
        <v>18724</v>
      </c>
      <c r="D2140" s="4" t="s">
        <v>18239</v>
      </c>
      <c r="E2140" s="4" t="s">
        <v>7486</v>
      </c>
      <c r="F2140" s="4" t="s">
        <v>20705</v>
      </c>
      <c r="H2140" s="4" t="s">
        <v>20659</v>
      </c>
    </row>
    <row r="2141" spans="1:8" x14ac:dyDescent="0.2">
      <c r="A2141" s="4" t="str">
        <f t="shared" si="56"/>
        <v>60</v>
      </c>
      <c r="B2141" s="4" t="str">
        <f>"60.0241"</f>
        <v>60.0241</v>
      </c>
      <c r="C2141" s="4" t="s">
        <v>18724</v>
      </c>
      <c r="D2141" s="4" t="s">
        <v>18239</v>
      </c>
      <c r="E2141" s="4" t="s">
        <v>7489</v>
      </c>
      <c r="F2141" s="4" t="s">
        <v>20706</v>
      </c>
      <c r="H2141" s="4" t="s">
        <v>20659</v>
      </c>
    </row>
    <row r="2142" spans="1:8" x14ac:dyDescent="0.2">
      <c r="A2142" s="4" t="str">
        <f t="shared" si="56"/>
        <v>60</v>
      </c>
      <c r="B2142" s="4" t="str">
        <f>"60.0242"</f>
        <v>60.0242</v>
      </c>
      <c r="C2142" s="4" t="s">
        <v>18724</v>
      </c>
      <c r="D2142" s="4" t="s">
        <v>18239</v>
      </c>
      <c r="E2142" s="4" t="s">
        <v>7492</v>
      </c>
      <c r="F2142" s="4" t="s">
        <v>20707</v>
      </c>
      <c r="H2142" s="4" t="s">
        <v>20659</v>
      </c>
    </row>
    <row r="2143" spans="1:8" x14ac:dyDescent="0.2">
      <c r="A2143" s="4" t="str">
        <f t="shared" si="56"/>
        <v>60</v>
      </c>
      <c r="B2143" s="4" t="str">
        <f>"60.0243"</f>
        <v>60.0243</v>
      </c>
      <c r="C2143" s="4" t="s">
        <v>18724</v>
      </c>
      <c r="D2143" s="4" t="s">
        <v>18239</v>
      </c>
      <c r="E2143" s="4" t="s">
        <v>7495</v>
      </c>
      <c r="F2143" s="4" t="s">
        <v>20708</v>
      </c>
      <c r="H2143" s="4" t="s">
        <v>20659</v>
      </c>
    </row>
    <row r="2144" spans="1:8" x14ac:dyDescent="0.2">
      <c r="A2144" s="4" t="str">
        <f t="shared" si="56"/>
        <v>60</v>
      </c>
      <c r="B2144" s="4" t="str">
        <f>"60.0244"</f>
        <v>60.0244</v>
      </c>
      <c r="C2144" s="4" t="s">
        <v>18724</v>
      </c>
      <c r="D2144" s="4" t="s">
        <v>18239</v>
      </c>
      <c r="E2144" s="4" t="s">
        <v>7498</v>
      </c>
      <c r="F2144" s="4" t="s">
        <v>20709</v>
      </c>
      <c r="H2144" s="4" t="s">
        <v>20659</v>
      </c>
    </row>
    <row r="2145" spans="1:8" x14ac:dyDescent="0.2">
      <c r="A2145" s="4" t="str">
        <f t="shared" si="56"/>
        <v>60</v>
      </c>
      <c r="B2145" s="4" t="str">
        <f>"60.0245"</f>
        <v>60.0245</v>
      </c>
      <c r="C2145" s="4" t="s">
        <v>18724</v>
      </c>
      <c r="D2145" s="4" t="s">
        <v>18239</v>
      </c>
      <c r="E2145" s="4" t="s">
        <v>7501</v>
      </c>
      <c r="F2145" s="4" t="s">
        <v>20710</v>
      </c>
      <c r="H2145" s="4" t="s">
        <v>20659</v>
      </c>
    </row>
    <row r="2146" spans="1:8" x14ac:dyDescent="0.2">
      <c r="A2146" s="4" t="str">
        <f t="shared" si="56"/>
        <v>60</v>
      </c>
      <c r="B2146" s="4" t="str">
        <f>"60.0246"</f>
        <v>60.0246</v>
      </c>
      <c r="C2146" s="4" t="s">
        <v>18724</v>
      </c>
      <c r="D2146" s="4" t="s">
        <v>18239</v>
      </c>
      <c r="E2146" s="4" t="s">
        <v>7504</v>
      </c>
      <c r="F2146" s="4" t="s">
        <v>20711</v>
      </c>
      <c r="H2146" s="4" t="s">
        <v>20659</v>
      </c>
    </row>
    <row r="2147" spans="1:8" x14ac:dyDescent="0.2">
      <c r="A2147" s="4" t="str">
        <f t="shared" si="56"/>
        <v>60</v>
      </c>
      <c r="B2147" s="4" t="str">
        <f>"60.0247"</f>
        <v>60.0247</v>
      </c>
      <c r="C2147" s="4" t="s">
        <v>18724</v>
      </c>
      <c r="D2147" s="4" t="s">
        <v>18239</v>
      </c>
      <c r="E2147" s="4" t="s">
        <v>7022</v>
      </c>
      <c r="F2147" s="4" t="s">
        <v>20712</v>
      </c>
      <c r="H2147" s="4" t="s">
        <v>20659</v>
      </c>
    </row>
    <row r="2148" spans="1:8" x14ac:dyDescent="0.2">
      <c r="A2148" s="4" t="str">
        <f t="shared" si="56"/>
        <v>60</v>
      </c>
      <c r="B2148" s="4" t="str">
        <f>"60.0248"</f>
        <v>60.0248</v>
      </c>
      <c r="C2148" s="4" t="s">
        <v>18724</v>
      </c>
      <c r="D2148" s="4" t="s">
        <v>18239</v>
      </c>
      <c r="E2148" s="4" t="s">
        <v>7025</v>
      </c>
      <c r="F2148" s="4" t="s">
        <v>20713</v>
      </c>
      <c r="H2148" s="4" t="s">
        <v>20659</v>
      </c>
    </row>
    <row r="2149" spans="1:8" x14ac:dyDescent="0.2">
      <c r="A2149" s="4" t="str">
        <f t="shared" si="56"/>
        <v>60</v>
      </c>
      <c r="B2149" s="4" t="str">
        <f>"60.0249"</f>
        <v>60.0249</v>
      </c>
      <c r="C2149" s="4" t="s">
        <v>18724</v>
      </c>
      <c r="D2149" s="4" t="s">
        <v>18239</v>
      </c>
      <c r="E2149" s="4" t="s">
        <v>7028</v>
      </c>
      <c r="F2149" s="4" t="s">
        <v>20714</v>
      </c>
      <c r="H2149" s="4" t="s">
        <v>20659</v>
      </c>
    </row>
    <row r="2150" spans="1:8" x14ac:dyDescent="0.2">
      <c r="A2150" s="4" t="str">
        <f t="shared" si="56"/>
        <v>60</v>
      </c>
      <c r="B2150" s="4" t="str">
        <f>"60.0250"</f>
        <v>60.0250</v>
      </c>
      <c r="C2150" s="4" t="s">
        <v>18724</v>
      </c>
      <c r="D2150" s="4" t="s">
        <v>18239</v>
      </c>
      <c r="E2150" s="4" t="s">
        <v>7031</v>
      </c>
      <c r="F2150" s="4" t="s">
        <v>20715</v>
      </c>
      <c r="H2150" s="4" t="s">
        <v>20659</v>
      </c>
    </row>
    <row r="2151" spans="1:8" x14ac:dyDescent="0.2">
      <c r="A2151" s="4" t="str">
        <f t="shared" si="56"/>
        <v>60</v>
      </c>
      <c r="B2151" s="4" t="str">
        <f>"60.0251"</f>
        <v>60.0251</v>
      </c>
      <c r="C2151" s="4" t="s">
        <v>18724</v>
      </c>
      <c r="D2151" s="4" t="s">
        <v>18239</v>
      </c>
      <c r="E2151" s="4" t="s">
        <v>7034</v>
      </c>
      <c r="F2151" s="4" t="s">
        <v>20716</v>
      </c>
      <c r="H2151" s="4" t="s">
        <v>20659</v>
      </c>
    </row>
    <row r="2152" spans="1:8" x14ac:dyDescent="0.2">
      <c r="A2152" s="4" t="str">
        <f t="shared" si="56"/>
        <v>60</v>
      </c>
      <c r="B2152" s="4" t="str">
        <f>"60.0252"</f>
        <v>60.0252</v>
      </c>
      <c r="C2152" s="4" t="s">
        <v>18724</v>
      </c>
      <c r="D2152" s="4" t="s">
        <v>18239</v>
      </c>
      <c r="E2152" s="4" t="s">
        <v>7037</v>
      </c>
      <c r="F2152" s="4" t="s">
        <v>20717</v>
      </c>
      <c r="H2152" s="4" t="s">
        <v>20659</v>
      </c>
    </row>
    <row r="2153" spans="1:8" x14ac:dyDescent="0.2">
      <c r="A2153" s="4" t="str">
        <f t="shared" ref="A2153:A2216" si="57">"60"</f>
        <v>60</v>
      </c>
      <c r="B2153" s="4" t="str">
        <f>"60.0253"</f>
        <v>60.0253</v>
      </c>
      <c r="C2153" s="4" t="s">
        <v>18724</v>
      </c>
      <c r="D2153" s="4" t="s">
        <v>18239</v>
      </c>
      <c r="E2153" s="4" t="s">
        <v>7040</v>
      </c>
      <c r="F2153" s="4" t="s">
        <v>20718</v>
      </c>
      <c r="H2153" s="4" t="s">
        <v>20659</v>
      </c>
    </row>
    <row r="2154" spans="1:8" x14ac:dyDescent="0.2">
      <c r="A2154" s="4" t="str">
        <f t="shared" si="57"/>
        <v>60</v>
      </c>
      <c r="B2154" s="4" t="str">
        <f>"60.0254"</f>
        <v>60.0254</v>
      </c>
      <c r="C2154" s="4" t="s">
        <v>6584</v>
      </c>
      <c r="D2154" s="4" t="s">
        <v>18239</v>
      </c>
      <c r="E2154" s="4" t="s">
        <v>7043</v>
      </c>
      <c r="F2154" s="4" t="s">
        <v>20719</v>
      </c>
      <c r="H2154" s="4" t="s">
        <v>20659</v>
      </c>
    </row>
    <row r="2155" spans="1:8" x14ac:dyDescent="0.2">
      <c r="A2155" s="4" t="str">
        <f t="shared" si="57"/>
        <v>60</v>
      </c>
      <c r="B2155" s="4" t="str">
        <f>"60.0255"</f>
        <v>60.0255</v>
      </c>
      <c r="C2155" s="4" t="s">
        <v>18724</v>
      </c>
      <c r="D2155" s="4" t="s">
        <v>18239</v>
      </c>
      <c r="E2155" s="4" t="s">
        <v>7046</v>
      </c>
      <c r="F2155" s="4" t="s">
        <v>20720</v>
      </c>
      <c r="H2155" s="4" t="s">
        <v>20659</v>
      </c>
    </row>
    <row r="2156" spans="1:8" x14ac:dyDescent="0.2">
      <c r="A2156" s="4" t="str">
        <f t="shared" si="57"/>
        <v>60</v>
      </c>
      <c r="B2156" s="4" t="str">
        <f>"60.0256"</f>
        <v>60.0256</v>
      </c>
      <c r="C2156" s="4" t="s">
        <v>6584</v>
      </c>
      <c r="D2156" s="4" t="s">
        <v>18239</v>
      </c>
      <c r="E2156" s="4" t="s">
        <v>7049</v>
      </c>
      <c r="F2156" s="4" t="s">
        <v>20719</v>
      </c>
      <c r="H2156" s="4" t="s">
        <v>20659</v>
      </c>
    </row>
    <row r="2157" spans="1:8" x14ac:dyDescent="0.2">
      <c r="A2157" s="4" t="str">
        <f t="shared" si="57"/>
        <v>60</v>
      </c>
      <c r="B2157" s="4" t="str">
        <f>"60.0257"</f>
        <v>60.0257</v>
      </c>
      <c r="C2157" s="4" t="s">
        <v>18724</v>
      </c>
      <c r="D2157" s="4" t="s">
        <v>18239</v>
      </c>
      <c r="E2157" s="4" t="s">
        <v>7052</v>
      </c>
      <c r="F2157" s="4" t="s">
        <v>20721</v>
      </c>
      <c r="H2157" s="4" t="s">
        <v>20659</v>
      </c>
    </row>
    <row r="2158" spans="1:8" x14ac:dyDescent="0.2">
      <c r="A2158" s="4" t="str">
        <f t="shared" si="57"/>
        <v>60</v>
      </c>
      <c r="B2158" s="4" t="str">
        <f>"60.0258"</f>
        <v>60.0258</v>
      </c>
      <c r="C2158" s="4" t="s">
        <v>18724</v>
      </c>
      <c r="D2158" s="4" t="s">
        <v>18239</v>
      </c>
      <c r="E2158" s="4" t="s">
        <v>7055</v>
      </c>
      <c r="F2158" s="4" t="s">
        <v>20722</v>
      </c>
      <c r="H2158" s="4" t="s">
        <v>20659</v>
      </c>
    </row>
    <row r="2159" spans="1:8" x14ac:dyDescent="0.2">
      <c r="A2159" s="4" t="str">
        <f t="shared" si="57"/>
        <v>60</v>
      </c>
      <c r="B2159" s="4" t="str">
        <f>"60.0259"</f>
        <v>60.0259</v>
      </c>
      <c r="C2159" s="4" t="s">
        <v>18724</v>
      </c>
      <c r="D2159" s="4" t="s">
        <v>18239</v>
      </c>
      <c r="E2159" s="4" t="s">
        <v>7058</v>
      </c>
      <c r="F2159" s="4" t="s">
        <v>20723</v>
      </c>
      <c r="H2159" s="4" t="s">
        <v>20659</v>
      </c>
    </row>
    <row r="2160" spans="1:8" x14ac:dyDescent="0.2">
      <c r="A2160" s="4" t="str">
        <f t="shared" si="57"/>
        <v>60</v>
      </c>
      <c r="B2160" s="4" t="str">
        <f>"60.0260"</f>
        <v>60.0260</v>
      </c>
      <c r="C2160" s="4" t="s">
        <v>18724</v>
      </c>
      <c r="D2160" s="4" t="s">
        <v>18239</v>
      </c>
      <c r="E2160" s="4" t="s">
        <v>7061</v>
      </c>
      <c r="F2160" s="4" t="s">
        <v>20724</v>
      </c>
      <c r="H2160" s="4" t="s">
        <v>20659</v>
      </c>
    </row>
    <row r="2161" spans="1:8" x14ac:dyDescent="0.2">
      <c r="A2161" s="4" t="str">
        <f t="shared" si="57"/>
        <v>60</v>
      </c>
      <c r="B2161" s="4" t="str">
        <f>"60.0261"</f>
        <v>60.0261</v>
      </c>
      <c r="C2161" s="4" t="s">
        <v>18724</v>
      </c>
      <c r="D2161" s="4" t="s">
        <v>18239</v>
      </c>
      <c r="E2161" s="4" t="s">
        <v>7064</v>
      </c>
      <c r="F2161" s="4" t="s">
        <v>20725</v>
      </c>
      <c r="H2161" s="4" t="s">
        <v>20659</v>
      </c>
    </row>
    <row r="2162" spans="1:8" x14ac:dyDescent="0.2">
      <c r="A2162" s="4" t="str">
        <f t="shared" si="57"/>
        <v>60</v>
      </c>
      <c r="B2162" s="4" t="str">
        <f>"60.0262"</f>
        <v>60.0262</v>
      </c>
      <c r="C2162" s="4" t="s">
        <v>18724</v>
      </c>
      <c r="D2162" s="4" t="s">
        <v>18239</v>
      </c>
      <c r="E2162" s="4" t="s">
        <v>7067</v>
      </c>
      <c r="F2162" s="4" t="s">
        <v>20726</v>
      </c>
      <c r="H2162" s="4" t="s">
        <v>20659</v>
      </c>
    </row>
    <row r="2163" spans="1:8" x14ac:dyDescent="0.2">
      <c r="A2163" s="4" t="str">
        <f t="shared" si="57"/>
        <v>60</v>
      </c>
      <c r="B2163" s="4" t="str">
        <f>"60.0263"</f>
        <v>60.0263</v>
      </c>
      <c r="C2163" s="4" t="s">
        <v>18724</v>
      </c>
      <c r="D2163" s="4" t="s">
        <v>18239</v>
      </c>
      <c r="E2163" s="4" t="s">
        <v>7070</v>
      </c>
      <c r="F2163" s="4" t="s">
        <v>20727</v>
      </c>
      <c r="H2163" s="4" t="s">
        <v>20659</v>
      </c>
    </row>
    <row r="2164" spans="1:8" x14ac:dyDescent="0.2">
      <c r="A2164" s="4" t="str">
        <f t="shared" si="57"/>
        <v>60</v>
      </c>
      <c r="B2164" s="4" t="str">
        <f>"60.0264"</f>
        <v>60.0264</v>
      </c>
      <c r="C2164" s="4" t="s">
        <v>18724</v>
      </c>
      <c r="D2164" s="4" t="s">
        <v>18239</v>
      </c>
      <c r="E2164" s="4" t="s">
        <v>7073</v>
      </c>
      <c r="F2164" s="4" t="s">
        <v>20728</v>
      </c>
      <c r="H2164" s="4" t="s">
        <v>20659</v>
      </c>
    </row>
    <row r="2165" spans="1:8" x14ac:dyDescent="0.2">
      <c r="A2165" s="4" t="str">
        <f t="shared" si="57"/>
        <v>60</v>
      </c>
      <c r="B2165" s="4" t="str">
        <f>"60.0265"</f>
        <v>60.0265</v>
      </c>
      <c r="C2165" s="4" t="s">
        <v>6584</v>
      </c>
      <c r="D2165" s="4" t="s">
        <v>18239</v>
      </c>
      <c r="E2165" s="4" t="s">
        <v>7076</v>
      </c>
      <c r="F2165" s="4" t="s">
        <v>20729</v>
      </c>
      <c r="H2165" s="4" t="s">
        <v>20659</v>
      </c>
    </row>
    <row r="2166" spans="1:8" x14ac:dyDescent="0.2">
      <c r="A2166" s="4" t="str">
        <f t="shared" si="57"/>
        <v>60</v>
      </c>
      <c r="B2166" s="4" t="str">
        <f>"60.0266"</f>
        <v>60.0266</v>
      </c>
      <c r="C2166" s="4" t="s">
        <v>18724</v>
      </c>
      <c r="D2166" s="4" t="s">
        <v>18239</v>
      </c>
      <c r="E2166" s="4" t="s">
        <v>7079</v>
      </c>
      <c r="F2166" s="4" t="s">
        <v>20730</v>
      </c>
      <c r="H2166" s="4" t="s">
        <v>20659</v>
      </c>
    </row>
    <row r="2167" spans="1:8" x14ac:dyDescent="0.2">
      <c r="A2167" s="4" t="str">
        <f t="shared" si="57"/>
        <v>60</v>
      </c>
      <c r="B2167" s="4" t="str">
        <f>"60.0267"</f>
        <v>60.0267</v>
      </c>
      <c r="C2167" s="4" t="s">
        <v>18724</v>
      </c>
      <c r="D2167" s="4" t="s">
        <v>18239</v>
      </c>
      <c r="E2167" s="4" t="s">
        <v>7082</v>
      </c>
      <c r="F2167" s="4" t="s">
        <v>20731</v>
      </c>
      <c r="H2167" s="4" t="s">
        <v>20659</v>
      </c>
    </row>
    <row r="2168" spans="1:8" x14ac:dyDescent="0.2">
      <c r="A2168" s="4" t="str">
        <f t="shared" si="57"/>
        <v>60</v>
      </c>
      <c r="B2168" s="4" t="str">
        <f>"60.0268"</f>
        <v>60.0268</v>
      </c>
      <c r="C2168" s="4" t="s">
        <v>6584</v>
      </c>
      <c r="D2168" s="4" t="s">
        <v>18239</v>
      </c>
      <c r="E2168" s="4" t="s">
        <v>7085</v>
      </c>
      <c r="F2168" s="4" t="s">
        <v>20732</v>
      </c>
      <c r="H2168" s="4" t="s">
        <v>20659</v>
      </c>
    </row>
    <row r="2169" spans="1:8" x14ac:dyDescent="0.2">
      <c r="A2169" s="4" t="str">
        <f t="shared" si="57"/>
        <v>60</v>
      </c>
      <c r="B2169" s="4" t="str">
        <f>"60.0269"</f>
        <v>60.0269</v>
      </c>
      <c r="C2169" s="4" t="s">
        <v>18724</v>
      </c>
      <c r="D2169" s="4" t="s">
        <v>18239</v>
      </c>
      <c r="E2169" s="4" t="s">
        <v>7088</v>
      </c>
      <c r="F2169" s="4" t="s">
        <v>20733</v>
      </c>
      <c r="H2169" s="4" t="s">
        <v>20659</v>
      </c>
    </row>
    <row r="2170" spans="1:8" x14ac:dyDescent="0.2">
      <c r="A2170" s="4" t="str">
        <f t="shared" si="57"/>
        <v>60</v>
      </c>
      <c r="B2170" s="4" t="str">
        <f>"60.0270"</f>
        <v>60.0270</v>
      </c>
      <c r="C2170" s="4" t="s">
        <v>18724</v>
      </c>
      <c r="D2170" s="4" t="s">
        <v>18239</v>
      </c>
      <c r="E2170" s="4" t="s">
        <v>7091</v>
      </c>
      <c r="F2170" s="4" t="s">
        <v>20734</v>
      </c>
      <c r="H2170" s="4" t="s">
        <v>20659</v>
      </c>
    </row>
    <row r="2171" spans="1:8" x14ac:dyDescent="0.2">
      <c r="A2171" s="4" t="str">
        <f t="shared" si="57"/>
        <v>60</v>
      </c>
      <c r="B2171" s="4" t="str">
        <f>"60.0271"</f>
        <v>60.0271</v>
      </c>
      <c r="C2171" s="4" t="s">
        <v>18724</v>
      </c>
      <c r="D2171" s="4" t="s">
        <v>18239</v>
      </c>
      <c r="E2171" s="4" t="s">
        <v>7094</v>
      </c>
      <c r="F2171" s="4" t="s">
        <v>20735</v>
      </c>
      <c r="H2171" s="4" t="s">
        <v>20659</v>
      </c>
    </row>
    <row r="2172" spans="1:8" x14ac:dyDescent="0.2">
      <c r="A2172" s="4" t="str">
        <f t="shared" si="57"/>
        <v>60</v>
      </c>
      <c r="B2172" s="4" t="str">
        <f>"60.0299"</f>
        <v>60.0299</v>
      </c>
      <c r="C2172" s="4" t="s">
        <v>6584</v>
      </c>
      <c r="D2172" s="4" t="s">
        <v>18239</v>
      </c>
      <c r="E2172" s="4" t="s">
        <v>7097</v>
      </c>
      <c r="F2172" s="4" t="s">
        <v>20665</v>
      </c>
      <c r="H2172" s="4" t="s">
        <v>20659</v>
      </c>
    </row>
    <row r="2173" spans="1:8" x14ac:dyDescent="0.2">
      <c r="A2173" s="4" t="str">
        <f t="shared" si="57"/>
        <v>60</v>
      </c>
      <c r="B2173" s="4" t="str">
        <f>"60.03"</f>
        <v>60.03</v>
      </c>
      <c r="C2173" s="4" t="s">
        <v>18238</v>
      </c>
      <c r="D2173" s="4" t="s">
        <v>18239</v>
      </c>
      <c r="E2173" s="4" t="s">
        <v>7100</v>
      </c>
      <c r="F2173" s="4" t="s">
        <v>20736</v>
      </c>
      <c r="H2173" s="4" t="s">
        <v>20659</v>
      </c>
    </row>
    <row r="2174" spans="1:8" x14ac:dyDescent="0.2">
      <c r="A2174" s="4" t="str">
        <f t="shared" si="57"/>
        <v>60</v>
      </c>
      <c r="B2174" s="4" t="str">
        <f>"60.0301"</f>
        <v>60.0301</v>
      </c>
      <c r="C2174" s="4" t="s">
        <v>18238</v>
      </c>
      <c r="D2174" s="4" t="s">
        <v>18239</v>
      </c>
      <c r="E2174" s="4" t="s">
        <v>20737</v>
      </c>
      <c r="F2174" s="4" t="s">
        <v>20738</v>
      </c>
      <c r="H2174" s="4" t="s">
        <v>20659</v>
      </c>
    </row>
    <row r="2175" spans="1:8" x14ac:dyDescent="0.2">
      <c r="A2175" s="4" t="str">
        <f t="shared" si="57"/>
        <v>60</v>
      </c>
      <c r="B2175" s="4" t="str">
        <f>"60.0302"</f>
        <v>60.0302</v>
      </c>
      <c r="C2175" s="4" t="s">
        <v>18238</v>
      </c>
      <c r="D2175" s="4" t="s">
        <v>18239</v>
      </c>
      <c r="E2175" s="4" t="s">
        <v>20739</v>
      </c>
      <c r="F2175" s="4" t="s">
        <v>20740</v>
      </c>
      <c r="H2175" s="4" t="s">
        <v>20659</v>
      </c>
    </row>
    <row r="2176" spans="1:8" x14ac:dyDescent="0.2">
      <c r="A2176" s="4" t="str">
        <f t="shared" si="57"/>
        <v>60</v>
      </c>
      <c r="B2176" s="4" t="str">
        <f>"60.0303"</f>
        <v>60.0303</v>
      </c>
      <c r="C2176" s="4" t="s">
        <v>18238</v>
      </c>
      <c r="D2176" s="4" t="s">
        <v>18239</v>
      </c>
      <c r="E2176" s="4" t="s">
        <v>20741</v>
      </c>
      <c r="F2176" s="4" t="s">
        <v>20742</v>
      </c>
      <c r="H2176" s="4" t="s">
        <v>20659</v>
      </c>
    </row>
    <row r="2177" spans="1:8" x14ac:dyDescent="0.2">
      <c r="A2177" s="4" t="str">
        <f t="shared" si="57"/>
        <v>60</v>
      </c>
      <c r="B2177" s="4" t="str">
        <f>"60.0304"</f>
        <v>60.0304</v>
      </c>
      <c r="C2177" s="4" t="s">
        <v>18238</v>
      </c>
      <c r="D2177" s="4" t="s">
        <v>18239</v>
      </c>
      <c r="E2177" s="4" t="s">
        <v>20743</v>
      </c>
      <c r="F2177" s="4" t="s">
        <v>20744</v>
      </c>
      <c r="H2177" s="4" t="s">
        <v>20659</v>
      </c>
    </row>
    <row r="2178" spans="1:8" x14ac:dyDescent="0.2">
      <c r="A2178" s="4" t="str">
        <f t="shared" si="57"/>
        <v>60</v>
      </c>
      <c r="B2178" s="4" t="str">
        <f>"60.0305"</f>
        <v>60.0305</v>
      </c>
      <c r="C2178" s="4" t="s">
        <v>18238</v>
      </c>
      <c r="D2178" s="4" t="s">
        <v>18239</v>
      </c>
      <c r="E2178" s="4" t="s">
        <v>20745</v>
      </c>
      <c r="F2178" s="4" t="s">
        <v>20746</v>
      </c>
      <c r="H2178" s="4" t="s">
        <v>20659</v>
      </c>
    </row>
    <row r="2179" spans="1:8" x14ac:dyDescent="0.2">
      <c r="A2179" s="4" t="str">
        <f t="shared" si="57"/>
        <v>60</v>
      </c>
      <c r="B2179" s="4" t="str">
        <f>"60.0306"</f>
        <v>60.0306</v>
      </c>
      <c r="C2179" s="4" t="s">
        <v>18238</v>
      </c>
      <c r="D2179" s="4" t="s">
        <v>18239</v>
      </c>
      <c r="E2179" s="4" t="s">
        <v>20747</v>
      </c>
      <c r="F2179" s="4" t="s">
        <v>20748</v>
      </c>
      <c r="H2179" s="4" t="s">
        <v>20659</v>
      </c>
    </row>
    <row r="2180" spans="1:8" x14ac:dyDescent="0.2">
      <c r="A2180" s="4" t="str">
        <f t="shared" si="57"/>
        <v>60</v>
      </c>
      <c r="B2180" s="4" t="str">
        <f>"60.0307"</f>
        <v>60.0307</v>
      </c>
      <c r="C2180" s="4" t="s">
        <v>18238</v>
      </c>
      <c r="D2180" s="4" t="s">
        <v>18239</v>
      </c>
      <c r="E2180" s="4" t="s">
        <v>20749</v>
      </c>
      <c r="F2180" s="4" t="s">
        <v>20750</v>
      </c>
      <c r="H2180" s="4" t="s">
        <v>20659</v>
      </c>
    </row>
    <row r="2181" spans="1:8" x14ac:dyDescent="0.2">
      <c r="A2181" s="4" t="str">
        <f t="shared" si="57"/>
        <v>60</v>
      </c>
      <c r="B2181" s="4" t="str">
        <f>"60.0308"</f>
        <v>60.0308</v>
      </c>
      <c r="C2181" s="4" t="s">
        <v>18238</v>
      </c>
      <c r="D2181" s="4" t="s">
        <v>18239</v>
      </c>
      <c r="E2181" s="4" t="s">
        <v>20751</v>
      </c>
      <c r="F2181" s="4" t="s">
        <v>20752</v>
      </c>
      <c r="H2181" s="4" t="s">
        <v>20659</v>
      </c>
    </row>
    <row r="2182" spans="1:8" x14ac:dyDescent="0.2">
      <c r="A2182" s="4" t="str">
        <f t="shared" si="57"/>
        <v>60</v>
      </c>
      <c r="B2182" s="4" t="str">
        <f>"60.0309"</f>
        <v>60.0309</v>
      </c>
      <c r="C2182" s="4" t="s">
        <v>18238</v>
      </c>
      <c r="D2182" s="4" t="s">
        <v>18239</v>
      </c>
      <c r="E2182" s="4" t="s">
        <v>20753</v>
      </c>
      <c r="F2182" s="4" t="s">
        <v>20754</v>
      </c>
      <c r="H2182" s="4" t="s">
        <v>20659</v>
      </c>
    </row>
    <row r="2183" spans="1:8" x14ac:dyDescent="0.2">
      <c r="A2183" s="4" t="str">
        <f t="shared" si="57"/>
        <v>60</v>
      </c>
      <c r="B2183" s="4" t="str">
        <f>"60.0310"</f>
        <v>60.0310</v>
      </c>
      <c r="C2183" s="4" t="s">
        <v>18238</v>
      </c>
      <c r="D2183" s="4" t="s">
        <v>18239</v>
      </c>
      <c r="E2183" s="4" t="s">
        <v>20755</v>
      </c>
      <c r="F2183" s="4" t="s">
        <v>20756</v>
      </c>
      <c r="H2183" s="4" t="s">
        <v>20659</v>
      </c>
    </row>
    <row r="2184" spans="1:8" x14ac:dyDescent="0.2">
      <c r="A2184" s="4" t="str">
        <f t="shared" si="57"/>
        <v>60</v>
      </c>
      <c r="B2184" s="4" t="str">
        <f>"60.0311"</f>
        <v>60.0311</v>
      </c>
      <c r="C2184" s="4" t="s">
        <v>18238</v>
      </c>
      <c r="D2184" s="4" t="s">
        <v>18239</v>
      </c>
      <c r="E2184" s="4" t="s">
        <v>20757</v>
      </c>
      <c r="F2184" s="4" t="s">
        <v>20758</v>
      </c>
      <c r="H2184" s="4" t="s">
        <v>20659</v>
      </c>
    </row>
    <row r="2185" spans="1:8" x14ac:dyDescent="0.2">
      <c r="A2185" s="4" t="str">
        <f t="shared" si="57"/>
        <v>60</v>
      </c>
      <c r="B2185" s="4" t="str">
        <f>"60.0312"</f>
        <v>60.0312</v>
      </c>
      <c r="C2185" s="4" t="s">
        <v>18238</v>
      </c>
      <c r="D2185" s="4" t="s">
        <v>18239</v>
      </c>
      <c r="E2185" s="4" t="s">
        <v>20759</v>
      </c>
      <c r="F2185" s="4" t="s">
        <v>20760</v>
      </c>
      <c r="H2185" s="4" t="s">
        <v>20659</v>
      </c>
    </row>
    <row r="2186" spans="1:8" x14ac:dyDescent="0.2">
      <c r="A2186" s="4" t="str">
        <f t="shared" si="57"/>
        <v>60</v>
      </c>
      <c r="B2186" s="4" t="str">
        <f>"60.0313"</f>
        <v>60.0313</v>
      </c>
      <c r="C2186" s="4" t="s">
        <v>18238</v>
      </c>
      <c r="D2186" s="4" t="s">
        <v>18239</v>
      </c>
      <c r="E2186" s="4" t="s">
        <v>20761</v>
      </c>
      <c r="F2186" s="4" t="s">
        <v>20762</v>
      </c>
      <c r="H2186" s="4" t="s">
        <v>20659</v>
      </c>
    </row>
    <row r="2187" spans="1:8" x14ac:dyDescent="0.2">
      <c r="A2187" s="4" t="str">
        <f t="shared" si="57"/>
        <v>60</v>
      </c>
      <c r="B2187" s="4" t="str">
        <f>"60.0314"</f>
        <v>60.0314</v>
      </c>
      <c r="C2187" s="4" t="s">
        <v>18238</v>
      </c>
      <c r="D2187" s="4" t="s">
        <v>18239</v>
      </c>
      <c r="E2187" s="4" t="s">
        <v>20763</v>
      </c>
      <c r="F2187" s="4" t="s">
        <v>20764</v>
      </c>
      <c r="H2187" s="4" t="s">
        <v>20659</v>
      </c>
    </row>
    <row r="2188" spans="1:8" x14ac:dyDescent="0.2">
      <c r="A2188" s="4" t="str">
        <f t="shared" si="57"/>
        <v>60</v>
      </c>
      <c r="B2188" s="4" t="str">
        <f>"60.0315"</f>
        <v>60.0315</v>
      </c>
      <c r="C2188" s="4" t="s">
        <v>18238</v>
      </c>
      <c r="D2188" s="4" t="s">
        <v>18239</v>
      </c>
      <c r="E2188" s="4" t="s">
        <v>20765</v>
      </c>
      <c r="F2188" s="4" t="s">
        <v>20766</v>
      </c>
      <c r="H2188" s="4" t="s">
        <v>20659</v>
      </c>
    </row>
    <row r="2189" spans="1:8" x14ac:dyDescent="0.2">
      <c r="A2189" s="4" t="str">
        <f t="shared" si="57"/>
        <v>60</v>
      </c>
      <c r="B2189" s="4" t="str">
        <f>"60.0316"</f>
        <v>60.0316</v>
      </c>
      <c r="C2189" s="4" t="s">
        <v>18238</v>
      </c>
      <c r="D2189" s="4" t="s">
        <v>18239</v>
      </c>
      <c r="E2189" s="4" t="s">
        <v>20767</v>
      </c>
      <c r="F2189" s="4" t="s">
        <v>20768</v>
      </c>
      <c r="H2189" s="4" t="s">
        <v>20659</v>
      </c>
    </row>
    <row r="2190" spans="1:8" x14ac:dyDescent="0.2">
      <c r="A2190" s="4" t="str">
        <f t="shared" si="57"/>
        <v>60</v>
      </c>
      <c r="B2190" s="4" t="str">
        <f>"60.0317"</f>
        <v>60.0317</v>
      </c>
      <c r="C2190" s="4" t="s">
        <v>18238</v>
      </c>
      <c r="D2190" s="4" t="s">
        <v>18239</v>
      </c>
      <c r="E2190" s="4" t="s">
        <v>20769</v>
      </c>
      <c r="F2190" s="4" t="s">
        <v>20770</v>
      </c>
      <c r="H2190" s="4" t="s">
        <v>20659</v>
      </c>
    </row>
    <row r="2191" spans="1:8" x14ac:dyDescent="0.2">
      <c r="A2191" s="4" t="str">
        <f t="shared" si="57"/>
        <v>60</v>
      </c>
      <c r="B2191" s="4" t="str">
        <f>"60.0318"</f>
        <v>60.0318</v>
      </c>
      <c r="C2191" s="4" t="s">
        <v>18258</v>
      </c>
      <c r="D2191" s="4" t="s">
        <v>18239</v>
      </c>
      <c r="E2191" s="4" t="s">
        <v>20771</v>
      </c>
      <c r="F2191" s="4" t="s">
        <v>20772</v>
      </c>
      <c r="H2191" s="4" t="s">
        <v>20659</v>
      </c>
    </row>
    <row r="2192" spans="1:8" x14ac:dyDescent="0.2">
      <c r="A2192" s="4" t="str">
        <f t="shared" si="57"/>
        <v>60</v>
      </c>
      <c r="B2192" s="4" t="str">
        <f>"60.0319"</f>
        <v>60.0319</v>
      </c>
      <c r="C2192" s="4" t="s">
        <v>18258</v>
      </c>
      <c r="D2192" s="4" t="s">
        <v>18239</v>
      </c>
      <c r="E2192" s="4" t="s">
        <v>20773</v>
      </c>
      <c r="F2192" s="4" t="s">
        <v>20774</v>
      </c>
      <c r="H2192" s="4" t="s">
        <v>20659</v>
      </c>
    </row>
    <row r="2193" spans="1:8" x14ac:dyDescent="0.2">
      <c r="A2193" s="4" t="str">
        <f t="shared" si="57"/>
        <v>60</v>
      </c>
      <c r="B2193" s="4" t="str">
        <f>"60.0320"</f>
        <v>60.0320</v>
      </c>
      <c r="C2193" s="4" t="s">
        <v>18258</v>
      </c>
      <c r="D2193" s="4" t="s">
        <v>18239</v>
      </c>
      <c r="E2193" s="4" t="s">
        <v>20775</v>
      </c>
      <c r="F2193" s="4" t="s">
        <v>20776</v>
      </c>
      <c r="H2193" s="4" t="s">
        <v>20659</v>
      </c>
    </row>
    <row r="2194" spans="1:8" x14ac:dyDescent="0.2">
      <c r="A2194" s="4" t="str">
        <f t="shared" si="57"/>
        <v>60</v>
      </c>
      <c r="B2194" s="4" t="str">
        <f>"60.0399"</f>
        <v>60.0399</v>
      </c>
      <c r="C2194" s="4" t="s">
        <v>18238</v>
      </c>
      <c r="D2194" s="4" t="s">
        <v>18239</v>
      </c>
      <c r="E2194" s="4" t="s">
        <v>7154</v>
      </c>
      <c r="F2194" s="4" t="s">
        <v>20777</v>
      </c>
      <c r="H2194" s="4" t="s">
        <v>20659</v>
      </c>
    </row>
    <row r="2195" spans="1:8" x14ac:dyDescent="0.2">
      <c r="A2195" s="4" t="str">
        <f t="shared" si="57"/>
        <v>60</v>
      </c>
      <c r="B2195" s="4" t="str">
        <f>"60.04"</f>
        <v>60.04</v>
      </c>
      <c r="C2195" s="4" t="s">
        <v>18258</v>
      </c>
      <c r="D2195" s="4" t="s">
        <v>18239</v>
      </c>
      <c r="E2195" s="4" t="s">
        <v>20778</v>
      </c>
      <c r="F2195" s="4" t="s">
        <v>20779</v>
      </c>
      <c r="H2195" s="4" t="s">
        <v>20659</v>
      </c>
    </row>
    <row r="2196" spans="1:8" x14ac:dyDescent="0.2">
      <c r="A2196" s="4" t="str">
        <f t="shared" si="57"/>
        <v>60</v>
      </c>
      <c r="B2196" s="4" t="str">
        <f>"60.0401"</f>
        <v>60.0401</v>
      </c>
      <c r="C2196" s="4" t="s">
        <v>19061</v>
      </c>
      <c r="D2196" s="4" t="s">
        <v>18307</v>
      </c>
      <c r="E2196" s="4" t="s">
        <v>20780</v>
      </c>
      <c r="F2196" s="4" t="s">
        <v>20781</v>
      </c>
      <c r="H2196" s="4" t="s">
        <v>20659</v>
      </c>
    </row>
    <row r="2197" spans="1:8" x14ac:dyDescent="0.2">
      <c r="A2197" s="4" t="str">
        <f t="shared" si="57"/>
        <v>60</v>
      </c>
      <c r="B2197" s="4" t="str">
        <f>"60.0402"</f>
        <v>60.0402</v>
      </c>
      <c r="C2197" s="4" t="s">
        <v>19061</v>
      </c>
      <c r="D2197" s="4" t="s">
        <v>18239</v>
      </c>
      <c r="E2197" s="4" t="s">
        <v>20782</v>
      </c>
      <c r="F2197" s="4" t="s">
        <v>20783</v>
      </c>
      <c r="H2197" s="4" t="s">
        <v>20659</v>
      </c>
    </row>
    <row r="2198" spans="1:8" x14ac:dyDescent="0.2">
      <c r="A2198" s="4" t="str">
        <f t="shared" si="57"/>
        <v>60</v>
      </c>
      <c r="B2198" s="4" t="str">
        <f>"60.0403"</f>
        <v>60.0403</v>
      </c>
      <c r="C2198" s="4" t="s">
        <v>19061</v>
      </c>
      <c r="D2198" s="4" t="s">
        <v>18239</v>
      </c>
      <c r="E2198" s="4" t="s">
        <v>20784</v>
      </c>
      <c r="F2198" s="4" t="s">
        <v>20785</v>
      </c>
      <c r="H2198" s="4" t="s">
        <v>20659</v>
      </c>
    </row>
    <row r="2199" spans="1:8" x14ac:dyDescent="0.2">
      <c r="A2199" s="4" t="str">
        <f t="shared" si="57"/>
        <v>60</v>
      </c>
      <c r="B2199" s="4" t="str">
        <f>"60.0404"</f>
        <v>60.0404</v>
      </c>
      <c r="C2199" s="4" t="s">
        <v>19061</v>
      </c>
      <c r="D2199" s="4" t="s">
        <v>18307</v>
      </c>
      <c r="E2199" s="4" t="s">
        <v>20786</v>
      </c>
      <c r="F2199" s="4" t="s">
        <v>20787</v>
      </c>
      <c r="H2199" s="4" t="s">
        <v>20788</v>
      </c>
    </row>
    <row r="2200" spans="1:8" x14ac:dyDescent="0.2">
      <c r="A2200" s="4" t="str">
        <f t="shared" si="57"/>
        <v>60</v>
      </c>
      <c r="B2200" s="4" t="str">
        <f>"60.0405"</f>
        <v>60.0405</v>
      </c>
      <c r="C2200" s="4" t="s">
        <v>18258</v>
      </c>
      <c r="D2200" s="4" t="s">
        <v>18239</v>
      </c>
      <c r="E2200" s="4" t="s">
        <v>20789</v>
      </c>
      <c r="F2200" s="4" t="s">
        <v>20790</v>
      </c>
      <c r="H2200" s="4" t="s">
        <v>20788</v>
      </c>
    </row>
    <row r="2201" spans="1:8" x14ac:dyDescent="0.2">
      <c r="A2201" s="4" t="str">
        <f t="shared" si="57"/>
        <v>60</v>
      </c>
      <c r="B2201" s="4" t="str">
        <f>"60.0406"</f>
        <v>60.0406</v>
      </c>
      <c r="C2201" s="4" t="s">
        <v>18258</v>
      </c>
      <c r="D2201" s="4" t="s">
        <v>18239</v>
      </c>
      <c r="E2201" s="4" t="s">
        <v>20791</v>
      </c>
      <c r="F2201" s="4" t="s">
        <v>20792</v>
      </c>
      <c r="H2201" s="4" t="s">
        <v>20788</v>
      </c>
    </row>
    <row r="2202" spans="1:8" x14ac:dyDescent="0.2">
      <c r="A2202" s="4" t="str">
        <f t="shared" si="57"/>
        <v>60</v>
      </c>
      <c r="B2202" s="4" t="str">
        <f>"60.0407"</f>
        <v>60.0407</v>
      </c>
      <c r="C2202" s="4" t="s">
        <v>18258</v>
      </c>
      <c r="D2202" s="4" t="s">
        <v>18239</v>
      </c>
      <c r="E2202" s="4" t="s">
        <v>20793</v>
      </c>
      <c r="F2202" s="4" t="s">
        <v>20794</v>
      </c>
      <c r="H2202" s="4" t="s">
        <v>20788</v>
      </c>
    </row>
    <row r="2203" spans="1:8" x14ac:dyDescent="0.2">
      <c r="A2203" s="4" t="str">
        <f t="shared" si="57"/>
        <v>60</v>
      </c>
      <c r="B2203" s="4" t="str">
        <f>"60.0408"</f>
        <v>60.0408</v>
      </c>
      <c r="C2203" s="4" t="s">
        <v>18258</v>
      </c>
      <c r="D2203" s="4" t="s">
        <v>18239</v>
      </c>
      <c r="E2203" s="4" t="s">
        <v>20795</v>
      </c>
      <c r="F2203" s="4" t="s">
        <v>20796</v>
      </c>
      <c r="H2203" s="4" t="s">
        <v>20788</v>
      </c>
    </row>
    <row r="2204" spans="1:8" x14ac:dyDescent="0.2">
      <c r="A2204" s="4" t="str">
        <f t="shared" si="57"/>
        <v>60</v>
      </c>
      <c r="B2204" s="4" t="str">
        <f>"60.0409"</f>
        <v>60.0409</v>
      </c>
      <c r="C2204" s="4" t="s">
        <v>19061</v>
      </c>
      <c r="D2204" s="4" t="s">
        <v>18239</v>
      </c>
      <c r="E2204" s="4" t="s">
        <v>20797</v>
      </c>
      <c r="F2204" s="4" t="s">
        <v>20798</v>
      </c>
      <c r="H2204" s="4" t="s">
        <v>20788</v>
      </c>
    </row>
    <row r="2205" spans="1:8" x14ac:dyDescent="0.2">
      <c r="A2205" s="4" t="str">
        <f t="shared" si="57"/>
        <v>60</v>
      </c>
      <c r="B2205" s="4" t="str">
        <f>"60.0410"</f>
        <v>60.0410</v>
      </c>
      <c r="C2205" s="4" t="s">
        <v>19061</v>
      </c>
      <c r="D2205" s="4" t="s">
        <v>18239</v>
      </c>
      <c r="E2205" s="4" t="s">
        <v>20799</v>
      </c>
      <c r="F2205" s="4" t="s">
        <v>20800</v>
      </c>
      <c r="H2205" s="4" t="s">
        <v>20788</v>
      </c>
    </row>
    <row r="2206" spans="1:8" x14ac:dyDescent="0.2">
      <c r="A2206" s="4" t="str">
        <f t="shared" si="57"/>
        <v>60</v>
      </c>
      <c r="B2206" s="4" t="str">
        <f>"60.0411"</f>
        <v>60.0411</v>
      </c>
      <c r="C2206" s="4" t="s">
        <v>19061</v>
      </c>
      <c r="D2206" s="4" t="s">
        <v>18307</v>
      </c>
      <c r="E2206" s="4" t="s">
        <v>20801</v>
      </c>
      <c r="F2206" s="4" t="s">
        <v>20802</v>
      </c>
      <c r="H2206" s="4" t="s">
        <v>20788</v>
      </c>
    </row>
    <row r="2207" spans="1:8" x14ac:dyDescent="0.2">
      <c r="A2207" s="4" t="str">
        <f t="shared" si="57"/>
        <v>60</v>
      </c>
      <c r="B2207" s="4" t="str">
        <f>"60.0412"</f>
        <v>60.0412</v>
      </c>
      <c r="C2207" s="4" t="s">
        <v>19061</v>
      </c>
      <c r="D2207" s="4" t="s">
        <v>18239</v>
      </c>
      <c r="E2207" s="4" t="s">
        <v>20803</v>
      </c>
      <c r="F2207" s="4" t="s">
        <v>20804</v>
      </c>
      <c r="H2207" s="4" t="s">
        <v>20788</v>
      </c>
    </row>
    <row r="2208" spans="1:8" x14ac:dyDescent="0.2">
      <c r="A2208" s="4" t="str">
        <f t="shared" si="57"/>
        <v>60</v>
      </c>
      <c r="B2208" s="4" t="str">
        <f>"60.0413"</f>
        <v>60.0413</v>
      </c>
      <c r="C2208" s="4" t="s">
        <v>19061</v>
      </c>
      <c r="D2208" s="4" t="s">
        <v>18239</v>
      </c>
      <c r="E2208" s="4" t="s">
        <v>20805</v>
      </c>
      <c r="F2208" s="4" t="s">
        <v>20806</v>
      </c>
      <c r="H2208" s="4" t="s">
        <v>20788</v>
      </c>
    </row>
    <row r="2209" spans="1:8" x14ac:dyDescent="0.2">
      <c r="A2209" s="4" t="str">
        <f t="shared" si="57"/>
        <v>60</v>
      </c>
      <c r="B2209" s="4" t="str">
        <f>"60.0414"</f>
        <v>60.0414</v>
      </c>
      <c r="C2209" s="4" t="s">
        <v>19061</v>
      </c>
      <c r="D2209" s="4" t="s">
        <v>18239</v>
      </c>
      <c r="E2209" s="4" t="s">
        <v>20807</v>
      </c>
      <c r="F2209" s="4" t="s">
        <v>20808</v>
      </c>
      <c r="H2209" s="4" t="s">
        <v>20809</v>
      </c>
    </row>
    <row r="2210" spans="1:8" x14ac:dyDescent="0.2">
      <c r="A2210" s="4" t="str">
        <f t="shared" si="57"/>
        <v>60</v>
      </c>
      <c r="B2210" s="4" t="str">
        <f>"60.0415"</f>
        <v>60.0415</v>
      </c>
      <c r="C2210" s="4" t="s">
        <v>19061</v>
      </c>
      <c r="D2210" s="4" t="s">
        <v>18239</v>
      </c>
      <c r="E2210" s="4" t="s">
        <v>20810</v>
      </c>
      <c r="F2210" s="4" t="s">
        <v>20811</v>
      </c>
      <c r="H2210" s="4" t="s">
        <v>20809</v>
      </c>
    </row>
    <row r="2211" spans="1:8" x14ac:dyDescent="0.2">
      <c r="A2211" s="4" t="str">
        <f t="shared" si="57"/>
        <v>60</v>
      </c>
      <c r="B2211" s="4" t="str">
        <f>"60.0416"</f>
        <v>60.0416</v>
      </c>
      <c r="C2211" s="4" t="s">
        <v>19061</v>
      </c>
      <c r="D2211" s="4" t="s">
        <v>18307</v>
      </c>
      <c r="E2211" s="4" t="s">
        <v>20812</v>
      </c>
      <c r="F2211" s="4" t="s">
        <v>20813</v>
      </c>
      <c r="H2211" s="4" t="s">
        <v>20814</v>
      </c>
    </row>
    <row r="2212" spans="1:8" x14ac:dyDescent="0.2">
      <c r="A2212" s="4" t="str">
        <f t="shared" si="57"/>
        <v>60</v>
      </c>
      <c r="B2212" s="4" t="str">
        <f>"60.0417"</f>
        <v>60.0417</v>
      </c>
      <c r="C2212" s="4" t="s">
        <v>19061</v>
      </c>
      <c r="D2212" s="4" t="s">
        <v>18307</v>
      </c>
      <c r="E2212" s="4" t="s">
        <v>20815</v>
      </c>
      <c r="F2212" s="4" t="s">
        <v>20816</v>
      </c>
      <c r="H2212" s="4" t="s">
        <v>20814</v>
      </c>
    </row>
    <row r="2213" spans="1:8" x14ac:dyDescent="0.2">
      <c r="A2213" s="4" t="str">
        <f t="shared" si="57"/>
        <v>60</v>
      </c>
      <c r="B2213" s="4" t="str">
        <f>"60.0418"</f>
        <v>60.0418</v>
      </c>
      <c r="C2213" s="4" t="s">
        <v>19061</v>
      </c>
      <c r="D2213" s="4" t="s">
        <v>18307</v>
      </c>
      <c r="E2213" s="4" t="s">
        <v>20817</v>
      </c>
      <c r="F2213" s="4" t="s">
        <v>20818</v>
      </c>
      <c r="H2213" s="4" t="s">
        <v>20814</v>
      </c>
    </row>
    <row r="2214" spans="1:8" x14ac:dyDescent="0.2">
      <c r="A2214" s="4" t="str">
        <f t="shared" si="57"/>
        <v>60</v>
      </c>
      <c r="B2214" s="4" t="str">
        <f>"60.0419"</f>
        <v>60.0419</v>
      </c>
      <c r="C2214" s="4" t="s">
        <v>19061</v>
      </c>
      <c r="D2214" s="4" t="s">
        <v>18239</v>
      </c>
      <c r="E2214" s="4" t="s">
        <v>20819</v>
      </c>
      <c r="F2214" s="4" t="s">
        <v>20820</v>
      </c>
      <c r="H2214" s="4" t="s">
        <v>20814</v>
      </c>
    </row>
    <row r="2215" spans="1:8" x14ac:dyDescent="0.2">
      <c r="A2215" s="4" t="str">
        <f t="shared" si="57"/>
        <v>60</v>
      </c>
      <c r="B2215" s="4" t="str">
        <f>"60.0420"</f>
        <v>60.0420</v>
      </c>
      <c r="C2215" s="4" t="s">
        <v>19061</v>
      </c>
      <c r="D2215" s="4" t="s">
        <v>18239</v>
      </c>
      <c r="E2215" s="4" t="s">
        <v>20821</v>
      </c>
      <c r="F2215" s="4" t="s">
        <v>20822</v>
      </c>
      <c r="H2215" s="4" t="s">
        <v>20814</v>
      </c>
    </row>
    <row r="2216" spans="1:8" x14ac:dyDescent="0.2">
      <c r="A2216" s="4" t="str">
        <f t="shared" si="57"/>
        <v>60</v>
      </c>
      <c r="B2216" s="4" t="str">
        <f>"60.0421"</f>
        <v>60.0421</v>
      </c>
      <c r="C2216" s="4" t="s">
        <v>19061</v>
      </c>
      <c r="D2216" s="4" t="s">
        <v>18239</v>
      </c>
      <c r="E2216" s="4" t="s">
        <v>20823</v>
      </c>
      <c r="F2216" s="4" t="s">
        <v>20824</v>
      </c>
      <c r="H2216" s="4" t="s">
        <v>20814</v>
      </c>
    </row>
    <row r="2217" spans="1:8" x14ac:dyDescent="0.2">
      <c r="A2217" s="4" t="str">
        <f t="shared" ref="A2217:A2280" si="58">"60"</f>
        <v>60</v>
      </c>
      <c r="B2217" s="4" t="str">
        <f>"60.0422"</f>
        <v>60.0422</v>
      </c>
      <c r="C2217" s="4" t="s">
        <v>19061</v>
      </c>
      <c r="D2217" s="4" t="s">
        <v>18307</v>
      </c>
      <c r="E2217" s="4" t="s">
        <v>20825</v>
      </c>
      <c r="F2217" s="4" t="s">
        <v>20826</v>
      </c>
      <c r="H2217" s="4" t="s">
        <v>20827</v>
      </c>
    </row>
    <row r="2218" spans="1:8" x14ac:dyDescent="0.2">
      <c r="A2218" s="4" t="str">
        <f t="shared" si="58"/>
        <v>60</v>
      </c>
      <c r="B2218" s="4" t="str">
        <f>"60.0423"</f>
        <v>60.0423</v>
      </c>
      <c r="C2218" s="4" t="s">
        <v>19061</v>
      </c>
      <c r="D2218" s="4" t="s">
        <v>18307</v>
      </c>
      <c r="E2218" s="4" t="s">
        <v>20828</v>
      </c>
      <c r="F2218" s="4" t="s">
        <v>20829</v>
      </c>
      <c r="H2218" s="4" t="s">
        <v>20827</v>
      </c>
    </row>
    <row r="2219" spans="1:8" x14ac:dyDescent="0.2">
      <c r="A2219" s="4" t="str">
        <f t="shared" si="58"/>
        <v>60</v>
      </c>
      <c r="B2219" s="4" t="str">
        <f>"60.0424"</f>
        <v>60.0424</v>
      </c>
      <c r="C2219" s="4" t="s">
        <v>19061</v>
      </c>
      <c r="D2219" s="4" t="s">
        <v>18239</v>
      </c>
      <c r="E2219" s="4" t="s">
        <v>20830</v>
      </c>
      <c r="F2219" s="4" t="s">
        <v>20831</v>
      </c>
      <c r="H2219" s="4" t="s">
        <v>20832</v>
      </c>
    </row>
    <row r="2220" spans="1:8" x14ac:dyDescent="0.2">
      <c r="A2220" s="4" t="str">
        <f t="shared" si="58"/>
        <v>60</v>
      </c>
      <c r="B2220" s="4" t="str">
        <f>"60.0425"</f>
        <v>60.0425</v>
      </c>
      <c r="C2220" s="4" t="s">
        <v>19061</v>
      </c>
      <c r="D2220" s="4" t="s">
        <v>18239</v>
      </c>
      <c r="E2220" s="4" t="s">
        <v>20833</v>
      </c>
      <c r="F2220" s="4" t="s">
        <v>20834</v>
      </c>
      <c r="H2220" s="4" t="s">
        <v>20832</v>
      </c>
    </row>
    <row r="2221" spans="1:8" x14ac:dyDescent="0.2">
      <c r="A2221" s="4" t="str">
        <f t="shared" si="58"/>
        <v>60</v>
      </c>
      <c r="B2221" s="4" t="str">
        <f>"60.0426"</f>
        <v>60.0426</v>
      </c>
      <c r="C2221" s="4" t="s">
        <v>19061</v>
      </c>
      <c r="D2221" s="4" t="s">
        <v>18307</v>
      </c>
      <c r="E2221" s="4" t="s">
        <v>20835</v>
      </c>
      <c r="F2221" s="4" t="s">
        <v>20836</v>
      </c>
      <c r="H2221" s="4" t="s">
        <v>20837</v>
      </c>
    </row>
    <row r="2222" spans="1:8" x14ac:dyDescent="0.2">
      <c r="A2222" s="4" t="str">
        <f t="shared" si="58"/>
        <v>60</v>
      </c>
      <c r="B2222" s="4" t="str">
        <f>"60.0427"</f>
        <v>60.0427</v>
      </c>
      <c r="C2222" s="4" t="s">
        <v>19061</v>
      </c>
      <c r="D2222" s="4" t="s">
        <v>18239</v>
      </c>
      <c r="E2222" s="4" t="s">
        <v>20838</v>
      </c>
      <c r="F2222" s="4" t="s">
        <v>20839</v>
      </c>
      <c r="H2222" s="4" t="s">
        <v>20837</v>
      </c>
    </row>
    <row r="2223" spans="1:8" x14ac:dyDescent="0.2">
      <c r="A2223" s="4" t="str">
        <f t="shared" si="58"/>
        <v>60</v>
      </c>
      <c r="B2223" s="4" t="str">
        <f>"60.0428"</f>
        <v>60.0428</v>
      </c>
      <c r="C2223" s="4" t="s">
        <v>19061</v>
      </c>
      <c r="D2223" s="4" t="s">
        <v>18307</v>
      </c>
      <c r="E2223" s="4" t="s">
        <v>20840</v>
      </c>
      <c r="F2223" s="4" t="s">
        <v>20841</v>
      </c>
      <c r="H2223" s="4" t="s">
        <v>20837</v>
      </c>
    </row>
    <row r="2224" spans="1:8" x14ac:dyDescent="0.2">
      <c r="A2224" s="4" t="str">
        <f t="shared" si="58"/>
        <v>60</v>
      </c>
      <c r="B2224" s="4" t="str">
        <f>"60.0429"</f>
        <v>60.0429</v>
      </c>
      <c r="C2224" s="4" t="s">
        <v>18258</v>
      </c>
      <c r="D2224" s="4" t="s">
        <v>18239</v>
      </c>
      <c r="E2224" s="4" t="s">
        <v>20842</v>
      </c>
      <c r="F2224" s="4" t="s">
        <v>20843</v>
      </c>
      <c r="H2224" s="4" t="s">
        <v>20844</v>
      </c>
    </row>
    <row r="2225" spans="1:8" x14ac:dyDescent="0.2">
      <c r="A2225" s="4" t="str">
        <f t="shared" si="58"/>
        <v>60</v>
      </c>
      <c r="B2225" s="4" t="str">
        <f>"60.0430"</f>
        <v>60.0430</v>
      </c>
      <c r="C2225" s="4" t="s">
        <v>19061</v>
      </c>
      <c r="D2225" s="4" t="s">
        <v>18239</v>
      </c>
      <c r="E2225" s="4" t="s">
        <v>20845</v>
      </c>
      <c r="F2225" s="4" t="s">
        <v>20846</v>
      </c>
      <c r="H2225" s="4" t="s">
        <v>20844</v>
      </c>
    </row>
    <row r="2226" spans="1:8" x14ac:dyDescent="0.2">
      <c r="A2226" s="4" t="str">
        <f t="shared" si="58"/>
        <v>60</v>
      </c>
      <c r="B2226" s="4" t="str">
        <f>"60.0431"</f>
        <v>60.0431</v>
      </c>
      <c r="C2226" s="4" t="s">
        <v>18258</v>
      </c>
      <c r="D2226" s="4" t="s">
        <v>18239</v>
      </c>
      <c r="E2226" s="4" t="s">
        <v>20847</v>
      </c>
      <c r="F2226" s="4" t="s">
        <v>20848</v>
      </c>
      <c r="H2226" s="4" t="s">
        <v>20844</v>
      </c>
    </row>
    <row r="2227" spans="1:8" x14ac:dyDescent="0.2">
      <c r="A2227" s="4" t="str">
        <f t="shared" si="58"/>
        <v>60</v>
      </c>
      <c r="B2227" s="4" t="str">
        <f>"60.0432"</f>
        <v>60.0432</v>
      </c>
      <c r="C2227" s="4" t="s">
        <v>19061</v>
      </c>
      <c r="D2227" s="4" t="s">
        <v>18239</v>
      </c>
      <c r="E2227" s="4" t="s">
        <v>20849</v>
      </c>
      <c r="F2227" s="4" t="s">
        <v>20850</v>
      </c>
      <c r="H2227" s="4" t="s">
        <v>20844</v>
      </c>
    </row>
    <row r="2228" spans="1:8" x14ac:dyDescent="0.2">
      <c r="A2228" s="4" t="str">
        <f t="shared" si="58"/>
        <v>60</v>
      </c>
      <c r="B2228" s="4" t="str">
        <f>"60.0433"</f>
        <v>60.0433</v>
      </c>
      <c r="C2228" s="4" t="s">
        <v>19061</v>
      </c>
      <c r="D2228" s="4" t="s">
        <v>18307</v>
      </c>
      <c r="E2228" s="4" t="s">
        <v>20851</v>
      </c>
      <c r="F2228" s="4" t="s">
        <v>20852</v>
      </c>
      <c r="H2228" s="4" t="s">
        <v>20844</v>
      </c>
    </row>
    <row r="2229" spans="1:8" x14ac:dyDescent="0.2">
      <c r="A2229" s="4" t="str">
        <f t="shared" si="58"/>
        <v>60</v>
      </c>
      <c r="B2229" s="4" t="str">
        <f>"60.0434"</f>
        <v>60.0434</v>
      </c>
      <c r="C2229" s="4" t="s">
        <v>19061</v>
      </c>
      <c r="D2229" s="4" t="s">
        <v>18307</v>
      </c>
      <c r="E2229" s="4" t="s">
        <v>20853</v>
      </c>
      <c r="F2229" s="4" t="s">
        <v>20854</v>
      </c>
      <c r="H2229" s="4" t="s">
        <v>20844</v>
      </c>
    </row>
    <row r="2230" spans="1:8" x14ac:dyDescent="0.2">
      <c r="A2230" s="4" t="str">
        <f t="shared" si="58"/>
        <v>60</v>
      </c>
      <c r="B2230" s="4" t="str">
        <f>"60.0499"</f>
        <v>60.0499</v>
      </c>
      <c r="C2230" s="4" t="s">
        <v>18258</v>
      </c>
      <c r="D2230" s="4" t="s">
        <v>18239</v>
      </c>
      <c r="E2230" s="4" t="s">
        <v>20855</v>
      </c>
      <c r="F2230" s="4" t="s">
        <v>20856</v>
      </c>
      <c r="H2230" s="4" t="s">
        <v>20844</v>
      </c>
    </row>
    <row r="2231" spans="1:8" x14ac:dyDescent="0.2">
      <c r="A2231" s="4" t="str">
        <f t="shared" si="58"/>
        <v>60</v>
      </c>
      <c r="B2231" s="4" t="str">
        <f>"60.05"</f>
        <v>60.05</v>
      </c>
      <c r="C2231" s="4" t="s">
        <v>18258</v>
      </c>
      <c r="D2231" s="4" t="s">
        <v>18239</v>
      </c>
      <c r="E2231" s="4" t="s">
        <v>20857</v>
      </c>
      <c r="F2231" s="4" t="s">
        <v>20858</v>
      </c>
      <c r="H2231" s="4" t="s">
        <v>20844</v>
      </c>
    </row>
    <row r="2232" spans="1:8" x14ac:dyDescent="0.2">
      <c r="A2232" s="4" t="str">
        <f t="shared" si="58"/>
        <v>60</v>
      </c>
      <c r="B2232" s="4" t="str">
        <f>"60.0501"</f>
        <v>60.0501</v>
      </c>
      <c r="C2232" s="4" t="s">
        <v>18258</v>
      </c>
      <c r="D2232" s="4" t="s">
        <v>18239</v>
      </c>
      <c r="E2232" s="4" t="s">
        <v>20859</v>
      </c>
      <c r="F2232" s="4" t="s">
        <v>20860</v>
      </c>
      <c r="H2232" s="4" t="s">
        <v>20844</v>
      </c>
    </row>
    <row r="2233" spans="1:8" x14ac:dyDescent="0.2">
      <c r="A2233" s="4" t="str">
        <f t="shared" si="58"/>
        <v>60</v>
      </c>
      <c r="B2233" s="4" t="str">
        <f>"60.0502"</f>
        <v>60.0502</v>
      </c>
      <c r="C2233" s="4" t="s">
        <v>18258</v>
      </c>
      <c r="D2233" s="4" t="s">
        <v>18239</v>
      </c>
      <c r="E2233" s="4" t="s">
        <v>20861</v>
      </c>
      <c r="F2233" s="4" t="s">
        <v>20862</v>
      </c>
      <c r="H2233" s="4" t="s">
        <v>20844</v>
      </c>
    </row>
    <row r="2234" spans="1:8" x14ac:dyDescent="0.2">
      <c r="A2234" s="4" t="str">
        <f t="shared" si="58"/>
        <v>60</v>
      </c>
      <c r="B2234" s="4" t="str">
        <f>"60.0503"</f>
        <v>60.0503</v>
      </c>
      <c r="C2234" s="4" t="s">
        <v>19061</v>
      </c>
      <c r="D2234" s="4" t="s">
        <v>18307</v>
      </c>
      <c r="E2234" s="4" t="s">
        <v>20863</v>
      </c>
      <c r="F2234" s="4" t="s">
        <v>20864</v>
      </c>
      <c r="H2234" s="4" t="s">
        <v>20865</v>
      </c>
    </row>
    <row r="2235" spans="1:8" x14ac:dyDescent="0.2">
      <c r="A2235" s="4" t="str">
        <f t="shared" si="58"/>
        <v>60</v>
      </c>
      <c r="B2235" s="4" t="str">
        <f>"60.0504"</f>
        <v>60.0504</v>
      </c>
      <c r="C2235" s="4" t="s">
        <v>19061</v>
      </c>
      <c r="D2235" s="4" t="s">
        <v>18307</v>
      </c>
      <c r="E2235" s="4" t="s">
        <v>20866</v>
      </c>
      <c r="F2235" s="4" t="s">
        <v>20867</v>
      </c>
      <c r="H2235" s="4" t="s">
        <v>20868</v>
      </c>
    </row>
    <row r="2236" spans="1:8" x14ac:dyDescent="0.2">
      <c r="A2236" s="4" t="str">
        <f t="shared" si="58"/>
        <v>60</v>
      </c>
      <c r="B2236" s="4" t="str">
        <f>"60.0505"</f>
        <v>60.0505</v>
      </c>
      <c r="C2236" s="4" t="s">
        <v>19061</v>
      </c>
      <c r="D2236" s="4" t="s">
        <v>18239</v>
      </c>
      <c r="E2236" s="4" t="s">
        <v>20869</v>
      </c>
      <c r="F2236" s="4" t="s">
        <v>20870</v>
      </c>
      <c r="H2236" s="4" t="s">
        <v>20868</v>
      </c>
    </row>
    <row r="2237" spans="1:8" x14ac:dyDescent="0.2">
      <c r="A2237" s="4" t="str">
        <f t="shared" si="58"/>
        <v>60</v>
      </c>
      <c r="B2237" s="4" t="str">
        <f>"60.0506"</f>
        <v>60.0506</v>
      </c>
      <c r="C2237" s="4" t="s">
        <v>18258</v>
      </c>
      <c r="D2237" s="4" t="s">
        <v>18239</v>
      </c>
      <c r="E2237" s="4" t="s">
        <v>20871</v>
      </c>
      <c r="F2237" s="4" t="s">
        <v>20872</v>
      </c>
      <c r="H2237" s="4" t="s">
        <v>20868</v>
      </c>
    </row>
    <row r="2238" spans="1:8" x14ac:dyDescent="0.2">
      <c r="A2238" s="4" t="str">
        <f t="shared" si="58"/>
        <v>60</v>
      </c>
      <c r="B2238" s="4" t="str">
        <f>"60.0507"</f>
        <v>60.0507</v>
      </c>
      <c r="C2238" s="4" t="s">
        <v>19061</v>
      </c>
      <c r="D2238" s="4" t="s">
        <v>18307</v>
      </c>
      <c r="E2238" s="4" t="s">
        <v>20873</v>
      </c>
      <c r="F2238" s="4" t="s">
        <v>20874</v>
      </c>
      <c r="H2238" s="4" t="s">
        <v>20875</v>
      </c>
    </row>
    <row r="2239" spans="1:8" x14ac:dyDescent="0.2">
      <c r="A2239" s="4" t="str">
        <f t="shared" si="58"/>
        <v>60</v>
      </c>
      <c r="B2239" s="4" t="str">
        <f>"60.0508"</f>
        <v>60.0508</v>
      </c>
      <c r="C2239" s="4" t="s">
        <v>18258</v>
      </c>
      <c r="D2239" s="4" t="s">
        <v>18239</v>
      </c>
      <c r="E2239" s="4" t="s">
        <v>20876</v>
      </c>
      <c r="F2239" s="4" t="s">
        <v>20877</v>
      </c>
      <c r="H2239" s="4" t="s">
        <v>20875</v>
      </c>
    </row>
    <row r="2240" spans="1:8" x14ac:dyDescent="0.2">
      <c r="A2240" s="4" t="str">
        <f t="shared" si="58"/>
        <v>60</v>
      </c>
      <c r="B2240" s="4" t="str">
        <f>"60.0509"</f>
        <v>60.0509</v>
      </c>
      <c r="C2240" s="4" t="s">
        <v>18258</v>
      </c>
      <c r="D2240" s="4" t="s">
        <v>18239</v>
      </c>
      <c r="E2240" s="4" t="s">
        <v>20878</v>
      </c>
      <c r="F2240" s="4" t="s">
        <v>20879</v>
      </c>
      <c r="H2240" s="4" t="s">
        <v>20875</v>
      </c>
    </row>
    <row r="2241" spans="1:8" x14ac:dyDescent="0.2">
      <c r="A2241" s="4" t="str">
        <f t="shared" si="58"/>
        <v>60</v>
      </c>
      <c r="B2241" s="4" t="str">
        <f>"60.0510"</f>
        <v>60.0510</v>
      </c>
      <c r="C2241" s="4" t="s">
        <v>18258</v>
      </c>
      <c r="D2241" s="4" t="s">
        <v>18239</v>
      </c>
      <c r="E2241" s="4" t="s">
        <v>20880</v>
      </c>
      <c r="F2241" s="4" t="s">
        <v>20881</v>
      </c>
      <c r="H2241" s="4" t="s">
        <v>20875</v>
      </c>
    </row>
    <row r="2242" spans="1:8" x14ac:dyDescent="0.2">
      <c r="A2242" s="4" t="str">
        <f t="shared" si="58"/>
        <v>60</v>
      </c>
      <c r="B2242" s="4" t="str">
        <f>"60.0511"</f>
        <v>60.0511</v>
      </c>
      <c r="C2242" s="4" t="s">
        <v>19061</v>
      </c>
      <c r="D2242" s="4" t="s">
        <v>18307</v>
      </c>
      <c r="E2242" s="4" t="s">
        <v>20882</v>
      </c>
      <c r="F2242" s="4" t="s">
        <v>20883</v>
      </c>
      <c r="H2242" s="4" t="s">
        <v>20884</v>
      </c>
    </row>
    <row r="2243" spans="1:8" x14ac:dyDescent="0.2">
      <c r="A2243" s="4" t="str">
        <f t="shared" si="58"/>
        <v>60</v>
      </c>
      <c r="B2243" s="4" t="str">
        <f>"60.0512"</f>
        <v>60.0512</v>
      </c>
      <c r="C2243" s="4" t="s">
        <v>19061</v>
      </c>
      <c r="D2243" s="4" t="s">
        <v>18307</v>
      </c>
      <c r="E2243" s="4" t="s">
        <v>20885</v>
      </c>
      <c r="F2243" s="4" t="s">
        <v>20886</v>
      </c>
      <c r="H2243" s="4" t="s">
        <v>20884</v>
      </c>
    </row>
    <row r="2244" spans="1:8" x14ac:dyDescent="0.2">
      <c r="A2244" s="4" t="str">
        <f t="shared" si="58"/>
        <v>60</v>
      </c>
      <c r="B2244" s="4" t="str">
        <f>"60.0513"</f>
        <v>60.0513</v>
      </c>
      <c r="C2244" s="4" t="s">
        <v>19061</v>
      </c>
      <c r="D2244" s="4" t="s">
        <v>18239</v>
      </c>
      <c r="E2244" s="4" t="s">
        <v>20887</v>
      </c>
      <c r="F2244" s="4" t="s">
        <v>20888</v>
      </c>
      <c r="H2244" s="4" t="s">
        <v>20884</v>
      </c>
    </row>
    <row r="2245" spans="1:8" x14ac:dyDescent="0.2">
      <c r="A2245" s="4" t="str">
        <f t="shared" si="58"/>
        <v>60</v>
      </c>
      <c r="B2245" s="4" t="str">
        <f>"60.0514"</f>
        <v>60.0514</v>
      </c>
      <c r="C2245" s="4" t="s">
        <v>18258</v>
      </c>
      <c r="D2245" s="4" t="s">
        <v>18239</v>
      </c>
      <c r="E2245" s="4" t="s">
        <v>20889</v>
      </c>
      <c r="F2245" s="4" t="s">
        <v>20890</v>
      </c>
      <c r="H2245" s="4" t="s">
        <v>20884</v>
      </c>
    </row>
    <row r="2246" spans="1:8" x14ac:dyDescent="0.2">
      <c r="A2246" s="4" t="str">
        <f t="shared" si="58"/>
        <v>60</v>
      </c>
      <c r="B2246" s="4" t="str">
        <f>"60.0515"</f>
        <v>60.0515</v>
      </c>
      <c r="C2246" s="4" t="s">
        <v>18258</v>
      </c>
      <c r="D2246" s="4" t="s">
        <v>18239</v>
      </c>
      <c r="E2246" s="4" t="s">
        <v>20891</v>
      </c>
      <c r="F2246" s="4" t="s">
        <v>20892</v>
      </c>
      <c r="H2246" s="4" t="s">
        <v>20884</v>
      </c>
    </row>
    <row r="2247" spans="1:8" x14ac:dyDescent="0.2">
      <c r="A2247" s="4" t="str">
        <f t="shared" si="58"/>
        <v>60</v>
      </c>
      <c r="B2247" s="4" t="str">
        <f>"60.0516"</f>
        <v>60.0516</v>
      </c>
      <c r="C2247" s="4" t="s">
        <v>19061</v>
      </c>
      <c r="D2247" s="4" t="s">
        <v>18307</v>
      </c>
      <c r="E2247" s="4" t="s">
        <v>20893</v>
      </c>
      <c r="F2247" s="4" t="s">
        <v>20894</v>
      </c>
      <c r="H2247" s="4" t="s">
        <v>20895</v>
      </c>
    </row>
    <row r="2248" spans="1:8" x14ac:dyDescent="0.2">
      <c r="A2248" s="4" t="str">
        <f t="shared" si="58"/>
        <v>60</v>
      </c>
      <c r="B2248" s="4" t="str">
        <f>"60.0517"</f>
        <v>60.0517</v>
      </c>
      <c r="C2248" s="4" t="s">
        <v>19061</v>
      </c>
      <c r="D2248" s="4" t="s">
        <v>18239</v>
      </c>
      <c r="E2248" s="4" t="s">
        <v>20896</v>
      </c>
      <c r="F2248" s="4" t="s">
        <v>20897</v>
      </c>
      <c r="H2248" s="4" t="s">
        <v>20895</v>
      </c>
    </row>
    <row r="2249" spans="1:8" x14ac:dyDescent="0.2">
      <c r="A2249" s="4" t="str">
        <f t="shared" si="58"/>
        <v>60</v>
      </c>
      <c r="B2249" s="4" t="str">
        <f>"60.0518"</f>
        <v>60.0518</v>
      </c>
      <c r="C2249" s="4" t="s">
        <v>18258</v>
      </c>
      <c r="D2249" s="4" t="s">
        <v>18239</v>
      </c>
      <c r="E2249" s="4" t="s">
        <v>20898</v>
      </c>
      <c r="F2249" s="4" t="s">
        <v>20899</v>
      </c>
      <c r="H2249" s="4" t="s">
        <v>20895</v>
      </c>
    </row>
    <row r="2250" spans="1:8" x14ac:dyDescent="0.2">
      <c r="A2250" s="4" t="str">
        <f t="shared" si="58"/>
        <v>60</v>
      </c>
      <c r="B2250" s="4" t="str">
        <f>"60.0519"</f>
        <v>60.0519</v>
      </c>
      <c r="C2250" s="4" t="s">
        <v>19061</v>
      </c>
      <c r="D2250" s="4" t="s">
        <v>18239</v>
      </c>
      <c r="E2250" s="4" t="s">
        <v>20900</v>
      </c>
      <c r="F2250" s="4" t="s">
        <v>20901</v>
      </c>
      <c r="H2250" s="4" t="s">
        <v>20895</v>
      </c>
    </row>
    <row r="2251" spans="1:8" x14ac:dyDescent="0.2">
      <c r="A2251" s="4" t="str">
        <f t="shared" si="58"/>
        <v>60</v>
      </c>
      <c r="B2251" s="4" t="str">
        <f>"60.0520"</f>
        <v>60.0520</v>
      </c>
      <c r="C2251" s="4" t="s">
        <v>19061</v>
      </c>
      <c r="D2251" s="4" t="s">
        <v>18239</v>
      </c>
      <c r="E2251" s="4" t="s">
        <v>20902</v>
      </c>
      <c r="F2251" s="4" t="s">
        <v>20903</v>
      </c>
      <c r="H2251" s="4" t="s">
        <v>20895</v>
      </c>
    </row>
    <row r="2252" spans="1:8" x14ac:dyDescent="0.2">
      <c r="A2252" s="4" t="str">
        <f t="shared" si="58"/>
        <v>60</v>
      </c>
      <c r="B2252" s="4" t="str">
        <f>"60.0521"</f>
        <v>60.0521</v>
      </c>
      <c r="C2252" s="4" t="s">
        <v>18258</v>
      </c>
      <c r="D2252" s="4" t="s">
        <v>18239</v>
      </c>
      <c r="E2252" s="4" t="s">
        <v>20904</v>
      </c>
      <c r="F2252" s="4" t="s">
        <v>20905</v>
      </c>
      <c r="H2252" s="4" t="s">
        <v>20895</v>
      </c>
    </row>
    <row r="2253" spans="1:8" x14ac:dyDescent="0.2">
      <c r="A2253" s="4" t="str">
        <f t="shared" si="58"/>
        <v>60</v>
      </c>
      <c r="B2253" s="4" t="str">
        <f>"60.0522"</f>
        <v>60.0522</v>
      </c>
      <c r="C2253" s="4" t="s">
        <v>18258</v>
      </c>
      <c r="D2253" s="4" t="s">
        <v>18239</v>
      </c>
      <c r="E2253" s="4" t="s">
        <v>20906</v>
      </c>
      <c r="F2253" s="4" t="s">
        <v>20907</v>
      </c>
      <c r="H2253" s="4" t="s">
        <v>20895</v>
      </c>
    </row>
    <row r="2254" spans="1:8" x14ac:dyDescent="0.2">
      <c r="A2254" s="4" t="str">
        <f t="shared" si="58"/>
        <v>60</v>
      </c>
      <c r="B2254" s="4" t="str">
        <f>"60.0523"</f>
        <v>60.0523</v>
      </c>
      <c r="C2254" s="4" t="s">
        <v>19061</v>
      </c>
      <c r="D2254" s="4" t="s">
        <v>18239</v>
      </c>
      <c r="E2254" s="4" t="s">
        <v>20908</v>
      </c>
      <c r="F2254" s="4" t="s">
        <v>20909</v>
      </c>
      <c r="H2254" s="4" t="s">
        <v>20895</v>
      </c>
    </row>
    <row r="2255" spans="1:8" x14ac:dyDescent="0.2">
      <c r="A2255" s="4" t="str">
        <f t="shared" si="58"/>
        <v>60</v>
      </c>
      <c r="B2255" s="4" t="str">
        <f>"60.0524"</f>
        <v>60.0524</v>
      </c>
      <c r="C2255" s="4" t="s">
        <v>19061</v>
      </c>
      <c r="D2255" s="4" t="s">
        <v>18307</v>
      </c>
      <c r="E2255" s="4" t="s">
        <v>20910</v>
      </c>
      <c r="F2255" s="4" t="s">
        <v>20911</v>
      </c>
      <c r="H2255" s="4" t="s">
        <v>20895</v>
      </c>
    </row>
    <row r="2256" spans="1:8" x14ac:dyDescent="0.2">
      <c r="A2256" s="4" t="str">
        <f t="shared" si="58"/>
        <v>60</v>
      </c>
      <c r="B2256" s="4" t="str">
        <f>"60.0525"</f>
        <v>60.0525</v>
      </c>
      <c r="C2256" s="4" t="s">
        <v>18258</v>
      </c>
      <c r="D2256" s="4" t="s">
        <v>18239</v>
      </c>
      <c r="E2256" s="4" t="s">
        <v>20912</v>
      </c>
      <c r="F2256" s="4" t="s">
        <v>20913</v>
      </c>
      <c r="H2256" s="4" t="s">
        <v>20895</v>
      </c>
    </row>
    <row r="2257" spans="1:8" x14ac:dyDescent="0.2">
      <c r="A2257" s="4" t="str">
        <f t="shared" si="58"/>
        <v>60</v>
      </c>
      <c r="B2257" s="4" t="str">
        <f>"60.0526"</f>
        <v>60.0526</v>
      </c>
      <c r="C2257" s="4" t="s">
        <v>19061</v>
      </c>
      <c r="D2257" s="4" t="s">
        <v>18239</v>
      </c>
      <c r="E2257" s="4" t="s">
        <v>20914</v>
      </c>
      <c r="F2257" s="4" t="s">
        <v>20915</v>
      </c>
      <c r="H2257" s="4" t="s">
        <v>20895</v>
      </c>
    </row>
    <row r="2258" spans="1:8" x14ac:dyDescent="0.2">
      <c r="A2258" s="4" t="str">
        <f t="shared" si="58"/>
        <v>60</v>
      </c>
      <c r="B2258" s="4" t="str">
        <f>"60.0527"</f>
        <v>60.0527</v>
      </c>
      <c r="C2258" s="4" t="s">
        <v>19061</v>
      </c>
      <c r="D2258" s="4" t="s">
        <v>18239</v>
      </c>
      <c r="E2258" s="4" t="s">
        <v>20916</v>
      </c>
      <c r="F2258" s="4" t="s">
        <v>20917</v>
      </c>
      <c r="H2258" s="4" t="s">
        <v>20895</v>
      </c>
    </row>
    <row r="2259" spans="1:8" x14ac:dyDescent="0.2">
      <c r="A2259" s="4" t="str">
        <f t="shared" si="58"/>
        <v>60</v>
      </c>
      <c r="B2259" s="4" t="str">
        <f>"60.0528"</f>
        <v>60.0528</v>
      </c>
      <c r="C2259" s="4" t="s">
        <v>18258</v>
      </c>
      <c r="D2259" s="4" t="s">
        <v>18239</v>
      </c>
      <c r="E2259" s="4" t="s">
        <v>20918</v>
      </c>
      <c r="F2259" s="4" t="s">
        <v>20919</v>
      </c>
      <c r="H2259" s="4" t="s">
        <v>20895</v>
      </c>
    </row>
    <row r="2260" spans="1:8" x14ac:dyDescent="0.2">
      <c r="A2260" s="4" t="str">
        <f t="shared" si="58"/>
        <v>60</v>
      </c>
      <c r="B2260" s="4" t="str">
        <f>"60.0529"</f>
        <v>60.0529</v>
      </c>
      <c r="C2260" s="4" t="s">
        <v>19061</v>
      </c>
      <c r="D2260" s="4" t="s">
        <v>18239</v>
      </c>
      <c r="E2260" s="4" t="s">
        <v>20920</v>
      </c>
      <c r="F2260" s="4" t="s">
        <v>20921</v>
      </c>
      <c r="H2260" s="4" t="s">
        <v>20895</v>
      </c>
    </row>
    <row r="2261" spans="1:8" x14ac:dyDescent="0.2">
      <c r="A2261" s="4" t="str">
        <f t="shared" si="58"/>
        <v>60</v>
      </c>
      <c r="B2261" s="4" t="str">
        <f>"60.0530"</f>
        <v>60.0530</v>
      </c>
      <c r="C2261" s="4" t="s">
        <v>18258</v>
      </c>
      <c r="D2261" s="4" t="s">
        <v>18239</v>
      </c>
      <c r="E2261" s="4" t="s">
        <v>20922</v>
      </c>
      <c r="F2261" s="4" t="s">
        <v>20923</v>
      </c>
      <c r="H2261" s="4" t="s">
        <v>20895</v>
      </c>
    </row>
    <row r="2262" spans="1:8" x14ac:dyDescent="0.2">
      <c r="A2262" s="4" t="str">
        <f t="shared" si="58"/>
        <v>60</v>
      </c>
      <c r="B2262" s="4" t="str">
        <f>"60.0531"</f>
        <v>60.0531</v>
      </c>
      <c r="C2262" s="4" t="s">
        <v>18258</v>
      </c>
      <c r="D2262" s="4" t="s">
        <v>18239</v>
      </c>
      <c r="E2262" s="4" t="s">
        <v>20924</v>
      </c>
      <c r="F2262" s="4" t="s">
        <v>20925</v>
      </c>
      <c r="H2262" s="4" t="s">
        <v>20895</v>
      </c>
    </row>
    <row r="2263" spans="1:8" x14ac:dyDescent="0.2">
      <c r="A2263" s="4" t="str">
        <f t="shared" si="58"/>
        <v>60</v>
      </c>
      <c r="B2263" s="4" t="str">
        <f>"60.0532"</f>
        <v>60.0532</v>
      </c>
      <c r="C2263" s="4" t="s">
        <v>18258</v>
      </c>
      <c r="D2263" s="4" t="s">
        <v>18239</v>
      </c>
      <c r="E2263" s="4" t="s">
        <v>20926</v>
      </c>
      <c r="F2263" s="4" t="s">
        <v>20927</v>
      </c>
      <c r="H2263" s="4" t="s">
        <v>20895</v>
      </c>
    </row>
    <row r="2264" spans="1:8" x14ac:dyDescent="0.2">
      <c r="A2264" s="4" t="str">
        <f t="shared" si="58"/>
        <v>60</v>
      </c>
      <c r="B2264" s="4" t="str">
        <f>"60.0533"</f>
        <v>60.0533</v>
      </c>
      <c r="C2264" s="4" t="s">
        <v>18258</v>
      </c>
      <c r="D2264" s="4" t="s">
        <v>18239</v>
      </c>
      <c r="E2264" s="4" t="s">
        <v>20928</v>
      </c>
      <c r="F2264" s="4" t="s">
        <v>20929</v>
      </c>
      <c r="H2264" s="4" t="s">
        <v>20895</v>
      </c>
    </row>
    <row r="2265" spans="1:8" x14ac:dyDescent="0.2">
      <c r="A2265" s="4" t="str">
        <f t="shared" si="58"/>
        <v>60</v>
      </c>
      <c r="B2265" s="4" t="str">
        <f>"60.0534"</f>
        <v>60.0534</v>
      </c>
      <c r="C2265" s="4" t="s">
        <v>19061</v>
      </c>
      <c r="D2265" s="4" t="s">
        <v>18307</v>
      </c>
      <c r="E2265" s="4" t="s">
        <v>20930</v>
      </c>
      <c r="F2265" s="4" t="s">
        <v>20931</v>
      </c>
      <c r="H2265" s="4" t="s">
        <v>20895</v>
      </c>
    </row>
    <row r="2266" spans="1:8" x14ac:dyDescent="0.2">
      <c r="A2266" s="4" t="str">
        <f t="shared" si="58"/>
        <v>60</v>
      </c>
      <c r="B2266" s="4" t="str">
        <f>"60.0535"</f>
        <v>60.0535</v>
      </c>
      <c r="C2266" s="4" t="s">
        <v>18258</v>
      </c>
      <c r="D2266" s="4" t="s">
        <v>18239</v>
      </c>
      <c r="E2266" s="4" t="s">
        <v>20932</v>
      </c>
      <c r="F2266" s="4" t="s">
        <v>20933</v>
      </c>
      <c r="H2266" s="4" t="s">
        <v>20895</v>
      </c>
    </row>
    <row r="2267" spans="1:8" x14ac:dyDescent="0.2">
      <c r="A2267" s="4" t="str">
        <f t="shared" si="58"/>
        <v>60</v>
      </c>
      <c r="B2267" s="4" t="str">
        <f>"60.0536"</f>
        <v>60.0536</v>
      </c>
      <c r="C2267" s="4" t="s">
        <v>18258</v>
      </c>
      <c r="D2267" s="4" t="s">
        <v>18239</v>
      </c>
      <c r="E2267" s="4" t="s">
        <v>20934</v>
      </c>
      <c r="F2267" s="4" t="s">
        <v>20935</v>
      </c>
      <c r="H2267" s="4" t="s">
        <v>20895</v>
      </c>
    </row>
    <row r="2268" spans="1:8" x14ac:dyDescent="0.2">
      <c r="A2268" s="4" t="str">
        <f t="shared" si="58"/>
        <v>60</v>
      </c>
      <c r="B2268" s="4" t="str">
        <f>"60.0537"</f>
        <v>60.0537</v>
      </c>
      <c r="C2268" s="4" t="s">
        <v>19061</v>
      </c>
      <c r="D2268" s="4" t="s">
        <v>18239</v>
      </c>
      <c r="E2268" s="4" t="s">
        <v>20936</v>
      </c>
      <c r="F2268" s="4" t="s">
        <v>20937</v>
      </c>
      <c r="H2268" s="4" t="s">
        <v>20895</v>
      </c>
    </row>
    <row r="2269" spans="1:8" x14ac:dyDescent="0.2">
      <c r="A2269" s="4" t="str">
        <f t="shared" si="58"/>
        <v>60</v>
      </c>
      <c r="B2269" s="4" t="str">
        <f>"60.0538"</f>
        <v>60.0538</v>
      </c>
      <c r="C2269" s="4" t="s">
        <v>19061</v>
      </c>
      <c r="D2269" s="4" t="s">
        <v>18307</v>
      </c>
      <c r="E2269" s="4" t="s">
        <v>20938</v>
      </c>
      <c r="F2269" s="4" t="s">
        <v>20939</v>
      </c>
      <c r="H2269" s="4" t="s">
        <v>20895</v>
      </c>
    </row>
    <row r="2270" spans="1:8" x14ac:dyDescent="0.2">
      <c r="A2270" s="4" t="str">
        <f t="shared" si="58"/>
        <v>60</v>
      </c>
      <c r="B2270" s="4" t="str">
        <f>"60.0539"</f>
        <v>60.0539</v>
      </c>
      <c r="C2270" s="4" t="s">
        <v>19061</v>
      </c>
      <c r="D2270" s="4" t="s">
        <v>18239</v>
      </c>
      <c r="E2270" s="4" t="s">
        <v>20940</v>
      </c>
      <c r="F2270" s="4" t="s">
        <v>20941</v>
      </c>
      <c r="H2270" s="4" t="s">
        <v>20895</v>
      </c>
    </row>
    <row r="2271" spans="1:8" x14ac:dyDescent="0.2">
      <c r="A2271" s="4" t="str">
        <f t="shared" si="58"/>
        <v>60</v>
      </c>
      <c r="B2271" s="4" t="str">
        <f>"60.0540"</f>
        <v>60.0540</v>
      </c>
      <c r="C2271" s="4" t="s">
        <v>18258</v>
      </c>
      <c r="D2271" s="4" t="s">
        <v>18239</v>
      </c>
      <c r="E2271" s="4" t="s">
        <v>20942</v>
      </c>
      <c r="F2271" s="4" t="s">
        <v>20943</v>
      </c>
      <c r="H2271" s="4" t="s">
        <v>20895</v>
      </c>
    </row>
    <row r="2272" spans="1:8" x14ac:dyDescent="0.2">
      <c r="A2272" s="4" t="str">
        <f t="shared" si="58"/>
        <v>60</v>
      </c>
      <c r="B2272" s="4" t="str">
        <f>"60.0541"</f>
        <v>60.0541</v>
      </c>
      <c r="C2272" s="4" t="s">
        <v>18258</v>
      </c>
      <c r="D2272" s="4" t="s">
        <v>18239</v>
      </c>
      <c r="E2272" s="4" t="s">
        <v>20944</v>
      </c>
      <c r="F2272" s="4" t="s">
        <v>20945</v>
      </c>
      <c r="H2272" s="4" t="s">
        <v>20895</v>
      </c>
    </row>
    <row r="2273" spans="1:8" x14ac:dyDescent="0.2">
      <c r="A2273" s="4" t="str">
        <f t="shared" si="58"/>
        <v>60</v>
      </c>
      <c r="B2273" s="4" t="str">
        <f>"60.0542"</f>
        <v>60.0542</v>
      </c>
      <c r="C2273" s="4" t="s">
        <v>19061</v>
      </c>
      <c r="D2273" s="4" t="s">
        <v>18239</v>
      </c>
      <c r="E2273" s="4" t="s">
        <v>20946</v>
      </c>
      <c r="F2273" s="4" t="s">
        <v>20947</v>
      </c>
      <c r="H2273" s="4" t="s">
        <v>20895</v>
      </c>
    </row>
    <row r="2274" spans="1:8" x14ac:dyDescent="0.2">
      <c r="A2274" s="4" t="str">
        <f t="shared" si="58"/>
        <v>60</v>
      </c>
      <c r="B2274" s="4" t="str">
        <f>"60.0543"</f>
        <v>60.0543</v>
      </c>
      <c r="C2274" s="4" t="s">
        <v>18258</v>
      </c>
      <c r="D2274" s="4" t="s">
        <v>18239</v>
      </c>
      <c r="E2274" s="4" t="s">
        <v>20948</v>
      </c>
      <c r="F2274" s="4" t="s">
        <v>20949</v>
      </c>
      <c r="H2274" s="4" t="s">
        <v>20895</v>
      </c>
    </row>
    <row r="2275" spans="1:8" x14ac:dyDescent="0.2">
      <c r="A2275" s="4" t="str">
        <f t="shared" si="58"/>
        <v>60</v>
      </c>
      <c r="B2275" s="4" t="str">
        <f>"60.0544"</f>
        <v>60.0544</v>
      </c>
      <c r="C2275" s="4" t="s">
        <v>18258</v>
      </c>
      <c r="D2275" s="4" t="s">
        <v>18239</v>
      </c>
      <c r="E2275" s="4" t="s">
        <v>20950</v>
      </c>
      <c r="F2275" s="4" t="s">
        <v>20951</v>
      </c>
      <c r="H2275" s="4" t="s">
        <v>20895</v>
      </c>
    </row>
    <row r="2276" spans="1:8" x14ac:dyDescent="0.2">
      <c r="A2276" s="4" t="str">
        <f t="shared" si="58"/>
        <v>60</v>
      </c>
      <c r="B2276" s="4" t="str">
        <f>"60.0545"</f>
        <v>60.0545</v>
      </c>
      <c r="C2276" s="4" t="s">
        <v>19061</v>
      </c>
      <c r="D2276" s="4" t="s">
        <v>18239</v>
      </c>
      <c r="E2276" s="4" t="s">
        <v>20952</v>
      </c>
      <c r="F2276" s="4" t="s">
        <v>20953</v>
      </c>
      <c r="H2276" s="4" t="s">
        <v>20895</v>
      </c>
    </row>
    <row r="2277" spans="1:8" x14ac:dyDescent="0.2">
      <c r="A2277" s="4" t="str">
        <f t="shared" si="58"/>
        <v>60</v>
      </c>
      <c r="B2277" s="4" t="str">
        <f>"60.0546"</f>
        <v>60.0546</v>
      </c>
      <c r="C2277" s="4" t="s">
        <v>18258</v>
      </c>
      <c r="D2277" s="4" t="s">
        <v>18239</v>
      </c>
      <c r="E2277" s="4" t="s">
        <v>20954</v>
      </c>
      <c r="F2277" s="4" t="s">
        <v>20955</v>
      </c>
      <c r="H2277" s="4" t="s">
        <v>20956</v>
      </c>
    </row>
    <row r="2278" spans="1:8" x14ac:dyDescent="0.2">
      <c r="A2278" s="4" t="str">
        <f t="shared" si="58"/>
        <v>60</v>
      </c>
      <c r="B2278" s="4" t="str">
        <f>"60.0547"</f>
        <v>60.0547</v>
      </c>
      <c r="C2278" s="4" t="s">
        <v>19061</v>
      </c>
      <c r="D2278" s="4" t="s">
        <v>18239</v>
      </c>
      <c r="E2278" s="4" t="s">
        <v>20957</v>
      </c>
      <c r="F2278" s="4" t="s">
        <v>20958</v>
      </c>
      <c r="H2278" s="4" t="s">
        <v>20956</v>
      </c>
    </row>
    <row r="2279" spans="1:8" x14ac:dyDescent="0.2">
      <c r="A2279" s="4" t="str">
        <f t="shared" si="58"/>
        <v>60</v>
      </c>
      <c r="B2279" s="4" t="str">
        <f>"60.0548"</f>
        <v>60.0548</v>
      </c>
      <c r="C2279" s="4" t="s">
        <v>18258</v>
      </c>
      <c r="D2279" s="4" t="s">
        <v>18239</v>
      </c>
      <c r="E2279" s="4" t="s">
        <v>20959</v>
      </c>
      <c r="F2279" s="4" t="s">
        <v>20960</v>
      </c>
      <c r="H2279" s="4" t="s">
        <v>20956</v>
      </c>
    </row>
    <row r="2280" spans="1:8" x14ac:dyDescent="0.2">
      <c r="A2280" s="4" t="str">
        <f t="shared" si="58"/>
        <v>60</v>
      </c>
      <c r="B2280" s="4" t="str">
        <f>"60.0549"</f>
        <v>60.0549</v>
      </c>
      <c r="C2280" s="4" t="s">
        <v>19061</v>
      </c>
      <c r="D2280" s="4" t="s">
        <v>18239</v>
      </c>
      <c r="E2280" s="4" t="s">
        <v>20961</v>
      </c>
      <c r="F2280" s="4" t="s">
        <v>20962</v>
      </c>
      <c r="H2280" s="4" t="s">
        <v>20956</v>
      </c>
    </row>
    <row r="2281" spans="1:8" x14ac:dyDescent="0.2">
      <c r="A2281" s="4" t="str">
        <f t="shared" ref="A2281:A2319" si="59">"60"</f>
        <v>60</v>
      </c>
      <c r="B2281" s="4" t="str">
        <f>"60.0550"</f>
        <v>60.0550</v>
      </c>
      <c r="C2281" s="4" t="s">
        <v>18258</v>
      </c>
      <c r="D2281" s="4" t="s">
        <v>18239</v>
      </c>
      <c r="E2281" s="4" t="s">
        <v>20963</v>
      </c>
      <c r="F2281" s="4" t="s">
        <v>20964</v>
      </c>
      <c r="H2281" s="4" t="s">
        <v>20956</v>
      </c>
    </row>
    <row r="2282" spans="1:8" x14ac:dyDescent="0.2">
      <c r="A2282" s="4" t="str">
        <f t="shared" si="59"/>
        <v>60</v>
      </c>
      <c r="B2282" s="4" t="str">
        <f>"60.0551"</f>
        <v>60.0551</v>
      </c>
      <c r="C2282" s="4" t="s">
        <v>18258</v>
      </c>
      <c r="D2282" s="4" t="s">
        <v>18239</v>
      </c>
      <c r="E2282" s="4" t="s">
        <v>20965</v>
      </c>
      <c r="F2282" s="4" t="s">
        <v>20966</v>
      </c>
      <c r="H2282" s="4" t="s">
        <v>20956</v>
      </c>
    </row>
    <row r="2283" spans="1:8" x14ac:dyDescent="0.2">
      <c r="A2283" s="4" t="str">
        <f t="shared" si="59"/>
        <v>60</v>
      </c>
      <c r="B2283" s="4" t="str">
        <f>"60.0552"</f>
        <v>60.0552</v>
      </c>
      <c r="C2283" s="4" t="s">
        <v>18258</v>
      </c>
      <c r="D2283" s="4" t="s">
        <v>18239</v>
      </c>
      <c r="E2283" s="4" t="s">
        <v>20967</v>
      </c>
      <c r="F2283" s="4" t="s">
        <v>20968</v>
      </c>
      <c r="H2283" s="4" t="s">
        <v>20956</v>
      </c>
    </row>
    <row r="2284" spans="1:8" x14ac:dyDescent="0.2">
      <c r="A2284" s="4" t="str">
        <f t="shared" si="59"/>
        <v>60</v>
      </c>
      <c r="B2284" s="4" t="str">
        <f>"60.0553"</f>
        <v>60.0553</v>
      </c>
      <c r="C2284" s="4" t="s">
        <v>19061</v>
      </c>
      <c r="D2284" s="4" t="s">
        <v>18239</v>
      </c>
      <c r="E2284" s="4" t="s">
        <v>20969</v>
      </c>
      <c r="F2284" s="4" t="s">
        <v>20970</v>
      </c>
      <c r="H2284" s="4" t="s">
        <v>20956</v>
      </c>
    </row>
    <row r="2285" spans="1:8" x14ac:dyDescent="0.2">
      <c r="A2285" s="4" t="str">
        <f t="shared" si="59"/>
        <v>60</v>
      </c>
      <c r="B2285" s="4" t="str">
        <f>"60.0554"</f>
        <v>60.0554</v>
      </c>
      <c r="C2285" s="4" t="s">
        <v>18258</v>
      </c>
      <c r="D2285" s="4" t="s">
        <v>18239</v>
      </c>
      <c r="E2285" s="4" t="s">
        <v>20971</v>
      </c>
      <c r="F2285" s="4" t="s">
        <v>20972</v>
      </c>
      <c r="H2285" s="4" t="s">
        <v>20956</v>
      </c>
    </row>
    <row r="2286" spans="1:8" x14ac:dyDescent="0.2">
      <c r="A2286" s="4" t="str">
        <f t="shared" si="59"/>
        <v>60</v>
      </c>
      <c r="B2286" s="4" t="str">
        <f>"60.0555"</f>
        <v>60.0555</v>
      </c>
      <c r="C2286" s="4" t="s">
        <v>19061</v>
      </c>
      <c r="D2286" s="4" t="s">
        <v>18307</v>
      </c>
      <c r="E2286" s="4" t="s">
        <v>20973</v>
      </c>
      <c r="F2286" s="4" t="s">
        <v>20974</v>
      </c>
      <c r="H2286" s="4" t="s">
        <v>20975</v>
      </c>
    </row>
    <row r="2287" spans="1:8" x14ac:dyDescent="0.2">
      <c r="A2287" s="4" t="str">
        <f t="shared" si="59"/>
        <v>60</v>
      </c>
      <c r="B2287" s="4" t="str">
        <f>"60.0556"</f>
        <v>60.0556</v>
      </c>
      <c r="C2287" s="4" t="s">
        <v>18258</v>
      </c>
      <c r="D2287" s="4" t="s">
        <v>18239</v>
      </c>
      <c r="E2287" s="4" t="s">
        <v>20976</v>
      </c>
      <c r="F2287" s="4" t="s">
        <v>20977</v>
      </c>
      <c r="H2287" s="4" t="s">
        <v>20975</v>
      </c>
    </row>
    <row r="2288" spans="1:8" x14ac:dyDescent="0.2">
      <c r="A2288" s="4" t="str">
        <f t="shared" si="59"/>
        <v>60</v>
      </c>
      <c r="B2288" s="4" t="str">
        <f>"60.0557"</f>
        <v>60.0557</v>
      </c>
      <c r="C2288" s="4" t="s">
        <v>19061</v>
      </c>
      <c r="D2288" s="4" t="s">
        <v>18239</v>
      </c>
      <c r="E2288" s="4" t="s">
        <v>20978</v>
      </c>
      <c r="F2288" s="4" t="s">
        <v>20979</v>
      </c>
      <c r="H2288" s="4" t="s">
        <v>20975</v>
      </c>
    </row>
    <row r="2289" spans="1:8" x14ac:dyDescent="0.2">
      <c r="A2289" s="4" t="str">
        <f t="shared" si="59"/>
        <v>60</v>
      </c>
      <c r="B2289" s="4" t="str">
        <f>"60.0558"</f>
        <v>60.0558</v>
      </c>
      <c r="C2289" s="4" t="s">
        <v>19061</v>
      </c>
      <c r="D2289" s="4" t="s">
        <v>18239</v>
      </c>
      <c r="E2289" s="4" t="s">
        <v>20980</v>
      </c>
      <c r="F2289" s="4" t="s">
        <v>20981</v>
      </c>
      <c r="H2289" s="4" t="s">
        <v>20975</v>
      </c>
    </row>
    <row r="2290" spans="1:8" x14ac:dyDescent="0.2">
      <c r="A2290" s="4" t="str">
        <f t="shared" si="59"/>
        <v>60</v>
      </c>
      <c r="B2290" s="4" t="str">
        <f>"60.0559"</f>
        <v>60.0559</v>
      </c>
      <c r="C2290" s="4" t="s">
        <v>18258</v>
      </c>
      <c r="D2290" s="4" t="s">
        <v>18239</v>
      </c>
      <c r="E2290" s="4" t="s">
        <v>20982</v>
      </c>
      <c r="F2290" s="4" t="s">
        <v>20983</v>
      </c>
      <c r="H2290" s="4" t="s">
        <v>20975</v>
      </c>
    </row>
    <row r="2291" spans="1:8" x14ac:dyDescent="0.2">
      <c r="A2291" s="4" t="str">
        <f t="shared" si="59"/>
        <v>60</v>
      </c>
      <c r="B2291" s="4" t="str">
        <f>"60.0560"</f>
        <v>60.0560</v>
      </c>
      <c r="C2291" s="4" t="s">
        <v>18258</v>
      </c>
      <c r="D2291" s="4" t="s">
        <v>18239</v>
      </c>
      <c r="E2291" s="4" t="s">
        <v>20984</v>
      </c>
      <c r="F2291" s="4" t="s">
        <v>20985</v>
      </c>
      <c r="H2291" s="4" t="s">
        <v>20975</v>
      </c>
    </row>
    <row r="2292" spans="1:8" x14ac:dyDescent="0.2">
      <c r="A2292" s="4" t="str">
        <f t="shared" si="59"/>
        <v>60</v>
      </c>
      <c r="B2292" s="4" t="str">
        <f>"60.0561"</f>
        <v>60.0561</v>
      </c>
      <c r="C2292" s="4" t="s">
        <v>18258</v>
      </c>
      <c r="D2292" s="4" t="s">
        <v>18239</v>
      </c>
      <c r="E2292" s="4" t="s">
        <v>20986</v>
      </c>
      <c r="F2292" s="4" t="s">
        <v>20987</v>
      </c>
      <c r="H2292" s="4" t="s">
        <v>20975</v>
      </c>
    </row>
    <row r="2293" spans="1:8" x14ac:dyDescent="0.2">
      <c r="A2293" s="4" t="str">
        <f t="shared" si="59"/>
        <v>60</v>
      </c>
      <c r="B2293" s="4" t="str">
        <f>"60.0562"</f>
        <v>60.0562</v>
      </c>
      <c r="C2293" s="4" t="s">
        <v>18258</v>
      </c>
      <c r="D2293" s="4" t="s">
        <v>18239</v>
      </c>
      <c r="E2293" s="4" t="s">
        <v>20988</v>
      </c>
      <c r="F2293" s="4" t="s">
        <v>20989</v>
      </c>
      <c r="H2293" s="4" t="s">
        <v>20975</v>
      </c>
    </row>
    <row r="2294" spans="1:8" x14ac:dyDescent="0.2">
      <c r="A2294" s="4" t="str">
        <f t="shared" si="59"/>
        <v>60</v>
      </c>
      <c r="B2294" s="4" t="str">
        <f>"60.0563"</f>
        <v>60.0563</v>
      </c>
      <c r="C2294" s="4" t="s">
        <v>18258</v>
      </c>
      <c r="D2294" s="4" t="s">
        <v>18239</v>
      </c>
      <c r="E2294" s="4" t="s">
        <v>20990</v>
      </c>
      <c r="F2294" s="4" t="s">
        <v>20991</v>
      </c>
      <c r="H2294" s="4" t="s">
        <v>20975</v>
      </c>
    </row>
    <row r="2295" spans="1:8" x14ac:dyDescent="0.2">
      <c r="A2295" s="4" t="str">
        <f t="shared" si="59"/>
        <v>60</v>
      </c>
      <c r="B2295" s="4" t="str">
        <f>"60.0564"</f>
        <v>60.0564</v>
      </c>
      <c r="C2295" s="4" t="s">
        <v>18258</v>
      </c>
      <c r="D2295" s="4" t="s">
        <v>18239</v>
      </c>
      <c r="E2295" s="4" t="s">
        <v>20992</v>
      </c>
      <c r="F2295" s="4" t="s">
        <v>20993</v>
      </c>
      <c r="H2295" s="4" t="s">
        <v>20975</v>
      </c>
    </row>
    <row r="2296" spans="1:8" x14ac:dyDescent="0.2">
      <c r="A2296" s="4" t="str">
        <f t="shared" si="59"/>
        <v>60</v>
      </c>
      <c r="B2296" s="4" t="str">
        <f>"60.0565"</f>
        <v>60.0565</v>
      </c>
      <c r="C2296" s="4" t="s">
        <v>19061</v>
      </c>
      <c r="D2296" s="4" t="s">
        <v>18239</v>
      </c>
      <c r="E2296" s="4" t="s">
        <v>20994</v>
      </c>
      <c r="F2296" s="4" t="s">
        <v>20995</v>
      </c>
      <c r="H2296" s="4" t="s">
        <v>20975</v>
      </c>
    </row>
    <row r="2297" spans="1:8" x14ac:dyDescent="0.2">
      <c r="A2297" s="4" t="str">
        <f t="shared" si="59"/>
        <v>60</v>
      </c>
      <c r="B2297" s="4" t="str">
        <f>"60.0566"</f>
        <v>60.0566</v>
      </c>
      <c r="C2297" s="4" t="s">
        <v>18258</v>
      </c>
      <c r="D2297" s="4" t="s">
        <v>18239</v>
      </c>
      <c r="E2297" s="4" t="s">
        <v>20996</v>
      </c>
      <c r="F2297" s="4" t="s">
        <v>20997</v>
      </c>
      <c r="H2297" s="4" t="s">
        <v>20975</v>
      </c>
    </row>
    <row r="2298" spans="1:8" x14ac:dyDescent="0.2">
      <c r="A2298" s="4" t="str">
        <f t="shared" si="59"/>
        <v>60</v>
      </c>
      <c r="B2298" s="4" t="str">
        <f>"60.0567"</f>
        <v>60.0567</v>
      </c>
      <c r="C2298" s="4" t="s">
        <v>19061</v>
      </c>
      <c r="D2298" s="4" t="s">
        <v>18307</v>
      </c>
      <c r="E2298" s="4" t="s">
        <v>20998</v>
      </c>
      <c r="F2298" s="4" t="s">
        <v>20999</v>
      </c>
      <c r="H2298" s="4" t="s">
        <v>20975</v>
      </c>
    </row>
    <row r="2299" spans="1:8" x14ac:dyDescent="0.2">
      <c r="A2299" s="4" t="str">
        <f t="shared" si="59"/>
        <v>60</v>
      </c>
      <c r="B2299" s="4" t="str">
        <f>"60.0568"</f>
        <v>60.0568</v>
      </c>
      <c r="C2299" s="4" t="s">
        <v>19061</v>
      </c>
      <c r="D2299" s="4" t="s">
        <v>18239</v>
      </c>
      <c r="E2299" s="4" t="s">
        <v>21000</v>
      </c>
      <c r="F2299" s="4" t="s">
        <v>21001</v>
      </c>
      <c r="H2299" s="4" t="s">
        <v>20975</v>
      </c>
    </row>
    <row r="2300" spans="1:8" x14ac:dyDescent="0.2">
      <c r="A2300" s="4" t="str">
        <f t="shared" si="59"/>
        <v>60</v>
      </c>
      <c r="B2300" s="4" t="str">
        <f>"60.0569"</f>
        <v>60.0569</v>
      </c>
      <c r="C2300" s="4" t="s">
        <v>18258</v>
      </c>
      <c r="D2300" s="4" t="s">
        <v>18239</v>
      </c>
      <c r="E2300" s="4" t="s">
        <v>21002</v>
      </c>
      <c r="F2300" s="4" t="s">
        <v>21003</v>
      </c>
      <c r="H2300" s="4" t="s">
        <v>20975</v>
      </c>
    </row>
    <row r="2301" spans="1:8" x14ac:dyDescent="0.2">
      <c r="A2301" s="4" t="str">
        <f t="shared" si="59"/>
        <v>60</v>
      </c>
      <c r="B2301" s="4" t="str">
        <f>"60.0570"</f>
        <v>60.0570</v>
      </c>
      <c r="C2301" s="4" t="s">
        <v>18258</v>
      </c>
      <c r="D2301" s="4" t="s">
        <v>18239</v>
      </c>
      <c r="E2301" s="4" t="s">
        <v>21004</v>
      </c>
      <c r="F2301" s="4" t="s">
        <v>21005</v>
      </c>
      <c r="H2301" s="4" t="s">
        <v>20975</v>
      </c>
    </row>
    <row r="2302" spans="1:8" x14ac:dyDescent="0.2">
      <c r="A2302" s="4" t="str">
        <f t="shared" si="59"/>
        <v>60</v>
      </c>
      <c r="B2302" s="4" t="str">
        <f>"60.0571"</f>
        <v>60.0571</v>
      </c>
      <c r="C2302" s="4" t="s">
        <v>19061</v>
      </c>
      <c r="D2302" s="4" t="s">
        <v>18239</v>
      </c>
      <c r="E2302" s="4" t="s">
        <v>21006</v>
      </c>
      <c r="F2302" s="4" t="s">
        <v>21007</v>
      </c>
      <c r="H2302" s="4" t="s">
        <v>20975</v>
      </c>
    </row>
    <row r="2303" spans="1:8" x14ac:dyDescent="0.2">
      <c r="A2303" s="4" t="str">
        <f t="shared" si="59"/>
        <v>60</v>
      </c>
      <c r="B2303" s="4" t="str">
        <f>"60.0572"</f>
        <v>60.0572</v>
      </c>
      <c r="C2303" s="4" t="s">
        <v>19061</v>
      </c>
      <c r="D2303" s="4" t="s">
        <v>18239</v>
      </c>
      <c r="E2303" s="4" t="s">
        <v>21008</v>
      </c>
      <c r="F2303" s="4" t="s">
        <v>21009</v>
      </c>
      <c r="H2303" s="4" t="s">
        <v>20975</v>
      </c>
    </row>
    <row r="2304" spans="1:8" x14ac:dyDescent="0.2">
      <c r="A2304" s="4" t="str">
        <f t="shared" si="59"/>
        <v>60</v>
      </c>
      <c r="B2304" s="4" t="str">
        <f>"60.0573"</f>
        <v>60.0573</v>
      </c>
      <c r="C2304" s="4" t="s">
        <v>18258</v>
      </c>
      <c r="D2304" s="4" t="s">
        <v>18239</v>
      </c>
      <c r="E2304" s="4" t="s">
        <v>21010</v>
      </c>
      <c r="F2304" s="4" t="s">
        <v>21011</v>
      </c>
      <c r="H2304" s="4" t="s">
        <v>20975</v>
      </c>
    </row>
    <row r="2305" spans="1:8" x14ac:dyDescent="0.2">
      <c r="A2305" s="4" t="str">
        <f t="shared" si="59"/>
        <v>60</v>
      </c>
      <c r="B2305" s="4" t="str">
        <f>"60.0574"</f>
        <v>60.0574</v>
      </c>
      <c r="C2305" s="4" t="s">
        <v>19061</v>
      </c>
      <c r="D2305" s="4" t="s">
        <v>18239</v>
      </c>
      <c r="E2305" s="4" t="s">
        <v>21012</v>
      </c>
      <c r="F2305" s="4" t="s">
        <v>21013</v>
      </c>
      <c r="H2305" s="4" t="s">
        <v>20975</v>
      </c>
    </row>
    <row r="2306" spans="1:8" x14ac:dyDescent="0.2">
      <c r="A2306" s="4" t="str">
        <f t="shared" si="59"/>
        <v>60</v>
      </c>
      <c r="B2306" s="4" t="str">
        <f>"60.0575"</f>
        <v>60.0575</v>
      </c>
      <c r="C2306" s="4" t="s">
        <v>18258</v>
      </c>
      <c r="D2306" s="4" t="s">
        <v>18239</v>
      </c>
      <c r="E2306" s="4" t="s">
        <v>21014</v>
      </c>
      <c r="F2306" s="4" t="s">
        <v>21015</v>
      </c>
      <c r="H2306" s="4" t="s">
        <v>20975</v>
      </c>
    </row>
    <row r="2307" spans="1:8" x14ac:dyDescent="0.2">
      <c r="A2307" s="4" t="str">
        <f t="shared" si="59"/>
        <v>60</v>
      </c>
      <c r="B2307" s="4" t="str">
        <f>"60.0576"</f>
        <v>60.0576</v>
      </c>
      <c r="C2307" s="4" t="s">
        <v>18258</v>
      </c>
      <c r="D2307" s="4" t="s">
        <v>18239</v>
      </c>
      <c r="E2307" s="4" t="s">
        <v>21016</v>
      </c>
      <c r="F2307" s="4" t="s">
        <v>21017</v>
      </c>
      <c r="H2307" s="4" t="s">
        <v>20975</v>
      </c>
    </row>
    <row r="2308" spans="1:8" x14ac:dyDescent="0.2">
      <c r="A2308" s="4" t="str">
        <f t="shared" si="59"/>
        <v>60</v>
      </c>
      <c r="B2308" s="4" t="str">
        <f>"60.0577"</f>
        <v>60.0577</v>
      </c>
      <c r="C2308" s="4" t="s">
        <v>19061</v>
      </c>
      <c r="D2308" s="4" t="s">
        <v>18307</v>
      </c>
      <c r="E2308" s="4" t="s">
        <v>21018</v>
      </c>
      <c r="F2308" s="4" t="s">
        <v>21019</v>
      </c>
      <c r="H2308" s="4" t="s">
        <v>20975</v>
      </c>
    </row>
    <row r="2309" spans="1:8" x14ac:dyDescent="0.2">
      <c r="A2309" s="4" t="str">
        <f t="shared" si="59"/>
        <v>60</v>
      </c>
      <c r="B2309" s="4" t="str">
        <f>"60.0578"</f>
        <v>60.0578</v>
      </c>
      <c r="C2309" s="4" t="s">
        <v>19061</v>
      </c>
      <c r="D2309" s="4" t="s">
        <v>18239</v>
      </c>
      <c r="E2309" s="4" t="s">
        <v>21020</v>
      </c>
      <c r="F2309" s="4" t="s">
        <v>21021</v>
      </c>
      <c r="H2309" s="4" t="s">
        <v>21022</v>
      </c>
    </row>
    <row r="2310" spans="1:8" x14ac:dyDescent="0.2">
      <c r="A2310" s="4" t="str">
        <f t="shared" si="59"/>
        <v>60</v>
      </c>
      <c r="B2310" s="4" t="str">
        <f>"60.0579"</f>
        <v>60.0579</v>
      </c>
      <c r="C2310" s="4" t="s">
        <v>19061</v>
      </c>
      <c r="D2310" s="4" t="s">
        <v>18307</v>
      </c>
      <c r="E2310" s="4" t="s">
        <v>21023</v>
      </c>
      <c r="F2310" s="4" t="s">
        <v>21024</v>
      </c>
      <c r="H2310" s="4" t="s">
        <v>21025</v>
      </c>
    </row>
    <row r="2311" spans="1:8" x14ac:dyDescent="0.2">
      <c r="A2311" s="4" t="str">
        <f t="shared" si="59"/>
        <v>60</v>
      </c>
      <c r="B2311" s="4" t="str">
        <f>"60.0580"</f>
        <v>60.0580</v>
      </c>
      <c r="C2311" s="4" t="s">
        <v>18258</v>
      </c>
      <c r="D2311" s="4" t="s">
        <v>18239</v>
      </c>
      <c r="E2311" s="4" t="s">
        <v>21026</v>
      </c>
      <c r="F2311" s="4" t="s">
        <v>21027</v>
      </c>
      <c r="H2311" s="4" t="s">
        <v>21025</v>
      </c>
    </row>
    <row r="2312" spans="1:8" x14ac:dyDescent="0.2">
      <c r="A2312" s="4" t="str">
        <f t="shared" si="59"/>
        <v>60</v>
      </c>
      <c r="B2312" s="4" t="str">
        <f>"60.0581"</f>
        <v>60.0581</v>
      </c>
      <c r="C2312" s="4" t="s">
        <v>18258</v>
      </c>
      <c r="D2312" s="4" t="s">
        <v>18239</v>
      </c>
      <c r="E2312" s="4" t="s">
        <v>21028</v>
      </c>
      <c r="F2312" s="4" t="s">
        <v>21029</v>
      </c>
      <c r="H2312" s="4" t="s">
        <v>21025</v>
      </c>
    </row>
    <row r="2313" spans="1:8" x14ac:dyDescent="0.2">
      <c r="A2313" s="4" t="str">
        <f t="shared" si="59"/>
        <v>60</v>
      </c>
      <c r="B2313" s="4" t="str">
        <f>"60.0582"</f>
        <v>60.0582</v>
      </c>
      <c r="C2313" s="4" t="s">
        <v>18258</v>
      </c>
      <c r="D2313" s="4" t="s">
        <v>18239</v>
      </c>
      <c r="E2313" s="4" t="s">
        <v>21030</v>
      </c>
      <c r="F2313" s="4" t="s">
        <v>21031</v>
      </c>
      <c r="H2313" s="4" t="s">
        <v>21025</v>
      </c>
    </row>
    <row r="2314" spans="1:8" x14ac:dyDescent="0.2">
      <c r="A2314" s="4" t="str">
        <f t="shared" si="59"/>
        <v>60</v>
      </c>
      <c r="B2314" s="4" t="str">
        <f>"60.0583"</f>
        <v>60.0583</v>
      </c>
      <c r="C2314" s="4" t="s">
        <v>18258</v>
      </c>
      <c r="D2314" s="4" t="s">
        <v>18239</v>
      </c>
      <c r="E2314" s="4" t="s">
        <v>21032</v>
      </c>
      <c r="F2314" s="4" t="s">
        <v>21033</v>
      </c>
      <c r="H2314" s="4" t="s">
        <v>21025</v>
      </c>
    </row>
    <row r="2315" spans="1:8" x14ac:dyDescent="0.2">
      <c r="A2315" s="4" t="str">
        <f t="shared" si="59"/>
        <v>60</v>
      </c>
      <c r="B2315" s="4" t="str">
        <f>"60.0584"</f>
        <v>60.0584</v>
      </c>
      <c r="C2315" s="4" t="s">
        <v>18258</v>
      </c>
      <c r="D2315" s="4" t="s">
        <v>18239</v>
      </c>
      <c r="E2315" s="4" t="s">
        <v>21034</v>
      </c>
      <c r="F2315" s="4" t="s">
        <v>21035</v>
      </c>
      <c r="H2315" s="4" t="s">
        <v>21025</v>
      </c>
    </row>
    <row r="2316" spans="1:8" x14ac:dyDescent="0.2">
      <c r="A2316" s="4" t="str">
        <f t="shared" si="59"/>
        <v>60</v>
      </c>
      <c r="B2316" s="4" t="str">
        <f>"60.0599"</f>
        <v>60.0599</v>
      </c>
      <c r="C2316" s="4" t="s">
        <v>18258</v>
      </c>
      <c r="D2316" s="4" t="s">
        <v>18239</v>
      </c>
      <c r="E2316" s="4" t="s">
        <v>21036</v>
      </c>
      <c r="F2316" s="4" t="s">
        <v>21037</v>
      </c>
      <c r="H2316" s="4" t="s">
        <v>21025</v>
      </c>
    </row>
    <row r="2317" spans="1:8" x14ac:dyDescent="0.2">
      <c r="A2317" s="4" t="str">
        <f t="shared" si="59"/>
        <v>60</v>
      </c>
      <c r="B2317" s="4" t="str">
        <f>"60.06"</f>
        <v>60.06</v>
      </c>
      <c r="C2317" s="4" t="s">
        <v>18258</v>
      </c>
      <c r="D2317" s="4" t="s">
        <v>18239</v>
      </c>
      <c r="E2317" s="4" t="s">
        <v>21038</v>
      </c>
      <c r="F2317" s="4" t="s">
        <v>21039</v>
      </c>
      <c r="H2317" s="4" t="s">
        <v>21025</v>
      </c>
    </row>
    <row r="2318" spans="1:8" x14ac:dyDescent="0.2">
      <c r="A2318" s="4" t="str">
        <f t="shared" si="59"/>
        <v>60</v>
      </c>
      <c r="B2318" s="4" t="str">
        <f>"60.0601"</f>
        <v>60.0601</v>
      </c>
      <c r="C2318" s="4" t="s">
        <v>18258</v>
      </c>
      <c r="D2318" s="4" t="s">
        <v>18239</v>
      </c>
      <c r="E2318" s="4" t="s">
        <v>21040</v>
      </c>
      <c r="F2318" s="4" t="s">
        <v>21041</v>
      </c>
      <c r="H2318" s="4" t="s">
        <v>21025</v>
      </c>
    </row>
    <row r="2319" spans="1:8" x14ac:dyDescent="0.2">
      <c r="A2319" s="4" t="str">
        <f t="shared" si="59"/>
        <v>60</v>
      </c>
      <c r="B2319" s="4" t="str">
        <f>"60.0602"</f>
        <v>60.0602</v>
      </c>
      <c r="C2319" s="4" t="s">
        <v>18258</v>
      </c>
      <c r="D2319" s="4" t="s">
        <v>18239</v>
      </c>
      <c r="E2319" s="4" t="s">
        <v>21042</v>
      </c>
      <c r="F2319" s="4" t="s">
        <v>21043</v>
      </c>
      <c r="H2319" s="4" t="s">
        <v>21025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4"/>
  <sheetViews>
    <sheetView workbookViewId="0">
      <pane ySplit="1" topLeftCell="A2" activePane="bottomLeft" state="frozenSplit"/>
      <selection pane="bottomLeft" activeCell="B18" sqref="B18"/>
    </sheetView>
  </sheetViews>
  <sheetFormatPr baseColWidth="10" defaultRowHeight="13" x14ac:dyDescent="0.15"/>
  <cols>
    <col min="1" max="4" width="8.83203125" customWidth="1"/>
    <col min="5" max="5" width="26.83203125" customWidth="1"/>
    <col min="6" max="6" width="32" customWidth="1"/>
    <col min="7" max="256" width="8.83203125" customWidth="1"/>
  </cols>
  <sheetData>
    <row r="1" spans="1:6" s="3" customFormat="1" x14ac:dyDescent="0.15">
      <c r="A1" s="2" t="s">
        <v>17841</v>
      </c>
      <c r="B1" s="2" t="s">
        <v>17842</v>
      </c>
      <c r="C1" s="2" t="s">
        <v>12580</v>
      </c>
      <c r="D1" s="2" t="s">
        <v>12579</v>
      </c>
      <c r="E1" s="2" t="s">
        <v>17844</v>
      </c>
      <c r="F1" s="2" t="s">
        <v>6475</v>
      </c>
    </row>
    <row r="2" spans="1:6" x14ac:dyDescent="0.15">
      <c r="A2" s="1">
        <v>203</v>
      </c>
      <c r="B2" s="1" t="s">
        <v>18200</v>
      </c>
      <c r="D2" s="1" t="s">
        <v>12652</v>
      </c>
      <c r="E2" s="1" t="s">
        <v>6476</v>
      </c>
      <c r="F2" s="1" t="s">
        <v>6476</v>
      </c>
    </row>
    <row r="3" spans="1:6" x14ac:dyDescent="0.15">
      <c r="A3" s="1">
        <v>239</v>
      </c>
      <c r="B3" s="1" t="s">
        <v>17404</v>
      </c>
      <c r="D3" s="1" t="s">
        <v>11554</v>
      </c>
      <c r="E3" s="1" t="s">
        <v>6477</v>
      </c>
      <c r="F3" s="1" t="s">
        <v>6477</v>
      </c>
    </row>
    <row r="4" spans="1:6" x14ac:dyDescent="0.15">
      <c r="A4" s="1">
        <v>1</v>
      </c>
      <c r="B4" s="1" t="s">
        <v>17847</v>
      </c>
      <c r="D4" s="1" t="s">
        <v>11572</v>
      </c>
      <c r="E4" s="1" t="s">
        <v>6478</v>
      </c>
      <c r="F4" s="1" t="s">
        <v>6478</v>
      </c>
    </row>
    <row r="5" spans="1:6" x14ac:dyDescent="0.15">
      <c r="A5" s="1">
        <v>142</v>
      </c>
      <c r="B5" s="1" t="s">
        <v>17989</v>
      </c>
      <c r="C5" s="1" t="s">
        <v>11582</v>
      </c>
      <c r="D5" s="1" t="s">
        <v>6479</v>
      </c>
      <c r="E5" s="1" t="s">
        <v>6480</v>
      </c>
      <c r="F5" s="1" t="s">
        <v>6480</v>
      </c>
    </row>
    <row r="6" spans="1:6" x14ac:dyDescent="0.15">
      <c r="A6" s="1">
        <v>143</v>
      </c>
      <c r="B6" s="1" t="s">
        <v>18102</v>
      </c>
      <c r="D6" s="1" t="s">
        <v>11272</v>
      </c>
      <c r="E6" s="1" t="s">
        <v>6481</v>
      </c>
      <c r="F6" s="1" t="s">
        <v>6481</v>
      </c>
    </row>
    <row r="7" spans="1:6" x14ac:dyDescent="0.15">
      <c r="A7" s="1">
        <v>445</v>
      </c>
      <c r="B7" s="1" t="s">
        <v>17716</v>
      </c>
      <c r="D7" s="1" t="s">
        <v>11475</v>
      </c>
      <c r="E7" s="1" t="s">
        <v>6482</v>
      </c>
      <c r="F7" s="1" t="s">
        <v>6482</v>
      </c>
    </row>
    <row r="8" spans="1:6" x14ac:dyDescent="0.15">
      <c r="A8" s="1">
        <v>494</v>
      </c>
      <c r="B8" s="1" t="s">
        <v>17775</v>
      </c>
      <c r="D8" s="1" t="s">
        <v>11017</v>
      </c>
      <c r="E8" s="1" t="s">
        <v>6483</v>
      </c>
      <c r="F8" s="1" t="s">
        <v>6483</v>
      </c>
    </row>
    <row r="9" spans="1:6" x14ac:dyDescent="0.15">
      <c r="A9" s="1">
        <v>535</v>
      </c>
      <c r="B9" s="1" t="s">
        <v>17799</v>
      </c>
      <c r="D9" s="1" t="s">
        <v>11511</v>
      </c>
      <c r="E9" s="1" t="s">
        <v>7624</v>
      </c>
      <c r="F9" s="1" t="s">
        <v>7624</v>
      </c>
    </row>
    <row r="10" spans="1:6" x14ac:dyDescent="0.15">
      <c r="A10" s="1">
        <v>600</v>
      </c>
      <c r="B10" s="1" t="s">
        <v>17100</v>
      </c>
      <c r="D10" s="1" t="s">
        <v>10829</v>
      </c>
      <c r="E10" s="1" t="s">
        <v>6484</v>
      </c>
      <c r="F10" s="1" t="s">
        <v>6484</v>
      </c>
    </row>
    <row r="11" spans="1:6" x14ac:dyDescent="0.15">
      <c r="A11" s="1">
        <v>641</v>
      </c>
      <c r="B11" s="1" t="s">
        <v>16912</v>
      </c>
      <c r="D11" s="1" t="s">
        <v>10917</v>
      </c>
      <c r="E11" s="1" t="s">
        <v>6485</v>
      </c>
      <c r="F11" s="1" t="s">
        <v>6485</v>
      </c>
    </row>
    <row r="12" spans="1:6" x14ac:dyDescent="0.15">
      <c r="A12" s="1">
        <v>817</v>
      </c>
      <c r="B12" s="1" t="s">
        <v>16672</v>
      </c>
      <c r="D12" s="1" t="s">
        <v>11513</v>
      </c>
      <c r="E12" s="1" t="s">
        <v>6486</v>
      </c>
      <c r="F12" s="1" t="s">
        <v>6486</v>
      </c>
    </row>
    <row r="13" spans="1:6" x14ac:dyDescent="0.15">
      <c r="A13" s="1">
        <v>945</v>
      </c>
      <c r="B13" s="1" t="s">
        <v>16338</v>
      </c>
      <c r="D13" s="1" t="s">
        <v>11515</v>
      </c>
      <c r="E13" s="1" t="s">
        <v>6487</v>
      </c>
      <c r="F13" s="1" t="s">
        <v>6487</v>
      </c>
    </row>
    <row r="14" spans="1:6" x14ac:dyDescent="0.15">
      <c r="A14" s="1">
        <v>1033</v>
      </c>
      <c r="B14" s="1" t="s">
        <v>15962</v>
      </c>
      <c r="D14" s="1" t="s">
        <v>11560</v>
      </c>
      <c r="E14" s="1" t="s">
        <v>6488</v>
      </c>
      <c r="F14" s="1" t="s">
        <v>6488</v>
      </c>
    </row>
    <row r="15" spans="1:6" x14ac:dyDescent="0.15">
      <c r="A15" s="1">
        <v>1229</v>
      </c>
      <c r="B15" s="1" t="s">
        <v>17136</v>
      </c>
      <c r="D15" s="1" t="s">
        <v>11575</v>
      </c>
      <c r="E15" s="1" t="s">
        <v>6489</v>
      </c>
      <c r="F15" s="1" t="s">
        <v>6489</v>
      </c>
    </row>
    <row r="16" spans="1:6" x14ac:dyDescent="0.15">
      <c r="A16" s="1">
        <v>1316</v>
      </c>
      <c r="B16" s="1" t="s">
        <v>15645</v>
      </c>
      <c r="D16" s="1" t="s">
        <v>9604</v>
      </c>
      <c r="E16" s="1" t="s">
        <v>9605</v>
      </c>
      <c r="F16" s="1" t="s">
        <v>9605</v>
      </c>
    </row>
    <row r="17" spans="1:6" x14ac:dyDescent="0.15">
      <c r="A17" s="1">
        <v>1317</v>
      </c>
      <c r="B17" s="1" t="s">
        <v>15656</v>
      </c>
      <c r="D17" s="1" t="s">
        <v>9606</v>
      </c>
      <c r="E17" s="1" t="s">
        <v>7757</v>
      </c>
      <c r="F17" s="1" t="s">
        <v>7757</v>
      </c>
    </row>
    <row r="18" spans="1:6" x14ac:dyDescent="0.15">
      <c r="A18" s="1">
        <v>1347</v>
      </c>
      <c r="B18" s="1" t="s">
        <v>15685</v>
      </c>
      <c r="D18" s="1" t="s">
        <v>11481</v>
      </c>
      <c r="E18" s="1" t="s">
        <v>8365</v>
      </c>
      <c r="F18" s="1" t="s">
        <v>8365</v>
      </c>
    </row>
    <row r="19" spans="1:6" x14ac:dyDescent="0.15">
      <c r="A19" s="1">
        <v>1374</v>
      </c>
      <c r="B19" s="1" t="s">
        <v>15753</v>
      </c>
      <c r="D19" s="1" t="s">
        <v>9720</v>
      </c>
      <c r="E19" s="1" t="s">
        <v>6490</v>
      </c>
      <c r="F19" s="1" t="s">
        <v>6490</v>
      </c>
    </row>
    <row r="20" spans="1:6" x14ac:dyDescent="0.15">
      <c r="A20" s="1">
        <v>1380</v>
      </c>
      <c r="B20" s="1" t="s">
        <v>15778</v>
      </c>
      <c r="D20" s="1" t="s">
        <v>9734</v>
      </c>
      <c r="E20" s="1" t="s">
        <v>9747</v>
      </c>
      <c r="F20" s="1" t="s">
        <v>9747</v>
      </c>
    </row>
    <row r="21" spans="1:6" x14ac:dyDescent="0.15">
      <c r="A21" s="1">
        <v>1391</v>
      </c>
      <c r="B21" s="1" t="s">
        <v>15803</v>
      </c>
      <c r="D21" s="1" t="s">
        <v>11577</v>
      </c>
      <c r="E21" s="1" t="s">
        <v>6491</v>
      </c>
      <c r="F21" s="1" t="s">
        <v>6491</v>
      </c>
    </row>
    <row r="22" spans="1:6" x14ac:dyDescent="0.15">
      <c r="A22" s="1">
        <v>1524</v>
      </c>
      <c r="B22" s="1" t="s">
        <v>15199</v>
      </c>
      <c r="D22" s="1" t="s">
        <v>10667</v>
      </c>
      <c r="E22" s="1" t="s">
        <v>6492</v>
      </c>
      <c r="F22" s="1" t="s">
        <v>6492</v>
      </c>
    </row>
    <row r="23" spans="1:6" x14ac:dyDescent="0.15">
      <c r="A23" s="1">
        <v>1550</v>
      </c>
      <c r="B23" s="1" t="s">
        <v>15240</v>
      </c>
      <c r="D23" s="1" t="s">
        <v>9192</v>
      </c>
      <c r="E23" s="1" t="s">
        <v>9193</v>
      </c>
      <c r="F23" s="1" t="s">
        <v>9193</v>
      </c>
    </row>
    <row r="24" spans="1:6" x14ac:dyDescent="0.15">
      <c r="A24" s="1">
        <v>1551</v>
      </c>
      <c r="B24" s="1" t="s">
        <v>17224</v>
      </c>
      <c r="D24" s="1" t="s">
        <v>9194</v>
      </c>
      <c r="E24" s="1" t="s">
        <v>9198</v>
      </c>
      <c r="F24" s="1" t="s">
        <v>9198</v>
      </c>
    </row>
    <row r="25" spans="1:6" x14ac:dyDescent="0.15">
      <c r="A25" s="1">
        <v>1554</v>
      </c>
      <c r="B25" s="1" t="s">
        <v>17235</v>
      </c>
      <c r="D25" s="1" t="s">
        <v>9754</v>
      </c>
      <c r="E25" s="1" t="s">
        <v>6493</v>
      </c>
      <c r="F25" s="1" t="s">
        <v>6493</v>
      </c>
    </row>
    <row r="26" spans="1:6" x14ac:dyDescent="0.15">
      <c r="A26" s="1">
        <v>1614</v>
      </c>
      <c r="B26" s="1" t="s">
        <v>15282</v>
      </c>
      <c r="D26" s="1" t="s">
        <v>11275</v>
      </c>
      <c r="E26" s="1" t="s">
        <v>6494</v>
      </c>
      <c r="F26" s="1" t="s">
        <v>6494</v>
      </c>
    </row>
    <row r="27" spans="1:6" x14ac:dyDescent="0.15">
      <c r="A27" s="1">
        <v>1632</v>
      </c>
      <c r="B27" s="1" t="s">
        <v>15559</v>
      </c>
      <c r="D27" s="1" t="s">
        <v>9321</v>
      </c>
      <c r="E27" s="1" t="s">
        <v>7758</v>
      </c>
      <c r="F27" s="1" t="s">
        <v>7758</v>
      </c>
    </row>
    <row r="28" spans="1:6" x14ac:dyDescent="0.15">
      <c r="A28" s="1">
        <v>1652</v>
      </c>
      <c r="B28" s="1" t="s">
        <v>14855</v>
      </c>
      <c r="D28" s="1" t="s">
        <v>9324</v>
      </c>
      <c r="E28" s="1" t="s">
        <v>7759</v>
      </c>
      <c r="F28" s="1" t="s">
        <v>7759</v>
      </c>
    </row>
    <row r="29" spans="1:6" x14ac:dyDescent="0.15">
      <c r="A29" s="1">
        <v>1686</v>
      </c>
      <c r="B29" s="1" t="s">
        <v>14933</v>
      </c>
      <c r="D29" s="1" t="s">
        <v>10285</v>
      </c>
      <c r="E29" s="1" t="s">
        <v>9407</v>
      </c>
      <c r="F29" s="1" t="s">
        <v>9407</v>
      </c>
    </row>
    <row r="30" spans="1:6" x14ac:dyDescent="0.15">
      <c r="A30" s="1">
        <v>1751</v>
      </c>
      <c r="B30" s="1" t="s">
        <v>15092</v>
      </c>
      <c r="D30" s="1" t="s">
        <v>10691</v>
      </c>
      <c r="E30" s="1" t="s">
        <v>6495</v>
      </c>
      <c r="F30" s="1" t="s">
        <v>6495</v>
      </c>
    </row>
    <row r="31" spans="1:6" x14ac:dyDescent="0.15">
      <c r="A31" s="1">
        <v>1764</v>
      </c>
      <c r="B31" s="1" t="s">
        <v>17303</v>
      </c>
      <c r="D31" s="1" t="s">
        <v>10920</v>
      </c>
      <c r="E31" s="1" t="s">
        <v>10756</v>
      </c>
      <c r="F31" s="1" t="s">
        <v>10756</v>
      </c>
    </row>
    <row r="32" spans="1:6" x14ac:dyDescent="0.15">
      <c r="A32" s="1">
        <v>1831</v>
      </c>
      <c r="B32" s="1" t="s">
        <v>17374</v>
      </c>
      <c r="D32" s="1" t="s">
        <v>10694</v>
      </c>
      <c r="E32" s="1" t="s">
        <v>6496</v>
      </c>
      <c r="F32" s="1" t="s">
        <v>6496</v>
      </c>
    </row>
    <row r="33" spans="1:6" x14ac:dyDescent="0.15">
      <c r="A33" s="1">
        <v>1855</v>
      </c>
      <c r="B33" s="1" t="s">
        <v>14641</v>
      </c>
      <c r="D33" s="1" t="s">
        <v>8789</v>
      </c>
      <c r="E33" s="1" t="s">
        <v>6497</v>
      </c>
      <c r="F33" s="1" t="s">
        <v>6497</v>
      </c>
    </row>
    <row r="34" spans="1:6" x14ac:dyDescent="0.15">
      <c r="A34" s="1">
        <v>1875</v>
      </c>
      <c r="B34" s="1" t="s">
        <v>14681</v>
      </c>
      <c r="C34" s="1" t="s">
        <v>11582</v>
      </c>
      <c r="D34" s="1" t="s">
        <v>11561</v>
      </c>
      <c r="E34" s="1" t="s">
        <v>6498</v>
      </c>
      <c r="F34" s="1" t="s">
        <v>6498</v>
      </c>
    </row>
    <row r="35" spans="1:6" x14ac:dyDescent="0.15">
      <c r="A35" s="1">
        <v>1963</v>
      </c>
      <c r="B35" s="1" t="s">
        <v>14833</v>
      </c>
      <c r="D35" s="1" t="s">
        <v>10696</v>
      </c>
      <c r="E35" s="1" t="s">
        <v>6499</v>
      </c>
      <c r="F35" s="1" t="s">
        <v>6499</v>
      </c>
    </row>
    <row r="36" spans="1:6" x14ac:dyDescent="0.15">
      <c r="A36" s="1">
        <v>1998</v>
      </c>
      <c r="B36" s="1" t="s">
        <v>14275</v>
      </c>
      <c r="D36" s="1" t="s">
        <v>10698</v>
      </c>
      <c r="E36" s="1" t="s">
        <v>6500</v>
      </c>
      <c r="F36" s="1" t="s">
        <v>6500</v>
      </c>
    </row>
    <row r="37" spans="1:6" x14ac:dyDescent="0.15">
      <c r="A37" s="1">
        <v>2050</v>
      </c>
      <c r="B37" s="1" t="s">
        <v>14422</v>
      </c>
      <c r="D37" s="1" t="s">
        <v>10699</v>
      </c>
      <c r="E37" s="1" t="s">
        <v>6501</v>
      </c>
      <c r="F37" s="1" t="s">
        <v>6501</v>
      </c>
    </row>
    <row r="38" spans="1:6" x14ac:dyDescent="0.15">
      <c r="A38" s="1">
        <v>2089</v>
      </c>
      <c r="B38" s="1" t="s">
        <v>14556</v>
      </c>
      <c r="D38" s="1" t="s">
        <v>11618</v>
      </c>
      <c r="E38" s="1" t="s">
        <v>6502</v>
      </c>
      <c r="F38" s="1" t="s">
        <v>6502</v>
      </c>
    </row>
    <row r="39" spans="1:6" x14ac:dyDescent="0.15">
      <c r="A39" s="1">
        <v>2113</v>
      </c>
      <c r="B39" s="1" t="s">
        <v>13980</v>
      </c>
      <c r="D39" s="1" t="s">
        <v>8324</v>
      </c>
      <c r="E39" s="1" t="s">
        <v>6503</v>
      </c>
      <c r="F39" s="1" t="s">
        <v>6503</v>
      </c>
    </row>
    <row r="40" spans="1:6" x14ac:dyDescent="0.15">
      <c r="A40" s="1">
        <v>2209</v>
      </c>
      <c r="B40" s="1" t="s">
        <v>14191</v>
      </c>
      <c r="D40" s="1" t="s">
        <v>9755</v>
      </c>
      <c r="E40" s="1" t="s">
        <v>6504</v>
      </c>
      <c r="F40" s="1" t="s">
        <v>6504</v>
      </c>
    </row>
    <row r="41" spans="1:6" x14ac:dyDescent="0.15">
      <c r="A41" s="1">
        <v>2515</v>
      </c>
      <c r="B41" s="1" t="s">
        <v>12713</v>
      </c>
      <c r="D41" s="1" t="s">
        <v>10646</v>
      </c>
      <c r="E41" s="1" t="s">
        <v>6505</v>
      </c>
      <c r="F41" s="1" t="s">
        <v>6505</v>
      </c>
    </row>
    <row r="42" spans="1:6" x14ac:dyDescent="0.15">
      <c r="A42" s="1">
        <v>2638</v>
      </c>
      <c r="B42" s="1" t="s">
        <v>11830</v>
      </c>
      <c r="D42" s="1" t="s">
        <v>7308</v>
      </c>
      <c r="E42" s="1" t="s">
        <v>7309</v>
      </c>
      <c r="F42" s="1" t="s">
        <v>7309</v>
      </c>
    </row>
    <row r="43" spans="1:6" x14ac:dyDescent="0.15">
      <c r="A43" s="1">
        <v>2639</v>
      </c>
      <c r="B43" s="1" t="s">
        <v>7310</v>
      </c>
      <c r="C43" s="1" t="s">
        <v>12625</v>
      </c>
      <c r="D43" s="1" t="s">
        <v>11563</v>
      </c>
      <c r="E43" s="1" t="s">
        <v>6506</v>
      </c>
      <c r="F43" s="1" t="s">
        <v>6507</v>
      </c>
    </row>
    <row r="44" spans="1:6" x14ac:dyDescent="0.15">
      <c r="A44" s="1">
        <v>2663</v>
      </c>
      <c r="B44" s="1" t="s">
        <v>7325</v>
      </c>
      <c r="D44" s="1" t="s">
        <v>7326</v>
      </c>
      <c r="E44" s="1" t="s">
        <v>6508</v>
      </c>
      <c r="F44" s="1" t="s">
        <v>6509</v>
      </c>
    </row>
    <row r="45" spans="1:6" x14ac:dyDescent="0.15">
      <c r="A45" s="1">
        <v>2665</v>
      </c>
      <c r="B45" s="1" t="s">
        <v>7331</v>
      </c>
      <c r="C45" s="1" t="s">
        <v>11582</v>
      </c>
      <c r="D45" s="1" t="s">
        <v>7332</v>
      </c>
      <c r="E45" s="1" t="s">
        <v>7333</v>
      </c>
      <c r="F45" s="1" t="s">
        <v>7333</v>
      </c>
    </row>
    <row r="46" spans="1:6" x14ac:dyDescent="0.15">
      <c r="A46" s="1">
        <v>2775</v>
      </c>
      <c r="B46" s="1" t="s">
        <v>15645</v>
      </c>
      <c r="D46" s="1" t="s">
        <v>9604</v>
      </c>
      <c r="E46" s="1" t="s">
        <v>7161</v>
      </c>
      <c r="F46" s="1" t="s">
        <v>7161</v>
      </c>
    </row>
    <row r="47" spans="1:6" x14ac:dyDescent="0.15">
      <c r="A47" s="1">
        <v>2779</v>
      </c>
      <c r="B47" s="1" t="s">
        <v>15240</v>
      </c>
      <c r="D47" s="1" t="s">
        <v>9192</v>
      </c>
      <c r="E47" s="1" t="s">
        <v>6510</v>
      </c>
      <c r="F47" s="1" t="s">
        <v>6510</v>
      </c>
    </row>
    <row r="48" spans="1:6" x14ac:dyDescent="0.15">
      <c r="A48" s="1">
        <v>2786</v>
      </c>
      <c r="B48" s="1" t="s">
        <v>15340</v>
      </c>
      <c r="D48" s="1" t="s">
        <v>7177</v>
      </c>
      <c r="E48" s="1" t="s">
        <v>7181</v>
      </c>
      <c r="F48" s="1" t="s">
        <v>7181</v>
      </c>
    </row>
    <row r="49" spans="1:6" x14ac:dyDescent="0.15">
      <c r="A49" s="1">
        <v>2795</v>
      </c>
      <c r="B49" s="1" t="s">
        <v>15372</v>
      </c>
      <c r="D49" s="1" t="s">
        <v>7198</v>
      </c>
      <c r="E49" s="1" t="s">
        <v>7202</v>
      </c>
      <c r="F49" s="1" t="s">
        <v>7202</v>
      </c>
    </row>
    <row r="50" spans="1:6" x14ac:dyDescent="0.15">
      <c r="A50" s="1">
        <v>2803</v>
      </c>
      <c r="B50" s="1" t="s">
        <v>15399</v>
      </c>
      <c r="D50" s="1" t="s">
        <v>7217</v>
      </c>
      <c r="E50" s="1" t="s">
        <v>6511</v>
      </c>
      <c r="F50" s="1" t="s">
        <v>6511</v>
      </c>
    </row>
    <row r="51" spans="1:6" x14ac:dyDescent="0.15">
      <c r="A51" s="1">
        <v>2809</v>
      </c>
      <c r="B51" s="1" t="s">
        <v>15424</v>
      </c>
      <c r="D51" s="1" t="s">
        <v>7231</v>
      </c>
      <c r="E51" s="1" t="s">
        <v>7235</v>
      </c>
      <c r="F51" s="1" t="s">
        <v>7235</v>
      </c>
    </row>
    <row r="52" spans="1:6" x14ac:dyDescent="0.15">
      <c r="A52" s="1">
        <v>2815</v>
      </c>
      <c r="B52" s="1" t="s">
        <v>15449</v>
      </c>
      <c r="D52" s="1" t="s">
        <v>7245</v>
      </c>
      <c r="E52" s="1" t="s">
        <v>7249</v>
      </c>
      <c r="F52" s="1" t="s">
        <v>7249</v>
      </c>
    </row>
    <row r="53" spans="1:6" x14ac:dyDescent="0.15">
      <c r="A53" s="1">
        <v>2836</v>
      </c>
      <c r="B53" s="1" t="s">
        <v>15530</v>
      </c>
      <c r="D53" s="1" t="s">
        <v>6430</v>
      </c>
      <c r="E53" s="1" t="s">
        <v>6434</v>
      </c>
      <c r="F53" s="1" t="s">
        <v>6434</v>
      </c>
    </row>
    <row r="54" spans="1:6" x14ac:dyDescent="0.15">
      <c r="A54" s="1">
        <v>2843</v>
      </c>
      <c r="B54" s="1" t="s">
        <v>11830</v>
      </c>
      <c r="D54" s="1" t="s">
        <v>7308</v>
      </c>
      <c r="E54" s="1" t="s">
        <v>6512</v>
      </c>
      <c r="F54" s="1" t="s">
        <v>6512</v>
      </c>
    </row>
  </sheetData>
  <phoneticPr fontId="0" type="noConversion"/>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35"/>
  <sheetViews>
    <sheetView workbookViewId="0">
      <pane ySplit="1" topLeftCell="A2" activePane="bottomLeft" state="frozenSplit"/>
      <selection pane="bottomLeft" sqref="A1:A65536"/>
    </sheetView>
  </sheetViews>
  <sheetFormatPr baseColWidth="10" defaultRowHeight="13" x14ac:dyDescent="0.15"/>
  <cols>
    <col min="1" max="1" width="8.83203125" customWidth="1"/>
    <col min="2" max="2" width="35.83203125" customWidth="1"/>
    <col min="3" max="256" width="8.83203125" customWidth="1"/>
  </cols>
  <sheetData>
    <row r="1" spans="1:4" s="3" customFormat="1" x14ac:dyDescent="0.15">
      <c r="A1" s="2" t="s">
        <v>11886</v>
      </c>
      <c r="B1" s="2" t="s">
        <v>6513</v>
      </c>
      <c r="C1" s="2" t="s">
        <v>17843</v>
      </c>
      <c r="D1" s="2" t="s">
        <v>6514</v>
      </c>
    </row>
    <row r="2" spans="1:4" x14ac:dyDescent="0.15">
      <c r="A2" s="1" t="s">
        <v>17856</v>
      </c>
      <c r="B2" s="1" t="s">
        <v>11891</v>
      </c>
      <c r="C2" s="1" t="s">
        <v>17856</v>
      </c>
      <c r="D2" s="1" t="s">
        <v>17857</v>
      </c>
    </row>
    <row r="3" spans="1:4" x14ac:dyDescent="0.15">
      <c r="A3" s="1" t="s">
        <v>17864</v>
      </c>
      <c r="B3" s="1" t="s">
        <v>17865</v>
      </c>
      <c r="C3" s="1" t="s">
        <v>17864</v>
      </c>
      <c r="D3" s="1" t="s">
        <v>17865</v>
      </c>
    </row>
    <row r="4" spans="1:4" x14ac:dyDescent="0.15">
      <c r="A4" s="1" t="s">
        <v>17872</v>
      </c>
      <c r="B4" s="1" t="s">
        <v>11892</v>
      </c>
      <c r="C4" s="1" t="s">
        <v>17872</v>
      </c>
      <c r="D4" s="1" t="s">
        <v>17873</v>
      </c>
    </row>
    <row r="5" spans="1:4" x14ac:dyDescent="0.15">
      <c r="A5" s="1" t="s">
        <v>17880</v>
      </c>
      <c r="B5" s="1" t="s">
        <v>11893</v>
      </c>
      <c r="C5" s="1" t="s">
        <v>17880</v>
      </c>
      <c r="D5" s="1" t="s">
        <v>17881</v>
      </c>
    </row>
    <row r="6" spans="1:4" x14ac:dyDescent="0.15">
      <c r="A6" s="1" t="s">
        <v>17896</v>
      </c>
      <c r="B6" s="1" t="s">
        <v>11894</v>
      </c>
      <c r="C6" s="1" t="s">
        <v>17896</v>
      </c>
      <c r="D6" s="1" t="s">
        <v>17897</v>
      </c>
    </row>
    <row r="7" spans="1:4" x14ac:dyDescent="0.15">
      <c r="A7" s="1" t="s">
        <v>17936</v>
      </c>
      <c r="B7" s="1" t="s">
        <v>11895</v>
      </c>
      <c r="C7" s="1" t="s">
        <v>17936</v>
      </c>
      <c r="D7" s="1" t="s">
        <v>17937</v>
      </c>
    </row>
    <row r="8" spans="1:4" x14ac:dyDescent="0.15">
      <c r="A8" s="1" t="s">
        <v>17980</v>
      </c>
      <c r="B8" s="1" t="s">
        <v>11896</v>
      </c>
      <c r="C8" s="1" t="s">
        <v>17980</v>
      </c>
      <c r="D8" s="1" t="s">
        <v>17977</v>
      </c>
    </row>
    <row r="9" spans="1:4" x14ac:dyDescent="0.15">
      <c r="A9" s="1" t="s">
        <v>17998</v>
      </c>
      <c r="B9" s="1" t="s">
        <v>11897</v>
      </c>
      <c r="C9" s="1" t="s">
        <v>17998</v>
      </c>
      <c r="D9" s="1" t="s">
        <v>17999</v>
      </c>
    </row>
    <row r="10" spans="1:4" x14ac:dyDescent="0.15">
      <c r="A10" s="1" t="s">
        <v>18010</v>
      </c>
      <c r="B10" s="1" t="s">
        <v>11898</v>
      </c>
      <c r="C10" s="1" t="s">
        <v>18010</v>
      </c>
      <c r="D10" s="1" t="s">
        <v>18011</v>
      </c>
    </row>
    <row r="11" spans="1:4" x14ac:dyDescent="0.15">
      <c r="A11" s="1" t="s">
        <v>18030</v>
      </c>
      <c r="B11" s="1" t="s">
        <v>11899</v>
      </c>
      <c r="C11" s="1" t="s">
        <v>18030</v>
      </c>
      <c r="D11" s="1" t="s">
        <v>18031</v>
      </c>
    </row>
    <row r="12" spans="1:4" x14ac:dyDescent="0.15">
      <c r="A12" s="1" t="s">
        <v>18034</v>
      </c>
      <c r="B12" s="1" t="s">
        <v>11900</v>
      </c>
      <c r="C12" s="1" t="s">
        <v>18034</v>
      </c>
      <c r="D12" s="1" t="s">
        <v>18035</v>
      </c>
    </row>
    <row r="13" spans="1:4" x14ac:dyDescent="0.15">
      <c r="A13" s="1" t="s">
        <v>18038</v>
      </c>
      <c r="B13" s="1" t="s">
        <v>18039</v>
      </c>
      <c r="C13" s="1" t="s">
        <v>18038</v>
      </c>
      <c r="D13" s="1" t="s">
        <v>18039</v>
      </c>
    </row>
    <row r="14" spans="1:4" x14ac:dyDescent="0.15">
      <c r="A14" s="1" t="s">
        <v>18046</v>
      </c>
      <c r="B14" s="1" t="s">
        <v>11901</v>
      </c>
      <c r="C14" s="1" t="s">
        <v>18046</v>
      </c>
      <c r="D14" s="1" t="s">
        <v>18043</v>
      </c>
    </row>
    <row r="15" spans="1:4" x14ac:dyDescent="0.15">
      <c r="A15" s="1" t="s">
        <v>18053</v>
      </c>
      <c r="B15" s="1" t="s">
        <v>18054</v>
      </c>
      <c r="C15" s="1" t="s">
        <v>18053</v>
      </c>
      <c r="D15" s="1" t="s">
        <v>18054</v>
      </c>
    </row>
    <row r="16" spans="1:4" x14ac:dyDescent="0.15">
      <c r="A16" s="1" t="s">
        <v>18057</v>
      </c>
      <c r="B16" s="1" t="s">
        <v>11902</v>
      </c>
      <c r="C16" s="1" t="s">
        <v>18057</v>
      </c>
      <c r="D16" s="1" t="s">
        <v>18058</v>
      </c>
    </row>
    <row r="17" spans="1:4" x14ac:dyDescent="0.15">
      <c r="A17" s="1" t="s">
        <v>18061</v>
      </c>
      <c r="B17" s="1" t="s">
        <v>18062</v>
      </c>
      <c r="C17" s="1" t="s">
        <v>18061</v>
      </c>
      <c r="D17" s="1" t="s">
        <v>18062</v>
      </c>
    </row>
    <row r="18" spans="1:4" x14ac:dyDescent="0.15">
      <c r="A18" s="1" t="s">
        <v>18111</v>
      </c>
      <c r="B18" s="1" t="s">
        <v>11903</v>
      </c>
      <c r="C18" s="1" t="s">
        <v>18111</v>
      </c>
      <c r="D18" s="1" t="s">
        <v>18112</v>
      </c>
    </row>
    <row r="19" spans="1:4" x14ac:dyDescent="0.15">
      <c r="A19" s="1" t="s">
        <v>18123</v>
      </c>
      <c r="B19" s="1" t="s">
        <v>11904</v>
      </c>
      <c r="C19" s="1" t="s">
        <v>18123</v>
      </c>
      <c r="D19" s="1" t="s">
        <v>18124</v>
      </c>
    </row>
    <row r="20" spans="1:4" x14ac:dyDescent="0.15">
      <c r="A20" s="1" t="s">
        <v>18131</v>
      </c>
      <c r="B20" s="1" t="s">
        <v>11905</v>
      </c>
      <c r="C20" s="1" t="s">
        <v>18131</v>
      </c>
      <c r="D20" s="1" t="s">
        <v>18132</v>
      </c>
    </row>
    <row r="21" spans="1:4" x14ac:dyDescent="0.15">
      <c r="A21" s="1" t="s">
        <v>18146</v>
      </c>
      <c r="B21" s="1" t="s">
        <v>11909</v>
      </c>
      <c r="C21" s="1" t="s">
        <v>18146</v>
      </c>
      <c r="D21" s="1" t="s">
        <v>18147</v>
      </c>
    </row>
    <row r="22" spans="1:4" x14ac:dyDescent="0.15">
      <c r="A22" s="1" t="s">
        <v>18150</v>
      </c>
      <c r="B22" s="1" t="s">
        <v>11910</v>
      </c>
      <c r="C22" s="1" t="s">
        <v>18150</v>
      </c>
      <c r="D22" s="1" t="s">
        <v>18151</v>
      </c>
    </row>
    <row r="23" spans="1:4" x14ac:dyDescent="0.15">
      <c r="A23" s="1" t="s">
        <v>18166</v>
      </c>
      <c r="B23" s="1" t="s">
        <v>11914</v>
      </c>
      <c r="C23" s="1" t="s">
        <v>18166</v>
      </c>
      <c r="D23" s="1" t="s">
        <v>18167</v>
      </c>
    </row>
    <row r="24" spans="1:4" x14ac:dyDescent="0.15">
      <c r="A24" s="1" t="s">
        <v>18209</v>
      </c>
      <c r="B24" s="1" t="s">
        <v>18206</v>
      </c>
      <c r="C24" s="1" t="s">
        <v>18209</v>
      </c>
      <c r="D24" s="1" t="s">
        <v>18206</v>
      </c>
    </row>
    <row r="25" spans="1:4" x14ac:dyDescent="0.15">
      <c r="A25" s="1" t="s">
        <v>18216</v>
      </c>
      <c r="B25" s="1" t="s">
        <v>11915</v>
      </c>
      <c r="C25" s="1" t="s">
        <v>18216</v>
      </c>
      <c r="D25" s="1" t="s">
        <v>18213</v>
      </c>
    </row>
    <row r="26" spans="1:4" x14ac:dyDescent="0.15">
      <c r="A26" s="1" t="s">
        <v>18223</v>
      </c>
      <c r="B26" s="1" t="s">
        <v>11916</v>
      </c>
      <c r="C26" s="1" t="s">
        <v>18223</v>
      </c>
      <c r="D26" s="1" t="s">
        <v>18220</v>
      </c>
    </row>
    <row r="27" spans="1:4" x14ac:dyDescent="0.15">
      <c r="A27" s="1" t="s">
        <v>18230</v>
      </c>
      <c r="B27" s="1" t="s">
        <v>14031</v>
      </c>
      <c r="C27" s="1" t="s">
        <v>18230</v>
      </c>
      <c r="D27" s="1" t="s">
        <v>18227</v>
      </c>
    </row>
    <row r="28" spans="1:4" x14ac:dyDescent="0.15">
      <c r="A28" s="1" t="s">
        <v>17387</v>
      </c>
      <c r="B28" s="1" t="s">
        <v>17384</v>
      </c>
      <c r="C28" s="1" t="s">
        <v>17387</v>
      </c>
      <c r="D28" s="1" t="s">
        <v>17384</v>
      </c>
    </row>
    <row r="29" spans="1:4" x14ac:dyDescent="0.15">
      <c r="A29" s="1" t="s">
        <v>17394</v>
      </c>
      <c r="B29" s="1" t="s">
        <v>11917</v>
      </c>
      <c r="C29" s="1" t="s">
        <v>17394</v>
      </c>
      <c r="D29" s="1" t="s">
        <v>17391</v>
      </c>
    </row>
    <row r="30" spans="1:4" x14ac:dyDescent="0.15">
      <c r="A30" s="1" t="s">
        <v>17401</v>
      </c>
      <c r="B30" s="1" t="s">
        <v>11918</v>
      </c>
      <c r="C30" s="1" t="s">
        <v>17401</v>
      </c>
      <c r="D30" s="1" t="s">
        <v>17398</v>
      </c>
    </row>
    <row r="31" spans="1:4" x14ac:dyDescent="0.15">
      <c r="A31" s="1" t="s">
        <v>17413</v>
      </c>
      <c r="B31" s="1" t="s">
        <v>17414</v>
      </c>
      <c r="C31" s="1" t="s">
        <v>17413</v>
      </c>
      <c r="D31" s="1" t="s">
        <v>17414</v>
      </c>
    </row>
    <row r="32" spans="1:4" x14ac:dyDescent="0.15">
      <c r="A32" s="1" t="s">
        <v>17417</v>
      </c>
      <c r="B32" s="1" t="s">
        <v>11919</v>
      </c>
      <c r="C32" s="1" t="s">
        <v>17417</v>
      </c>
      <c r="D32" s="1" t="s">
        <v>17418</v>
      </c>
    </row>
    <row r="33" spans="1:4" x14ac:dyDescent="0.15">
      <c r="A33" s="1" t="s">
        <v>17421</v>
      </c>
      <c r="B33" s="1" t="s">
        <v>11920</v>
      </c>
      <c r="C33" s="1" t="s">
        <v>17421</v>
      </c>
      <c r="D33" s="1" t="s">
        <v>17422</v>
      </c>
    </row>
    <row r="34" spans="1:4" x14ac:dyDescent="0.15">
      <c r="A34" s="1" t="s">
        <v>17425</v>
      </c>
      <c r="B34" s="1" t="s">
        <v>17426</v>
      </c>
      <c r="C34" s="1" t="s">
        <v>17425</v>
      </c>
      <c r="D34" s="1" t="s">
        <v>17426</v>
      </c>
    </row>
    <row r="35" spans="1:4" x14ac:dyDescent="0.15">
      <c r="A35" s="1" t="s">
        <v>17433</v>
      </c>
      <c r="B35" s="1" t="s">
        <v>11921</v>
      </c>
      <c r="C35" s="1" t="s">
        <v>17433</v>
      </c>
      <c r="D35" s="1" t="s">
        <v>17434</v>
      </c>
    </row>
    <row r="36" spans="1:4" x14ac:dyDescent="0.15">
      <c r="A36" s="1" t="s">
        <v>17437</v>
      </c>
      <c r="B36" s="1" t="s">
        <v>17438</v>
      </c>
      <c r="C36" s="1" t="s">
        <v>17437</v>
      </c>
      <c r="D36" s="1" t="s">
        <v>17438</v>
      </c>
    </row>
    <row r="37" spans="1:4" x14ac:dyDescent="0.15">
      <c r="A37" s="1" t="s">
        <v>17449</v>
      </c>
      <c r="B37" s="1" t="s">
        <v>11922</v>
      </c>
      <c r="C37" s="1" t="s">
        <v>17449</v>
      </c>
      <c r="D37" s="1" t="s">
        <v>17450</v>
      </c>
    </row>
    <row r="38" spans="1:4" x14ac:dyDescent="0.15">
      <c r="A38" s="1" t="s">
        <v>17465</v>
      </c>
      <c r="B38" s="1" t="s">
        <v>11923</v>
      </c>
      <c r="C38" s="1" t="s">
        <v>17465</v>
      </c>
      <c r="D38" s="1" t="s">
        <v>17466</v>
      </c>
    </row>
    <row r="39" spans="1:4" x14ac:dyDescent="0.15">
      <c r="A39" s="1" t="s">
        <v>17473</v>
      </c>
      <c r="B39" s="1" t="s">
        <v>17474</v>
      </c>
      <c r="C39" s="1" t="s">
        <v>17473</v>
      </c>
      <c r="D39" s="1" t="s">
        <v>17474</v>
      </c>
    </row>
    <row r="40" spans="1:4" x14ac:dyDescent="0.15">
      <c r="A40" s="1" t="s">
        <v>17481</v>
      </c>
      <c r="B40" s="1" t="s">
        <v>11924</v>
      </c>
      <c r="C40" s="1" t="s">
        <v>17481</v>
      </c>
      <c r="D40" s="1" t="s">
        <v>17482</v>
      </c>
    </row>
    <row r="41" spans="1:4" x14ac:dyDescent="0.15">
      <c r="A41" s="1" t="s">
        <v>12459</v>
      </c>
      <c r="B41" s="1" t="s">
        <v>12460</v>
      </c>
      <c r="C41" s="1" t="s">
        <v>17505</v>
      </c>
      <c r="D41" s="1" t="s">
        <v>17506</v>
      </c>
    </row>
    <row r="42" spans="1:4" x14ac:dyDescent="0.15">
      <c r="A42" s="1" t="s">
        <v>17517</v>
      </c>
      <c r="B42" s="1" t="s">
        <v>11925</v>
      </c>
      <c r="C42" s="1" t="s">
        <v>17517</v>
      </c>
      <c r="D42" s="1" t="s">
        <v>17514</v>
      </c>
    </row>
    <row r="43" spans="1:4" x14ac:dyDescent="0.15">
      <c r="A43" s="1" t="s">
        <v>17528</v>
      </c>
      <c r="B43" s="1" t="s">
        <v>12054</v>
      </c>
      <c r="C43" s="1" t="s">
        <v>17528</v>
      </c>
      <c r="D43" s="1" t="s">
        <v>17529</v>
      </c>
    </row>
    <row r="44" spans="1:4" x14ac:dyDescent="0.15">
      <c r="A44" s="1" t="s">
        <v>17532</v>
      </c>
      <c r="B44" s="1" t="s">
        <v>17533</v>
      </c>
      <c r="C44" s="1" t="s">
        <v>17532</v>
      </c>
      <c r="D44" s="1" t="s">
        <v>17533</v>
      </c>
    </row>
    <row r="45" spans="1:4" x14ac:dyDescent="0.15">
      <c r="A45" s="1" t="s">
        <v>12055</v>
      </c>
      <c r="B45" s="1" t="s">
        <v>12056</v>
      </c>
      <c r="C45" s="1" t="s">
        <v>17556</v>
      </c>
      <c r="D45" s="1" t="s">
        <v>17557</v>
      </c>
    </row>
    <row r="46" spans="1:4" x14ac:dyDescent="0.15">
      <c r="A46" s="1" t="s">
        <v>17585</v>
      </c>
      <c r="B46" s="1" t="s">
        <v>12058</v>
      </c>
      <c r="C46" s="1" t="s">
        <v>17585</v>
      </c>
      <c r="D46" s="1" t="s">
        <v>17582</v>
      </c>
    </row>
    <row r="47" spans="1:4" x14ac:dyDescent="0.15">
      <c r="A47" s="1" t="s">
        <v>17600</v>
      </c>
      <c r="B47" s="1" t="s">
        <v>12059</v>
      </c>
      <c r="C47" s="1" t="s">
        <v>17600</v>
      </c>
      <c r="D47" s="1" t="s">
        <v>17601</v>
      </c>
    </row>
    <row r="48" spans="1:4" x14ac:dyDescent="0.15">
      <c r="A48" s="1" t="s">
        <v>17640</v>
      </c>
      <c r="B48" s="1" t="s">
        <v>12060</v>
      </c>
      <c r="C48" s="1" t="s">
        <v>17640</v>
      </c>
      <c r="D48" s="1" t="s">
        <v>17641</v>
      </c>
    </row>
    <row r="49" spans="1:4" x14ac:dyDescent="0.15">
      <c r="A49" s="1" t="s">
        <v>17671</v>
      </c>
      <c r="B49" s="1" t="s">
        <v>12064</v>
      </c>
      <c r="C49" s="1" t="s">
        <v>17671</v>
      </c>
      <c r="D49" s="1" t="s">
        <v>17672</v>
      </c>
    </row>
    <row r="50" spans="1:4" x14ac:dyDescent="0.15">
      <c r="A50" s="1" t="s">
        <v>12061</v>
      </c>
      <c r="B50" s="1" t="s">
        <v>12062</v>
      </c>
      <c r="C50" s="1" t="s">
        <v>17679</v>
      </c>
      <c r="D50" s="1" t="s">
        <v>17680</v>
      </c>
    </row>
    <row r="51" spans="1:4" x14ac:dyDescent="0.15">
      <c r="A51" s="1" t="s">
        <v>17714</v>
      </c>
      <c r="B51" s="1" t="s">
        <v>12065</v>
      </c>
      <c r="C51" s="1" t="s">
        <v>17714</v>
      </c>
      <c r="D51" s="1" t="s">
        <v>17711</v>
      </c>
    </row>
    <row r="52" spans="1:4" x14ac:dyDescent="0.15">
      <c r="A52" s="1" t="s">
        <v>17725</v>
      </c>
      <c r="B52" s="1" t="s">
        <v>17722</v>
      </c>
      <c r="C52" s="1" t="s">
        <v>17725</v>
      </c>
      <c r="D52" s="1" t="s">
        <v>17722</v>
      </c>
    </row>
    <row r="53" spans="1:4" x14ac:dyDescent="0.15">
      <c r="A53" s="1" t="s">
        <v>17739</v>
      </c>
      <c r="B53" s="1" t="s">
        <v>12066</v>
      </c>
      <c r="C53" s="1" t="s">
        <v>17739</v>
      </c>
      <c r="D53" s="1" t="s">
        <v>17740</v>
      </c>
    </row>
    <row r="54" spans="1:4" x14ac:dyDescent="0.15">
      <c r="A54" s="1" t="s">
        <v>12068</v>
      </c>
      <c r="B54" s="1" t="s">
        <v>12069</v>
      </c>
      <c r="C54" s="1" t="s">
        <v>17743</v>
      </c>
      <c r="D54" s="1" t="s">
        <v>17744</v>
      </c>
    </row>
    <row r="55" spans="1:4" x14ac:dyDescent="0.15">
      <c r="A55" s="1" t="s">
        <v>17759</v>
      </c>
      <c r="B55" s="1" t="s">
        <v>12067</v>
      </c>
      <c r="C55" s="1" t="s">
        <v>17759</v>
      </c>
      <c r="D55" s="1" t="s">
        <v>17756</v>
      </c>
    </row>
    <row r="56" spans="1:4" x14ac:dyDescent="0.15">
      <c r="A56" s="1" t="s">
        <v>12071</v>
      </c>
      <c r="B56" s="1" t="s">
        <v>12072</v>
      </c>
      <c r="C56" s="1" t="s">
        <v>17773</v>
      </c>
      <c r="D56" s="1" t="s">
        <v>17770</v>
      </c>
    </row>
    <row r="57" spans="1:4" x14ac:dyDescent="0.15">
      <c r="A57" s="1" t="s">
        <v>17773</v>
      </c>
      <c r="B57" s="1" t="s">
        <v>17770</v>
      </c>
      <c r="C57" s="1" t="s">
        <v>17773</v>
      </c>
      <c r="D57" s="1" t="s">
        <v>17770</v>
      </c>
    </row>
    <row r="58" spans="1:4" x14ac:dyDescent="0.15">
      <c r="A58" s="1" t="s">
        <v>17791</v>
      </c>
      <c r="B58" s="1" t="s">
        <v>12074</v>
      </c>
      <c r="C58" s="1" t="s">
        <v>17791</v>
      </c>
      <c r="D58" s="1" t="s">
        <v>17792</v>
      </c>
    </row>
    <row r="59" spans="1:4" x14ac:dyDescent="0.15">
      <c r="A59" s="1" t="s">
        <v>17808</v>
      </c>
      <c r="B59" s="1" t="s">
        <v>12075</v>
      </c>
      <c r="C59" s="1" t="s">
        <v>17808</v>
      </c>
      <c r="D59" s="1" t="s">
        <v>17805</v>
      </c>
    </row>
    <row r="60" spans="1:4" x14ac:dyDescent="0.15">
      <c r="A60" s="1" t="s">
        <v>17815</v>
      </c>
      <c r="B60" s="1" t="s">
        <v>17812</v>
      </c>
      <c r="C60" s="1" t="s">
        <v>17815</v>
      </c>
      <c r="D60" s="1" t="s">
        <v>17812</v>
      </c>
    </row>
    <row r="61" spans="1:4" x14ac:dyDescent="0.15">
      <c r="A61" s="1" t="s">
        <v>17822</v>
      </c>
      <c r="B61" s="1" t="s">
        <v>12076</v>
      </c>
      <c r="C61" s="1" t="s">
        <v>17822</v>
      </c>
      <c r="D61" s="1" t="s">
        <v>17823</v>
      </c>
    </row>
    <row r="62" spans="1:4" x14ac:dyDescent="0.15">
      <c r="A62" s="1" t="s">
        <v>17829</v>
      </c>
      <c r="B62" s="1" t="s">
        <v>12077</v>
      </c>
      <c r="C62" s="1" t="s">
        <v>17829</v>
      </c>
      <c r="D62" s="1" t="s">
        <v>17826</v>
      </c>
    </row>
    <row r="63" spans="1:4" x14ac:dyDescent="0.15">
      <c r="A63" s="1" t="s">
        <v>17836</v>
      </c>
      <c r="B63" s="1" t="s">
        <v>12078</v>
      </c>
      <c r="C63" s="1" t="s">
        <v>17836</v>
      </c>
      <c r="D63" s="1" t="s">
        <v>17833</v>
      </c>
    </row>
    <row r="64" spans="1:4" x14ac:dyDescent="0.15">
      <c r="A64" s="1" t="s">
        <v>17097</v>
      </c>
      <c r="B64" s="1" t="s">
        <v>12079</v>
      </c>
      <c r="C64" s="1" t="s">
        <v>17097</v>
      </c>
      <c r="D64" s="1" t="s">
        <v>17094</v>
      </c>
    </row>
    <row r="65" spans="1:4" x14ac:dyDescent="0.15">
      <c r="A65" s="1" t="s">
        <v>17125</v>
      </c>
      <c r="B65" s="1" t="s">
        <v>12080</v>
      </c>
      <c r="C65" s="1" t="s">
        <v>17125</v>
      </c>
      <c r="D65" s="1" t="s">
        <v>17122</v>
      </c>
    </row>
    <row r="66" spans="1:4" x14ac:dyDescent="0.15">
      <c r="A66" s="1" t="s">
        <v>17137</v>
      </c>
      <c r="B66" s="1" t="s">
        <v>17138</v>
      </c>
      <c r="C66" s="1" t="s">
        <v>17137</v>
      </c>
      <c r="D66" s="1" t="s">
        <v>17138</v>
      </c>
    </row>
    <row r="67" spans="1:4" x14ac:dyDescent="0.15">
      <c r="A67" s="1" t="s">
        <v>17145</v>
      </c>
      <c r="B67" s="1" t="s">
        <v>17146</v>
      </c>
      <c r="C67" s="1" t="s">
        <v>17145</v>
      </c>
      <c r="D67" s="1" t="s">
        <v>17146</v>
      </c>
    </row>
    <row r="68" spans="1:4" x14ac:dyDescent="0.15">
      <c r="A68" s="1" t="s">
        <v>17157</v>
      </c>
      <c r="B68" s="1" t="s">
        <v>12365</v>
      </c>
      <c r="C68" s="1" t="s">
        <v>17157</v>
      </c>
      <c r="D68" s="1" t="s">
        <v>17154</v>
      </c>
    </row>
    <row r="69" spans="1:4" x14ac:dyDescent="0.15">
      <c r="A69" s="1" t="s">
        <v>17164</v>
      </c>
      <c r="B69" s="1" t="s">
        <v>12366</v>
      </c>
      <c r="C69" s="1" t="s">
        <v>17164</v>
      </c>
      <c r="D69" s="1" t="s">
        <v>17165</v>
      </c>
    </row>
    <row r="70" spans="1:4" x14ac:dyDescent="0.15">
      <c r="A70" s="1" t="s">
        <v>17168</v>
      </c>
      <c r="B70" s="1" t="s">
        <v>12367</v>
      </c>
      <c r="C70" s="1" t="s">
        <v>17168</v>
      </c>
      <c r="D70" s="1" t="s">
        <v>17169</v>
      </c>
    </row>
    <row r="71" spans="1:4" x14ac:dyDescent="0.15">
      <c r="A71" s="1" t="s">
        <v>17180</v>
      </c>
      <c r="B71" s="1" t="s">
        <v>12368</v>
      </c>
      <c r="C71" s="1" t="s">
        <v>17180</v>
      </c>
      <c r="D71" s="1" t="s">
        <v>17181</v>
      </c>
    </row>
    <row r="72" spans="1:4" x14ac:dyDescent="0.15">
      <c r="A72" s="1" t="s">
        <v>17188</v>
      </c>
      <c r="B72" s="1" t="s">
        <v>12369</v>
      </c>
      <c r="C72" s="1" t="s">
        <v>17188</v>
      </c>
      <c r="D72" s="1" t="s">
        <v>17189</v>
      </c>
    </row>
    <row r="73" spans="1:4" x14ac:dyDescent="0.15">
      <c r="A73" s="1" t="s">
        <v>17196</v>
      </c>
      <c r="B73" s="1" t="s">
        <v>12373</v>
      </c>
      <c r="C73" s="1" t="s">
        <v>17196</v>
      </c>
      <c r="D73" s="1" t="s">
        <v>17197</v>
      </c>
    </row>
    <row r="74" spans="1:4" x14ac:dyDescent="0.15">
      <c r="A74" s="1" t="s">
        <v>17204</v>
      </c>
      <c r="B74" s="1" t="s">
        <v>12374</v>
      </c>
      <c r="C74" s="1" t="s">
        <v>17204</v>
      </c>
      <c r="D74" s="1" t="s">
        <v>17205</v>
      </c>
    </row>
    <row r="75" spans="1:4" x14ac:dyDescent="0.15">
      <c r="A75" s="1" t="s">
        <v>17208</v>
      </c>
      <c r="B75" s="1" t="s">
        <v>12375</v>
      </c>
      <c r="C75" s="1" t="s">
        <v>17208</v>
      </c>
      <c r="D75" s="1" t="s">
        <v>17209</v>
      </c>
    </row>
    <row r="76" spans="1:4" x14ac:dyDescent="0.15">
      <c r="A76" s="1" t="s">
        <v>17220</v>
      </c>
      <c r="B76" s="1" t="s">
        <v>12376</v>
      </c>
      <c r="C76" s="1" t="s">
        <v>17220</v>
      </c>
      <c r="D76" s="1" t="s">
        <v>17221</v>
      </c>
    </row>
    <row r="77" spans="1:4" x14ac:dyDescent="0.15">
      <c r="A77" s="1" t="s">
        <v>12445</v>
      </c>
      <c r="B77" s="1" t="s">
        <v>12446</v>
      </c>
      <c r="C77" s="1" t="s">
        <v>17232</v>
      </c>
      <c r="D77" s="1" t="s">
        <v>17226</v>
      </c>
    </row>
    <row r="78" spans="1:4" x14ac:dyDescent="0.15">
      <c r="A78" s="1" t="s">
        <v>17244</v>
      </c>
      <c r="B78" s="1" t="s">
        <v>12448</v>
      </c>
      <c r="C78" s="1" t="s">
        <v>17244</v>
      </c>
      <c r="D78" s="1" t="s">
        <v>17241</v>
      </c>
    </row>
    <row r="79" spans="1:4" x14ac:dyDescent="0.15">
      <c r="A79" s="1" t="s">
        <v>17251</v>
      </c>
      <c r="B79" s="1" t="s">
        <v>12458</v>
      </c>
      <c r="C79" s="1" t="s">
        <v>17251</v>
      </c>
      <c r="D79" s="1" t="s">
        <v>17248</v>
      </c>
    </row>
    <row r="80" spans="1:4" x14ac:dyDescent="0.15">
      <c r="A80" s="1" t="s">
        <v>17265</v>
      </c>
      <c r="B80" s="1" t="s">
        <v>12462</v>
      </c>
      <c r="C80" s="1" t="s">
        <v>17265</v>
      </c>
      <c r="D80" s="1" t="s">
        <v>17262</v>
      </c>
    </row>
    <row r="81" spans="1:4" x14ac:dyDescent="0.15">
      <c r="A81" s="1" t="s">
        <v>17308</v>
      </c>
      <c r="B81" s="1" t="s">
        <v>12497</v>
      </c>
      <c r="C81" s="1" t="s">
        <v>17308</v>
      </c>
      <c r="D81" s="1" t="s">
        <v>17305</v>
      </c>
    </row>
    <row r="82" spans="1:4" x14ac:dyDescent="0.15">
      <c r="A82" s="1" t="s">
        <v>17315</v>
      </c>
      <c r="B82" s="1" t="s">
        <v>17312</v>
      </c>
      <c r="C82" s="1" t="s">
        <v>17315</v>
      </c>
      <c r="D82" s="1" t="s">
        <v>17312</v>
      </c>
    </row>
    <row r="83" spans="1:4" x14ac:dyDescent="0.15">
      <c r="A83" s="1" t="s">
        <v>17322</v>
      </c>
      <c r="B83" s="1" t="s">
        <v>17319</v>
      </c>
      <c r="C83" s="1" t="s">
        <v>17322</v>
      </c>
      <c r="D83" s="1" t="s">
        <v>17319</v>
      </c>
    </row>
    <row r="84" spans="1:4" x14ac:dyDescent="0.15">
      <c r="A84" s="1" t="s">
        <v>17343</v>
      </c>
      <c r="B84" s="1" t="s">
        <v>12498</v>
      </c>
      <c r="C84" s="1" t="s">
        <v>17343</v>
      </c>
      <c r="D84" s="1" t="s">
        <v>17340</v>
      </c>
    </row>
    <row r="85" spans="1:4" x14ac:dyDescent="0.15">
      <c r="A85" s="1" t="s">
        <v>17350</v>
      </c>
      <c r="B85" s="1" t="s">
        <v>12499</v>
      </c>
      <c r="C85" s="1" t="s">
        <v>17350</v>
      </c>
      <c r="D85" s="1" t="s">
        <v>17347</v>
      </c>
    </row>
    <row r="86" spans="1:4" x14ac:dyDescent="0.15">
      <c r="A86" s="1" t="s">
        <v>17371</v>
      </c>
      <c r="B86" s="1" t="s">
        <v>17368</v>
      </c>
      <c r="C86" s="1" t="s">
        <v>17371</v>
      </c>
      <c r="D86" s="1" t="s">
        <v>17368</v>
      </c>
    </row>
    <row r="87" spans="1:4" x14ac:dyDescent="0.15">
      <c r="A87" s="1" t="s">
        <v>16921</v>
      </c>
      <c r="B87" s="1" t="s">
        <v>16918</v>
      </c>
      <c r="C87" s="1" t="s">
        <v>16921</v>
      </c>
      <c r="D87" s="1" t="s">
        <v>16918</v>
      </c>
    </row>
    <row r="88" spans="1:4" x14ac:dyDescent="0.15">
      <c r="A88" s="1" t="s">
        <v>16935</v>
      </c>
      <c r="B88" s="1" t="s">
        <v>12081</v>
      </c>
      <c r="C88" s="1" t="s">
        <v>16935</v>
      </c>
      <c r="D88" s="1" t="s">
        <v>16932</v>
      </c>
    </row>
    <row r="89" spans="1:4" x14ac:dyDescent="0.15">
      <c r="A89" s="1" t="s">
        <v>16942</v>
      </c>
      <c r="B89" s="1" t="s">
        <v>12082</v>
      </c>
      <c r="C89" s="1" t="s">
        <v>16942</v>
      </c>
      <c r="D89" s="1" t="s">
        <v>16943</v>
      </c>
    </row>
    <row r="90" spans="1:4" x14ac:dyDescent="0.15">
      <c r="A90" s="1" t="s">
        <v>16946</v>
      </c>
      <c r="B90" s="1" t="s">
        <v>12083</v>
      </c>
      <c r="C90" s="1" t="s">
        <v>16946</v>
      </c>
      <c r="D90" s="1" t="s">
        <v>16947</v>
      </c>
    </row>
    <row r="91" spans="1:4" x14ac:dyDescent="0.15">
      <c r="A91" s="1" t="s">
        <v>16954</v>
      </c>
      <c r="B91" s="1" t="s">
        <v>16955</v>
      </c>
      <c r="C91" s="1" t="s">
        <v>16954</v>
      </c>
      <c r="D91" s="1" t="s">
        <v>16955</v>
      </c>
    </row>
    <row r="92" spans="1:4" x14ac:dyDescent="0.15">
      <c r="A92" s="1" t="s">
        <v>16962</v>
      </c>
      <c r="B92" s="1" t="s">
        <v>12084</v>
      </c>
      <c r="C92" s="1" t="s">
        <v>16962</v>
      </c>
      <c r="D92" s="1" t="s">
        <v>16963</v>
      </c>
    </row>
    <row r="93" spans="1:4" x14ac:dyDescent="0.15">
      <c r="A93" s="1" t="s">
        <v>16966</v>
      </c>
      <c r="B93" s="1" t="s">
        <v>12085</v>
      </c>
      <c r="C93" s="1" t="s">
        <v>16966</v>
      </c>
      <c r="D93" s="1" t="s">
        <v>16967</v>
      </c>
    </row>
    <row r="94" spans="1:4" x14ac:dyDescent="0.15">
      <c r="A94" s="1" t="s">
        <v>16970</v>
      </c>
      <c r="B94" s="1" t="s">
        <v>12086</v>
      </c>
      <c r="C94" s="1" t="s">
        <v>16970</v>
      </c>
      <c r="D94" s="1" t="s">
        <v>16971</v>
      </c>
    </row>
    <row r="95" spans="1:4" x14ac:dyDescent="0.15">
      <c r="A95" s="1" t="s">
        <v>16978</v>
      </c>
      <c r="B95" s="1" t="s">
        <v>12087</v>
      </c>
      <c r="C95" s="1" t="s">
        <v>16978</v>
      </c>
      <c r="D95" s="1" t="s">
        <v>16975</v>
      </c>
    </row>
    <row r="96" spans="1:4" x14ac:dyDescent="0.15">
      <c r="A96" s="1" t="s">
        <v>16989</v>
      </c>
      <c r="B96" s="1" t="s">
        <v>12088</v>
      </c>
      <c r="C96" s="1" t="s">
        <v>16989</v>
      </c>
      <c r="D96" s="1" t="s">
        <v>16990</v>
      </c>
    </row>
    <row r="97" spans="1:4" x14ac:dyDescent="0.15">
      <c r="A97" s="1" t="s">
        <v>17005</v>
      </c>
      <c r="B97" s="1" t="s">
        <v>12089</v>
      </c>
      <c r="C97" s="1" t="s">
        <v>17005</v>
      </c>
      <c r="D97" s="1" t="s">
        <v>17002</v>
      </c>
    </row>
    <row r="98" spans="1:4" x14ac:dyDescent="0.15">
      <c r="A98" s="1" t="s">
        <v>12090</v>
      </c>
      <c r="B98" s="1" t="s">
        <v>17361</v>
      </c>
      <c r="C98" s="1" t="s">
        <v>17012</v>
      </c>
      <c r="D98" s="1" t="s">
        <v>17009</v>
      </c>
    </row>
    <row r="99" spans="1:4" x14ac:dyDescent="0.15">
      <c r="A99" s="1" t="s">
        <v>17026</v>
      </c>
      <c r="B99" s="1" t="s">
        <v>12092</v>
      </c>
      <c r="C99" s="1" t="s">
        <v>17026</v>
      </c>
      <c r="D99" s="1" t="s">
        <v>17027</v>
      </c>
    </row>
    <row r="100" spans="1:4" x14ac:dyDescent="0.15">
      <c r="A100" s="1" t="s">
        <v>17030</v>
      </c>
      <c r="B100" s="1" t="s">
        <v>12093</v>
      </c>
      <c r="C100" s="1" t="s">
        <v>17030</v>
      </c>
      <c r="D100" s="1" t="s">
        <v>17031</v>
      </c>
    </row>
    <row r="101" spans="1:4" x14ac:dyDescent="0.15">
      <c r="A101" s="1" t="s">
        <v>17034</v>
      </c>
      <c r="B101" s="1" t="s">
        <v>12094</v>
      </c>
      <c r="C101" s="1" t="s">
        <v>17034</v>
      </c>
      <c r="D101" s="1" t="s">
        <v>17035</v>
      </c>
    </row>
    <row r="102" spans="1:4" x14ac:dyDescent="0.15">
      <c r="A102" s="1" t="s">
        <v>17038</v>
      </c>
      <c r="B102" s="1" t="s">
        <v>12095</v>
      </c>
      <c r="C102" s="1" t="s">
        <v>17038</v>
      </c>
      <c r="D102" s="1" t="s">
        <v>17039</v>
      </c>
    </row>
    <row r="103" spans="1:4" x14ac:dyDescent="0.15">
      <c r="A103" s="1" t="s">
        <v>17042</v>
      </c>
      <c r="B103" s="1" t="s">
        <v>12096</v>
      </c>
      <c r="C103" s="1" t="s">
        <v>17042</v>
      </c>
      <c r="D103" s="1" t="s">
        <v>17043</v>
      </c>
    </row>
    <row r="104" spans="1:4" x14ac:dyDescent="0.15">
      <c r="A104" s="1" t="s">
        <v>17046</v>
      </c>
      <c r="B104" s="1" t="s">
        <v>12097</v>
      </c>
      <c r="C104" s="1" t="s">
        <v>17046</v>
      </c>
      <c r="D104" s="1" t="s">
        <v>17047</v>
      </c>
    </row>
    <row r="105" spans="1:4" x14ac:dyDescent="0.15">
      <c r="A105" s="1" t="s">
        <v>17050</v>
      </c>
      <c r="B105" s="1" t="s">
        <v>12098</v>
      </c>
      <c r="C105" s="1" t="s">
        <v>17050</v>
      </c>
      <c r="D105" s="1" t="s">
        <v>17051</v>
      </c>
    </row>
    <row r="106" spans="1:4" x14ac:dyDescent="0.15">
      <c r="A106" s="1" t="s">
        <v>17058</v>
      </c>
      <c r="B106" s="1" t="s">
        <v>12099</v>
      </c>
      <c r="C106" s="1" t="s">
        <v>17058</v>
      </c>
      <c r="D106" s="1" t="s">
        <v>17059</v>
      </c>
    </row>
    <row r="107" spans="1:4" x14ac:dyDescent="0.15">
      <c r="A107" s="1" t="s">
        <v>17062</v>
      </c>
      <c r="B107" s="1" t="s">
        <v>12100</v>
      </c>
      <c r="C107" s="1" t="s">
        <v>17062</v>
      </c>
      <c r="D107" s="1" t="s">
        <v>17063</v>
      </c>
    </row>
    <row r="108" spans="1:4" x14ac:dyDescent="0.15">
      <c r="A108" s="1" t="s">
        <v>17070</v>
      </c>
      <c r="B108" s="1" t="s">
        <v>12101</v>
      </c>
      <c r="C108" s="1" t="s">
        <v>17070</v>
      </c>
      <c r="D108" s="1" t="s">
        <v>17071</v>
      </c>
    </row>
    <row r="109" spans="1:4" x14ac:dyDescent="0.15">
      <c r="A109" s="1" t="s">
        <v>17078</v>
      </c>
      <c r="B109" s="1" t="s">
        <v>12102</v>
      </c>
      <c r="C109" s="1" t="s">
        <v>17078</v>
      </c>
      <c r="D109" s="1" t="s">
        <v>17079</v>
      </c>
    </row>
    <row r="110" spans="1:4" x14ac:dyDescent="0.15">
      <c r="A110" s="1" t="s">
        <v>16495</v>
      </c>
      <c r="B110" s="1" t="s">
        <v>12103</v>
      </c>
      <c r="C110" s="1" t="s">
        <v>16495</v>
      </c>
      <c r="D110" s="1" t="s">
        <v>16496</v>
      </c>
    </row>
    <row r="111" spans="1:4" x14ac:dyDescent="0.15">
      <c r="A111" s="1" t="s">
        <v>16499</v>
      </c>
      <c r="B111" s="1" t="s">
        <v>12104</v>
      </c>
      <c r="C111" s="1" t="s">
        <v>16499</v>
      </c>
      <c r="D111" s="1" t="s">
        <v>16500</v>
      </c>
    </row>
    <row r="112" spans="1:4" x14ac:dyDescent="0.15">
      <c r="A112" s="1" t="s">
        <v>16503</v>
      </c>
      <c r="B112" s="1" t="s">
        <v>12105</v>
      </c>
      <c r="C112" s="1" t="s">
        <v>16503</v>
      </c>
      <c r="D112" s="1" t="s">
        <v>16504</v>
      </c>
    </row>
    <row r="113" spans="1:4" x14ac:dyDescent="0.15">
      <c r="A113" s="1" t="s">
        <v>16507</v>
      </c>
      <c r="B113" s="1" t="s">
        <v>12106</v>
      </c>
      <c r="C113" s="1" t="s">
        <v>16507</v>
      </c>
      <c r="D113" s="1" t="s">
        <v>16508</v>
      </c>
    </row>
    <row r="114" spans="1:4" x14ac:dyDescent="0.15">
      <c r="A114" s="1" t="s">
        <v>16511</v>
      </c>
      <c r="B114" s="1" t="s">
        <v>12107</v>
      </c>
      <c r="C114" s="1" t="s">
        <v>16511</v>
      </c>
      <c r="D114" s="1" t="s">
        <v>16512</v>
      </c>
    </row>
    <row r="115" spans="1:4" x14ac:dyDescent="0.15">
      <c r="A115" s="1" t="s">
        <v>16519</v>
      </c>
      <c r="B115" s="1" t="s">
        <v>12108</v>
      </c>
      <c r="C115" s="1" t="s">
        <v>16519</v>
      </c>
      <c r="D115" s="1" t="s">
        <v>16520</v>
      </c>
    </row>
    <row r="116" spans="1:4" x14ac:dyDescent="0.15">
      <c r="A116" s="1" t="s">
        <v>16527</v>
      </c>
      <c r="B116" s="1" t="s">
        <v>12109</v>
      </c>
      <c r="C116" s="1" t="s">
        <v>16527</v>
      </c>
      <c r="D116" s="1" t="s">
        <v>16528</v>
      </c>
    </row>
    <row r="117" spans="1:4" x14ac:dyDescent="0.15">
      <c r="A117" s="1" t="s">
        <v>16531</v>
      </c>
      <c r="B117" s="1" t="s">
        <v>12110</v>
      </c>
      <c r="C117" s="1" t="s">
        <v>16531</v>
      </c>
      <c r="D117" s="1" t="s">
        <v>16532</v>
      </c>
    </row>
    <row r="118" spans="1:4" x14ac:dyDescent="0.15">
      <c r="A118" s="1" t="s">
        <v>16535</v>
      </c>
      <c r="B118" s="1" t="s">
        <v>12111</v>
      </c>
      <c r="C118" s="1" t="s">
        <v>16535</v>
      </c>
      <c r="D118" s="1" t="s">
        <v>16536</v>
      </c>
    </row>
    <row r="119" spans="1:4" x14ac:dyDescent="0.15">
      <c r="A119" s="1" t="s">
        <v>16543</v>
      </c>
      <c r="B119" s="1" t="s">
        <v>12112</v>
      </c>
      <c r="C119" s="1" t="s">
        <v>16543</v>
      </c>
      <c r="D119" s="1" t="s">
        <v>16544</v>
      </c>
    </row>
    <row r="120" spans="1:4" x14ac:dyDescent="0.15">
      <c r="A120" s="1" t="s">
        <v>16547</v>
      </c>
      <c r="B120" s="1" t="s">
        <v>12113</v>
      </c>
      <c r="C120" s="1" t="s">
        <v>16547</v>
      </c>
      <c r="D120" s="1" t="s">
        <v>16548</v>
      </c>
    </row>
    <row r="121" spans="1:4" x14ac:dyDescent="0.15">
      <c r="A121" s="1" t="s">
        <v>16551</v>
      </c>
      <c r="B121" s="1" t="s">
        <v>12114</v>
      </c>
      <c r="C121" s="1" t="s">
        <v>16551</v>
      </c>
      <c r="D121" s="1" t="s">
        <v>16552</v>
      </c>
    </row>
    <row r="122" spans="1:4" x14ac:dyDescent="0.15">
      <c r="A122" s="1" t="s">
        <v>16555</v>
      </c>
      <c r="B122" s="1" t="s">
        <v>12115</v>
      </c>
      <c r="C122" s="1" t="s">
        <v>16555</v>
      </c>
      <c r="D122" s="1" t="s">
        <v>16556</v>
      </c>
    </row>
    <row r="123" spans="1:4" x14ac:dyDescent="0.15">
      <c r="A123" s="1" t="s">
        <v>16559</v>
      </c>
      <c r="B123" s="1" t="s">
        <v>12116</v>
      </c>
      <c r="C123" s="1" t="s">
        <v>16559</v>
      </c>
      <c r="D123" s="1" t="s">
        <v>16560</v>
      </c>
    </row>
    <row r="124" spans="1:4" x14ac:dyDescent="0.15">
      <c r="A124" s="1" t="s">
        <v>16563</v>
      </c>
      <c r="B124" s="1" t="s">
        <v>12117</v>
      </c>
      <c r="C124" s="1" t="s">
        <v>16563</v>
      </c>
      <c r="D124" s="1" t="s">
        <v>16564</v>
      </c>
    </row>
    <row r="125" spans="1:4" x14ac:dyDescent="0.15">
      <c r="A125" s="1" t="s">
        <v>16567</v>
      </c>
      <c r="B125" s="1" t="s">
        <v>12118</v>
      </c>
      <c r="C125" s="1" t="s">
        <v>16567</v>
      </c>
      <c r="D125" s="1" t="s">
        <v>16568</v>
      </c>
    </row>
    <row r="126" spans="1:4" x14ac:dyDescent="0.15">
      <c r="A126" s="1" t="s">
        <v>16571</v>
      </c>
      <c r="B126" s="1" t="s">
        <v>12119</v>
      </c>
      <c r="C126" s="1" t="s">
        <v>16571</v>
      </c>
      <c r="D126" s="1" t="s">
        <v>16572</v>
      </c>
    </row>
    <row r="127" spans="1:4" x14ac:dyDescent="0.15">
      <c r="A127" s="1" t="s">
        <v>16575</v>
      </c>
      <c r="B127" s="1" t="s">
        <v>12120</v>
      </c>
      <c r="C127" s="1" t="s">
        <v>16575</v>
      </c>
      <c r="D127" s="1" t="s">
        <v>16576</v>
      </c>
    </row>
    <row r="128" spans="1:4" x14ac:dyDescent="0.15">
      <c r="A128" s="1" t="s">
        <v>16579</v>
      </c>
      <c r="B128" s="1" t="s">
        <v>12121</v>
      </c>
      <c r="C128" s="1" t="s">
        <v>16579</v>
      </c>
      <c r="D128" s="1" t="s">
        <v>16580</v>
      </c>
    </row>
    <row r="129" spans="1:4" x14ac:dyDescent="0.15">
      <c r="A129" s="1" t="s">
        <v>16583</v>
      </c>
      <c r="B129" s="1" t="s">
        <v>12122</v>
      </c>
      <c r="C129" s="1" t="s">
        <v>16583</v>
      </c>
      <c r="D129" s="1" t="s">
        <v>16584</v>
      </c>
    </row>
    <row r="130" spans="1:4" x14ac:dyDescent="0.15">
      <c r="A130" s="1" t="s">
        <v>16587</v>
      </c>
      <c r="B130" s="1" t="s">
        <v>12123</v>
      </c>
      <c r="C130" s="1" t="s">
        <v>16587</v>
      </c>
      <c r="D130" s="1" t="s">
        <v>16588</v>
      </c>
    </row>
    <row r="131" spans="1:4" x14ac:dyDescent="0.15">
      <c r="A131" s="1" t="s">
        <v>16591</v>
      </c>
      <c r="B131" s="1" t="s">
        <v>12124</v>
      </c>
      <c r="C131" s="1" t="s">
        <v>16591</v>
      </c>
      <c r="D131" s="1" t="s">
        <v>16592</v>
      </c>
    </row>
    <row r="132" spans="1:4" x14ac:dyDescent="0.15">
      <c r="A132" s="1" t="s">
        <v>16599</v>
      </c>
      <c r="B132" s="1" t="s">
        <v>12125</v>
      </c>
      <c r="C132" s="1" t="s">
        <v>16599</v>
      </c>
      <c r="D132" s="1" t="s">
        <v>16600</v>
      </c>
    </row>
    <row r="133" spans="1:4" x14ac:dyDescent="0.15">
      <c r="A133" s="1" t="s">
        <v>16603</v>
      </c>
      <c r="B133" s="1" t="s">
        <v>12126</v>
      </c>
      <c r="C133" s="1" t="s">
        <v>16603</v>
      </c>
      <c r="D133" s="1" t="s">
        <v>16604</v>
      </c>
    </row>
    <row r="134" spans="1:4" x14ac:dyDescent="0.15">
      <c r="A134" s="1" t="s">
        <v>16647</v>
      </c>
      <c r="B134" s="1" t="s">
        <v>12127</v>
      </c>
      <c r="C134" s="1" t="s">
        <v>16647</v>
      </c>
      <c r="D134" s="1" t="s">
        <v>16648</v>
      </c>
    </row>
    <row r="135" spans="1:4" x14ac:dyDescent="0.15">
      <c r="A135" s="1" t="s">
        <v>16655</v>
      </c>
      <c r="B135" s="1" t="s">
        <v>12128</v>
      </c>
      <c r="C135" s="1" t="s">
        <v>16655</v>
      </c>
      <c r="D135" s="1" t="s">
        <v>16652</v>
      </c>
    </row>
    <row r="136" spans="1:4" x14ac:dyDescent="0.15">
      <c r="A136" s="1" t="s">
        <v>16669</v>
      </c>
      <c r="B136" s="1" t="s">
        <v>16666</v>
      </c>
      <c r="C136" s="1" t="s">
        <v>16669</v>
      </c>
      <c r="D136" s="1" t="s">
        <v>16666</v>
      </c>
    </row>
    <row r="137" spans="1:4" x14ac:dyDescent="0.15">
      <c r="A137" s="1" t="s">
        <v>16681</v>
      </c>
      <c r="B137" s="1" t="s">
        <v>16678</v>
      </c>
      <c r="C137" s="1" t="s">
        <v>16681</v>
      </c>
      <c r="D137" s="1" t="s">
        <v>16678</v>
      </c>
    </row>
    <row r="138" spans="1:4" x14ac:dyDescent="0.15">
      <c r="A138" s="1" t="s">
        <v>16688</v>
      </c>
      <c r="B138" s="1" t="s">
        <v>12129</v>
      </c>
      <c r="C138" s="1" t="s">
        <v>16688</v>
      </c>
      <c r="D138" s="1" t="s">
        <v>16685</v>
      </c>
    </row>
    <row r="139" spans="1:4" x14ac:dyDescent="0.15">
      <c r="A139" s="1" t="s">
        <v>16695</v>
      </c>
      <c r="B139" s="1" t="s">
        <v>12130</v>
      </c>
      <c r="C139" s="1" t="s">
        <v>16695</v>
      </c>
      <c r="D139" s="1" t="s">
        <v>16692</v>
      </c>
    </row>
    <row r="140" spans="1:4" x14ac:dyDescent="0.15">
      <c r="A140" s="1" t="s">
        <v>16709</v>
      </c>
      <c r="B140" s="1" t="s">
        <v>12131</v>
      </c>
      <c r="C140" s="1" t="s">
        <v>16709</v>
      </c>
      <c r="D140" s="1" t="s">
        <v>16706</v>
      </c>
    </row>
    <row r="141" spans="1:4" x14ac:dyDescent="0.15">
      <c r="A141" s="1" t="s">
        <v>16723</v>
      </c>
      <c r="B141" s="1" t="s">
        <v>16720</v>
      </c>
      <c r="C141" s="1" t="s">
        <v>16723</v>
      </c>
      <c r="D141" s="1" t="s">
        <v>16720</v>
      </c>
    </row>
    <row r="142" spans="1:4" x14ac:dyDescent="0.15">
      <c r="A142" s="1" t="s">
        <v>16730</v>
      </c>
      <c r="B142" s="1" t="s">
        <v>16727</v>
      </c>
      <c r="C142" s="1" t="s">
        <v>16730</v>
      </c>
      <c r="D142" s="1" t="s">
        <v>16731</v>
      </c>
    </row>
    <row r="143" spans="1:4" x14ac:dyDescent="0.15">
      <c r="A143" s="1" t="s">
        <v>16758</v>
      </c>
      <c r="B143" s="1" t="s">
        <v>16755</v>
      </c>
      <c r="C143" s="1" t="s">
        <v>16758</v>
      </c>
      <c r="D143" s="1" t="s">
        <v>16755</v>
      </c>
    </row>
    <row r="144" spans="1:4" x14ac:dyDescent="0.15">
      <c r="A144" s="1" t="s">
        <v>16765</v>
      </c>
      <c r="B144" s="1" t="s">
        <v>12132</v>
      </c>
      <c r="C144" s="1" t="s">
        <v>16765</v>
      </c>
      <c r="D144" s="1" t="s">
        <v>16762</v>
      </c>
    </row>
    <row r="145" spans="1:4" x14ac:dyDescent="0.15">
      <c r="A145" s="1" t="s">
        <v>16772</v>
      </c>
      <c r="B145" s="1" t="s">
        <v>16769</v>
      </c>
      <c r="C145" s="1" t="s">
        <v>16772</v>
      </c>
      <c r="D145" s="1" t="s">
        <v>16769</v>
      </c>
    </row>
    <row r="146" spans="1:4" x14ac:dyDescent="0.15">
      <c r="A146" s="1" t="s">
        <v>16779</v>
      </c>
      <c r="B146" s="1" t="s">
        <v>16776</v>
      </c>
      <c r="C146" s="1" t="s">
        <v>16779</v>
      </c>
      <c r="D146" s="1" t="s">
        <v>16776</v>
      </c>
    </row>
    <row r="147" spans="1:4" x14ac:dyDescent="0.15">
      <c r="A147" s="1" t="s">
        <v>16786</v>
      </c>
      <c r="B147" s="1" t="s">
        <v>12133</v>
      </c>
      <c r="C147" s="1" t="s">
        <v>16786</v>
      </c>
      <c r="D147" s="1" t="s">
        <v>16783</v>
      </c>
    </row>
    <row r="148" spans="1:4" x14ac:dyDescent="0.15">
      <c r="A148" s="1" t="s">
        <v>16793</v>
      </c>
      <c r="B148" s="1" t="s">
        <v>12134</v>
      </c>
      <c r="C148" s="1" t="s">
        <v>16793</v>
      </c>
      <c r="D148" s="1" t="s">
        <v>16790</v>
      </c>
    </row>
    <row r="149" spans="1:4" x14ac:dyDescent="0.15">
      <c r="A149" s="1" t="s">
        <v>16814</v>
      </c>
      <c r="B149" s="1" t="s">
        <v>12135</v>
      </c>
      <c r="C149" s="1" t="s">
        <v>16814</v>
      </c>
      <c r="D149" s="1" t="s">
        <v>16811</v>
      </c>
    </row>
    <row r="150" spans="1:4" x14ac:dyDescent="0.15">
      <c r="A150" s="1" t="s">
        <v>16821</v>
      </c>
      <c r="B150" s="1" t="s">
        <v>16818</v>
      </c>
      <c r="C150" s="1" t="s">
        <v>16821</v>
      </c>
      <c r="D150" s="1" t="s">
        <v>16818</v>
      </c>
    </row>
    <row r="151" spans="1:4" x14ac:dyDescent="0.15">
      <c r="A151" s="1" t="s">
        <v>16828</v>
      </c>
      <c r="B151" s="1" t="s">
        <v>16825</v>
      </c>
      <c r="C151" s="1" t="s">
        <v>16828</v>
      </c>
      <c r="D151" s="1" t="s">
        <v>16825</v>
      </c>
    </row>
    <row r="152" spans="1:4" x14ac:dyDescent="0.15">
      <c r="A152" s="1" t="s">
        <v>16258</v>
      </c>
      <c r="B152" s="1" t="s">
        <v>12139</v>
      </c>
      <c r="C152" s="1" t="s">
        <v>16258</v>
      </c>
      <c r="D152" s="1" t="s">
        <v>16839</v>
      </c>
    </row>
    <row r="153" spans="1:4" x14ac:dyDescent="0.15">
      <c r="A153" s="1" t="s">
        <v>16272</v>
      </c>
      <c r="B153" s="1" t="s">
        <v>16269</v>
      </c>
      <c r="C153" s="1" t="s">
        <v>16272</v>
      </c>
      <c r="D153" s="1" t="s">
        <v>16269</v>
      </c>
    </row>
    <row r="154" spans="1:4" x14ac:dyDescent="0.15">
      <c r="A154" s="1" t="s">
        <v>16293</v>
      </c>
      <c r="B154" s="1" t="s">
        <v>16290</v>
      </c>
      <c r="C154" s="1" t="s">
        <v>16293</v>
      </c>
      <c r="D154" s="1" t="s">
        <v>16290</v>
      </c>
    </row>
    <row r="155" spans="1:4" x14ac:dyDescent="0.15">
      <c r="A155" s="1" t="s">
        <v>16300</v>
      </c>
      <c r="B155" s="1" t="s">
        <v>12146</v>
      </c>
      <c r="C155" s="1" t="s">
        <v>16300</v>
      </c>
      <c r="D155" s="1" t="s">
        <v>16297</v>
      </c>
    </row>
    <row r="156" spans="1:4" x14ac:dyDescent="0.15">
      <c r="A156" s="1" t="s">
        <v>16335</v>
      </c>
      <c r="B156" s="1" t="s">
        <v>16332</v>
      </c>
      <c r="C156" s="1" t="s">
        <v>16335</v>
      </c>
      <c r="D156" s="1" t="s">
        <v>16332</v>
      </c>
    </row>
    <row r="157" spans="1:4" x14ac:dyDescent="0.15">
      <c r="A157" s="1" t="s">
        <v>16347</v>
      </c>
      <c r="B157" s="1" t="s">
        <v>12150</v>
      </c>
      <c r="C157" s="1" t="s">
        <v>16347</v>
      </c>
      <c r="D157" s="1" t="s">
        <v>16348</v>
      </c>
    </row>
    <row r="158" spans="1:4" x14ac:dyDescent="0.15">
      <c r="A158" s="1" t="s">
        <v>12157</v>
      </c>
      <c r="B158" s="1" t="s">
        <v>12158</v>
      </c>
      <c r="C158" s="1" t="s">
        <v>16355</v>
      </c>
      <c r="D158" s="1" t="s">
        <v>16356</v>
      </c>
    </row>
    <row r="159" spans="1:4" x14ac:dyDescent="0.15">
      <c r="A159" s="1" t="s">
        <v>16355</v>
      </c>
      <c r="B159" s="1" t="s">
        <v>12153</v>
      </c>
      <c r="C159" s="1" t="s">
        <v>16355</v>
      </c>
      <c r="D159" s="1" t="s">
        <v>16356</v>
      </c>
    </row>
    <row r="160" spans="1:4" x14ac:dyDescent="0.15">
      <c r="A160" s="1" t="s">
        <v>16363</v>
      </c>
      <c r="B160" s="1" t="s">
        <v>12160</v>
      </c>
      <c r="C160" s="1" t="s">
        <v>16363</v>
      </c>
      <c r="D160" s="1" t="s">
        <v>16364</v>
      </c>
    </row>
    <row r="161" spans="1:4" x14ac:dyDescent="0.15">
      <c r="A161" s="1" t="s">
        <v>16367</v>
      </c>
      <c r="B161" s="1" t="s">
        <v>12161</v>
      </c>
      <c r="C161" s="1" t="s">
        <v>16367</v>
      </c>
      <c r="D161" s="1" t="s">
        <v>16368</v>
      </c>
    </row>
    <row r="162" spans="1:4" x14ac:dyDescent="0.15">
      <c r="A162" s="1" t="s">
        <v>16375</v>
      </c>
      <c r="B162" s="1" t="s">
        <v>12162</v>
      </c>
      <c r="C162" s="1" t="s">
        <v>16375</v>
      </c>
      <c r="D162" s="1" t="s">
        <v>16376</v>
      </c>
    </row>
    <row r="163" spans="1:4" x14ac:dyDescent="0.15">
      <c r="A163" s="1" t="s">
        <v>16383</v>
      </c>
      <c r="B163" s="1" t="s">
        <v>12163</v>
      </c>
      <c r="C163" s="1" t="s">
        <v>16383</v>
      </c>
      <c r="D163" s="1" t="s">
        <v>16384</v>
      </c>
    </row>
    <row r="164" spans="1:4" x14ac:dyDescent="0.15">
      <c r="A164" s="1" t="s">
        <v>16387</v>
      </c>
      <c r="B164" s="1" t="s">
        <v>12164</v>
      </c>
      <c r="C164" s="1" t="s">
        <v>16387</v>
      </c>
      <c r="D164" s="1" t="s">
        <v>16388</v>
      </c>
    </row>
    <row r="165" spans="1:4" x14ac:dyDescent="0.15">
      <c r="A165" s="1" t="s">
        <v>16431</v>
      </c>
      <c r="B165" s="1" t="s">
        <v>12165</v>
      </c>
      <c r="C165" s="1" t="s">
        <v>16431</v>
      </c>
      <c r="D165" s="1" t="s">
        <v>16432</v>
      </c>
    </row>
    <row r="166" spans="1:4" x14ac:dyDescent="0.15">
      <c r="A166" s="1" t="s">
        <v>16439</v>
      </c>
      <c r="B166" s="1" t="s">
        <v>12166</v>
      </c>
      <c r="C166" s="1" t="s">
        <v>16439</v>
      </c>
      <c r="D166" s="1" t="s">
        <v>16440</v>
      </c>
    </row>
    <row r="167" spans="1:4" x14ac:dyDescent="0.15">
      <c r="A167" s="1" t="s">
        <v>16451</v>
      </c>
      <c r="B167" s="1" t="s">
        <v>12167</v>
      </c>
      <c r="C167" s="1" t="s">
        <v>16451</v>
      </c>
      <c r="D167" s="1" t="s">
        <v>16452</v>
      </c>
    </row>
    <row r="168" spans="1:4" x14ac:dyDescent="0.15">
      <c r="A168" s="1" t="s">
        <v>16459</v>
      </c>
      <c r="B168" s="1" t="s">
        <v>12168</v>
      </c>
      <c r="C168" s="1" t="s">
        <v>16459</v>
      </c>
      <c r="D168" s="1" t="s">
        <v>16460</v>
      </c>
    </row>
    <row r="169" spans="1:4" x14ac:dyDescent="0.15">
      <c r="A169" s="1" t="s">
        <v>16487</v>
      </c>
      <c r="B169" s="1" t="s">
        <v>12169</v>
      </c>
      <c r="C169" s="1" t="s">
        <v>16487</v>
      </c>
      <c r="D169" s="1" t="s">
        <v>16488</v>
      </c>
    </row>
    <row r="170" spans="1:4" x14ac:dyDescent="0.15">
      <c r="A170" s="1" t="s">
        <v>15918</v>
      </c>
      <c r="B170" s="1" t="s">
        <v>12170</v>
      </c>
      <c r="C170" s="1" t="s">
        <v>15918</v>
      </c>
      <c r="D170" s="1" t="s">
        <v>15919</v>
      </c>
    </row>
    <row r="171" spans="1:4" x14ac:dyDescent="0.15">
      <c r="A171" s="1" t="s">
        <v>15958</v>
      </c>
      <c r="B171" s="1" t="s">
        <v>12171</v>
      </c>
      <c r="C171" s="1" t="s">
        <v>15958</v>
      </c>
      <c r="D171" s="1" t="s">
        <v>15959</v>
      </c>
    </row>
    <row r="172" spans="1:4" x14ac:dyDescent="0.15">
      <c r="A172" s="1" t="s">
        <v>15971</v>
      </c>
      <c r="B172" s="1" t="s">
        <v>12172</v>
      </c>
      <c r="C172" s="1" t="s">
        <v>15971</v>
      </c>
      <c r="D172" s="1" t="s">
        <v>15972</v>
      </c>
    </row>
    <row r="173" spans="1:4" x14ac:dyDescent="0.15">
      <c r="A173" s="1" t="s">
        <v>12398</v>
      </c>
      <c r="B173" s="1" t="s">
        <v>12399</v>
      </c>
      <c r="C173" s="1" t="s">
        <v>15975</v>
      </c>
      <c r="D173" s="1" t="s">
        <v>15976</v>
      </c>
    </row>
    <row r="174" spans="1:4" x14ac:dyDescent="0.15">
      <c r="A174" s="1" t="s">
        <v>16003</v>
      </c>
      <c r="B174" s="1" t="s">
        <v>12173</v>
      </c>
      <c r="C174" s="1" t="s">
        <v>16003</v>
      </c>
      <c r="D174" s="1" t="s">
        <v>16004</v>
      </c>
    </row>
    <row r="175" spans="1:4" x14ac:dyDescent="0.15">
      <c r="A175" s="1" t="s">
        <v>16007</v>
      </c>
      <c r="B175" s="1" t="s">
        <v>12174</v>
      </c>
      <c r="C175" s="1" t="s">
        <v>16007</v>
      </c>
      <c r="D175" s="1" t="s">
        <v>16008</v>
      </c>
    </row>
    <row r="176" spans="1:4" x14ac:dyDescent="0.15">
      <c r="A176" s="1" t="s">
        <v>16021</v>
      </c>
      <c r="B176" s="1" t="s">
        <v>12175</v>
      </c>
      <c r="C176" s="1" t="s">
        <v>16021</v>
      </c>
      <c r="D176" s="1" t="s">
        <v>16022</v>
      </c>
    </row>
    <row r="177" spans="1:4" x14ac:dyDescent="0.15">
      <c r="A177" s="1" t="s">
        <v>16051</v>
      </c>
      <c r="B177" s="1" t="s">
        <v>12177</v>
      </c>
      <c r="C177" s="1" t="s">
        <v>16051</v>
      </c>
      <c r="D177" s="1" t="s">
        <v>16052</v>
      </c>
    </row>
    <row r="178" spans="1:4" x14ac:dyDescent="0.15">
      <c r="A178" s="1" t="s">
        <v>16055</v>
      </c>
      <c r="B178" s="1" t="s">
        <v>12178</v>
      </c>
      <c r="C178" s="1" t="s">
        <v>16055</v>
      </c>
      <c r="D178" s="1" t="s">
        <v>16056</v>
      </c>
    </row>
    <row r="179" spans="1:4" x14ac:dyDescent="0.15">
      <c r="A179" s="1" t="s">
        <v>16063</v>
      </c>
      <c r="B179" s="1" t="s">
        <v>12182</v>
      </c>
      <c r="C179" s="1" t="s">
        <v>16063</v>
      </c>
      <c r="D179" s="1" t="s">
        <v>16064</v>
      </c>
    </row>
    <row r="180" spans="1:4" x14ac:dyDescent="0.15">
      <c r="A180" s="1" t="s">
        <v>12394</v>
      </c>
      <c r="B180" s="1" t="s">
        <v>12395</v>
      </c>
      <c r="C180" s="1" t="s">
        <v>16091</v>
      </c>
      <c r="D180" s="1" t="s">
        <v>16092</v>
      </c>
    </row>
    <row r="181" spans="1:4" x14ac:dyDescent="0.15">
      <c r="A181" s="1" t="s">
        <v>16037</v>
      </c>
      <c r="B181" s="1" t="s">
        <v>12176</v>
      </c>
      <c r="C181" s="1" t="s">
        <v>16095</v>
      </c>
      <c r="D181" s="1" t="s">
        <v>16096</v>
      </c>
    </row>
    <row r="182" spans="1:4" x14ac:dyDescent="0.15">
      <c r="A182" s="1" t="s">
        <v>12179</v>
      </c>
      <c r="B182" s="1" t="s">
        <v>12180</v>
      </c>
      <c r="C182" s="1" t="s">
        <v>16099</v>
      </c>
      <c r="D182" s="1" t="s">
        <v>16100</v>
      </c>
    </row>
    <row r="183" spans="1:4" x14ac:dyDescent="0.15">
      <c r="A183" s="1" t="s">
        <v>16111</v>
      </c>
      <c r="B183" s="1" t="s">
        <v>12183</v>
      </c>
      <c r="C183" s="1" t="s">
        <v>16111</v>
      </c>
      <c r="D183" s="1" t="s">
        <v>16108</v>
      </c>
    </row>
    <row r="184" spans="1:4" x14ac:dyDescent="0.15">
      <c r="A184" s="1" t="s">
        <v>16127</v>
      </c>
      <c r="B184" s="1" t="s">
        <v>16128</v>
      </c>
      <c r="C184" s="1" t="s">
        <v>16127</v>
      </c>
      <c r="D184" s="1" t="s">
        <v>16128</v>
      </c>
    </row>
    <row r="185" spans="1:4" x14ac:dyDescent="0.15">
      <c r="A185" s="1" t="s">
        <v>16143</v>
      </c>
      <c r="B185" s="1" t="s">
        <v>12377</v>
      </c>
      <c r="C185" s="1" t="s">
        <v>16143</v>
      </c>
      <c r="D185" s="1" t="s">
        <v>16140</v>
      </c>
    </row>
    <row r="186" spans="1:4" x14ac:dyDescent="0.15">
      <c r="A186" s="1" t="s">
        <v>16150</v>
      </c>
      <c r="B186" s="1" t="s">
        <v>12381</v>
      </c>
      <c r="C186" s="1" t="s">
        <v>16150</v>
      </c>
      <c r="D186" s="1" t="s">
        <v>16147</v>
      </c>
    </row>
    <row r="187" spans="1:4" x14ac:dyDescent="0.15">
      <c r="A187" s="1" t="s">
        <v>16230</v>
      </c>
      <c r="B187" s="1" t="s">
        <v>12382</v>
      </c>
      <c r="C187" s="1" t="s">
        <v>16230</v>
      </c>
      <c r="D187" s="1" t="s">
        <v>16231</v>
      </c>
    </row>
    <row r="188" spans="1:4" x14ac:dyDescent="0.15">
      <c r="A188" s="1" t="s">
        <v>12383</v>
      </c>
      <c r="B188" s="1" t="s">
        <v>12384</v>
      </c>
      <c r="C188" s="1" t="s">
        <v>15589</v>
      </c>
      <c r="D188" s="1" t="s">
        <v>15590</v>
      </c>
    </row>
    <row r="189" spans="1:4" x14ac:dyDescent="0.15">
      <c r="A189" s="1" t="s">
        <v>15665</v>
      </c>
      <c r="B189" s="1" t="s">
        <v>12389</v>
      </c>
      <c r="C189" s="1" t="s">
        <v>15665</v>
      </c>
      <c r="D189" s="1" t="s">
        <v>15666</v>
      </c>
    </row>
    <row r="190" spans="1:4" x14ac:dyDescent="0.15">
      <c r="A190" s="1" t="s">
        <v>15669</v>
      </c>
      <c r="B190" s="1" t="s">
        <v>12390</v>
      </c>
      <c r="C190" s="1" t="s">
        <v>15669</v>
      </c>
      <c r="D190" s="1" t="s">
        <v>15670</v>
      </c>
    </row>
    <row r="191" spans="1:4" x14ac:dyDescent="0.15">
      <c r="A191" s="1" t="s">
        <v>15673</v>
      </c>
      <c r="B191" s="1" t="s">
        <v>12391</v>
      </c>
      <c r="C191" s="1" t="s">
        <v>15673</v>
      </c>
      <c r="D191" s="1" t="s">
        <v>15674</v>
      </c>
    </row>
    <row r="192" spans="1:4" x14ac:dyDescent="0.15">
      <c r="A192" s="1" t="s">
        <v>15681</v>
      </c>
      <c r="B192" s="1" t="s">
        <v>12392</v>
      </c>
      <c r="C192" s="1" t="s">
        <v>15681</v>
      </c>
      <c r="D192" s="1" t="s">
        <v>15682</v>
      </c>
    </row>
    <row r="193" spans="1:4" x14ac:dyDescent="0.15">
      <c r="A193" s="1" t="s">
        <v>15694</v>
      </c>
      <c r="B193" s="1" t="s">
        <v>12393</v>
      </c>
      <c r="C193" s="1" t="s">
        <v>15694</v>
      </c>
      <c r="D193" s="1" t="s">
        <v>15691</v>
      </c>
    </row>
    <row r="194" spans="1:4" x14ac:dyDescent="0.15">
      <c r="A194" s="1" t="s">
        <v>15701</v>
      </c>
      <c r="B194" s="1" t="s">
        <v>15698</v>
      </c>
      <c r="C194" s="1" t="s">
        <v>15701</v>
      </c>
      <c r="D194" s="1" t="s">
        <v>15698</v>
      </c>
    </row>
    <row r="195" spans="1:4" x14ac:dyDescent="0.15">
      <c r="A195" s="1" t="s">
        <v>15715</v>
      </c>
      <c r="B195" s="1" t="s">
        <v>12397</v>
      </c>
      <c r="C195" s="1" t="s">
        <v>15715</v>
      </c>
      <c r="D195" s="1" t="s">
        <v>15712</v>
      </c>
    </row>
    <row r="196" spans="1:4" x14ac:dyDescent="0.15">
      <c r="A196" s="1" t="s">
        <v>15729</v>
      </c>
      <c r="B196" s="1" t="s">
        <v>12401</v>
      </c>
      <c r="C196" s="1" t="s">
        <v>15729</v>
      </c>
      <c r="D196" s="1" t="s">
        <v>15726</v>
      </c>
    </row>
    <row r="197" spans="1:4" x14ac:dyDescent="0.15">
      <c r="A197" s="1" t="s">
        <v>15736</v>
      </c>
      <c r="B197" s="1" t="s">
        <v>12405</v>
      </c>
      <c r="C197" s="1" t="s">
        <v>15736</v>
      </c>
      <c r="D197" s="1" t="s">
        <v>15733</v>
      </c>
    </row>
    <row r="198" spans="1:4" x14ac:dyDescent="0.15">
      <c r="A198" s="1" t="s">
        <v>15743</v>
      </c>
      <c r="B198" s="1" t="s">
        <v>12406</v>
      </c>
      <c r="C198" s="1" t="s">
        <v>15743</v>
      </c>
      <c r="D198" s="1" t="s">
        <v>15740</v>
      </c>
    </row>
    <row r="199" spans="1:4" x14ac:dyDescent="0.15">
      <c r="A199" s="1" t="s">
        <v>15750</v>
      </c>
      <c r="B199" s="1" t="s">
        <v>12407</v>
      </c>
      <c r="C199" s="1" t="s">
        <v>15750</v>
      </c>
      <c r="D199" s="1" t="s">
        <v>15747</v>
      </c>
    </row>
    <row r="200" spans="1:4" x14ac:dyDescent="0.15">
      <c r="A200" s="1" t="s">
        <v>15762</v>
      </c>
      <c r="B200" s="1" t="s">
        <v>12408</v>
      </c>
      <c r="C200" s="1" t="s">
        <v>15762</v>
      </c>
      <c r="D200" s="1" t="s">
        <v>15763</v>
      </c>
    </row>
    <row r="201" spans="1:4" x14ac:dyDescent="0.15">
      <c r="A201" s="1" t="s">
        <v>15766</v>
      </c>
      <c r="B201" s="1" t="s">
        <v>15767</v>
      </c>
      <c r="C201" s="1" t="s">
        <v>15766</v>
      </c>
      <c r="D201" s="1" t="s">
        <v>15767</v>
      </c>
    </row>
    <row r="202" spans="1:4" x14ac:dyDescent="0.15">
      <c r="A202" s="1" t="s">
        <v>12455</v>
      </c>
      <c r="B202" s="1" t="s">
        <v>12456</v>
      </c>
      <c r="C202" s="1" t="s">
        <v>15770</v>
      </c>
      <c r="D202" s="1" t="s">
        <v>15771</v>
      </c>
    </row>
    <row r="203" spans="1:4" x14ac:dyDescent="0.15">
      <c r="A203" s="1" t="s">
        <v>15774</v>
      </c>
      <c r="B203" s="1" t="s">
        <v>12412</v>
      </c>
      <c r="C203" s="1" t="s">
        <v>15774</v>
      </c>
      <c r="D203" s="1" t="s">
        <v>15775</v>
      </c>
    </row>
    <row r="204" spans="1:4" x14ac:dyDescent="0.15">
      <c r="A204" s="1" t="s">
        <v>12419</v>
      </c>
      <c r="B204" s="1" t="s">
        <v>15780</v>
      </c>
      <c r="C204" s="1" t="s">
        <v>15787</v>
      </c>
      <c r="D204" s="1" t="s">
        <v>15784</v>
      </c>
    </row>
    <row r="205" spans="1:4" x14ac:dyDescent="0.15">
      <c r="A205" s="1" t="s">
        <v>15794</v>
      </c>
      <c r="B205" s="1" t="s">
        <v>12418</v>
      </c>
      <c r="C205" s="1" t="s">
        <v>15794</v>
      </c>
      <c r="D205" s="1" t="s">
        <v>15791</v>
      </c>
    </row>
    <row r="206" spans="1:4" x14ac:dyDescent="0.15">
      <c r="A206" s="1" t="s">
        <v>15812</v>
      </c>
      <c r="B206" s="1" t="s">
        <v>15809</v>
      </c>
      <c r="C206" s="1" t="s">
        <v>15812</v>
      </c>
      <c r="D206" s="1" t="s">
        <v>15809</v>
      </c>
    </row>
    <row r="207" spans="1:4" x14ac:dyDescent="0.15">
      <c r="A207" s="1" t="s">
        <v>12421</v>
      </c>
      <c r="B207" s="1" t="s">
        <v>12422</v>
      </c>
      <c r="C207" s="1" t="s">
        <v>15819</v>
      </c>
      <c r="D207" s="1" t="s">
        <v>15820</v>
      </c>
    </row>
    <row r="208" spans="1:4" x14ac:dyDescent="0.15">
      <c r="A208" s="1" t="s">
        <v>15831</v>
      </c>
      <c r="B208" s="1" t="s">
        <v>15832</v>
      </c>
      <c r="C208" s="1" t="s">
        <v>15831</v>
      </c>
      <c r="D208" s="1" t="s">
        <v>15832</v>
      </c>
    </row>
    <row r="209" spans="1:4" x14ac:dyDescent="0.15">
      <c r="A209" s="1" t="s">
        <v>15835</v>
      </c>
      <c r="B209" s="1" t="s">
        <v>15836</v>
      </c>
      <c r="C209" s="1" t="s">
        <v>15835</v>
      </c>
      <c r="D209" s="1" t="s">
        <v>15836</v>
      </c>
    </row>
    <row r="210" spans="1:4" x14ac:dyDescent="0.15">
      <c r="A210" s="1" t="s">
        <v>15867</v>
      </c>
      <c r="B210" s="1" t="s">
        <v>12427</v>
      </c>
      <c r="C210" s="1" t="s">
        <v>15867</v>
      </c>
      <c r="D210" s="1" t="s">
        <v>15864</v>
      </c>
    </row>
    <row r="211" spans="1:4" x14ac:dyDescent="0.15">
      <c r="A211" s="1" t="s">
        <v>15874</v>
      </c>
      <c r="B211" s="1" t="s">
        <v>15875</v>
      </c>
      <c r="C211" s="1" t="s">
        <v>15874</v>
      </c>
      <c r="D211" s="1" t="s">
        <v>15875</v>
      </c>
    </row>
    <row r="212" spans="1:4" x14ac:dyDescent="0.15">
      <c r="A212" s="1" t="s">
        <v>15878</v>
      </c>
      <c r="B212" s="1" t="s">
        <v>15879</v>
      </c>
      <c r="C212" s="1" t="s">
        <v>15878</v>
      </c>
      <c r="D212" s="1" t="s">
        <v>15879</v>
      </c>
    </row>
    <row r="213" spans="1:4" x14ac:dyDescent="0.15">
      <c r="A213" s="1" t="s">
        <v>15882</v>
      </c>
      <c r="B213" s="1" t="s">
        <v>12431</v>
      </c>
      <c r="C213" s="1" t="s">
        <v>15882</v>
      </c>
      <c r="D213" s="1" t="s">
        <v>15883</v>
      </c>
    </row>
    <row r="214" spans="1:4" x14ac:dyDescent="0.15">
      <c r="A214" s="1" t="s">
        <v>15886</v>
      </c>
      <c r="B214" s="1" t="s">
        <v>12432</v>
      </c>
      <c r="C214" s="1" t="s">
        <v>15886</v>
      </c>
      <c r="D214" s="1" t="s">
        <v>15887</v>
      </c>
    </row>
    <row r="215" spans="1:4" x14ac:dyDescent="0.15">
      <c r="A215" s="1" t="s">
        <v>12424</v>
      </c>
      <c r="B215" s="1" t="s">
        <v>12425</v>
      </c>
      <c r="C215" s="1" t="s">
        <v>15906</v>
      </c>
      <c r="D215" s="1" t="s">
        <v>15907</v>
      </c>
    </row>
    <row r="216" spans="1:4" x14ac:dyDescent="0.15">
      <c r="A216" s="1" t="s">
        <v>12436</v>
      </c>
      <c r="B216" s="1" t="s">
        <v>12437</v>
      </c>
      <c r="C216" s="1" t="s">
        <v>15906</v>
      </c>
      <c r="D216" s="1" t="s">
        <v>15907</v>
      </c>
    </row>
    <row r="217" spans="1:4" x14ac:dyDescent="0.15">
      <c r="A217" s="1" t="s">
        <v>12428</v>
      </c>
      <c r="B217" s="1" t="s">
        <v>12429</v>
      </c>
      <c r="C217" s="1" t="s">
        <v>15914</v>
      </c>
      <c r="D217" s="1" t="s">
        <v>15915</v>
      </c>
    </row>
    <row r="218" spans="1:4" x14ac:dyDescent="0.15">
      <c r="A218" s="1" t="s">
        <v>15161</v>
      </c>
      <c r="B218" s="1" t="s">
        <v>12435</v>
      </c>
      <c r="C218" s="1" t="s">
        <v>15161</v>
      </c>
      <c r="D218" s="1" t="s">
        <v>15162</v>
      </c>
    </row>
    <row r="219" spans="1:4" x14ac:dyDescent="0.15">
      <c r="A219" s="1" t="s">
        <v>15169</v>
      </c>
      <c r="B219" s="1" t="s">
        <v>15170</v>
      </c>
      <c r="C219" s="1" t="s">
        <v>15169</v>
      </c>
      <c r="D219" s="1" t="s">
        <v>15170</v>
      </c>
    </row>
    <row r="220" spans="1:4" x14ac:dyDescent="0.15">
      <c r="A220" s="1" t="s">
        <v>15173</v>
      </c>
      <c r="B220" s="1" t="s">
        <v>15174</v>
      </c>
      <c r="C220" s="1" t="s">
        <v>15173</v>
      </c>
      <c r="D220" s="1" t="s">
        <v>15174</v>
      </c>
    </row>
    <row r="221" spans="1:4" x14ac:dyDescent="0.15">
      <c r="A221" s="1" t="s">
        <v>15177</v>
      </c>
      <c r="B221" s="1" t="s">
        <v>12439</v>
      </c>
      <c r="C221" s="1" t="s">
        <v>15177</v>
      </c>
      <c r="D221" s="1" t="s">
        <v>15178</v>
      </c>
    </row>
    <row r="222" spans="1:4" x14ac:dyDescent="0.15">
      <c r="A222" s="1" t="s">
        <v>15181</v>
      </c>
      <c r="B222" s="1" t="s">
        <v>12440</v>
      </c>
      <c r="C222" s="1" t="s">
        <v>15181</v>
      </c>
      <c r="D222" s="1" t="s">
        <v>15182</v>
      </c>
    </row>
    <row r="223" spans="1:4" x14ac:dyDescent="0.15">
      <c r="A223" s="1" t="s">
        <v>15185</v>
      </c>
      <c r="B223" s="1" t="s">
        <v>12441</v>
      </c>
      <c r="C223" s="1" t="s">
        <v>15185</v>
      </c>
      <c r="D223" s="1" t="s">
        <v>15186</v>
      </c>
    </row>
    <row r="224" spans="1:4" x14ac:dyDescent="0.15">
      <c r="A224" s="1" t="s">
        <v>15197</v>
      </c>
      <c r="B224" s="1" t="s">
        <v>12442</v>
      </c>
      <c r="C224" s="1" t="s">
        <v>15197</v>
      </c>
      <c r="D224" s="1" t="s">
        <v>15194</v>
      </c>
    </row>
    <row r="225" spans="1:4" x14ac:dyDescent="0.15">
      <c r="A225" s="1" t="s">
        <v>15207</v>
      </c>
      <c r="B225" s="1" t="s">
        <v>12443</v>
      </c>
      <c r="C225" s="1" t="s">
        <v>15207</v>
      </c>
      <c r="D225" s="1" t="s">
        <v>15201</v>
      </c>
    </row>
    <row r="226" spans="1:4" x14ac:dyDescent="0.15">
      <c r="A226" s="1" t="s">
        <v>15214</v>
      </c>
      <c r="B226" s="1" t="s">
        <v>15211</v>
      </c>
      <c r="C226" s="1" t="s">
        <v>15214</v>
      </c>
      <c r="D226" s="1" t="s">
        <v>15215</v>
      </c>
    </row>
    <row r="227" spans="1:4" x14ac:dyDescent="0.15">
      <c r="A227" s="1" t="s">
        <v>11972</v>
      </c>
      <c r="B227" s="1" t="s">
        <v>11973</v>
      </c>
      <c r="C227" s="1" t="s">
        <v>15218</v>
      </c>
      <c r="D227" s="1" t="s">
        <v>15219</v>
      </c>
    </row>
    <row r="228" spans="1:4" x14ac:dyDescent="0.15">
      <c r="A228" s="1" t="s">
        <v>15230</v>
      </c>
      <c r="B228" s="1" t="s">
        <v>12444</v>
      </c>
      <c r="C228" s="1" t="s">
        <v>15230</v>
      </c>
      <c r="D228" s="1" t="s">
        <v>15227</v>
      </c>
    </row>
    <row r="229" spans="1:4" x14ac:dyDescent="0.15">
      <c r="A229" s="1" t="s">
        <v>15237</v>
      </c>
      <c r="B229" s="1" t="s">
        <v>15234</v>
      </c>
      <c r="C229" s="1" t="s">
        <v>15237</v>
      </c>
      <c r="D229" s="1" t="s">
        <v>15234</v>
      </c>
    </row>
    <row r="230" spans="1:4" x14ac:dyDescent="0.15">
      <c r="A230" s="1" t="s">
        <v>12452</v>
      </c>
      <c r="B230" s="1" t="s">
        <v>12453</v>
      </c>
      <c r="C230" s="1" t="s">
        <v>15280</v>
      </c>
      <c r="D230" s="1" t="s">
        <v>15277</v>
      </c>
    </row>
    <row r="231" spans="1:4" x14ac:dyDescent="0.15">
      <c r="A231" s="1" t="s">
        <v>15280</v>
      </c>
      <c r="B231" s="1" t="s">
        <v>12469</v>
      </c>
      <c r="C231" s="1" t="s">
        <v>15280</v>
      </c>
      <c r="D231" s="1" t="s">
        <v>15277</v>
      </c>
    </row>
    <row r="232" spans="1:4" x14ac:dyDescent="0.15">
      <c r="A232" s="1" t="s">
        <v>15291</v>
      </c>
      <c r="B232" s="1" t="s">
        <v>12470</v>
      </c>
      <c r="C232" s="1" t="s">
        <v>15291</v>
      </c>
      <c r="D232" s="1" t="s">
        <v>15288</v>
      </c>
    </row>
    <row r="233" spans="1:4" x14ac:dyDescent="0.15">
      <c r="A233" s="1" t="s">
        <v>12471</v>
      </c>
      <c r="B233" s="1" t="s">
        <v>12472</v>
      </c>
      <c r="C233" s="1" t="s">
        <v>15291</v>
      </c>
      <c r="D233" s="1" t="s">
        <v>15288</v>
      </c>
    </row>
    <row r="234" spans="1:4" x14ac:dyDescent="0.15">
      <c r="A234" s="1" t="s">
        <v>15298</v>
      </c>
      <c r="B234" s="1" t="s">
        <v>12474</v>
      </c>
      <c r="C234" s="1" t="s">
        <v>15298</v>
      </c>
      <c r="D234" s="1" t="s">
        <v>15295</v>
      </c>
    </row>
    <row r="235" spans="1:4" x14ac:dyDescent="0.15">
      <c r="A235" s="1" t="s">
        <v>15482</v>
      </c>
      <c r="B235" s="1" t="s">
        <v>12478</v>
      </c>
      <c r="C235" s="1" t="s">
        <v>15305</v>
      </c>
      <c r="D235" s="1" t="s">
        <v>15306</v>
      </c>
    </row>
    <row r="236" spans="1:4" x14ac:dyDescent="0.15">
      <c r="A236" s="1" t="s">
        <v>15337</v>
      </c>
      <c r="B236" s="1" t="s">
        <v>12475</v>
      </c>
      <c r="C236" s="1" t="s">
        <v>15337</v>
      </c>
      <c r="D236" s="1" t="s">
        <v>15334</v>
      </c>
    </row>
    <row r="237" spans="1:4" x14ac:dyDescent="0.15">
      <c r="A237" s="1" t="s">
        <v>15420</v>
      </c>
      <c r="B237" s="1" t="s">
        <v>12476</v>
      </c>
      <c r="C237" s="1" t="s">
        <v>15420</v>
      </c>
      <c r="D237" s="1" t="s">
        <v>15421</v>
      </c>
    </row>
    <row r="238" spans="1:4" x14ac:dyDescent="0.15">
      <c r="A238" s="1" t="s">
        <v>15568</v>
      </c>
      <c r="B238" s="1" t="s">
        <v>15565</v>
      </c>
      <c r="C238" s="1" t="s">
        <v>15568</v>
      </c>
      <c r="D238" s="1" t="s">
        <v>15565</v>
      </c>
    </row>
    <row r="239" spans="1:4" x14ac:dyDescent="0.15">
      <c r="A239" s="1" t="s">
        <v>15575</v>
      </c>
      <c r="B239" s="1" t="s">
        <v>12479</v>
      </c>
      <c r="C239" s="1" t="s">
        <v>15575</v>
      </c>
      <c r="D239" s="1" t="s">
        <v>15572</v>
      </c>
    </row>
    <row r="240" spans="1:4" x14ac:dyDescent="0.15">
      <c r="A240" s="1" t="s">
        <v>14852</v>
      </c>
      <c r="B240" s="1" t="s">
        <v>12480</v>
      </c>
      <c r="C240" s="1" t="s">
        <v>14852</v>
      </c>
      <c r="D240" s="1" t="s">
        <v>14849</v>
      </c>
    </row>
    <row r="241" spans="1:4" x14ac:dyDescent="0.15">
      <c r="A241" s="1" t="s">
        <v>14871</v>
      </c>
      <c r="B241" s="1" t="s">
        <v>12481</v>
      </c>
      <c r="C241" s="1" t="s">
        <v>14871</v>
      </c>
      <c r="D241" s="1" t="s">
        <v>14868</v>
      </c>
    </row>
    <row r="242" spans="1:4" x14ac:dyDescent="0.15">
      <c r="A242" s="1" t="s">
        <v>14878</v>
      </c>
      <c r="B242" s="1" t="s">
        <v>12482</v>
      </c>
      <c r="C242" s="1" t="s">
        <v>14878</v>
      </c>
      <c r="D242" s="1" t="s">
        <v>14875</v>
      </c>
    </row>
    <row r="243" spans="1:4" x14ac:dyDescent="0.15">
      <c r="A243" s="1" t="s">
        <v>14885</v>
      </c>
      <c r="B243" s="1" t="s">
        <v>14882</v>
      </c>
      <c r="C243" s="1" t="s">
        <v>14885</v>
      </c>
      <c r="D243" s="1" t="s">
        <v>14882</v>
      </c>
    </row>
    <row r="244" spans="1:4" x14ac:dyDescent="0.15">
      <c r="A244" s="1" t="s">
        <v>14892</v>
      </c>
      <c r="B244" s="1" t="s">
        <v>12483</v>
      </c>
      <c r="C244" s="1" t="s">
        <v>14892</v>
      </c>
      <c r="D244" s="1" t="s">
        <v>14889</v>
      </c>
    </row>
    <row r="245" spans="1:4" x14ac:dyDescent="0.15">
      <c r="A245" s="1" t="s">
        <v>14899</v>
      </c>
      <c r="B245" s="1" t="s">
        <v>12484</v>
      </c>
      <c r="C245" s="1" t="s">
        <v>14899</v>
      </c>
      <c r="D245" s="1" t="s">
        <v>14900</v>
      </c>
    </row>
    <row r="246" spans="1:4" x14ac:dyDescent="0.15">
      <c r="A246" s="1" t="s">
        <v>12449</v>
      </c>
      <c r="B246" s="1" t="s">
        <v>12450</v>
      </c>
      <c r="C246" s="1" t="s">
        <v>14923</v>
      </c>
      <c r="D246" s="1" t="s">
        <v>14920</v>
      </c>
    </row>
    <row r="247" spans="1:4" x14ac:dyDescent="0.15">
      <c r="A247" s="1" t="s">
        <v>14930</v>
      </c>
      <c r="B247" s="1" t="s">
        <v>12485</v>
      </c>
      <c r="C247" s="1" t="s">
        <v>14930</v>
      </c>
      <c r="D247" s="1" t="s">
        <v>14927</v>
      </c>
    </row>
    <row r="248" spans="1:4" x14ac:dyDescent="0.15">
      <c r="A248" s="1" t="s">
        <v>14942</v>
      </c>
      <c r="B248" s="1" t="s">
        <v>12486</v>
      </c>
      <c r="C248" s="1" t="s">
        <v>14942</v>
      </c>
      <c r="D248" s="1" t="s">
        <v>14939</v>
      </c>
    </row>
    <row r="249" spans="1:4" x14ac:dyDescent="0.15">
      <c r="A249" s="1" t="s">
        <v>14949</v>
      </c>
      <c r="B249" s="1" t="s">
        <v>14946</v>
      </c>
      <c r="C249" s="1" t="s">
        <v>14949</v>
      </c>
      <c r="D249" s="1" t="s">
        <v>14946</v>
      </c>
    </row>
    <row r="250" spans="1:4" x14ac:dyDescent="0.15">
      <c r="A250" s="1" t="s">
        <v>14970</v>
      </c>
      <c r="B250" s="1" t="s">
        <v>14971</v>
      </c>
      <c r="C250" s="1" t="s">
        <v>14970</v>
      </c>
      <c r="D250" s="1" t="s">
        <v>14971</v>
      </c>
    </row>
    <row r="251" spans="1:4" x14ac:dyDescent="0.15">
      <c r="A251" s="1" t="s">
        <v>14986</v>
      </c>
      <c r="B251" s="1" t="s">
        <v>12487</v>
      </c>
      <c r="C251" s="1" t="s">
        <v>14986</v>
      </c>
      <c r="D251" s="1" t="s">
        <v>14987</v>
      </c>
    </row>
    <row r="252" spans="1:4" x14ac:dyDescent="0.15">
      <c r="A252" s="1" t="s">
        <v>15006</v>
      </c>
      <c r="B252" s="1" t="s">
        <v>15007</v>
      </c>
      <c r="C252" s="1" t="s">
        <v>15006</v>
      </c>
      <c r="D252" s="1" t="s">
        <v>15007</v>
      </c>
    </row>
    <row r="253" spans="1:4" x14ac:dyDescent="0.15">
      <c r="A253" s="1" t="s">
        <v>15014</v>
      </c>
      <c r="B253" s="1" t="s">
        <v>15015</v>
      </c>
      <c r="C253" s="1" t="s">
        <v>15014</v>
      </c>
      <c r="D253" s="1" t="s">
        <v>15015</v>
      </c>
    </row>
    <row r="254" spans="1:4" x14ac:dyDescent="0.15">
      <c r="A254" s="1" t="s">
        <v>15022</v>
      </c>
      <c r="B254" s="1" t="s">
        <v>12488</v>
      </c>
      <c r="C254" s="1" t="s">
        <v>15022</v>
      </c>
      <c r="D254" s="1" t="s">
        <v>15023</v>
      </c>
    </row>
    <row r="255" spans="1:4" x14ac:dyDescent="0.15">
      <c r="A255" s="1" t="s">
        <v>15034</v>
      </c>
      <c r="B255" s="1" t="s">
        <v>15035</v>
      </c>
      <c r="C255" s="1" t="s">
        <v>15034</v>
      </c>
      <c r="D255" s="1" t="s">
        <v>15035</v>
      </c>
    </row>
    <row r="256" spans="1:4" x14ac:dyDescent="0.15">
      <c r="A256" s="1" t="s">
        <v>15038</v>
      </c>
      <c r="B256" s="1" t="s">
        <v>12489</v>
      </c>
      <c r="C256" s="1" t="s">
        <v>15038</v>
      </c>
      <c r="D256" s="1" t="s">
        <v>15039</v>
      </c>
    </row>
    <row r="257" spans="1:4" x14ac:dyDescent="0.15">
      <c r="A257" s="1" t="s">
        <v>15046</v>
      </c>
      <c r="B257" s="1" t="s">
        <v>15047</v>
      </c>
      <c r="C257" s="1" t="s">
        <v>15046</v>
      </c>
      <c r="D257" s="1" t="s">
        <v>15047</v>
      </c>
    </row>
    <row r="258" spans="1:4" x14ac:dyDescent="0.15">
      <c r="A258" s="1" t="s">
        <v>15082</v>
      </c>
      <c r="B258" s="1" t="s">
        <v>15083</v>
      </c>
      <c r="C258" s="1" t="s">
        <v>15082</v>
      </c>
      <c r="D258" s="1" t="s">
        <v>15083</v>
      </c>
    </row>
    <row r="259" spans="1:4" x14ac:dyDescent="0.15">
      <c r="A259" s="1" t="s">
        <v>15090</v>
      </c>
      <c r="B259" s="1" t="s">
        <v>12493</v>
      </c>
      <c r="C259" s="1" t="s">
        <v>15090</v>
      </c>
      <c r="D259" s="1" t="s">
        <v>15087</v>
      </c>
    </row>
    <row r="260" spans="1:4" x14ac:dyDescent="0.15">
      <c r="A260" s="1" t="s">
        <v>15101</v>
      </c>
      <c r="B260" s="1" t="s">
        <v>12494</v>
      </c>
      <c r="C260" s="1" t="s">
        <v>15101</v>
      </c>
      <c r="D260" s="1" t="s">
        <v>15102</v>
      </c>
    </row>
    <row r="261" spans="1:4" x14ac:dyDescent="0.15">
      <c r="A261" s="1" t="s">
        <v>15117</v>
      </c>
      <c r="B261" s="1" t="s">
        <v>12495</v>
      </c>
      <c r="C261" s="1" t="s">
        <v>15117</v>
      </c>
      <c r="D261" s="1" t="s">
        <v>15118</v>
      </c>
    </row>
    <row r="262" spans="1:4" x14ac:dyDescent="0.15">
      <c r="A262" s="1" t="s">
        <v>15137</v>
      </c>
      <c r="B262" s="1" t="s">
        <v>12496</v>
      </c>
      <c r="C262" s="1" t="s">
        <v>15137</v>
      </c>
      <c r="D262" s="1" t="s">
        <v>15138</v>
      </c>
    </row>
    <row r="263" spans="1:4" x14ac:dyDescent="0.15">
      <c r="A263" s="1" t="s">
        <v>14580</v>
      </c>
      <c r="B263" s="1" t="s">
        <v>14577</v>
      </c>
      <c r="C263" s="1" t="s">
        <v>14580</v>
      </c>
      <c r="D263" s="1" t="s">
        <v>14577</v>
      </c>
    </row>
    <row r="264" spans="1:4" x14ac:dyDescent="0.15">
      <c r="A264" s="1" t="s">
        <v>14587</v>
      </c>
      <c r="B264" s="1" t="s">
        <v>14584</v>
      </c>
      <c r="C264" s="1" t="s">
        <v>14587</v>
      </c>
      <c r="D264" s="1" t="s">
        <v>14584</v>
      </c>
    </row>
    <row r="265" spans="1:4" x14ac:dyDescent="0.15">
      <c r="A265" s="1" t="s">
        <v>14590</v>
      </c>
      <c r="B265" s="1" t="s">
        <v>12500</v>
      </c>
      <c r="C265" s="1" t="s">
        <v>14590</v>
      </c>
      <c r="D265" s="1" t="s">
        <v>14591</v>
      </c>
    </row>
    <row r="266" spans="1:4" x14ac:dyDescent="0.15">
      <c r="A266" s="1" t="s">
        <v>12504</v>
      </c>
      <c r="B266" s="1" t="s">
        <v>12505</v>
      </c>
      <c r="C266" s="1" t="s">
        <v>14590</v>
      </c>
      <c r="D266" s="1" t="s">
        <v>14591</v>
      </c>
    </row>
    <row r="267" spans="1:4" x14ac:dyDescent="0.15">
      <c r="A267" s="1" t="s">
        <v>14594</v>
      </c>
      <c r="B267" s="1" t="s">
        <v>12501</v>
      </c>
      <c r="C267" s="1" t="s">
        <v>14594</v>
      </c>
      <c r="D267" s="1" t="s">
        <v>14595</v>
      </c>
    </row>
    <row r="268" spans="1:4" x14ac:dyDescent="0.15">
      <c r="A268" s="1" t="s">
        <v>14598</v>
      </c>
      <c r="B268" s="1" t="s">
        <v>12502</v>
      </c>
      <c r="C268" s="1" t="s">
        <v>14598</v>
      </c>
      <c r="D268" s="1" t="s">
        <v>14599</v>
      </c>
    </row>
    <row r="269" spans="1:4" x14ac:dyDescent="0.15">
      <c r="A269" s="1" t="s">
        <v>14602</v>
      </c>
      <c r="B269" s="1" t="s">
        <v>12503</v>
      </c>
      <c r="C269" s="1" t="s">
        <v>14602</v>
      </c>
      <c r="D269" s="1" t="s">
        <v>14603</v>
      </c>
    </row>
    <row r="270" spans="1:4" x14ac:dyDescent="0.15">
      <c r="A270" s="1" t="s">
        <v>14610</v>
      </c>
      <c r="B270" s="1" t="s">
        <v>12507</v>
      </c>
      <c r="C270" s="1" t="s">
        <v>14610</v>
      </c>
      <c r="D270" s="1" t="s">
        <v>14611</v>
      </c>
    </row>
    <row r="271" spans="1:4" x14ac:dyDescent="0.15">
      <c r="A271" s="1" t="s">
        <v>14630</v>
      </c>
      <c r="B271" s="1" t="s">
        <v>14631</v>
      </c>
      <c r="C271" s="1" t="s">
        <v>14630</v>
      </c>
      <c r="D271" s="1" t="s">
        <v>14631</v>
      </c>
    </row>
    <row r="272" spans="1:4" x14ac:dyDescent="0.15">
      <c r="A272" s="1" t="s">
        <v>14638</v>
      </c>
      <c r="B272" s="1" t="s">
        <v>12508</v>
      </c>
      <c r="C272" s="1" t="s">
        <v>14638</v>
      </c>
      <c r="D272" s="1" t="s">
        <v>14635</v>
      </c>
    </row>
    <row r="273" spans="1:4" x14ac:dyDescent="0.15">
      <c r="A273" s="1" t="s">
        <v>14650</v>
      </c>
      <c r="B273" s="1" t="s">
        <v>12512</v>
      </c>
      <c r="C273" s="1" t="s">
        <v>14650</v>
      </c>
      <c r="D273" s="1" t="s">
        <v>14647</v>
      </c>
    </row>
    <row r="274" spans="1:4" x14ac:dyDescent="0.15">
      <c r="A274" s="1" t="s">
        <v>12509</v>
      </c>
      <c r="B274" s="1" t="s">
        <v>12510</v>
      </c>
      <c r="C274" s="1" t="s">
        <v>14657</v>
      </c>
      <c r="D274" s="1" t="s">
        <v>14654</v>
      </c>
    </row>
    <row r="275" spans="1:4" x14ac:dyDescent="0.15">
      <c r="A275" s="1" t="s">
        <v>14657</v>
      </c>
      <c r="B275" s="1" t="s">
        <v>14654</v>
      </c>
      <c r="C275" s="1" t="s">
        <v>14657</v>
      </c>
      <c r="D275" s="1" t="s">
        <v>14654</v>
      </c>
    </row>
    <row r="276" spans="1:4" x14ac:dyDescent="0.15">
      <c r="A276" s="1" t="s">
        <v>14664</v>
      </c>
      <c r="B276" s="1" t="s">
        <v>12513</v>
      </c>
      <c r="C276" s="1" t="s">
        <v>14664</v>
      </c>
      <c r="D276" s="1" t="s">
        <v>14661</v>
      </c>
    </row>
    <row r="277" spans="1:4" x14ac:dyDescent="0.15">
      <c r="A277" s="1" t="s">
        <v>14671</v>
      </c>
      <c r="B277" s="1" t="s">
        <v>12514</v>
      </c>
      <c r="C277" s="1" t="s">
        <v>14671</v>
      </c>
      <c r="D277" s="1" t="s">
        <v>14668</v>
      </c>
    </row>
    <row r="278" spans="1:4" x14ac:dyDescent="0.15">
      <c r="A278" s="1" t="s">
        <v>12518</v>
      </c>
      <c r="B278" s="1" t="s">
        <v>12519</v>
      </c>
      <c r="C278" s="1" t="s">
        <v>14671</v>
      </c>
      <c r="D278" s="1" t="s">
        <v>14668</v>
      </c>
    </row>
    <row r="279" spans="1:4" x14ac:dyDescent="0.15">
      <c r="A279" s="1" t="s">
        <v>14678</v>
      </c>
      <c r="B279" s="1" t="s">
        <v>12521</v>
      </c>
      <c r="C279" s="1" t="s">
        <v>14678</v>
      </c>
      <c r="D279" s="1" t="s">
        <v>14675</v>
      </c>
    </row>
    <row r="280" spans="1:4" x14ac:dyDescent="0.15">
      <c r="A280" s="1" t="s">
        <v>14690</v>
      </c>
      <c r="B280" s="1" t="s">
        <v>12522</v>
      </c>
      <c r="C280" s="1" t="s">
        <v>14690</v>
      </c>
      <c r="D280" s="1" t="s">
        <v>14687</v>
      </c>
    </row>
    <row r="281" spans="1:4" x14ac:dyDescent="0.15">
      <c r="A281" s="1" t="s">
        <v>14697</v>
      </c>
      <c r="B281" s="1" t="s">
        <v>14694</v>
      </c>
      <c r="C281" s="1" t="s">
        <v>14697</v>
      </c>
      <c r="D281" s="1" t="s">
        <v>14694</v>
      </c>
    </row>
    <row r="282" spans="1:4" x14ac:dyDescent="0.15">
      <c r="A282" s="1" t="s">
        <v>14704</v>
      </c>
      <c r="B282" s="1" t="s">
        <v>14701</v>
      </c>
      <c r="C282" s="1" t="s">
        <v>14704</v>
      </c>
      <c r="D282" s="1" t="s">
        <v>14701</v>
      </c>
    </row>
    <row r="283" spans="1:4" x14ac:dyDescent="0.15">
      <c r="A283" s="1" t="s">
        <v>14711</v>
      </c>
      <c r="B283" s="1" t="s">
        <v>14708</v>
      </c>
      <c r="C283" s="1" t="s">
        <v>14711</v>
      </c>
      <c r="D283" s="1" t="s">
        <v>14708</v>
      </c>
    </row>
    <row r="284" spans="1:4" x14ac:dyDescent="0.15">
      <c r="A284" s="1" t="s">
        <v>14725</v>
      </c>
      <c r="B284" s="1" t="s">
        <v>14722</v>
      </c>
      <c r="C284" s="1" t="s">
        <v>14725</v>
      </c>
      <c r="D284" s="1" t="s">
        <v>14726</v>
      </c>
    </row>
    <row r="285" spans="1:4" x14ac:dyDescent="0.15">
      <c r="A285" s="1" t="s">
        <v>14753</v>
      </c>
      <c r="B285" s="1" t="s">
        <v>14750</v>
      </c>
      <c r="C285" s="1" t="s">
        <v>14753</v>
      </c>
      <c r="D285" s="1" t="s">
        <v>14750</v>
      </c>
    </row>
    <row r="286" spans="1:4" x14ac:dyDescent="0.15">
      <c r="A286" s="1" t="s">
        <v>14764</v>
      </c>
      <c r="B286" s="1" t="s">
        <v>14761</v>
      </c>
      <c r="C286" s="1" t="s">
        <v>14764</v>
      </c>
      <c r="D286" s="1" t="s">
        <v>14765</v>
      </c>
    </row>
    <row r="287" spans="1:4" x14ac:dyDescent="0.15">
      <c r="A287" s="1" t="s">
        <v>12415</v>
      </c>
      <c r="B287" s="1" t="s">
        <v>12416</v>
      </c>
      <c r="C287" s="1" t="s">
        <v>14780</v>
      </c>
      <c r="D287" s="1" t="s">
        <v>14781</v>
      </c>
    </row>
    <row r="288" spans="1:4" x14ac:dyDescent="0.15">
      <c r="A288" s="1" t="s">
        <v>14792</v>
      </c>
      <c r="B288" s="1" t="s">
        <v>12523</v>
      </c>
      <c r="C288" s="1" t="s">
        <v>14792</v>
      </c>
      <c r="D288" s="1" t="s">
        <v>14789</v>
      </c>
    </row>
    <row r="289" spans="1:4" x14ac:dyDescent="0.15">
      <c r="A289" s="1" t="s">
        <v>14799</v>
      </c>
      <c r="B289" s="1" t="s">
        <v>12524</v>
      </c>
      <c r="C289" s="1" t="s">
        <v>14799</v>
      </c>
      <c r="D289" s="1" t="s">
        <v>14800</v>
      </c>
    </row>
    <row r="290" spans="1:4" x14ac:dyDescent="0.15">
      <c r="A290" s="1" t="s">
        <v>14815</v>
      </c>
      <c r="B290" s="1" t="s">
        <v>14812</v>
      </c>
      <c r="C290" s="1" t="s">
        <v>14815</v>
      </c>
      <c r="D290" s="1" t="s">
        <v>14812</v>
      </c>
    </row>
    <row r="291" spans="1:4" x14ac:dyDescent="0.15">
      <c r="A291" s="1" t="s">
        <v>14822</v>
      </c>
      <c r="B291" s="1" t="s">
        <v>12526</v>
      </c>
      <c r="C291" s="1" t="s">
        <v>14822</v>
      </c>
      <c r="D291" s="1" t="s">
        <v>14819</v>
      </c>
    </row>
    <row r="292" spans="1:4" x14ac:dyDescent="0.15">
      <c r="A292" s="1" t="s">
        <v>14829</v>
      </c>
      <c r="B292" s="1" t="s">
        <v>14830</v>
      </c>
      <c r="C292" s="1" t="s">
        <v>14829</v>
      </c>
      <c r="D292" s="1" t="s">
        <v>14830</v>
      </c>
    </row>
    <row r="293" spans="1:4" x14ac:dyDescent="0.15">
      <c r="A293" s="1" t="s">
        <v>14257</v>
      </c>
      <c r="B293" s="1" t="s">
        <v>12527</v>
      </c>
      <c r="C293" s="1" t="s">
        <v>14257</v>
      </c>
      <c r="D293" s="1" t="s">
        <v>14258</v>
      </c>
    </row>
    <row r="294" spans="1:4" x14ac:dyDescent="0.15">
      <c r="A294" s="1" t="s">
        <v>14296</v>
      </c>
      <c r="B294" s="1" t="s">
        <v>12528</v>
      </c>
      <c r="C294" s="1" t="s">
        <v>14296</v>
      </c>
      <c r="D294" s="1" t="s">
        <v>14297</v>
      </c>
    </row>
    <row r="295" spans="1:4" x14ac:dyDescent="0.15">
      <c r="A295" s="1" t="s">
        <v>12529</v>
      </c>
      <c r="B295" s="1" t="s">
        <v>12530</v>
      </c>
      <c r="C295" s="1" t="s">
        <v>14332</v>
      </c>
      <c r="D295" s="1" t="s">
        <v>14333</v>
      </c>
    </row>
    <row r="296" spans="1:4" x14ac:dyDescent="0.15">
      <c r="A296" s="1" t="s">
        <v>14352</v>
      </c>
      <c r="B296" s="1" t="s">
        <v>12532</v>
      </c>
      <c r="C296" s="1" t="s">
        <v>14352</v>
      </c>
      <c r="D296" s="1" t="s">
        <v>14353</v>
      </c>
    </row>
    <row r="297" spans="1:4" x14ac:dyDescent="0.15">
      <c r="A297" s="1" t="s">
        <v>14392</v>
      </c>
      <c r="B297" s="1" t="s">
        <v>12533</v>
      </c>
      <c r="C297" s="1" t="s">
        <v>14392</v>
      </c>
      <c r="D297" s="1" t="s">
        <v>14393</v>
      </c>
    </row>
    <row r="298" spans="1:4" x14ac:dyDescent="0.15">
      <c r="A298" s="1" t="s">
        <v>14396</v>
      </c>
      <c r="B298" s="1" t="s">
        <v>12534</v>
      </c>
      <c r="C298" s="1" t="s">
        <v>14396</v>
      </c>
      <c r="D298" s="1" t="s">
        <v>14397</v>
      </c>
    </row>
    <row r="299" spans="1:4" x14ac:dyDescent="0.15">
      <c r="A299" s="1" t="s">
        <v>14412</v>
      </c>
      <c r="B299" s="1" t="s">
        <v>12535</v>
      </c>
      <c r="C299" s="1" t="s">
        <v>14412</v>
      </c>
      <c r="D299" s="1" t="s">
        <v>14413</v>
      </c>
    </row>
    <row r="300" spans="1:4" x14ac:dyDescent="0.15">
      <c r="A300" s="1" t="s">
        <v>12154</v>
      </c>
      <c r="B300" s="1" t="s">
        <v>12155</v>
      </c>
      <c r="C300" s="1" t="s">
        <v>14431</v>
      </c>
      <c r="D300" s="1" t="s">
        <v>14432</v>
      </c>
    </row>
    <row r="301" spans="1:4" x14ac:dyDescent="0.15">
      <c r="A301" s="1" t="s">
        <v>14459</v>
      </c>
      <c r="B301" s="1" t="s">
        <v>12536</v>
      </c>
      <c r="C301" s="1" t="s">
        <v>14459</v>
      </c>
      <c r="D301" s="1" t="s">
        <v>14460</v>
      </c>
    </row>
    <row r="302" spans="1:4" x14ac:dyDescent="0.15">
      <c r="A302" s="1" t="s">
        <v>14565</v>
      </c>
      <c r="B302" s="1" t="s">
        <v>12540</v>
      </c>
      <c r="C302" s="1" t="s">
        <v>14565</v>
      </c>
      <c r="D302" s="1" t="s">
        <v>14566</v>
      </c>
    </row>
    <row r="303" spans="1:4" x14ac:dyDescent="0.15">
      <c r="A303" s="1" t="s">
        <v>14573</v>
      </c>
      <c r="B303" s="1" t="s">
        <v>14574</v>
      </c>
      <c r="C303" s="1" t="s">
        <v>14573</v>
      </c>
      <c r="D303" s="1" t="s">
        <v>14574</v>
      </c>
    </row>
    <row r="304" spans="1:4" x14ac:dyDescent="0.15">
      <c r="A304" s="1" t="s">
        <v>13917</v>
      </c>
      <c r="B304" s="1" t="s">
        <v>12541</v>
      </c>
      <c r="C304" s="1" t="s">
        <v>13917</v>
      </c>
      <c r="D304" s="1" t="s">
        <v>13918</v>
      </c>
    </row>
    <row r="305" spans="1:4" x14ac:dyDescent="0.15">
      <c r="A305" s="1" t="s">
        <v>13941</v>
      </c>
      <c r="B305" s="1" t="s">
        <v>12542</v>
      </c>
      <c r="C305" s="1" t="s">
        <v>13941</v>
      </c>
      <c r="D305" s="1" t="s">
        <v>13942</v>
      </c>
    </row>
    <row r="306" spans="1:4" x14ac:dyDescent="0.15">
      <c r="A306" s="1" t="s">
        <v>13977</v>
      </c>
      <c r="B306" s="1" t="s">
        <v>12543</v>
      </c>
      <c r="C306" s="1" t="s">
        <v>13977</v>
      </c>
      <c r="D306" s="1" t="s">
        <v>13974</v>
      </c>
    </row>
    <row r="307" spans="1:4" x14ac:dyDescent="0.15">
      <c r="A307" s="1" t="s">
        <v>13989</v>
      </c>
      <c r="B307" s="1" t="s">
        <v>12544</v>
      </c>
      <c r="C307" s="1" t="s">
        <v>13989</v>
      </c>
      <c r="D307" s="1" t="s">
        <v>13986</v>
      </c>
    </row>
    <row r="308" spans="1:4" x14ac:dyDescent="0.15">
      <c r="A308" s="1" t="s">
        <v>13996</v>
      </c>
      <c r="B308" s="1" t="s">
        <v>12545</v>
      </c>
      <c r="C308" s="1" t="s">
        <v>13996</v>
      </c>
      <c r="D308" s="1" t="s">
        <v>13993</v>
      </c>
    </row>
    <row r="309" spans="1:4" x14ac:dyDescent="0.15">
      <c r="A309" s="1" t="s">
        <v>14003</v>
      </c>
      <c r="B309" s="1" t="s">
        <v>14000</v>
      </c>
      <c r="C309" s="1" t="s">
        <v>14003</v>
      </c>
      <c r="D309" s="1" t="s">
        <v>14000</v>
      </c>
    </row>
    <row r="310" spans="1:4" x14ac:dyDescent="0.15">
      <c r="A310" s="1" t="s">
        <v>14010</v>
      </c>
      <c r="B310" s="1" t="s">
        <v>12546</v>
      </c>
      <c r="C310" s="1" t="s">
        <v>14010</v>
      </c>
      <c r="D310" s="1" t="s">
        <v>14011</v>
      </c>
    </row>
    <row r="311" spans="1:4" x14ac:dyDescent="0.15">
      <c r="A311" s="1" t="s">
        <v>14014</v>
      </c>
      <c r="B311" s="1" t="s">
        <v>12547</v>
      </c>
      <c r="C311" s="1" t="s">
        <v>14014</v>
      </c>
      <c r="D311" s="1" t="s">
        <v>14015</v>
      </c>
    </row>
    <row r="312" spans="1:4" x14ac:dyDescent="0.15">
      <c r="A312" s="1" t="s">
        <v>12537</v>
      </c>
      <c r="B312" s="1" t="s">
        <v>12538</v>
      </c>
      <c r="C312" s="1" t="s">
        <v>14014</v>
      </c>
      <c r="D312" s="1" t="s">
        <v>14015</v>
      </c>
    </row>
    <row r="313" spans="1:4" x14ac:dyDescent="0.15">
      <c r="A313" s="1" t="s">
        <v>12378</v>
      </c>
      <c r="B313" s="1" t="s">
        <v>12379</v>
      </c>
      <c r="C313" s="1" t="s">
        <v>14026</v>
      </c>
      <c r="D313" s="1" t="s">
        <v>14027</v>
      </c>
    </row>
    <row r="314" spans="1:4" x14ac:dyDescent="0.15">
      <c r="A314" s="1" t="s">
        <v>14034</v>
      </c>
      <c r="B314" s="1" t="s">
        <v>12551</v>
      </c>
      <c r="C314" s="1" t="s">
        <v>14034</v>
      </c>
      <c r="D314" s="1" t="s">
        <v>14035</v>
      </c>
    </row>
    <row r="315" spans="1:4" x14ac:dyDescent="0.15">
      <c r="A315" s="1" t="s">
        <v>14042</v>
      </c>
      <c r="B315" s="1" t="s">
        <v>12552</v>
      </c>
      <c r="C315" s="1" t="s">
        <v>14042</v>
      </c>
      <c r="D315" s="1" t="s">
        <v>14043</v>
      </c>
    </row>
    <row r="316" spans="1:4" x14ac:dyDescent="0.15">
      <c r="A316" s="1" t="s">
        <v>12548</v>
      </c>
      <c r="B316" s="1" t="s">
        <v>12549</v>
      </c>
      <c r="C316" s="1" t="s">
        <v>14046</v>
      </c>
      <c r="D316" s="1" t="s">
        <v>14047</v>
      </c>
    </row>
    <row r="317" spans="1:4" x14ac:dyDescent="0.15">
      <c r="A317" s="1" t="s">
        <v>14070</v>
      </c>
      <c r="B317" s="1" t="s">
        <v>12553</v>
      </c>
      <c r="C317" s="1" t="s">
        <v>14070</v>
      </c>
      <c r="D317" s="1" t="s">
        <v>14071</v>
      </c>
    </row>
    <row r="318" spans="1:4" x14ac:dyDescent="0.15">
      <c r="A318" s="1" t="s">
        <v>14078</v>
      </c>
      <c r="B318" s="1" t="s">
        <v>14079</v>
      </c>
      <c r="C318" s="1" t="s">
        <v>14078</v>
      </c>
      <c r="D318" s="1" t="s">
        <v>14079</v>
      </c>
    </row>
    <row r="319" spans="1:4" x14ac:dyDescent="0.15">
      <c r="A319" s="1" t="s">
        <v>12554</v>
      </c>
      <c r="B319" s="1" t="s">
        <v>12555</v>
      </c>
      <c r="C319" s="1" t="s">
        <v>14082</v>
      </c>
      <c r="D319" s="1" t="s">
        <v>14083</v>
      </c>
    </row>
    <row r="320" spans="1:4" x14ac:dyDescent="0.15">
      <c r="A320" s="1" t="s">
        <v>14082</v>
      </c>
      <c r="B320" s="1" t="s">
        <v>12557</v>
      </c>
      <c r="C320" s="1" t="s">
        <v>14082</v>
      </c>
      <c r="D320" s="1" t="s">
        <v>14083</v>
      </c>
    </row>
    <row r="321" spans="1:4" x14ac:dyDescent="0.15">
      <c r="A321" s="1" t="s">
        <v>14090</v>
      </c>
      <c r="B321" s="1" t="s">
        <v>12558</v>
      </c>
      <c r="C321" s="1" t="s">
        <v>14090</v>
      </c>
      <c r="D321" s="1" t="s">
        <v>14091</v>
      </c>
    </row>
    <row r="322" spans="1:4" x14ac:dyDescent="0.15">
      <c r="A322" s="1" t="s">
        <v>14098</v>
      </c>
      <c r="B322" s="1" t="s">
        <v>12559</v>
      </c>
      <c r="C322" s="1" t="s">
        <v>14098</v>
      </c>
      <c r="D322" s="1" t="s">
        <v>14099</v>
      </c>
    </row>
    <row r="323" spans="1:4" x14ac:dyDescent="0.15">
      <c r="A323" s="1" t="s">
        <v>14102</v>
      </c>
      <c r="B323" s="1" t="s">
        <v>14103</v>
      </c>
      <c r="C323" s="1" t="s">
        <v>14102</v>
      </c>
      <c r="D323" s="1" t="s">
        <v>14103</v>
      </c>
    </row>
    <row r="324" spans="1:4" x14ac:dyDescent="0.15">
      <c r="A324" s="1" t="s">
        <v>14110</v>
      </c>
      <c r="B324" s="1" t="s">
        <v>14111</v>
      </c>
      <c r="C324" s="1" t="s">
        <v>14110</v>
      </c>
      <c r="D324" s="1" t="s">
        <v>14111</v>
      </c>
    </row>
    <row r="325" spans="1:4" x14ac:dyDescent="0.15">
      <c r="A325" s="1" t="s">
        <v>14114</v>
      </c>
      <c r="B325" s="1" t="s">
        <v>14115</v>
      </c>
      <c r="C325" s="1" t="s">
        <v>14114</v>
      </c>
      <c r="D325" s="1" t="s">
        <v>14115</v>
      </c>
    </row>
    <row r="326" spans="1:4" x14ac:dyDescent="0.15">
      <c r="A326" s="1" t="s">
        <v>14118</v>
      </c>
      <c r="B326" s="1" t="s">
        <v>14119</v>
      </c>
      <c r="C326" s="1" t="s">
        <v>14118</v>
      </c>
      <c r="D326" s="1" t="s">
        <v>14119</v>
      </c>
    </row>
    <row r="327" spans="1:4" x14ac:dyDescent="0.15">
      <c r="A327" s="1" t="s">
        <v>14138</v>
      </c>
      <c r="B327" s="1" t="s">
        <v>12560</v>
      </c>
      <c r="C327" s="1" t="s">
        <v>14138</v>
      </c>
      <c r="D327" s="1" t="s">
        <v>14139</v>
      </c>
    </row>
    <row r="328" spans="1:4" x14ac:dyDescent="0.15">
      <c r="A328" s="1" t="s">
        <v>14145</v>
      </c>
      <c r="B328" s="1" t="s">
        <v>14146</v>
      </c>
      <c r="C328" s="1" t="s">
        <v>14145</v>
      </c>
      <c r="D328" s="1" t="s">
        <v>14146</v>
      </c>
    </row>
    <row r="329" spans="1:4" x14ac:dyDescent="0.15">
      <c r="A329" s="1" t="s">
        <v>14149</v>
      </c>
      <c r="B329" s="1" t="s">
        <v>12561</v>
      </c>
      <c r="C329" s="1" t="s">
        <v>14149</v>
      </c>
      <c r="D329" s="1" t="s">
        <v>14150</v>
      </c>
    </row>
    <row r="330" spans="1:4" x14ac:dyDescent="0.15">
      <c r="A330" s="1" t="s">
        <v>14153</v>
      </c>
      <c r="B330" s="1" t="s">
        <v>12562</v>
      </c>
      <c r="C330" s="1" t="s">
        <v>14153</v>
      </c>
      <c r="D330" s="1" t="s">
        <v>14154</v>
      </c>
    </row>
    <row r="331" spans="1:4" x14ac:dyDescent="0.15">
      <c r="A331" s="1" t="s">
        <v>14157</v>
      </c>
      <c r="B331" s="1" t="s">
        <v>12563</v>
      </c>
      <c r="C331" s="1" t="s">
        <v>14157</v>
      </c>
      <c r="D331" s="1" t="s">
        <v>14158</v>
      </c>
    </row>
    <row r="332" spans="1:4" x14ac:dyDescent="0.15">
      <c r="A332" s="1" t="s">
        <v>14181</v>
      </c>
      <c r="B332" s="1" t="s">
        <v>14182</v>
      </c>
      <c r="C332" s="1" t="s">
        <v>14181</v>
      </c>
      <c r="D332" s="1" t="s">
        <v>14182</v>
      </c>
    </row>
    <row r="333" spans="1:4" x14ac:dyDescent="0.15">
      <c r="A333" s="1" t="s">
        <v>14189</v>
      </c>
      <c r="B333" s="1" t="s">
        <v>12567</v>
      </c>
      <c r="C333" s="1" t="s">
        <v>14189</v>
      </c>
      <c r="D333" s="1" t="s">
        <v>14186</v>
      </c>
    </row>
    <row r="334" spans="1:4" x14ac:dyDescent="0.15">
      <c r="A334" s="1" t="s">
        <v>12289</v>
      </c>
      <c r="B334" s="1" t="s">
        <v>12290</v>
      </c>
      <c r="C334" s="1" t="s">
        <v>14211</v>
      </c>
      <c r="D334" s="1" t="s">
        <v>14212</v>
      </c>
    </row>
    <row r="335" spans="1:4" x14ac:dyDescent="0.15">
      <c r="A335" s="1" t="s">
        <v>12293</v>
      </c>
      <c r="B335" s="1" t="s">
        <v>12294</v>
      </c>
      <c r="C335" s="1" t="s">
        <v>13600</v>
      </c>
      <c r="D335" s="1" t="s">
        <v>13601</v>
      </c>
    </row>
    <row r="336" spans="1:4" x14ac:dyDescent="0.15">
      <c r="A336" s="1" t="s">
        <v>12296</v>
      </c>
      <c r="B336" s="1" t="s">
        <v>12297</v>
      </c>
      <c r="C336" s="1" t="s">
        <v>13604</v>
      </c>
      <c r="D336" s="1" t="s">
        <v>13605</v>
      </c>
    </row>
    <row r="337" spans="1:4" x14ac:dyDescent="0.15">
      <c r="A337" s="1" t="s">
        <v>12229</v>
      </c>
      <c r="B337" s="1" t="s">
        <v>12230</v>
      </c>
      <c r="C337" s="1" t="s">
        <v>13620</v>
      </c>
      <c r="D337" s="1" t="s">
        <v>13621</v>
      </c>
    </row>
    <row r="338" spans="1:4" x14ac:dyDescent="0.15">
      <c r="A338" s="1" t="s">
        <v>12238</v>
      </c>
      <c r="B338" s="1" t="s">
        <v>12239</v>
      </c>
      <c r="C338" s="1" t="s">
        <v>13620</v>
      </c>
      <c r="D338" s="1" t="s">
        <v>13621</v>
      </c>
    </row>
    <row r="339" spans="1:4" x14ac:dyDescent="0.15">
      <c r="A339" s="1" t="s">
        <v>12299</v>
      </c>
      <c r="B339" s="1" t="s">
        <v>12300</v>
      </c>
      <c r="C339" s="1" t="s">
        <v>13628</v>
      </c>
      <c r="D339" s="1" t="s">
        <v>13625</v>
      </c>
    </row>
    <row r="340" spans="1:4" x14ac:dyDescent="0.15">
      <c r="A340" s="1" t="s">
        <v>12184</v>
      </c>
      <c r="B340" s="1" t="s">
        <v>12185</v>
      </c>
      <c r="C340" s="1" t="s">
        <v>13642</v>
      </c>
      <c r="D340" s="1" t="s">
        <v>13643</v>
      </c>
    </row>
    <row r="341" spans="1:4" x14ac:dyDescent="0.15">
      <c r="A341" s="1" t="s">
        <v>12188</v>
      </c>
      <c r="B341" s="1" t="s">
        <v>12189</v>
      </c>
      <c r="C341" s="1" t="s">
        <v>13646</v>
      </c>
      <c r="D341" s="1" t="s">
        <v>13647</v>
      </c>
    </row>
    <row r="342" spans="1:4" x14ac:dyDescent="0.15">
      <c r="A342" s="1" t="s">
        <v>12191</v>
      </c>
      <c r="B342" s="1" t="s">
        <v>12192</v>
      </c>
      <c r="C342" s="1" t="s">
        <v>13650</v>
      </c>
      <c r="D342" s="1" t="s">
        <v>13651</v>
      </c>
    </row>
    <row r="343" spans="1:4" x14ac:dyDescent="0.15">
      <c r="A343" s="1" t="s">
        <v>12305</v>
      </c>
      <c r="B343" s="1" t="s">
        <v>12306</v>
      </c>
      <c r="C343" s="1" t="s">
        <v>13662</v>
      </c>
      <c r="D343" s="1" t="s">
        <v>13663</v>
      </c>
    </row>
    <row r="344" spans="1:4" x14ac:dyDescent="0.15">
      <c r="A344" s="1" t="s">
        <v>12244</v>
      </c>
      <c r="B344" s="1" t="s">
        <v>12245</v>
      </c>
      <c r="C344" s="1" t="s">
        <v>13678</v>
      </c>
      <c r="D344" s="1" t="s">
        <v>13679</v>
      </c>
    </row>
    <row r="345" spans="1:4" x14ac:dyDescent="0.15">
      <c r="A345" s="1" t="s">
        <v>12308</v>
      </c>
      <c r="B345" s="1" t="s">
        <v>12309</v>
      </c>
      <c r="C345" s="1" t="s">
        <v>13682</v>
      </c>
      <c r="D345" s="1" t="s">
        <v>13683</v>
      </c>
    </row>
    <row r="346" spans="1:4" x14ac:dyDescent="0.15">
      <c r="A346" s="1" t="s">
        <v>12247</v>
      </c>
      <c r="B346" s="1" t="s">
        <v>12248</v>
      </c>
      <c r="C346" s="1" t="s">
        <v>13686</v>
      </c>
      <c r="D346" s="1" t="s">
        <v>13687</v>
      </c>
    </row>
    <row r="347" spans="1:4" x14ac:dyDescent="0.15">
      <c r="A347" s="1" t="s">
        <v>12311</v>
      </c>
      <c r="B347" s="1" t="s">
        <v>12306</v>
      </c>
      <c r="C347" s="1" t="s">
        <v>13694</v>
      </c>
      <c r="D347" s="1" t="s">
        <v>13695</v>
      </c>
    </row>
    <row r="348" spans="1:4" x14ac:dyDescent="0.15">
      <c r="A348" s="1" t="s">
        <v>12241</v>
      </c>
      <c r="B348" s="1" t="s">
        <v>12242</v>
      </c>
      <c r="C348" s="1" t="s">
        <v>13702</v>
      </c>
      <c r="D348" s="1" t="s">
        <v>13703</v>
      </c>
    </row>
    <row r="349" spans="1:4" x14ac:dyDescent="0.15">
      <c r="A349" s="1" t="s">
        <v>12267</v>
      </c>
      <c r="B349" s="1" t="s">
        <v>12268</v>
      </c>
      <c r="C349" s="1" t="s">
        <v>13710</v>
      </c>
      <c r="D349" s="1" t="s">
        <v>13711</v>
      </c>
    </row>
    <row r="350" spans="1:4" x14ac:dyDescent="0.15">
      <c r="A350" s="1" t="s">
        <v>12272</v>
      </c>
      <c r="B350" s="1" t="s">
        <v>12273</v>
      </c>
      <c r="C350" s="1" t="s">
        <v>13722</v>
      </c>
      <c r="D350" s="1" t="s">
        <v>13723</v>
      </c>
    </row>
    <row r="351" spans="1:4" x14ac:dyDescent="0.15">
      <c r="A351" s="1" t="s">
        <v>12250</v>
      </c>
      <c r="B351" s="1" t="s">
        <v>13727</v>
      </c>
      <c r="C351" s="1" t="s">
        <v>13726</v>
      </c>
      <c r="D351" s="1" t="s">
        <v>13727</v>
      </c>
    </row>
    <row r="352" spans="1:4" x14ac:dyDescent="0.15">
      <c r="A352" s="1" t="s">
        <v>12194</v>
      </c>
      <c r="B352" s="1" t="s">
        <v>12195</v>
      </c>
      <c r="C352" s="1" t="s">
        <v>13754</v>
      </c>
      <c r="D352" s="1" t="s">
        <v>13755</v>
      </c>
    </row>
    <row r="353" spans="1:4" x14ac:dyDescent="0.15">
      <c r="A353" s="1" t="s">
        <v>12197</v>
      </c>
      <c r="B353" s="1" t="s">
        <v>12198</v>
      </c>
      <c r="C353" s="1" t="s">
        <v>13758</v>
      </c>
      <c r="D353" s="1" t="s">
        <v>13759</v>
      </c>
    </row>
    <row r="354" spans="1:4" x14ac:dyDescent="0.15">
      <c r="A354" s="1" t="s">
        <v>12200</v>
      </c>
      <c r="B354" s="1" t="s">
        <v>12201</v>
      </c>
      <c r="C354" s="1" t="s">
        <v>13758</v>
      </c>
      <c r="D354" s="1" t="s">
        <v>13759</v>
      </c>
    </row>
    <row r="355" spans="1:4" x14ac:dyDescent="0.15">
      <c r="A355" s="1" t="s">
        <v>12203</v>
      </c>
      <c r="B355" s="1" t="s">
        <v>12204</v>
      </c>
      <c r="C355" s="1" t="s">
        <v>13766</v>
      </c>
      <c r="D355" s="1" t="s">
        <v>13767</v>
      </c>
    </row>
    <row r="356" spans="1:4" x14ac:dyDescent="0.15">
      <c r="A356" s="1" t="s">
        <v>12206</v>
      </c>
      <c r="B356" s="1" t="s">
        <v>12207</v>
      </c>
      <c r="C356" s="1" t="s">
        <v>13770</v>
      </c>
      <c r="D356" s="1" t="s">
        <v>13771</v>
      </c>
    </row>
    <row r="357" spans="1:4" x14ac:dyDescent="0.15">
      <c r="A357" s="1" t="s">
        <v>12277</v>
      </c>
      <c r="B357" s="1" t="s">
        <v>12278</v>
      </c>
      <c r="C357" s="1" t="s">
        <v>13770</v>
      </c>
      <c r="D357" s="1" t="s">
        <v>13771</v>
      </c>
    </row>
    <row r="358" spans="1:4" x14ac:dyDescent="0.15">
      <c r="A358" s="1" t="s">
        <v>12209</v>
      </c>
      <c r="B358" s="1" t="s">
        <v>12210</v>
      </c>
      <c r="C358" s="1" t="s">
        <v>13774</v>
      </c>
      <c r="D358" s="1" t="s">
        <v>13775</v>
      </c>
    </row>
    <row r="359" spans="1:4" x14ac:dyDescent="0.15">
      <c r="A359" s="1" t="s">
        <v>12212</v>
      </c>
      <c r="B359" s="1" t="s">
        <v>12213</v>
      </c>
      <c r="C359" s="1" t="s">
        <v>13782</v>
      </c>
      <c r="D359" s="1" t="s">
        <v>13783</v>
      </c>
    </row>
    <row r="360" spans="1:4" x14ac:dyDescent="0.15">
      <c r="A360" s="1" t="s">
        <v>12215</v>
      </c>
      <c r="B360" s="1" t="s">
        <v>12216</v>
      </c>
      <c r="C360" s="1" t="s">
        <v>13790</v>
      </c>
      <c r="D360" s="1" t="s">
        <v>13791</v>
      </c>
    </row>
    <row r="361" spans="1:4" x14ac:dyDescent="0.15">
      <c r="A361" s="1" t="s">
        <v>12221</v>
      </c>
      <c r="B361" s="1" t="s">
        <v>12222</v>
      </c>
      <c r="C361" s="1" t="s">
        <v>13802</v>
      </c>
      <c r="D361" s="1" t="s">
        <v>13803</v>
      </c>
    </row>
    <row r="362" spans="1:4" x14ac:dyDescent="0.15">
      <c r="A362" s="1" t="s">
        <v>12224</v>
      </c>
      <c r="B362" s="1" t="s">
        <v>13807</v>
      </c>
      <c r="C362" s="1" t="s">
        <v>13806</v>
      </c>
      <c r="D362" s="1" t="s">
        <v>13807</v>
      </c>
    </row>
    <row r="363" spans="1:4" x14ac:dyDescent="0.15">
      <c r="A363" s="1" t="s">
        <v>12313</v>
      </c>
      <c r="B363" s="1" t="s">
        <v>13807</v>
      </c>
      <c r="C363" s="1" t="s">
        <v>13806</v>
      </c>
      <c r="D363" s="1" t="s">
        <v>13807</v>
      </c>
    </row>
    <row r="364" spans="1:4" x14ac:dyDescent="0.15">
      <c r="A364" s="1" t="s">
        <v>12218</v>
      </c>
      <c r="B364" s="1" t="s">
        <v>12219</v>
      </c>
      <c r="C364" s="1" t="s">
        <v>13814</v>
      </c>
      <c r="D364" s="1" t="s">
        <v>13815</v>
      </c>
    </row>
    <row r="365" spans="1:4" x14ac:dyDescent="0.15">
      <c r="A365" s="1" t="s">
        <v>12226</v>
      </c>
      <c r="B365" s="1" t="s">
        <v>12227</v>
      </c>
      <c r="C365" s="1" t="s">
        <v>13814</v>
      </c>
      <c r="D365" s="1" t="s">
        <v>13815</v>
      </c>
    </row>
    <row r="366" spans="1:4" x14ac:dyDescent="0.15">
      <c r="A366" s="1" t="s">
        <v>12336</v>
      </c>
      <c r="B366" s="1" t="s">
        <v>12337</v>
      </c>
      <c r="C366" s="1" t="s">
        <v>13822</v>
      </c>
      <c r="D366" s="1" t="s">
        <v>13823</v>
      </c>
    </row>
    <row r="367" spans="1:4" x14ac:dyDescent="0.15">
      <c r="A367" s="1" t="s">
        <v>12339</v>
      </c>
      <c r="B367" s="1" t="s">
        <v>12340</v>
      </c>
      <c r="C367" s="1" t="s">
        <v>13826</v>
      </c>
      <c r="D367" s="1" t="s">
        <v>13827</v>
      </c>
    </row>
    <row r="368" spans="1:4" x14ac:dyDescent="0.15">
      <c r="A368" s="1" t="s">
        <v>12342</v>
      </c>
      <c r="B368" s="1" t="s">
        <v>12343</v>
      </c>
      <c r="C368" s="1" t="s">
        <v>13834</v>
      </c>
      <c r="D368" s="1" t="s">
        <v>13835</v>
      </c>
    </row>
    <row r="369" spans="1:4" x14ac:dyDescent="0.15">
      <c r="A369" s="1" t="s">
        <v>12315</v>
      </c>
      <c r="B369" s="1" t="s">
        <v>12316</v>
      </c>
      <c r="C369" s="1" t="s">
        <v>13846</v>
      </c>
      <c r="D369" s="1" t="s">
        <v>13843</v>
      </c>
    </row>
    <row r="370" spans="1:4" x14ac:dyDescent="0.15">
      <c r="A370" s="1" t="s">
        <v>12232</v>
      </c>
      <c r="B370" s="1" t="s">
        <v>12233</v>
      </c>
      <c r="C370" s="1" t="s">
        <v>13304</v>
      </c>
      <c r="D370" s="1" t="s">
        <v>13305</v>
      </c>
    </row>
    <row r="371" spans="1:4" x14ac:dyDescent="0.15">
      <c r="A371" s="1" t="s">
        <v>12515</v>
      </c>
      <c r="B371" s="1" t="s">
        <v>12516</v>
      </c>
      <c r="C371" s="1" t="s">
        <v>13308</v>
      </c>
      <c r="D371" s="1" t="s">
        <v>13309</v>
      </c>
    </row>
    <row r="372" spans="1:4" x14ac:dyDescent="0.15">
      <c r="A372" s="1" t="s">
        <v>12321</v>
      </c>
      <c r="B372" s="1" t="s">
        <v>12322</v>
      </c>
      <c r="C372" s="1" t="s">
        <v>13320</v>
      </c>
      <c r="D372" s="1" t="s">
        <v>13321</v>
      </c>
    </row>
    <row r="373" spans="1:4" x14ac:dyDescent="0.15">
      <c r="A373" s="1" t="s">
        <v>12327</v>
      </c>
      <c r="B373" s="1" t="s">
        <v>12328</v>
      </c>
      <c r="C373" s="1" t="s">
        <v>13324</v>
      </c>
      <c r="D373" s="1" t="s">
        <v>13325</v>
      </c>
    </row>
    <row r="374" spans="1:4" x14ac:dyDescent="0.15">
      <c r="A374" s="1" t="s">
        <v>12324</v>
      </c>
      <c r="B374" s="1" t="s">
        <v>12325</v>
      </c>
      <c r="C374" s="1" t="s">
        <v>13332</v>
      </c>
      <c r="D374" s="1" t="s">
        <v>13333</v>
      </c>
    </row>
    <row r="375" spans="1:4" x14ac:dyDescent="0.15">
      <c r="A375" s="1" t="s">
        <v>12330</v>
      </c>
      <c r="B375" s="1" t="s">
        <v>13451</v>
      </c>
      <c r="C375" s="1" t="s">
        <v>13360</v>
      </c>
      <c r="D375" s="1" t="s">
        <v>13361</v>
      </c>
    </row>
    <row r="376" spans="1:4" x14ac:dyDescent="0.15">
      <c r="A376" s="1" t="s">
        <v>12252</v>
      </c>
      <c r="B376" s="1" t="s">
        <v>12253</v>
      </c>
      <c r="C376" s="1" t="s">
        <v>13368</v>
      </c>
      <c r="D376" s="1" t="s">
        <v>13369</v>
      </c>
    </row>
    <row r="377" spans="1:4" x14ac:dyDescent="0.15">
      <c r="A377" s="1" t="s">
        <v>12255</v>
      </c>
      <c r="B377" s="1" t="s">
        <v>12256</v>
      </c>
      <c r="C377" s="1" t="s">
        <v>13380</v>
      </c>
      <c r="D377" s="1" t="s">
        <v>13381</v>
      </c>
    </row>
    <row r="378" spans="1:4" x14ac:dyDescent="0.15">
      <c r="A378" s="1" t="s">
        <v>12332</v>
      </c>
      <c r="B378" s="1" t="s">
        <v>13381</v>
      </c>
      <c r="C378" s="1" t="s">
        <v>13380</v>
      </c>
      <c r="D378" s="1" t="s">
        <v>13381</v>
      </c>
    </row>
    <row r="379" spans="1:4" x14ac:dyDescent="0.15">
      <c r="A379" s="1" t="s">
        <v>12258</v>
      </c>
      <c r="B379" s="1" t="s">
        <v>12259</v>
      </c>
      <c r="C379" s="1" t="s">
        <v>13400</v>
      </c>
      <c r="D379" s="1" t="s">
        <v>13401</v>
      </c>
    </row>
    <row r="380" spans="1:4" x14ac:dyDescent="0.15">
      <c r="A380" s="1" t="s">
        <v>12334</v>
      </c>
      <c r="B380" s="1" t="s">
        <v>13424</v>
      </c>
      <c r="C380" s="1" t="s">
        <v>13427</v>
      </c>
      <c r="D380" s="1" t="s">
        <v>13428</v>
      </c>
    </row>
    <row r="381" spans="1:4" x14ac:dyDescent="0.15">
      <c r="A381" s="1" t="s">
        <v>12351</v>
      </c>
      <c r="B381" s="1" t="s">
        <v>12352</v>
      </c>
      <c r="C381" s="1" t="s">
        <v>13454</v>
      </c>
      <c r="D381" s="1" t="s">
        <v>13455</v>
      </c>
    </row>
    <row r="382" spans="1:4" x14ac:dyDescent="0.15">
      <c r="A382" s="1" t="s">
        <v>12345</v>
      </c>
      <c r="B382" s="1" t="s">
        <v>12346</v>
      </c>
      <c r="C382" s="1" t="s">
        <v>13462</v>
      </c>
      <c r="D382" s="1" t="s">
        <v>13463</v>
      </c>
    </row>
    <row r="383" spans="1:4" x14ac:dyDescent="0.15">
      <c r="A383" s="1" t="s">
        <v>12348</v>
      </c>
      <c r="B383" s="1" t="s">
        <v>12349</v>
      </c>
      <c r="C383" s="1" t="s">
        <v>13478</v>
      </c>
      <c r="D383" s="1" t="s">
        <v>13479</v>
      </c>
    </row>
    <row r="384" spans="1:4" x14ac:dyDescent="0.15">
      <c r="A384" s="1" t="s">
        <v>12354</v>
      </c>
      <c r="B384" s="1" t="s">
        <v>13483</v>
      </c>
      <c r="C384" s="1" t="s">
        <v>13482</v>
      </c>
      <c r="D384" s="1" t="s">
        <v>13483</v>
      </c>
    </row>
    <row r="385" spans="1:4" x14ac:dyDescent="0.15">
      <c r="A385" s="1" t="s">
        <v>12261</v>
      </c>
      <c r="B385" s="1" t="s">
        <v>13491</v>
      </c>
      <c r="C385" s="1" t="s">
        <v>13490</v>
      </c>
      <c r="D385" s="1" t="s">
        <v>13491</v>
      </c>
    </row>
    <row r="386" spans="1:4" x14ac:dyDescent="0.15">
      <c r="A386" s="1" t="s">
        <v>12263</v>
      </c>
      <c r="B386" s="1" t="s">
        <v>13507</v>
      </c>
      <c r="C386" s="1" t="s">
        <v>13506</v>
      </c>
      <c r="D386" s="1" t="s">
        <v>13507</v>
      </c>
    </row>
    <row r="387" spans="1:4" x14ac:dyDescent="0.15">
      <c r="A387" s="1" t="s">
        <v>12265</v>
      </c>
      <c r="B387" s="1" t="s">
        <v>13511</v>
      </c>
      <c r="C387" s="1" t="s">
        <v>13510</v>
      </c>
      <c r="D387" s="1" t="s">
        <v>13511</v>
      </c>
    </row>
    <row r="388" spans="1:4" x14ac:dyDescent="0.15">
      <c r="A388" s="1" t="s">
        <v>12270</v>
      </c>
      <c r="B388" s="1" t="s">
        <v>13519</v>
      </c>
      <c r="C388" s="1" t="s">
        <v>13518</v>
      </c>
      <c r="D388" s="1" t="s">
        <v>13519</v>
      </c>
    </row>
    <row r="389" spans="1:4" x14ac:dyDescent="0.15">
      <c r="A389" s="1" t="s">
        <v>12275</v>
      </c>
      <c r="B389" s="1" t="s">
        <v>13523</v>
      </c>
      <c r="C389" s="1" t="s">
        <v>13522</v>
      </c>
      <c r="D389" s="1" t="s">
        <v>13523</v>
      </c>
    </row>
    <row r="390" spans="1:4" x14ac:dyDescent="0.15">
      <c r="A390" s="1" t="s">
        <v>12235</v>
      </c>
      <c r="B390" s="1" t="s">
        <v>12236</v>
      </c>
      <c r="C390" s="1" t="s">
        <v>13526</v>
      </c>
      <c r="D390" s="1" t="s">
        <v>13527</v>
      </c>
    </row>
    <row r="391" spans="1:4" x14ac:dyDescent="0.15">
      <c r="A391" s="1" t="s">
        <v>12280</v>
      </c>
      <c r="B391" s="1" t="s">
        <v>12281</v>
      </c>
      <c r="C391" s="1" t="s">
        <v>13530</v>
      </c>
      <c r="D391" s="1" t="s">
        <v>13531</v>
      </c>
    </row>
    <row r="392" spans="1:4" x14ac:dyDescent="0.15">
      <c r="A392" s="1" t="s">
        <v>12356</v>
      </c>
      <c r="B392" s="1" t="s">
        <v>12357</v>
      </c>
      <c r="C392" s="1" t="s">
        <v>13538</v>
      </c>
      <c r="D392" s="1" t="s">
        <v>13535</v>
      </c>
    </row>
    <row r="393" spans="1:4" x14ac:dyDescent="0.15">
      <c r="A393" s="1" t="s">
        <v>12286</v>
      </c>
      <c r="B393" s="1" t="s">
        <v>12287</v>
      </c>
      <c r="C393" s="1" t="s">
        <v>12709</v>
      </c>
      <c r="D393" s="1" t="s">
        <v>12710</v>
      </c>
    </row>
    <row r="394" spans="1:4" x14ac:dyDescent="0.15">
      <c r="A394" s="1" t="s">
        <v>12362</v>
      </c>
      <c r="B394" s="1" t="s">
        <v>12363</v>
      </c>
      <c r="C394" s="1" t="s">
        <v>12709</v>
      </c>
      <c r="D394" s="1" t="s">
        <v>12710</v>
      </c>
    </row>
    <row r="395" spans="1:4" x14ac:dyDescent="0.15">
      <c r="A395" s="1" t="s">
        <v>11926</v>
      </c>
      <c r="B395" s="1" t="s">
        <v>11927</v>
      </c>
      <c r="C395" s="1" t="s">
        <v>12722</v>
      </c>
      <c r="D395" s="1" t="s">
        <v>12723</v>
      </c>
    </row>
    <row r="396" spans="1:4" x14ac:dyDescent="0.15">
      <c r="A396" s="1" t="s">
        <v>11935</v>
      </c>
      <c r="B396" s="1" t="s">
        <v>11936</v>
      </c>
      <c r="C396" s="1" t="s">
        <v>12730</v>
      </c>
      <c r="D396" s="1" t="s">
        <v>12731</v>
      </c>
    </row>
    <row r="397" spans="1:4" x14ac:dyDescent="0.15">
      <c r="A397" s="1" t="s">
        <v>11938</v>
      </c>
      <c r="B397" s="1" t="s">
        <v>11939</v>
      </c>
      <c r="C397" s="1" t="s">
        <v>12734</v>
      </c>
      <c r="D397" s="1" t="s">
        <v>12735</v>
      </c>
    </row>
    <row r="398" spans="1:4" x14ac:dyDescent="0.15">
      <c r="A398" s="1" t="s">
        <v>12024</v>
      </c>
      <c r="B398" s="1" t="s">
        <v>12025</v>
      </c>
      <c r="C398" s="1" t="s">
        <v>12742</v>
      </c>
      <c r="D398" s="1" t="s">
        <v>12743</v>
      </c>
    </row>
    <row r="399" spans="1:4" x14ac:dyDescent="0.15">
      <c r="A399" s="1" t="s">
        <v>11941</v>
      </c>
      <c r="B399" s="1" t="s">
        <v>11942</v>
      </c>
      <c r="C399" s="1" t="s">
        <v>12746</v>
      </c>
      <c r="D399" s="1" t="s">
        <v>12747</v>
      </c>
    </row>
    <row r="400" spans="1:4" x14ac:dyDescent="0.15">
      <c r="A400" s="1" t="s">
        <v>12002</v>
      </c>
      <c r="B400" s="1" t="s">
        <v>12003</v>
      </c>
      <c r="C400" s="1" t="s">
        <v>12746</v>
      </c>
      <c r="D400" s="1" t="s">
        <v>12747</v>
      </c>
    </row>
    <row r="401" spans="1:4" x14ac:dyDescent="0.15">
      <c r="A401" s="1" t="s">
        <v>11944</v>
      </c>
      <c r="B401" s="1" t="s">
        <v>11936</v>
      </c>
      <c r="C401" s="1" t="s">
        <v>12754</v>
      </c>
      <c r="D401" s="1" t="s">
        <v>12755</v>
      </c>
    </row>
    <row r="402" spans="1:4" x14ac:dyDescent="0.15">
      <c r="A402" s="1" t="s">
        <v>11930</v>
      </c>
      <c r="B402" s="1" t="s">
        <v>12759</v>
      </c>
      <c r="C402" s="1" t="s">
        <v>12762</v>
      </c>
      <c r="D402" s="1" t="s">
        <v>12759</v>
      </c>
    </row>
    <row r="403" spans="1:4" x14ac:dyDescent="0.15">
      <c r="A403" s="1" t="s">
        <v>12008</v>
      </c>
      <c r="B403" s="1" t="s">
        <v>12009</v>
      </c>
      <c r="C403" s="1" t="s">
        <v>12765</v>
      </c>
      <c r="D403" s="1" t="s">
        <v>12766</v>
      </c>
    </row>
    <row r="404" spans="1:4" x14ac:dyDescent="0.15">
      <c r="A404" s="1" t="s">
        <v>12012</v>
      </c>
      <c r="B404" s="1" t="s">
        <v>12013</v>
      </c>
      <c r="C404" s="1" t="s">
        <v>12765</v>
      </c>
      <c r="D404" s="1" t="s">
        <v>12766</v>
      </c>
    </row>
    <row r="405" spans="1:4" x14ac:dyDescent="0.15">
      <c r="A405" s="1" t="s">
        <v>12015</v>
      </c>
      <c r="B405" s="1" t="s">
        <v>12016</v>
      </c>
      <c r="C405" s="1" t="s">
        <v>12765</v>
      </c>
      <c r="D405" s="1" t="s">
        <v>12766</v>
      </c>
    </row>
    <row r="406" spans="1:4" x14ac:dyDescent="0.15">
      <c r="A406" s="1" t="s">
        <v>12030</v>
      </c>
      <c r="B406" s="1" t="s">
        <v>12031</v>
      </c>
      <c r="C406" s="1" t="s">
        <v>12777</v>
      </c>
      <c r="D406" s="1" t="s">
        <v>12778</v>
      </c>
    </row>
    <row r="407" spans="1:4" x14ac:dyDescent="0.15">
      <c r="A407" s="1" t="s">
        <v>12042</v>
      </c>
      <c r="B407" s="1" t="s">
        <v>12043</v>
      </c>
      <c r="C407" s="1" t="s">
        <v>12777</v>
      </c>
      <c r="D407" s="1" t="s">
        <v>12778</v>
      </c>
    </row>
    <row r="408" spans="1:4" x14ac:dyDescent="0.15">
      <c r="A408" s="1" t="s">
        <v>12033</v>
      </c>
      <c r="B408" s="1" t="s">
        <v>12034</v>
      </c>
      <c r="C408" s="1" t="s">
        <v>12781</v>
      </c>
      <c r="D408" s="1" t="s">
        <v>12782</v>
      </c>
    </row>
    <row r="409" spans="1:4" x14ac:dyDescent="0.15">
      <c r="A409" s="1" t="s">
        <v>12036</v>
      </c>
      <c r="B409" s="1" t="s">
        <v>12037</v>
      </c>
      <c r="C409" s="1" t="s">
        <v>12785</v>
      </c>
      <c r="D409" s="1" t="s">
        <v>12786</v>
      </c>
    </row>
    <row r="410" spans="1:4" x14ac:dyDescent="0.15">
      <c r="A410" s="1" t="s">
        <v>12039</v>
      </c>
      <c r="B410" s="1" t="s">
        <v>12040</v>
      </c>
      <c r="C410" s="1" t="s">
        <v>12789</v>
      </c>
      <c r="D410" s="1" t="s">
        <v>12790</v>
      </c>
    </row>
    <row r="411" spans="1:4" x14ac:dyDescent="0.15">
      <c r="A411" s="1" t="s">
        <v>12021</v>
      </c>
      <c r="B411" s="1" t="s">
        <v>12022</v>
      </c>
      <c r="C411" s="1" t="s">
        <v>12801</v>
      </c>
      <c r="D411" s="1" t="s">
        <v>12802</v>
      </c>
    </row>
    <row r="412" spans="1:4" x14ac:dyDescent="0.15">
      <c r="A412" s="1" t="s">
        <v>12048</v>
      </c>
      <c r="B412" s="1" t="s">
        <v>12049</v>
      </c>
      <c r="C412" s="1" t="s">
        <v>12805</v>
      </c>
      <c r="D412" s="1" t="s">
        <v>12806</v>
      </c>
    </row>
    <row r="413" spans="1:4" x14ac:dyDescent="0.15">
      <c r="A413" s="1" t="s">
        <v>12045</v>
      </c>
      <c r="B413" s="1" t="s">
        <v>12046</v>
      </c>
      <c r="C413" s="1" t="s">
        <v>12809</v>
      </c>
      <c r="D413" s="1" t="s">
        <v>12810</v>
      </c>
    </row>
    <row r="414" spans="1:4" x14ac:dyDescent="0.15">
      <c r="A414" s="1" t="s">
        <v>11946</v>
      </c>
      <c r="B414" s="1" t="s">
        <v>11947</v>
      </c>
      <c r="C414" s="1" t="s">
        <v>12824</v>
      </c>
      <c r="D414" s="1" t="s">
        <v>12821</v>
      </c>
    </row>
    <row r="415" spans="1:4" x14ac:dyDescent="0.15">
      <c r="A415" s="1" t="s">
        <v>11997</v>
      </c>
      <c r="B415" s="1" t="s">
        <v>11998</v>
      </c>
      <c r="C415" s="1" t="s">
        <v>12831</v>
      </c>
      <c r="D415" s="1" t="s">
        <v>12832</v>
      </c>
    </row>
    <row r="416" spans="1:4" x14ac:dyDescent="0.15">
      <c r="A416" s="1" t="s">
        <v>11932</v>
      </c>
      <c r="B416" s="1" t="s">
        <v>11933</v>
      </c>
      <c r="C416" s="1" t="s">
        <v>12847</v>
      </c>
      <c r="D416" s="1" t="s">
        <v>12848</v>
      </c>
    </row>
    <row r="417" spans="1:4" x14ac:dyDescent="0.15">
      <c r="A417" s="1" t="s">
        <v>11961</v>
      </c>
      <c r="B417" s="1" t="s">
        <v>11962</v>
      </c>
      <c r="C417" s="1" t="s">
        <v>12863</v>
      </c>
      <c r="D417" s="1" t="s">
        <v>12864</v>
      </c>
    </row>
    <row r="418" spans="1:4" x14ac:dyDescent="0.15">
      <c r="A418" s="1" t="s">
        <v>11952</v>
      </c>
      <c r="B418" s="1" t="s">
        <v>11953</v>
      </c>
      <c r="C418" s="1" t="s">
        <v>12891</v>
      </c>
      <c r="D418" s="1" t="s">
        <v>12892</v>
      </c>
    </row>
    <row r="419" spans="1:4" x14ac:dyDescent="0.15">
      <c r="A419" s="1" t="s">
        <v>11955</v>
      </c>
      <c r="B419" s="1" t="s">
        <v>11956</v>
      </c>
      <c r="C419" s="1" t="s">
        <v>12895</v>
      </c>
      <c r="D419" s="1" t="s">
        <v>12896</v>
      </c>
    </row>
    <row r="420" spans="1:4" x14ac:dyDescent="0.15">
      <c r="A420" s="1" t="s">
        <v>11958</v>
      </c>
      <c r="B420" s="1" t="s">
        <v>11959</v>
      </c>
      <c r="C420" s="1" t="s">
        <v>12899</v>
      </c>
      <c r="D420" s="1" t="s">
        <v>12900</v>
      </c>
    </row>
    <row r="421" spans="1:4" x14ac:dyDescent="0.15">
      <c r="A421" s="1" t="s">
        <v>11949</v>
      </c>
      <c r="B421" s="1" t="s">
        <v>11950</v>
      </c>
      <c r="C421" s="1" t="s">
        <v>12907</v>
      </c>
      <c r="D421" s="1" t="s">
        <v>12904</v>
      </c>
    </row>
    <row r="422" spans="1:4" x14ac:dyDescent="0.15">
      <c r="A422" s="1" t="s">
        <v>11989</v>
      </c>
      <c r="B422" s="1" t="s">
        <v>11990</v>
      </c>
      <c r="C422" s="1" t="s">
        <v>12907</v>
      </c>
      <c r="D422" s="1" t="s">
        <v>12904</v>
      </c>
    </row>
    <row r="423" spans="1:4" x14ac:dyDescent="0.15">
      <c r="A423" s="1" t="s">
        <v>11986</v>
      </c>
      <c r="B423" s="1" t="s">
        <v>11987</v>
      </c>
      <c r="C423" s="1" t="s">
        <v>12914</v>
      </c>
      <c r="D423" s="1" t="s">
        <v>12915</v>
      </c>
    </row>
    <row r="424" spans="1:4" x14ac:dyDescent="0.15">
      <c r="A424" s="1" t="s">
        <v>12027</v>
      </c>
      <c r="B424" s="1" t="s">
        <v>12028</v>
      </c>
      <c r="C424" s="1" t="s">
        <v>12918</v>
      </c>
      <c r="D424" s="1" t="s">
        <v>12919</v>
      </c>
    </row>
    <row r="425" spans="1:4" x14ac:dyDescent="0.15">
      <c r="A425" s="1" t="s">
        <v>11964</v>
      </c>
      <c r="B425" s="1" t="s">
        <v>12923</v>
      </c>
      <c r="C425" s="1" t="s">
        <v>12926</v>
      </c>
      <c r="D425" s="1" t="s">
        <v>12923</v>
      </c>
    </row>
    <row r="426" spans="1:4" x14ac:dyDescent="0.15">
      <c r="A426" s="1" t="s">
        <v>11969</v>
      </c>
      <c r="B426" s="1" t="s">
        <v>11970</v>
      </c>
      <c r="C426" s="1" t="s">
        <v>12933</v>
      </c>
      <c r="D426" s="1" t="s">
        <v>12934</v>
      </c>
    </row>
    <row r="427" spans="1:4" x14ac:dyDescent="0.15">
      <c r="A427" s="1" t="s">
        <v>12018</v>
      </c>
      <c r="B427" s="1" t="s">
        <v>12019</v>
      </c>
      <c r="C427" s="1" t="s">
        <v>12933</v>
      </c>
      <c r="D427" s="1" t="s">
        <v>12934</v>
      </c>
    </row>
    <row r="428" spans="1:4" x14ac:dyDescent="0.15">
      <c r="A428" s="1" t="s">
        <v>11975</v>
      </c>
      <c r="B428" s="1" t="s">
        <v>11976</v>
      </c>
      <c r="C428" s="1" t="s">
        <v>11777</v>
      </c>
      <c r="D428" s="1" t="s">
        <v>11778</v>
      </c>
    </row>
    <row r="429" spans="1:4" x14ac:dyDescent="0.15">
      <c r="A429" s="1" t="s">
        <v>11978</v>
      </c>
      <c r="B429" s="1" t="s">
        <v>11979</v>
      </c>
      <c r="C429" s="1" t="s">
        <v>11785</v>
      </c>
      <c r="D429" s="1" t="s">
        <v>11786</v>
      </c>
    </row>
    <row r="430" spans="1:4" x14ac:dyDescent="0.15">
      <c r="A430" s="1" t="s">
        <v>11981</v>
      </c>
      <c r="B430" s="1" t="s">
        <v>11982</v>
      </c>
      <c r="C430" s="1" t="s">
        <v>11793</v>
      </c>
      <c r="D430" s="1" t="s">
        <v>11794</v>
      </c>
    </row>
    <row r="431" spans="1:4" x14ac:dyDescent="0.15">
      <c r="A431" s="1" t="s">
        <v>11984</v>
      </c>
      <c r="B431" s="1" t="s">
        <v>11798</v>
      </c>
      <c r="C431" s="1" t="s">
        <v>11797</v>
      </c>
      <c r="D431" s="1" t="s">
        <v>11798</v>
      </c>
    </row>
    <row r="432" spans="1:4" x14ac:dyDescent="0.15">
      <c r="A432" s="1" t="s">
        <v>11992</v>
      </c>
      <c r="B432" s="1" t="s">
        <v>11810</v>
      </c>
      <c r="C432" s="1" t="s">
        <v>11813</v>
      </c>
      <c r="D432" s="1" t="s">
        <v>11810</v>
      </c>
    </row>
    <row r="433" spans="1:4" x14ac:dyDescent="0.15">
      <c r="A433" s="1" t="s">
        <v>12000</v>
      </c>
      <c r="B433" s="1" t="s">
        <v>11817</v>
      </c>
      <c r="C433" s="1" t="s">
        <v>11820</v>
      </c>
      <c r="D433" s="1" t="s">
        <v>11817</v>
      </c>
    </row>
    <row r="434" spans="1:4" x14ac:dyDescent="0.15">
      <c r="A434" s="1" t="s">
        <v>12005</v>
      </c>
      <c r="B434" s="1" t="s">
        <v>12006</v>
      </c>
      <c r="C434" s="1" t="s">
        <v>11827</v>
      </c>
      <c r="D434" s="1" t="s">
        <v>11824</v>
      </c>
    </row>
    <row r="435" spans="1:4" x14ac:dyDescent="0.15">
      <c r="A435" s="1" t="s">
        <v>12051</v>
      </c>
      <c r="B435" s="1" t="s">
        <v>12052</v>
      </c>
      <c r="C435" s="1" t="s">
        <v>11827</v>
      </c>
      <c r="D435" s="1" t="s">
        <v>11824</v>
      </c>
    </row>
  </sheetData>
  <phoneticPr fontId="0" type="noConversion"/>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060"/>
  <sheetViews>
    <sheetView workbookViewId="0">
      <pane ySplit="1" topLeftCell="A2" activePane="bottomLeft" state="frozenSplit"/>
      <selection pane="bottomLeft" sqref="A1:A65536"/>
    </sheetView>
  </sheetViews>
  <sheetFormatPr baseColWidth="10" defaultRowHeight="13" x14ac:dyDescent="0.15"/>
  <cols>
    <col min="1" max="2" width="8.83203125" customWidth="1"/>
    <col min="3" max="3" width="38.5" customWidth="1"/>
    <col min="4" max="4" width="41.33203125" customWidth="1"/>
    <col min="5" max="256" width="8.83203125" customWidth="1"/>
  </cols>
  <sheetData>
    <row r="1" spans="1:4" s="3" customFormat="1" x14ac:dyDescent="0.15">
      <c r="A1" s="2" t="s">
        <v>6515</v>
      </c>
      <c r="B1" s="2" t="s">
        <v>6516</v>
      </c>
      <c r="C1" s="2" t="s">
        <v>6517</v>
      </c>
      <c r="D1" s="2" t="s">
        <v>6518</v>
      </c>
    </row>
    <row r="2" spans="1:4" x14ac:dyDescent="0.15">
      <c r="A2" s="1" t="s">
        <v>11572</v>
      </c>
      <c r="B2" s="1" t="s">
        <v>11572</v>
      </c>
      <c r="C2" s="1" t="s">
        <v>17849</v>
      </c>
      <c r="D2" s="1" t="s">
        <v>6519</v>
      </c>
    </row>
    <row r="3" spans="1:4" x14ac:dyDescent="0.15">
      <c r="B3" s="1" t="s">
        <v>11579</v>
      </c>
      <c r="D3" s="1" t="s">
        <v>6520</v>
      </c>
    </row>
    <row r="4" spans="1:4" x14ac:dyDescent="0.15">
      <c r="A4" s="1" t="s">
        <v>11584</v>
      </c>
      <c r="B4" s="1" t="s">
        <v>11584</v>
      </c>
      <c r="C4" s="1" t="s">
        <v>6521</v>
      </c>
      <c r="D4" s="1" t="s">
        <v>6521</v>
      </c>
    </row>
    <row r="5" spans="1:4" x14ac:dyDescent="0.15">
      <c r="A5" s="1" t="s">
        <v>17856</v>
      </c>
      <c r="B5" s="1" t="s">
        <v>17856</v>
      </c>
      <c r="C5" s="1" t="s">
        <v>6522</v>
      </c>
      <c r="D5" s="1" t="s">
        <v>6522</v>
      </c>
    </row>
    <row r="6" spans="1:4" x14ac:dyDescent="0.15">
      <c r="A6" s="1" t="s">
        <v>17860</v>
      </c>
      <c r="B6" s="1" t="s">
        <v>17860</v>
      </c>
      <c r="C6" s="1" t="s">
        <v>17861</v>
      </c>
      <c r="D6" s="1" t="s">
        <v>6523</v>
      </c>
    </row>
    <row r="7" spans="1:4" x14ac:dyDescent="0.15">
      <c r="A7" s="1" t="s">
        <v>17864</v>
      </c>
      <c r="B7" s="1" t="s">
        <v>17864</v>
      </c>
      <c r="C7" s="1" t="s">
        <v>17865</v>
      </c>
      <c r="D7" s="1" t="s">
        <v>17865</v>
      </c>
    </row>
    <row r="8" spans="1:4" x14ac:dyDescent="0.15">
      <c r="A8" s="1" t="s">
        <v>17868</v>
      </c>
      <c r="B8" s="1" t="s">
        <v>17868</v>
      </c>
      <c r="C8" s="1" t="s">
        <v>6524</v>
      </c>
      <c r="D8" s="1" t="s">
        <v>6525</v>
      </c>
    </row>
    <row r="9" spans="1:4" x14ac:dyDescent="0.15">
      <c r="B9" s="1" t="s">
        <v>11605</v>
      </c>
      <c r="D9" s="1" t="s">
        <v>6526</v>
      </c>
    </row>
    <row r="10" spans="1:4" x14ac:dyDescent="0.15">
      <c r="A10" s="1" t="s">
        <v>17872</v>
      </c>
      <c r="B10" s="1" t="s">
        <v>17872</v>
      </c>
      <c r="C10" s="1" t="s">
        <v>6527</v>
      </c>
      <c r="D10" s="1" t="s">
        <v>6527</v>
      </c>
    </row>
    <row r="11" spans="1:4" x14ac:dyDescent="0.15">
      <c r="A11" s="1" t="s">
        <v>11610</v>
      </c>
      <c r="B11" s="1" t="s">
        <v>11610</v>
      </c>
      <c r="C11" s="1" t="s">
        <v>17877</v>
      </c>
      <c r="D11" s="1" t="s">
        <v>17877</v>
      </c>
    </row>
    <row r="12" spans="1:4" x14ac:dyDescent="0.15">
      <c r="A12" s="1" t="s">
        <v>17880</v>
      </c>
      <c r="B12" s="1" t="s">
        <v>17880</v>
      </c>
      <c r="C12" s="1" t="s">
        <v>17881</v>
      </c>
      <c r="D12" s="1" t="s">
        <v>17881</v>
      </c>
    </row>
    <row r="13" spans="1:4" x14ac:dyDescent="0.15">
      <c r="A13" s="1" t="s">
        <v>17884</v>
      </c>
      <c r="B13" s="1" t="s">
        <v>17884</v>
      </c>
      <c r="C13" s="1" t="s">
        <v>17885</v>
      </c>
      <c r="D13" s="1" t="s">
        <v>6528</v>
      </c>
    </row>
    <row r="14" spans="1:4" x14ac:dyDescent="0.15">
      <c r="B14" s="1" t="s">
        <v>11619</v>
      </c>
      <c r="D14" s="1" t="s">
        <v>6529</v>
      </c>
    </row>
    <row r="15" spans="1:4" x14ac:dyDescent="0.15">
      <c r="A15" s="1" t="s">
        <v>17888</v>
      </c>
      <c r="B15" s="1" t="s">
        <v>17888</v>
      </c>
      <c r="C15" s="1" t="s">
        <v>17889</v>
      </c>
      <c r="D15" s="1" t="s">
        <v>17889</v>
      </c>
    </row>
    <row r="16" spans="1:4" x14ac:dyDescent="0.15">
      <c r="A16" s="1" t="s">
        <v>11626</v>
      </c>
      <c r="B16" s="1" t="s">
        <v>11626</v>
      </c>
      <c r="C16" s="1" t="s">
        <v>6530</v>
      </c>
      <c r="D16" s="1" t="s">
        <v>6531</v>
      </c>
    </row>
    <row r="17" spans="1:4" x14ac:dyDescent="0.15">
      <c r="A17" s="1" t="s">
        <v>17896</v>
      </c>
      <c r="B17" s="1" t="s">
        <v>17896</v>
      </c>
      <c r="C17" s="1" t="s">
        <v>6532</v>
      </c>
      <c r="D17" s="1" t="s">
        <v>6533</v>
      </c>
    </row>
    <row r="18" spans="1:4" x14ac:dyDescent="0.15">
      <c r="A18" s="1" t="s">
        <v>17900</v>
      </c>
      <c r="B18" s="1" t="s">
        <v>17900</v>
      </c>
      <c r="C18" s="1" t="s">
        <v>6534</v>
      </c>
      <c r="D18" s="1" t="s">
        <v>6535</v>
      </c>
    </row>
    <row r="19" spans="1:4" x14ac:dyDescent="0.15">
      <c r="A19" s="1" t="s">
        <v>17904</v>
      </c>
      <c r="B19" s="1" t="s">
        <v>17904</v>
      </c>
      <c r="C19" s="1" t="s">
        <v>6536</v>
      </c>
      <c r="D19" s="1" t="s">
        <v>6537</v>
      </c>
    </row>
    <row r="20" spans="1:4" x14ac:dyDescent="0.15">
      <c r="A20" s="1" t="s">
        <v>17908</v>
      </c>
      <c r="B20" s="1" t="s">
        <v>17908</v>
      </c>
      <c r="C20" s="1" t="s">
        <v>6538</v>
      </c>
      <c r="D20" s="1" t="s">
        <v>6539</v>
      </c>
    </row>
    <row r="21" spans="1:4" x14ac:dyDescent="0.15">
      <c r="B21" s="1" t="s">
        <v>11636</v>
      </c>
      <c r="D21" s="1" t="s">
        <v>6540</v>
      </c>
    </row>
    <row r="22" spans="1:4" x14ac:dyDescent="0.15">
      <c r="B22" s="1" t="s">
        <v>11639</v>
      </c>
      <c r="D22" s="1" t="s">
        <v>6541</v>
      </c>
    </row>
    <row r="23" spans="1:4" x14ac:dyDescent="0.15">
      <c r="B23" s="1" t="s">
        <v>11420</v>
      </c>
      <c r="D23" s="1" t="s">
        <v>6542</v>
      </c>
    </row>
    <row r="24" spans="1:4" x14ac:dyDescent="0.15">
      <c r="B24" s="1" t="s">
        <v>11424</v>
      </c>
      <c r="D24" s="1" t="s">
        <v>6543</v>
      </c>
    </row>
    <row r="25" spans="1:4" x14ac:dyDescent="0.15">
      <c r="B25" s="1" t="s">
        <v>11429</v>
      </c>
      <c r="D25" s="1" t="s">
        <v>6544</v>
      </c>
    </row>
    <row r="26" spans="1:4" x14ac:dyDescent="0.15">
      <c r="A26" s="1" t="s">
        <v>17912</v>
      </c>
      <c r="B26" s="1" t="s">
        <v>17912</v>
      </c>
      <c r="C26" s="1" t="s">
        <v>6545</v>
      </c>
      <c r="D26" s="1" t="s">
        <v>6546</v>
      </c>
    </row>
    <row r="27" spans="1:4" x14ac:dyDescent="0.15">
      <c r="A27" s="1" t="s">
        <v>11644</v>
      </c>
      <c r="B27" s="1" t="s">
        <v>11644</v>
      </c>
      <c r="C27" s="1" t="s">
        <v>6547</v>
      </c>
      <c r="D27" s="1" t="s">
        <v>6548</v>
      </c>
    </row>
    <row r="28" spans="1:4" x14ac:dyDescent="0.15">
      <c r="A28" s="1" t="s">
        <v>17920</v>
      </c>
      <c r="B28" s="1" t="s">
        <v>17920</v>
      </c>
      <c r="C28" s="1" t="s">
        <v>6549</v>
      </c>
      <c r="D28" s="1" t="s">
        <v>6550</v>
      </c>
    </row>
    <row r="29" spans="1:4" x14ac:dyDescent="0.15">
      <c r="A29" s="1" t="s">
        <v>11648</v>
      </c>
      <c r="B29" s="1" t="s">
        <v>11648</v>
      </c>
      <c r="C29" s="1" t="s">
        <v>6551</v>
      </c>
      <c r="D29" s="1" t="s">
        <v>6552</v>
      </c>
    </row>
    <row r="30" spans="1:4" x14ac:dyDescent="0.15">
      <c r="A30" s="1" t="s">
        <v>17928</v>
      </c>
      <c r="B30" s="1" t="s">
        <v>11602</v>
      </c>
      <c r="C30" s="1" t="s">
        <v>6553</v>
      </c>
      <c r="D30" s="1" t="s">
        <v>6554</v>
      </c>
    </row>
    <row r="31" spans="1:4" x14ac:dyDescent="0.15">
      <c r="B31" s="1" t="s">
        <v>11654</v>
      </c>
      <c r="D31" s="1" t="s">
        <v>6555</v>
      </c>
    </row>
    <row r="32" spans="1:4" x14ac:dyDescent="0.15">
      <c r="A32" s="1" t="s">
        <v>17932</v>
      </c>
      <c r="B32" s="1" t="s">
        <v>17932</v>
      </c>
      <c r="C32" s="1" t="s">
        <v>17933</v>
      </c>
      <c r="D32" s="1" t="s">
        <v>6556</v>
      </c>
    </row>
    <row r="33" spans="1:4" x14ac:dyDescent="0.15">
      <c r="A33" s="1" t="s">
        <v>17936</v>
      </c>
      <c r="B33" s="1" t="s">
        <v>17936</v>
      </c>
      <c r="C33" s="1" t="s">
        <v>6557</v>
      </c>
      <c r="D33" s="1" t="s">
        <v>6558</v>
      </c>
    </row>
    <row r="34" spans="1:4" x14ac:dyDescent="0.15">
      <c r="B34" s="1" t="s">
        <v>11663</v>
      </c>
      <c r="D34" s="1" t="s">
        <v>6559</v>
      </c>
    </row>
    <row r="35" spans="1:4" x14ac:dyDescent="0.15">
      <c r="A35" s="1" t="s">
        <v>17940</v>
      </c>
      <c r="B35" s="1" t="s">
        <v>17940</v>
      </c>
      <c r="C35" s="1" t="s">
        <v>6560</v>
      </c>
      <c r="D35" s="1" t="s">
        <v>6561</v>
      </c>
    </row>
    <row r="36" spans="1:4" x14ac:dyDescent="0.15">
      <c r="A36" s="1" t="s">
        <v>11668</v>
      </c>
      <c r="B36" s="1" t="s">
        <v>11668</v>
      </c>
      <c r="C36" s="1" t="s">
        <v>6562</v>
      </c>
      <c r="D36" s="1" t="s">
        <v>6563</v>
      </c>
    </row>
    <row r="37" spans="1:4" x14ac:dyDescent="0.15">
      <c r="A37" s="1" t="s">
        <v>17948</v>
      </c>
      <c r="B37" s="1" t="s">
        <v>17948</v>
      </c>
      <c r="C37" s="1" t="s">
        <v>6562</v>
      </c>
      <c r="D37" s="1" t="s">
        <v>6564</v>
      </c>
    </row>
    <row r="38" spans="1:4" x14ac:dyDescent="0.15">
      <c r="A38" s="1" t="s">
        <v>17952</v>
      </c>
      <c r="B38" s="1" t="s">
        <v>17952</v>
      </c>
      <c r="C38" s="1" t="s">
        <v>6565</v>
      </c>
      <c r="D38" s="1" t="s">
        <v>6566</v>
      </c>
    </row>
    <row r="39" spans="1:4" x14ac:dyDescent="0.15">
      <c r="A39" s="1" t="s">
        <v>17956</v>
      </c>
      <c r="B39" s="1" t="s">
        <v>17956</v>
      </c>
      <c r="C39" s="1" t="s">
        <v>6567</v>
      </c>
      <c r="D39" s="1" t="s">
        <v>6567</v>
      </c>
    </row>
    <row r="40" spans="1:4" x14ac:dyDescent="0.15">
      <c r="A40" s="1" t="s">
        <v>17960</v>
      </c>
      <c r="B40" s="1" t="s">
        <v>17960</v>
      </c>
      <c r="C40" s="1" t="s">
        <v>6568</v>
      </c>
      <c r="D40" s="1" t="s">
        <v>6569</v>
      </c>
    </row>
    <row r="41" spans="1:4" x14ac:dyDescent="0.15">
      <c r="A41" s="1" t="s">
        <v>17964</v>
      </c>
      <c r="B41" s="1" t="s">
        <v>17964</v>
      </c>
      <c r="C41" s="1" t="s">
        <v>6570</v>
      </c>
      <c r="D41" s="1" t="s">
        <v>6571</v>
      </c>
    </row>
    <row r="42" spans="1:4" x14ac:dyDescent="0.15">
      <c r="A42" s="1" t="s">
        <v>17968</v>
      </c>
      <c r="B42" s="1" t="s">
        <v>17968</v>
      </c>
      <c r="C42" s="1" t="s">
        <v>17969</v>
      </c>
      <c r="D42" s="1" t="s">
        <v>6572</v>
      </c>
    </row>
    <row r="43" spans="1:4" x14ac:dyDescent="0.15">
      <c r="B43" s="1" t="s">
        <v>11682</v>
      </c>
      <c r="D43" s="1" t="s">
        <v>6573</v>
      </c>
    </row>
    <row r="44" spans="1:4" x14ac:dyDescent="0.15">
      <c r="B44" s="1" t="s">
        <v>11434</v>
      </c>
      <c r="D44" s="1" t="s">
        <v>6574</v>
      </c>
    </row>
    <row r="45" spans="1:4" x14ac:dyDescent="0.15">
      <c r="B45" s="1" t="s">
        <v>11437</v>
      </c>
      <c r="D45" s="1" t="s">
        <v>6575</v>
      </c>
    </row>
    <row r="46" spans="1:4" x14ac:dyDescent="0.15">
      <c r="B46" s="1" t="s">
        <v>11442</v>
      </c>
      <c r="D46" s="1" t="s">
        <v>6576</v>
      </c>
    </row>
    <row r="47" spans="1:4" x14ac:dyDescent="0.15">
      <c r="A47" s="1" t="s">
        <v>17473</v>
      </c>
      <c r="B47" s="1" t="s">
        <v>17473</v>
      </c>
      <c r="C47" s="1" t="s">
        <v>17474</v>
      </c>
      <c r="D47" s="1" t="s">
        <v>17474</v>
      </c>
    </row>
    <row r="48" spans="1:4" x14ac:dyDescent="0.15">
      <c r="A48" s="1" t="s">
        <v>17972</v>
      </c>
      <c r="B48" s="1" t="s">
        <v>17972</v>
      </c>
      <c r="C48" s="1" t="s">
        <v>6577</v>
      </c>
      <c r="D48" s="1" t="s">
        <v>6578</v>
      </c>
    </row>
    <row r="49" spans="1:4" x14ac:dyDescent="0.15">
      <c r="A49" s="1" t="s">
        <v>11687</v>
      </c>
      <c r="B49" s="1" t="s">
        <v>11687</v>
      </c>
      <c r="C49" s="1" t="s">
        <v>6579</v>
      </c>
      <c r="D49" s="1" t="s">
        <v>17977</v>
      </c>
    </row>
    <row r="50" spans="1:4" x14ac:dyDescent="0.15">
      <c r="A50" s="1" t="s">
        <v>17980</v>
      </c>
      <c r="B50" s="1" t="s">
        <v>17980</v>
      </c>
      <c r="C50" s="1" t="s">
        <v>17977</v>
      </c>
      <c r="D50" s="1" t="s">
        <v>17977</v>
      </c>
    </row>
    <row r="51" spans="1:4" x14ac:dyDescent="0.15">
      <c r="B51" s="1" t="s">
        <v>11691</v>
      </c>
      <c r="D51" s="1" t="s">
        <v>6580</v>
      </c>
    </row>
    <row r="52" spans="1:4" x14ac:dyDescent="0.15">
      <c r="B52" s="1" t="s">
        <v>11698</v>
      </c>
      <c r="D52" s="1" t="s">
        <v>6581</v>
      </c>
    </row>
    <row r="53" spans="1:4" x14ac:dyDescent="0.15">
      <c r="B53" s="1" t="s">
        <v>11704</v>
      </c>
      <c r="D53" s="1" t="s">
        <v>6582</v>
      </c>
    </row>
    <row r="54" spans="1:4" x14ac:dyDescent="0.15">
      <c r="A54" s="1" t="s">
        <v>6583</v>
      </c>
      <c r="B54" s="1" t="s">
        <v>6584</v>
      </c>
      <c r="C54" s="1" t="s">
        <v>6585</v>
      </c>
      <c r="D54" s="1" t="s">
        <v>6586</v>
      </c>
    </row>
    <row r="55" spans="1:4" x14ac:dyDescent="0.15">
      <c r="A55" s="1" t="s">
        <v>6587</v>
      </c>
      <c r="C55" s="1" t="s">
        <v>17995</v>
      </c>
      <c r="D55" s="1" t="s">
        <v>6584</v>
      </c>
    </row>
    <row r="56" spans="1:4" x14ac:dyDescent="0.15">
      <c r="A56" s="1" t="s">
        <v>17998</v>
      </c>
      <c r="B56" s="1" t="s">
        <v>17848</v>
      </c>
      <c r="C56" s="1" t="s">
        <v>17999</v>
      </c>
      <c r="D56" s="1" t="s">
        <v>6588</v>
      </c>
    </row>
    <row r="57" spans="1:4" x14ac:dyDescent="0.15">
      <c r="A57" s="1" t="s">
        <v>18002</v>
      </c>
      <c r="B57" s="1" t="s">
        <v>11694</v>
      </c>
      <c r="C57" s="1" t="s">
        <v>18003</v>
      </c>
      <c r="D57" s="1" t="s">
        <v>6589</v>
      </c>
    </row>
    <row r="58" spans="1:4" x14ac:dyDescent="0.15">
      <c r="A58" s="1" t="s">
        <v>6590</v>
      </c>
      <c r="B58" s="1" t="s">
        <v>11707</v>
      </c>
      <c r="C58" s="1" t="s">
        <v>6591</v>
      </c>
      <c r="D58" s="1" t="s">
        <v>18007</v>
      </c>
    </row>
    <row r="59" spans="1:4" x14ac:dyDescent="0.15">
      <c r="A59" s="1" t="s">
        <v>18010</v>
      </c>
      <c r="B59" s="1" t="s">
        <v>11710</v>
      </c>
      <c r="C59" s="1" t="s">
        <v>18011</v>
      </c>
      <c r="D59" s="1" t="s">
        <v>18011</v>
      </c>
    </row>
    <row r="60" spans="1:4" x14ac:dyDescent="0.15">
      <c r="A60" s="1" t="s">
        <v>18014</v>
      </c>
      <c r="B60" s="1" t="s">
        <v>11722</v>
      </c>
      <c r="C60" s="1" t="s">
        <v>6592</v>
      </c>
      <c r="D60" s="1" t="s">
        <v>6593</v>
      </c>
    </row>
    <row r="61" spans="1:4" x14ac:dyDescent="0.15">
      <c r="A61" s="1" t="s">
        <v>18018</v>
      </c>
      <c r="B61" s="1" t="s">
        <v>11729</v>
      </c>
      <c r="C61" s="1" t="s">
        <v>18019</v>
      </c>
      <c r="D61" s="1" t="s">
        <v>6594</v>
      </c>
    </row>
    <row r="62" spans="1:4" x14ac:dyDescent="0.15">
      <c r="A62" s="1" t="s">
        <v>18022</v>
      </c>
      <c r="B62" s="1" t="s">
        <v>11739</v>
      </c>
      <c r="C62" s="1" t="s">
        <v>18023</v>
      </c>
      <c r="D62" s="1" t="s">
        <v>6595</v>
      </c>
    </row>
    <row r="63" spans="1:4" x14ac:dyDescent="0.15">
      <c r="A63" s="1" t="s">
        <v>18026</v>
      </c>
      <c r="B63" s="1" t="s">
        <v>15185</v>
      </c>
      <c r="C63" s="1" t="s">
        <v>18027</v>
      </c>
      <c r="D63" s="1" t="s">
        <v>6596</v>
      </c>
    </row>
    <row r="64" spans="1:4" x14ac:dyDescent="0.15">
      <c r="A64" s="1" t="s">
        <v>18030</v>
      </c>
      <c r="B64" s="1" t="s">
        <v>11748</v>
      </c>
      <c r="C64" s="1" t="s">
        <v>18031</v>
      </c>
      <c r="D64" s="1" t="s">
        <v>18031</v>
      </c>
    </row>
    <row r="65" spans="1:4" x14ac:dyDescent="0.15">
      <c r="B65" s="1" t="s">
        <v>11751</v>
      </c>
      <c r="D65" s="1" t="s">
        <v>6597</v>
      </c>
    </row>
    <row r="66" spans="1:4" x14ac:dyDescent="0.15">
      <c r="A66" s="1" t="s">
        <v>18034</v>
      </c>
      <c r="B66" s="1" t="s">
        <v>11754</v>
      </c>
      <c r="C66" s="1" t="s">
        <v>18035</v>
      </c>
      <c r="D66" s="1" t="s">
        <v>18035</v>
      </c>
    </row>
    <row r="67" spans="1:4" x14ac:dyDescent="0.15">
      <c r="A67" s="1" t="s">
        <v>18038</v>
      </c>
      <c r="B67" s="1" t="s">
        <v>11758</v>
      </c>
      <c r="C67" s="1" t="s">
        <v>18039</v>
      </c>
      <c r="D67" s="1" t="s">
        <v>18039</v>
      </c>
    </row>
    <row r="68" spans="1:4" x14ac:dyDescent="0.15">
      <c r="A68" s="1" t="s">
        <v>6598</v>
      </c>
      <c r="B68" s="1" t="s">
        <v>11615</v>
      </c>
      <c r="C68" s="1" t="s">
        <v>6599</v>
      </c>
      <c r="D68" s="1" t="s">
        <v>6600</v>
      </c>
    </row>
    <row r="69" spans="1:4" x14ac:dyDescent="0.15">
      <c r="A69" s="1" t="s">
        <v>18046</v>
      </c>
      <c r="B69" s="1" t="s">
        <v>11763</v>
      </c>
      <c r="C69" s="1" t="s">
        <v>6599</v>
      </c>
      <c r="D69" s="1" t="s">
        <v>11901</v>
      </c>
    </row>
    <row r="70" spans="1:4" x14ac:dyDescent="0.15">
      <c r="B70" s="1" t="s">
        <v>11766</v>
      </c>
      <c r="D70" s="1" t="s">
        <v>6601</v>
      </c>
    </row>
    <row r="71" spans="1:4" x14ac:dyDescent="0.15">
      <c r="B71" s="1" t="s">
        <v>11769</v>
      </c>
      <c r="D71" s="1" t="s">
        <v>6602</v>
      </c>
    </row>
    <row r="72" spans="1:4" x14ac:dyDescent="0.15">
      <c r="A72" s="1" t="s">
        <v>6603</v>
      </c>
      <c r="B72" s="1" t="s">
        <v>6584</v>
      </c>
      <c r="C72" s="1" t="s">
        <v>18050</v>
      </c>
      <c r="D72" s="1" t="s">
        <v>6604</v>
      </c>
    </row>
    <row r="73" spans="1:4" x14ac:dyDescent="0.15">
      <c r="A73" s="1" t="s">
        <v>18053</v>
      </c>
      <c r="B73" s="1" t="s">
        <v>11773</v>
      </c>
      <c r="C73" s="1" t="s">
        <v>18054</v>
      </c>
      <c r="D73" s="1" t="s">
        <v>18054</v>
      </c>
    </row>
    <row r="74" spans="1:4" x14ac:dyDescent="0.15">
      <c r="A74" s="1" t="s">
        <v>18057</v>
      </c>
      <c r="B74" s="1" t="s">
        <v>11227</v>
      </c>
      <c r="C74" s="1" t="s">
        <v>6605</v>
      </c>
      <c r="D74" s="1" t="s">
        <v>6605</v>
      </c>
    </row>
    <row r="75" spans="1:4" x14ac:dyDescent="0.15">
      <c r="A75" s="1" t="s">
        <v>18061</v>
      </c>
      <c r="B75" s="1" t="s">
        <v>11230</v>
      </c>
      <c r="C75" s="1" t="s">
        <v>18062</v>
      </c>
      <c r="D75" s="1" t="s">
        <v>6606</v>
      </c>
    </row>
    <row r="76" spans="1:4" x14ac:dyDescent="0.15">
      <c r="A76" s="1" t="s">
        <v>18065</v>
      </c>
      <c r="B76" s="1" t="s">
        <v>11233</v>
      </c>
      <c r="C76" s="1" t="s">
        <v>6607</v>
      </c>
      <c r="D76" s="1" t="s">
        <v>6608</v>
      </c>
    </row>
    <row r="77" spans="1:4" x14ac:dyDescent="0.15">
      <c r="A77" s="1" t="s">
        <v>18069</v>
      </c>
      <c r="B77" s="1" t="s">
        <v>15835</v>
      </c>
      <c r="C77" s="1" t="s">
        <v>18070</v>
      </c>
      <c r="D77" s="1" t="s">
        <v>6609</v>
      </c>
    </row>
    <row r="78" spans="1:4" x14ac:dyDescent="0.15">
      <c r="A78" s="1" t="s">
        <v>18073</v>
      </c>
      <c r="B78" s="1" t="s">
        <v>15839</v>
      </c>
      <c r="C78" s="1" t="s">
        <v>18074</v>
      </c>
      <c r="D78" s="1" t="s">
        <v>15840</v>
      </c>
    </row>
    <row r="79" spans="1:4" x14ac:dyDescent="0.15">
      <c r="A79" s="1" t="s">
        <v>18077</v>
      </c>
      <c r="B79" s="1" t="s">
        <v>11244</v>
      </c>
      <c r="C79" s="1" t="s">
        <v>18078</v>
      </c>
      <c r="D79" s="1" t="s">
        <v>6610</v>
      </c>
    </row>
    <row r="80" spans="1:4" x14ac:dyDescent="0.15">
      <c r="A80" s="1" t="s">
        <v>18081</v>
      </c>
      <c r="B80" s="1" t="s">
        <v>12607</v>
      </c>
      <c r="C80" s="1" t="s">
        <v>6611</v>
      </c>
      <c r="D80" s="1" t="s">
        <v>6611</v>
      </c>
    </row>
    <row r="81" spans="1:4" x14ac:dyDescent="0.15">
      <c r="A81" s="1" t="s">
        <v>18085</v>
      </c>
      <c r="B81" s="1" t="s">
        <v>11248</v>
      </c>
      <c r="C81" s="1" t="s">
        <v>18086</v>
      </c>
      <c r="D81" s="1" t="s">
        <v>18086</v>
      </c>
    </row>
    <row r="82" spans="1:4" x14ac:dyDescent="0.15">
      <c r="A82" s="1" t="s">
        <v>6612</v>
      </c>
      <c r="B82" s="1" t="s">
        <v>12611</v>
      </c>
      <c r="C82" s="1" t="s">
        <v>18090</v>
      </c>
      <c r="D82" s="1" t="s">
        <v>18090</v>
      </c>
    </row>
    <row r="83" spans="1:4" x14ac:dyDescent="0.15">
      <c r="A83" s="1" t="s">
        <v>18093</v>
      </c>
      <c r="B83" s="1" t="s">
        <v>11251</v>
      </c>
      <c r="C83" s="1" t="s">
        <v>18090</v>
      </c>
      <c r="D83" s="1" t="s">
        <v>6613</v>
      </c>
    </row>
    <row r="84" spans="1:4" x14ac:dyDescent="0.15">
      <c r="A84" s="1" t="s">
        <v>6614</v>
      </c>
      <c r="B84" s="1" t="s">
        <v>11266</v>
      </c>
      <c r="C84" s="1" t="s">
        <v>18097</v>
      </c>
      <c r="D84" s="1" t="s">
        <v>6615</v>
      </c>
    </row>
    <row r="85" spans="1:4" x14ac:dyDescent="0.15">
      <c r="A85" s="1" t="s">
        <v>18100</v>
      </c>
      <c r="B85" s="1" t="s">
        <v>17987</v>
      </c>
      <c r="C85" s="1" t="s">
        <v>18097</v>
      </c>
      <c r="D85" s="1" t="s">
        <v>6615</v>
      </c>
    </row>
    <row r="86" spans="1:4" x14ac:dyDescent="0.15">
      <c r="A86" s="1" t="s">
        <v>11272</v>
      </c>
      <c r="B86" s="1" t="s">
        <v>11272</v>
      </c>
      <c r="C86" s="1" t="s">
        <v>6616</v>
      </c>
      <c r="D86" s="1" t="s">
        <v>6617</v>
      </c>
    </row>
    <row r="87" spans="1:4" x14ac:dyDescent="0.15">
      <c r="A87" s="1" t="s">
        <v>11277</v>
      </c>
      <c r="B87" s="1" t="s">
        <v>11277</v>
      </c>
      <c r="C87" s="1" t="s">
        <v>18108</v>
      </c>
      <c r="D87" s="1" t="s">
        <v>6618</v>
      </c>
    </row>
    <row r="88" spans="1:4" x14ac:dyDescent="0.15">
      <c r="A88" s="1" t="s">
        <v>18111</v>
      </c>
      <c r="B88" s="1" t="s">
        <v>18111</v>
      </c>
      <c r="C88" s="1" t="s">
        <v>18112</v>
      </c>
      <c r="D88" s="1" t="s">
        <v>6619</v>
      </c>
    </row>
    <row r="89" spans="1:4" x14ac:dyDescent="0.15">
      <c r="A89" s="1" t="s">
        <v>18115</v>
      </c>
      <c r="B89" s="1" t="s">
        <v>12618</v>
      </c>
      <c r="C89" s="1" t="s">
        <v>18116</v>
      </c>
      <c r="D89" s="1" t="s">
        <v>6620</v>
      </c>
    </row>
    <row r="90" spans="1:4" x14ac:dyDescent="0.15">
      <c r="B90" s="1" t="s">
        <v>11285</v>
      </c>
      <c r="D90" s="1" t="s">
        <v>6621</v>
      </c>
    </row>
    <row r="91" spans="1:4" x14ac:dyDescent="0.15">
      <c r="B91" s="1" t="s">
        <v>18102</v>
      </c>
      <c r="D91" s="1" t="s">
        <v>6622</v>
      </c>
    </row>
    <row r="92" spans="1:4" x14ac:dyDescent="0.15">
      <c r="A92" s="1" t="s">
        <v>11295</v>
      </c>
      <c r="B92" s="1" t="s">
        <v>11295</v>
      </c>
      <c r="C92" s="1" t="s">
        <v>6623</v>
      </c>
      <c r="D92" s="1" t="s">
        <v>6624</v>
      </c>
    </row>
    <row r="93" spans="1:4" x14ac:dyDescent="0.15">
      <c r="A93" s="1" t="s">
        <v>18123</v>
      </c>
      <c r="B93" s="1" t="s">
        <v>18123</v>
      </c>
      <c r="C93" s="1" t="s">
        <v>6624</v>
      </c>
      <c r="D93" s="1" t="s">
        <v>6624</v>
      </c>
    </row>
    <row r="94" spans="1:4" x14ac:dyDescent="0.15">
      <c r="A94" s="1" t="s">
        <v>11449</v>
      </c>
      <c r="B94" s="1" t="s">
        <v>11449</v>
      </c>
      <c r="C94" s="1" t="s">
        <v>6625</v>
      </c>
      <c r="D94" s="1" t="s">
        <v>6626</v>
      </c>
    </row>
    <row r="95" spans="1:4" x14ac:dyDescent="0.15">
      <c r="A95" s="1" t="s">
        <v>17481</v>
      </c>
      <c r="B95" s="1" t="s">
        <v>17481</v>
      </c>
      <c r="C95" s="1" t="s">
        <v>6627</v>
      </c>
      <c r="D95" s="1" t="s">
        <v>6628</v>
      </c>
    </row>
    <row r="96" spans="1:4" x14ac:dyDescent="0.15">
      <c r="A96" s="1" t="s">
        <v>6629</v>
      </c>
      <c r="C96" s="1" t="s">
        <v>17568</v>
      </c>
      <c r="D96" s="1" t="s">
        <v>6584</v>
      </c>
    </row>
    <row r="97" spans="1:4" x14ac:dyDescent="0.15">
      <c r="A97" s="1" t="s">
        <v>11187</v>
      </c>
      <c r="B97" s="1" t="s">
        <v>11187</v>
      </c>
      <c r="C97" s="1" t="s">
        <v>6630</v>
      </c>
      <c r="D97" s="1" t="s">
        <v>6631</v>
      </c>
    </row>
    <row r="98" spans="1:4" x14ac:dyDescent="0.15">
      <c r="A98" s="1" t="s">
        <v>18127</v>
      </c>
      <c r="B98" s="1" t="s">
        <v>18131</v>
      </c>
      <c r="C98" s="1" t="s">
        <v>6632</v>
      </c>
      <c r="D98" s="1" t="s">
        <v>6633</v>
      </c>
    </row>
    <row r="99" spans="1:4" x14ac:dyDescent="0.15">
      <c r="B99" s="1" t="s">
        <v>11595</v>
      </c>
      <c r="D99" s="1" t="s">
        <v>6634</v>
      </c>
    </row>
    <row r="100" spans="1:4" x14ac:dyDescent="0.15">
      <c r="B100" s="1" t="s">
        <v>11304</v>
      </c>
      <c r="D100" s="1" t="s">
        <v>6635</v>
      </c>
    </row>
    <row r="101" spans="1:4" x14ac:dyDescent="0.15">
      <c r="B101" s="1" t="s">
        <v>11307</v>
      </c>
      <c r="D101" s="1" t="s">
        <v>6636</v>
      </c>
    </row>
    <row r="102" spans="1:4" x14ac:dyDescent="0.15">
      <c r="A102" s="1" t="s">
        <v>18131</v>
      </c>
      <c r="B102" s="1" t="s">
        <v>18131</v>
      </c>
      <c r="C102" s="1" t="s">
        <v>6637</v>
      </c>
      <c r="D102" s="1" t="s">
        <v>6638</v>
      </c>
    </row>
    <row r="103" spans="1:4" x14ac:dyDescent="0.15">
      <c r="A103" s="1" t="s">
        <v>12582</v>
      </c>
      <c r="B103" s="1" t="s">
        <v>12582</v>
      </c>
      <c r="C103" s="1" t="s">
        <v>6639</v>
      </c>
      <c r="D103" s="1" t="s">
        <v>6639</v>
      </c>
    </row>
    <row r="104" spans="1:4" x14ac:dyDescent="0.15">
      <c r="A104" s="1" t="s">
        <v>18139</v>
      </c>
      <c r="B104" s="1" t="s">
        <v>18139</v>
      </c>
      <c r="C104" s="1" t="s">
        <v>6639</v>
      </c>
      <c r="D104" s="1" t="s">
        <v>6639</v>
      </c>
    </row>
    <row r="105" spans="1:4" x14ac:dyDescent="0.15">
      <c r="A105" s="1" t="s">
        <v>12592</v>
      </c>
      <c r="C105" s="1" t="s">
        <v>6640</v>
      </c>
      <c r="D105" s="1" t="s">
        <v>6584</v>
      </c>
    </row>
    <row r="106" spans="1:4" x14ac:dyDescent="0.15">
      <c r="A106" s="1" t="s">
        <v>18146</v>
      </c>
      <c r="B106" s="1" t="s">
        <v>12635</v>
      </c>
      <c r="C106" s="1" t="s">
        <v>6641</v>
      </c>
      <c r="D106" s="1" t="s">
        <v>6642</v>
      </c>
    </row>
    <row r="107" spans="1:4" x14ac:dyDescent="0.15">
      <c r="A107" s="1" t="s">
        <v>18150</v>
      </c>
      <c r="B107" s="1" t="s">
        <v>12635</v>
      </c>
      <c r="C107" s="1" t="s">
        <v>18151</v>
      </c>
      <c r="D107" s="1" t="s">
        <v>6643</v>
      </c>
    </row>
    <row r="108" spans="1:4" x14ac:dyDescent="0.15">
      <c r="A108" s="1" t="s">
        <v>18154</v>
      </c>
      <c r="B108" s="1" t="s">
        <v>18182</v>
      </c>
      <c r="C108" s="1" t="s">
        <v>18155</v>
      </c>
      <c r="D108" s="1" t="s">
        <v>6644</v>
      </c>
    </row>
    <row r="109" spans="1:4" x14ac:dyDescent="0.15">
      <c r="A109" s="1" t="s">
        <v>18158</v>
      </c>
      <c r="B109" s="1" t="s">
        <v>18182</v>
      </c>
      <c r="C109" s="1" t="s">
        <v>6645</v>
      </c>
      <c r="D109" s="1" t="s">
        <v>6644</v>
      </c>
    </row>
    <row r="110" spans="1:4" x14ac:dyDescent="0.15">
      <c r="A110" s="1" t="s">
        <v>12602</v>
      </c>
      <c r="B110" s="1" t="s">
        <v>12602</v>
      </c>
      <c r="C110" s="1" t="s">
        <v>6646</v>
      </c>
      <c r="D110" s="1" t="s">
        <v>6647</v>
      </c>
    </row>
    <row r="111" spans="1:4" x14ac:dyDescent="0.15">
      <c r="A111" s="1" t="s">
        <v>18166</v>
      </c>
      <c r="B111" s="1" t="s">
        <v>18166</v>
      </c>
      <c r="C111" s="1" t="s">
        <v>18167</v>
      </c>
      <c r="D111" s="1" t="s">
        <v>18167</v>
      </c>
    </row>
    <row r="112" spans="1:4" x14ac:dyDescent="0.15">
      <c r="A112" s="1" t="s">
        <v>18170</v>
      </c>
      <c r="B112" s="1" t="s">
        <v>18170</v>
      </c>
      <c r="C112" s="1" t="s">
        <v>18171</v>
      </c>
      <c r="D112" s="1" t="s">
        <v>6648</v>
      </c>
    </row>
    <row r="113" spans="1:4" x14ac:dyDescent="0.15">
      <c r="A113" s="1" t="s">
        <v>18174</v>
      </c>
      <c r="B113" s="1" t="s">
        <v>18174</v>
      </c>
      <c r="C113" s="1" t="s">
        <v>18175</v>
      </c>
      <c r="D113" s="1" t="s">
        <v>6649</v>
      </c>
    </row>
    <row r="114" spans="1:4" x14ac:dyDescent="0.15">
      <c r="B114" s="1" t="s">
        <v>12624</v>
      </c>
      <c r="D114" s="1" t="s">
        <v>6650</v>
      </c>
    </row>
    <row r="115" spans="1:4" x14ac:dyDescent="0.15">
      <c r="A115" s="1" t="s">
        <v>18178</v>
      </c>
      <c r="B115" s="1" t="s">
        <v>18178</v>
      </c>
      <c r="C115" s="1" t="s">
        <v>6651</v>
      </c>
      <c r="D115" s="1" t="s">
        <v>6652</v>
      </c>
    </row>
    <row r="116" spans="1:4" x14ac:dyDescent="0.15">
      <c r="A116" s="1" t="s">
        <v>18182</v>
      </c>
      <c r="B116" s="1" t="s">
        <v>18182</v>
      </c>
      <c r="C116" s="1" t="s">
        <v>6653</v>
      </c>
      <c r="D116" s="1" t="s">
        <v>6644</v>
      </c>
    </row>
    <row r="117" spans="1:4" x14ac:dyDescent="0.15">
      <c r="A117" s="1" t="s">
        <v>17829</v>
      </c>
      <c r="B117" s="1" t="s">
        <v>17829</v>
      </c>
      <c r="C117" s="1" t="s">
        <v>6630</v>
      </c>
      <c r="D117" s="1" t="s">
        <v>6631</v>
      </c>
    </row>
    <row r="118" spans="1:4" x14ac:dyDescent="0.15">
      <c r="A118" s="1" t="s">
        <v>11195</v>
      </c>
      <c r="B118" s="1" t="s">
        <v>11195</v>
      </c>
      <c r="C118" s="1" t="s">
        <v>17833</v>
      </c>
      <c r="D118" s="1" t="s">
        <v>17833</v>
      </c>
    </row>
    <row r="119" spans="1:4" x14ac:dyDescent="0.15">
      <c r="A119" s="1" t="s">
        <v>17836</v>
      </c>
      <c r="B119" s="1" t="s">
        <v>17836</v>
      </c>
      <c r="C119" s="1" t="s">
        <v>17833</v>
      </c>
      <c r="D119" s="1" t="s">
        <v>6654</v>
      </c>
    </row>
    <row r="120" spans="1:4" x14ac:dyDescent="0.15">
      <c r="B120" s="1" t="s">
        <v>11201</v>
      </c>
      <c r="D120" s="1" t="s">
        <v>6655</v>
      </c>
    </row>
    <row r="121" spans="1:4" x14ac:dyDescent="0.15">
      <c r="A121" s="1" t="s">
        <v>12640</v>
      </c>
      <c r="B121" s="1" t="s">
        <v>12640</v>
      </c>
      <c r="C121" s="1" t="s">
        <v>6656</v>
      </c>
      <c r="D121" s="1" t="s">
        <v>6657</v>
      </c>
    </row>
    <row r="122" spans="1:4" x14ac:dyDescent="0.15">
      <c r="A122" s="1" t="s">
        <v>18190</v>
      </c>
      <c r="B122" s="1" t="s">
        <v>18190</v>
      </c>
      <c r="C122" s="1" t="s">
        <v>6656</v>
      </c>
      <c r="D122" s="1" t="s">
        <v>6657</v>
      </c>
    </row>
    <row r="123" spans="1:4" x14ac:dyDescent="0.15">
      <c r="A123" s="1" t="s">
        <v>12648</v>
      </c>
      <c r="B123" s="1" t="s">
        <v>12648</v>
      </c>
      <c r="C123" s="1" t="s">
        <v>6658</v>
      </c>
      <c r="D123" s="1" t="s">
        <v>6659</v>
      </c>
    </row>
    <row r="124" spans="1:4" x14ac:dyDescent="0.15">
      <c r="A124" s="1" t="s">
        <v>18197</v>
      </c>
      <c r="B124" s="1" t="s">
        <v>18197</v>
      </c>
      <c r="C124" s="1" t="s">
        <v>6658</v>
      </c>
      <c r="D124" s="1" t="s">
        <v>6659</v>
      </c>
    </row>
    <row r="125" spans="1:4" x14ac:dyDescent="0.15">
      <c r="A125" s="1" t="s">
        <v>12652</v>
      </c>
      <c r="B125" s="1" t="s">
        <v>12652</v>
      </c>
      <c r="C125" s="1" t="s">
        <v>6660</v>
      </c>
      <c r="D125" s="1" t="s">
        <v>6661</v>
      </c>
    </row>
    <row r="126" spans="1:4" x14ac:dyDescent="0.15">
      <c r="A126" s="1" t="s">
        <v>12655</v>
      </c>
      <c r="B126" s="1" t="s">
        <v>12655</v>
      </c>
      <c r="C126" s="1" t="s">
        <v>18206</v>
      </c>
      <c r="D126" s="1" t="s">
        <v>18206</v>
      </c>
    </row>
    <row r="127" spans="1:4" x14ac:dyDescent="0.15">
      <c r="A127" s="1" t="s">
        <v>18209</v>
      </c>
      <c r="B127" s="1" t="s">
        <v>18209</v>
      </c>
      <c r="C127" s="1" t="s">
        <v>18206</v>
      </c>
      <c r="D127" s="1" t="s">
        <v>6662</v>
      </c>
    </row>
    <row r="128" spans="1:4" x14ac:dyDescent="0.15">
      <c r="A128" s="1" t="s">
        <v>12666</v>
      </c>
      <c r="B128" s="1" t="s">
        <v>12666</v>
      </c>
      <c r="C128" s="1" t="s">
        <v>6663</v>
      </c>
      <c r="D128" s="1" t="s">
        <v>6663</v>
      </c>
    </row>
    <row r="129" spans="1:4" x14ac:dyDescent="0.15">
      <c r="A129" s="1" t="s">
        <v>18216</v>
      </c>
      <c r="B129" s="1" t="s">
        <v>18216</v>
      </c>
      <c r="C129" s="1" t="s">
        <v>6663</v>
      </c>
      <c r="D129" s="1" t="s">
        <v>6663</v>
      </c>
    </row>
    <row r="130" spans="1:4" x14ac:dyDescent="0.15">
      <c r="A130" s="1" t="s">
        <v>12671</v>
      </c>
      <c r="B130" s="1" t="s">
        <v>12671</v>
      </c>
      <c r="C130" s="1" t="s">
        <v>18220</v>
      </c>
      <c r="D130" s="1" t="s">
        <v>11916</v>
      </c>
    </row>
    <row r="131" spans="1:4" x14ac:dyDescent="0.15">
      <c r="A131" s="1" t="s">
        <v>18223</v>
      </c>
      <c r="B131" s="1" t="s">
        <v>18223</v>
      </c>
      <c r="C131" s="1" t="s">
        <v>18220</v>
      </c>
      <c r="D131" s="1" t="s">
        <v>6664</v>
      </c>
    </row>
    <row r="132" spans="1:4" x14ac:dyDescent="0.15">
      <c r="A132" s="1" t="s">
        <v>11521</v>
      </c>
      <c r="B132" s="1" t="s">
        <v>11521</v>
      </c>
      <c r="C132" s="1" t="s">
        <v>18227</v>
      </c>
      <c r="D132" s="1" t="s">
        <v>18227</v>
      </c>
    </row>
    <row r="133" spans="1:4" x14ac:dyDescent="0.15">
      <c r="A133" s="1" t="s">
        <v>18230</v>
      </c>
      <c r="B133" s="1" t="s">
        <v>18230</v>
      </c>
      <c r="C133" s="1" t="s">
        <v>18227</v>
      </c>
      <c r="D133" s="1" t="s">
        <v>18227</v>
      </c>
    </row>
    <row r="134" spans="1:4" x14ac:dyDescent="0.15">
      <c r="A134" s="1" t="s">
        <v>11525</v>
      </c>
      <c r="B134" s="1" t="s">
        <v>11525</v>
      </c>
      <c r="C134" s="1" t="s">
        <v>17384</v>
      </c>
      <c r="D134" s="1" t="s">
        <v>17384</v>
      </c>
    </row>
    <row r="135" spans="1:4" x14ac:dyDescent="0.15">
      <c r="A135" s="1" t="s">
        <v>17387</v>
      </c>
      <c r="B135" s="1" t="s">
        <v>17387</v>
      </c>
      <c r="C135" s="1" t="s">
        <v>17384</v>
      </c>
      <c r="D135" s="1" t="s">
        <v>6665</v>
      </c>
    </row>
    <row r="136" spans="1:4" x14ac:dyDescent="0.15">
      <c r="A136" s="1" t="s">
        <v>11531</v>
      </c>
      <c r="B136" s="1" t="s">
        <v>11531</v>
      </c>
      <c r="C136" s="1" t="s">
        <v>6666</v>
      </c>
      <c r="D136" s="1" t="s">
        <v>6584</v>
      </c>
    </row>
    <row r="137" spans="1:4" x14ac:dyDescent="0.15">
      <c r="A137" s="1" t="s">
        <v>17394</v>
      </c>
      <c r="B137" s="1" t="s">
        <v>18216</v>
      </c>
      <c r="C137" s="1" t="s">
        <v>6666</v>
      </c>
      <c r="D137" s="1" t="s">
        <v>6663</v>
      </c>
    </row>
    <row r="138" spans="1:4" x14ac:dyDescent="0.15">
      <c r="B138" s="1" t="s">
        <v>11534</v>
      </c>
      <c r="D138" s="1" t="s">
        <v>6667</v>
      </c>
    </row>
    <row r="139" spans="1:4" x14ac:dyDescent="0.15">
      <c r="B139" s="1" t="s">
        <v>11537</v>
      </c>
      <c r="D139" s="1" t="s">
        <v>6668</v>
      </c>
    </row>
    <row r="140" spans="1:4" x14ac:dyDescent="0.15">
      <c r="B140" s="1" t="s">
        <v>11545</v>
      </c>
      <c r="D140" s="1" t="s">
        <v>6669</v>
      </c>
    </row>
    <row r="141" spans="1:4" x14ac:dyDescent="0.15">
      <c r="B141" s="1" t="s">
        <v>11548</v>
      </c>
      <c r="D141" s="1" t="s">
        <v>6670</v>
      </c>
    </row>
    <row r="142" spans="1:4" x14ac:dyDescent="0.15">
      <c r="B142" s="1" t="s">
        <v>11204</v>
      </c>
      <c r="D142" s="1" t="s">
        <v>6671</v>
      </c>
    </row>
    <row r="143" spans="1:4" x14ac:dyDescent="0.15">
      <c r="B143" s="1" t="s">
        <v>11209</v>
      </c>
      <c r="D143" s="1" t="s">
        <v>6672</v>
      </c>
    </row>
    <row r="144" spans="1:4" x14ac:dyDescent="0.15">
      <c r="B144" s="1" t="s">
        <v>11212</v>
      </c>
      <c r="D144" s="1" t="s">
        <v>6673</v>
      </c>
    </row>
    <row r="145" spans="1:4" x14ac:dyDescent="0.15">
      <c r="A145" s="1" t="s">
        <v>11550</v>
      </c>
      <c r="B145" s="1" t="s">
        <v>11550</v>
      </c>
      <c r="C145" s="1" t="s">
        <v>6674</v>
      </c>
      <c r="D145" s="1" t="s">
        <v>6675</v>
      </c>
    </row>
    <row r="146" spans="1:4" x14ac:dyDescent="0.15">
      <c r="A146" s="1" t="s">
        <v>17401</v>
      </c>
      <c r="B146" s="1" t="s">
        <v>17401</v>
      </c>
      <c r="C146" s="1" t="s">
        <v>6674</v>
      </c>
      <c r="D146" s="1" t="s">
        <v>6675</v>
      </c>
    </row>
    <row r="147" spans="1:4" x14ac:dyDescent="0.15">
      <c r="A147" s="1" t="s">
        <v>11554</v>
      </c>
      <c r="B147" s="1" t="s">
        <v>11554</v>
      </c>
      <c r="C147" s="1" t="s">
        <v>6676</v>
      </c>
      <c r="D147" s="1" t="s">
        <v>6677</v>
      </c>
    </row>
    <row r="148" spans="1:4" x14ac:dyDescent="0.15">
      <c r="A148" s="1" t="s">
        <v>11557</v>
      </c>
      <c r="B148" s="1" t="s">
        <v>11557</v>
      </c>
      <c r="C148" s="1" t="s">
        <v>17410</v>
      </c>
      <c r="D148" s="1" t="s">
        <v>17410</v>
      </c>
    </row>
    <row r="149" spans="1:4" x14ac:dyDescent="0.15">
      <c r="A149" s="1" t="s">
        <v>17413</v>
      </c>
      <c r="B149" s="1" t="s">
        <v>17413</v>
      </c>
      <c r="C149" s="1" t="s">
        <v>17414</v>
      </c>
      <c r="D149" s="1" t="s">
        <v>17414</v>
      </c>
    </row>
    <row r="150" spans="1:4" x14ac:dyDescent="0.15">
      <c r="A150" s="1" t="s">
        <v>17417</v>
      </c>
      <c r="B150" s="1" t="s">
        <v>17417</v>
      </c>
      <c r="C150" s="1" t="s">
        <v>17418</v>
      </c>
      <c r="D150" s="1" t="s">
        <v>6678</v>
      </c>
    </row>
    <row r="151" spans="1:4" x14ac:dyDescent="0.15">
      <c r="A151" s="1" t="s">
        <v>17421</v>
      </c>
      <c r="B151" s="1" t="s">
        <v>17421</v>
      </c>
      <c r="C151" s="1" t="s">
        <v>17422</v>
      </c>
      <c r="D151" s="1" t="s">
        <v>6679</v>
      </c>
    </row>
    <row r="152" spans="1:4" x14ac:dyDescent="0.15">
      <c r="A152" s="1" t="s">
        <v>17425</v>
      </c>
      <c r="B152" s="1" t="s">
        <v>17425</v>
      </c>
      <c r="C152" s="1" t="s">
        <v>17426</v>
      </c>
      <c r="D152" s="1" t="s">
        <v>17426</v>
      </c>
    </row>
    <row r="153" spans="1:4" x14ac:dyDescent="0.15">
      <c r="A153" s="1" t="s">
        <v>17429</v>
      </c>
      <c r="B153" s="1" t="s">
        <v>17429</v>
      </c>
      <c r="C153" s="1" t="s">
        <v>17430</v>
      </c>
      <c r="D153" s="1" t="s">
        <v>6680</v>
      </c>
    </row>
    <row r="154" spans="1:4" x14ac:dyDescent="0.15">
      <c r="A154" s="1" t="s">
        <v>17433</v>
      </c>
      <c r="B154" s="1" t="s">
        <v>17433</v>
      </c>
      <c r="C154" s="1" t="s">
        <v>17434</v>
      </c>
      <c r="D154" s="1" t="s">
        <v>6681</v>
      </c>
    </row>
    <row r="155" spans="1:4" x14ac:dyDescent="0.15">
      <c r="A155" s="1" t="s">
        <v>17437</v>
      </c>
      <c r="B155" s="1" t="s">
        <v>17437</v>
      </c>
      <c r="C155" s="1" t="s">
        <v>17438</v>
      </c>
      <c r="D155" s="1" t="s">
        <v>17438</v>
      </c>
    </row>
    <row r="156" spans="1:4" x14ac:dyDescent="0.15">
      <c r="A156" s="1" t="s">
        <v>17441</v>
      </c>
      <c r="B156" s="1" t="s">
        <v>17441</v>
      </c>
      <c r="C156" s="1" t="s">
        <v>17442</v>
      </c>
      <c r="D156" s="1" t="s">
        <v>6682</v>
      </c>
    </row>
    <row r="157" spans="1:4" x14ac:dyDescent="0.15">
      <c r="A157" s="1" t="s">
        <v>17445</v>
      </c>
      <c r="B157" s="1" t="s">
        <v>17445</v>
      </c>
      <c r="C157" s="1" t="s">
        <v>17446</v>
      </c>
      <c r="D157" s="1" t="s">
        <v>6683</v>
      </c>
    </row>
    <row r="158" spans="1:4" x14ac:dyDescent="0.15">
      <c r="A158" s="1" t="s">
        <v>17449</v>
      </c>
      <c r="B158" s="1" t="s">
        <v>17449</v>
      </c>
      <c r="C158" s="1" t="s">
        <v>6684</v>
      </c>
      <c r="D158" s="1" t="s">
        <v>6685</v>
      </c>
    </row>
    <row r="159" spans="1:4" x14ac:dyDescent="0.15">
      <c r="A159" s="1" t="s">
        <v>17453</v>
      </c>
      <c r="B159" s="1" t="s">
        <v>17453</v>
      </c>
      <c r="C159" s="1" t="s">
        <v>17454</v>
      </c>
      <c r="D159" s="1" t="s">
        <v>6686</v>
      </c>
    </row>
    <row r="160" spans="1:4" x14ac:dyDescent="0.15">
      <c r="A160" s="1" t="s">
        <v>17457</v>
      </c>
      <c r="B160" s="1" t="s">
        <v>17457</v>
      </c>
      <c r="C160" s="1" t="s">
        <v>17458</v>
      </c>
      <c r="D160" s="1" t="s">
        <v>17458</v>
      </c>
    </row>
    <row r="161" spans="1:4" x14ac:dyDescent="0.15">
      <c r="A161" s="1" t="s">
        <v>17461</v>
      </c>
      <c r="B161" s="1" t="s">
        <v>17461</v>
      </c>
      <c r="C161" s="1" t="s">
        <v>17462</v>
      </c>
      <c r="D161" s="1" t="s">
        <v>17462</v>
      </c>
    </row>
    <row r="162" spans="1:4" x14ac:dyDescent="0.15">
      <c r="A162" s="1" t="s">
        <v>17465</v>
      </c>
      <c r="B162" s="1" t="s">
        <v>17465</v>
      </c>
      <c r="C162" s="1" t="s">
        <v>17466</v>
      </c>
      <c r="D162" s="1" t="s">
        <v>17466</v>
      </c>
    </row>
    <row r="163" spans="1:4" x14ac:dyDescent="0.15">
      <c r="A163" s="1" t="s">
        <v>17469</v>
      </c>
      <c r="B163" s="1" t="s">
        <v>17469</v>
      </c>
      <c r="C163" s="1" t="s">
        <v>17470</v>
      </c>
      <c r="D163" s="1" t="s">
        <v>17470</v>
      </c>
    </row>
    <row r="164" spans="1:4" x14ac:dyDescent="0.15">
      <c r="B164" s="1" t="s">
        <v>11384</v>
      </c>
      <c r="D164" s="1" t="s">
        <v>6687</v>
      </c>
    </row>
    <row r="165" spans="1:4" x14ac:dyDescent="0.15">
      <c r="B165" s="1" t="s">
        <v>11387</v>
      </c>
      <c r="D165" s="1" t="s">
        <v>6688</v>
      </c>
    </row>
    <row r="166" spans="1:4" x14ac:dyDescent="0.15">
      <c r="B166" s="1" t="s">
        <v>11390</v>
      </c>
      <c r="D166" s="1" t="s">
        <v>6689</v>
      </c>
    </row>
    <row r="167" spans="1:4" x14ac:dyDescent="0.15">
      <c r="B167" s="1" t="s">
        <v>11393</v>
      </c>
      <c r="D167" s="1" t="s">
        <v>6690</v>
      </c>
    </row>
    <row r="168" spans="1:4" x14ac:dyDescent="0.15">
      <c r="B168" s="1" t="s">
        <v>11396</v>
      </c>
      <c r="D168" s="1" t="s">
        <v>6691</v>
      </c>
    </row>
    <row r="169" spans="1:4" x14ac:dyDescent="0.15">
      <c r="B169" s="1" t="s">
        <v>11399</v>
      </c>
      <c r="D169" s="1" t="s">
        <v>6692</v>
      </c>
    </row>
    <row r="170" spans="1:4" x14ac:dyDescent="0.15">
      <c r="B170" s="1" t="s">
        <v>11402</v>
      </c>
      <c r="D170" s="1" t="s">
        <v>6693</v>
      </c>
    </row>
    <row r="171" spans="1:4" x14ac:dyDescent="0.15">
      <c r="B171" s="1" t="s">
        <v>11405</v>
      </c>
      <c r="D171" s="1" t="s">
        <v>6694</v>
      </c>
    </row>
    <row r="172" spans="1:4" x14ac:dyDescent="0.15">
      <c r="B172" s="1" t="s">
        <v>11409</v>
      </c>
      <c r="D172" s="1" t="s">
        <v>6695</v>
      </c>
    </row>
    <row r="173" spans="1:4" x14ac:dyDescent="0.15">
      <c r="B173" s="1" t="s">
        <v>11412</v>
      </c>
      <c r="D173" s="1" t="s">
        <v>6696</v>
      </c>
    </row>
    <row r="174" spans="1:4" x14ac:dyDescent="0.15">
      <c r="B174" s="1" t="s">
        <v>11416</v>
      </c>
      <c r="D174" s="1" t="s">
        <v>6697</v>
      </c>
    </row>
    <row r="175" spans="1:4" x14ac:dyDescent="0.15">
      <c r="A175" s="1" t="s">
        <v>16543</v>
      </c>
      <c r="B175" s="1" t="s">
        <v>16543</v>
      </c>
      <c r="C175" s="1" t="s">
        <v>16544</v>
      </c>
      <c r="D175" s="1" t="s">
        <v>6698</v>
      </c>
    </row>
    <row r="176" spans="1:4" x14ac:dyDescent="0.15">
      <c r="A176" s="1" t="s">
        <v>17485</v>
      </c>
      <c r="B176" s="1" t="s">
        <v>17485</v>
      </c>
      <c r="C176" s="1" t="s">
        <v>17486</v>
      </c>
      <c r="D176" s="1" t="s">
        <v>17486</v>
      </c>
    </row>
    <row r="177" spans="1:4" x14ac:dyDescent="0.15">
      <c r="A177" s="1" t="s">
        <v>17489</v>
      </c>
      <c r="B177" s="1" t="s">
        <v>17489</v>
      </c>
      <c r="C177" s="1" t="s">
        <v>17490</v>
      </c>
      <c r="D177" s="1" t="s">
        <v>6699</v>
      </c>
    </row>
    <row r="178" spans="1:4" x14ac:dyDescent="0.15">
      <c r="A178" s="1" t="s">
        <v>17493</v>
      </c>
      <c r="B178" s="1" t="s">
        <v>11324</v>
      </c>
      <c r="C178" s="1" t="s">
        <v>17494</v>
      </c>
      <c r="D178" s="1" t="s">
        <v>17494</v>
      </c>
    </row>
    <row r="179" spans="1:4" x14ac:dyDescent="0.15">
      <c r="A179" s="1" t="s">
        <v>17497</v>
      </c>
      <c r="B179" s="1" t="s">
        <v>11326</v>
      </c>
      <c r="C179" s="1" t="s">
        <v>17498</v>
      </c>
      <c r="D179" s="1" t="s">
        <v>6700</v>
      </c>
    </row>
    <row r="180" spans="1:4" x14ac:dyDescent="0.15">
      <c r="A180" s="1" t="s">
        <v>17501</v>
      </c>
      <c r="B180" s="1" t="s">
        <v>17501</v>
      </c>
      <c r="C180" s="1" t="s">
        <v>17502</v>
      </c>
      <c r="D180" s="1" t="s">
        <v>17502</v>
      </c>
    </row>
    <row r="181" spans="1:4" x14ac:dyDescent="0.15">
      <c r="A181" s="1" t="s">
        <v>17505</v>
      </c>
      <c r="B181" s="1" t="s">
        <v>17505</v>
      </c>
      <c r="C181" s="1" t="s">
        <v>17506</v>
      </c>
      <c r="D181" s="1" t="s">
        <v>6701</v>
      </c>
    </row>
    <row r="182" spans="1:4" x14ac:dyDescent="0.15">
      <c r="B182" s="1" t="s">
        <v>11463</v>
      </c>
      <c r="D182" s="1" t="s">
        <v>6702</v>
      </c>
    </row>
    <row r="183" spans="1:4" x14ac:dyDescent="0.15">
      <c r="A183" s="1" t="s">
        <v>17509</v>
      </c>
      <c r="B183" s="1" t="s">
        <v>17509</v>
      </c>
      <c r="C183" s="1" t="s">
        <v>6703</v>
      </c>
      <c r="D183" s="1" t="s">
        <v>6704</v>
      </c>
    </row>
    <row r="184" spans="1:4" x14ac:dyDescent="0.15">
      <c r="A184" s="1" t="s">
        <v>11468</v>
      </c>
      <c r="B184" s="1" t="s">
        <v>11468</v>
      </c>
      <c r="C184" s="1" t="s">
        <v>6705</v>
      </c>
      <c r="D184" s="1" t="s">
        <v>6706</v>
      </c>
    </row>
    <row r="185" spans="1:4" x14ac:dyDescent="0.15">
      <c r="A185" s="1" t="s">
        <v>17517</v>
      </c>
      <c r="B185" s="1" t="s">
        <v>17517</v>
      </c>
      <c r="C185" s="1" t="s">
        <v>6705</v>
      </c>
      <c r="D185" s="1" t="s">
        <v>6706</v>
      </c>
    </row>
    <row r="186" spans="1:4" x14ac:dyDescent="0.15">
      <c r="A186" s="1" t="s">
        <v>11472</v>
      </c>
      <c r="B186" s="1" t="s">
        <v>11472</v>
      </c>
      <c r="C186" s="1" t="s">
        <v>6707</v>
      </c>
      <c r="D186" s="1" t="s">
        <v>6708</v>
      </c>
    </row>
    <row r="187" spans="1:4" x14ac:dyDescent="0.15">
      <c r="A187" s="1" t="s">
        <v>6709</v>
      </c>
      <c r="C187" s="1" t="s">
        <v>6710</v>
      </c>
      <c r="D187" s="1" t="s">
        <v>6584</v>
      </c>
    </row>
    <row r="188" spans="1:4" x14ac:dyDescent="0.15">
      <c r="A188" s="1" t="s">
        <v>17528</v>
      </c>
      <c r="B188" s="1" t="s">
        <v>7696</v>
      </c>
      <c r="C188" s="1" t="s">
        <v>6711</v>
      </c>
      <c r="D188" s="1" t="s">
        <v>6710</v>
      </c>
    </row>
    <row r="189" spans="1:4" x14ac:dyDescent="0.15">
      <c r="A189" s="1" t="s">
        <v>17532</v>
      </c>
      <c r="B189" s="1" t="s">
        <v>9589</v>
      </c>
      <c r="C189" s="1" t="s">
        <v>17533</v>
      </c>
      <c r="D189" s="1" t="s">
        <v>17533</v>
      </c>
    </row>
    <row r="190" spans="1:4" x14ac:dyDescent="0.15">
      <c r="A190" s="1" t="s">
        <v>17536</v>
      </c>
      <c r="B190" s="1" t="s">
        <v>7693</v>
      </c>
      <c r="C190" s="1" t="s">
        <v>17537</v>
      </c>
      <c r="D190" s="1" t="s">
        <v>17537</v>
      </c>
    </row>
    <row r="191" spans="1:4" x14ac:dyDescent="0.15">
      <c r="A191" s="1" t="s">
        <v>17540</v>
      </c>
      <c r="C191" s="1" t="s">
        <v>6712</v>
      </c>
      <c r="D191" s="1" t="s">
        <v>6584</v>
      </c>
    </row>
    <row r="192" spans="1:4" x14ac:dyDescent="0.15">
      <c r="A192" s="1" t="s">
        <v>6713</v>
      </c>
      <c r="C192" s="1" t="s">
        <v>6714</v>
      </c>
      <c r="D192" s="1" t="s">
        <v>6584</v>
      </c>
    </row>
    <row r="193" spans="1:4" x14ac:dyDescent="0.15">
      <c r="A193" s="1" t="s">
        <v>17548</v>
      </c>
      <c r="B193" s="1" t="s">
        <v>7290</v>
      </c>
      <c r="C193" s="1" t="s">
        <v>17549</v>
      </c>
      <c r="D193" s="1" t="s">
        <v>6715</v>
      </c>
    </row>
    <row r="194" spans="1:4" x14ac:dyDescent="0.15">
      <c r="A194" s="1" t="s">
        <v>17552</v>
      </c>
      <c r="B194" s="1" t="s">
        <v>7290</v>
      </c>
      <c r="C194" s="1" t="s">
        <v>17553</v>
      </c>
      <c r="D194" s="1" t="s">
        <v>6715</v>
      </c>
    </row>
    <row r="195" spans="1:4" x14ac:dyDescent="0.15">
      <c r="A195" s="1" t="s">
        <v>17556</v>
      </c>
      <c r="C195" s="1" t="s">
        <v>6716</v>
      </c>
      <c r="D195" s="1" t="s">
        <v>6584</v>
      </c>
    </row>
    <row r="196" spans="1:4" x14ac:dyDescent="0.15">
      <c r="A196" s="1" t="s">
        <v>6717</v>
      </c>
      <c r="C196" s="1" t="s">
        <v>17561</v>
      </c>
      <c r="D196" s="1" t="s">
        <v>6584</v>
      </c>
    </row>
    <row r="197" spans="1:4" x14ac:dyDescent="0.15">
      <c r="A197" s="1" t="s">
        <v>17564</v>
      </c>
      <c r="B197" s="1" t="s">
        <v>9994</v>
      </c>
      <c r="C197" s="1" t="s">
        <v>17561</v>
      </c>
      <c r="D197" s="1" t="s">
        <v>6718</v>
      </c>
    </row>
    <row r="198" spans="1:4" x14ac:dyDescent="0.15">
      <c r="A198" s="1" t="s">
        <v>17571</v>
      </c>
      <c r="B198" s="1" t="s">
        <v>7290</v>
      </c>
      <c r="C198" s="1" t="s">
        <v>17568</v>
      </c>
      <c r="D198" s="1" t="s">
        <v>6715</v>
      </c>
    </row>
    <row r="199" spans="1:4" x14ac:dyDescent="0.15">
      <c r="A199" s="1" t="s">
        <v>6719</v>
      </c>
      <c r="C199" s="1" t="s">
        <v>17575</v>
      </c>
      <c r="D199" s="1" t="s">
        <v>6584</v>
      </c>
    </row>
    <row r="200" spans="1:4" x14ac:dyDescent="0.15">
      <c r="A200" s="1" t="s">
        <v>17578</v>
      </c>
      <c r="B200" s="1" t="s">
        <v>7293</v>
      </c>
      <c r="C200" s="1" t="s">
        <v>17575</v>
      </c>
      <c r="D200" s="1" t="s">
        <v>6720</v>
      </c>
    </row>
    <row r="201" spans="1:4" x14ac:dyDescent="0.15">
      <c r="A201" s="1" t="s">
        <v>6721</v>
      </c>
      <c r="C201" s="1" t="s">
        <v>6722</v>
      </c>
      <c r="D201" s="1" t="s">
        <v>6584</v>
      </c>
    </row>
    <row r="202" spans="1:4" x14ac:dyDescent="0.15">
      <c r="A202" s="1" t="s">
        <v>17585</v>
      </c>
      <c r="B202" s="1" t="s">
        <v>7293</v>
      </c>
      <c r="C202" s="1" t="s">
        <v>6722</v>
      </c>
      <c r="D202" s="1" t="s">
        <v>6720</v>
      </c>
    </row>
    <row r="203" spans="1:4" x14ac:dyDescent="0.15">
      <c r="A203" s="1" t="s">
        <v>17592</v>
      </c>
      <c r="B203" s="1" t="s">
        <v>7689</v>
      </c>
      <c r="C203" s="1" t="s">
        <v>17593</v>
      </c>
      <c r="D203" s="1" t="s">
        <v>17593</v>
      </c>
    </row>
    <row r="204" spans="1:4" x14ac:dyDescent="0.15">
      <c r="A204" s="1" t="s">
        <v>17596</v>
      </c>
      <c r="B204" s="1" t="s">
        <v>7676</v>
      </c>
      <c r="C204" s="1" t="s">
        <v>17597</v>
      </c>
      <c r="D204" s="1" t="s">
        <v>6723</v>
      </c>
    </row>
    <row r="205" spans="1:4" x14ac:dyDescent="0.15">
      <c r="A205" s="1" t="s">
        <v>17600</v>
      </c>
      <c r="B205" s="1" t="s">
        <v>9995</v>
      </c>
      <c r="C205" s="1" t="s">
        <v>17601</v>
      </c>
      <c r="D205" s="1" t="s">
        <v>6724</v>
      </c>
    </row>
    <row r="206" spans="1:4" x14ac:dyDescent="0.15">
      <c r="A206" s="1" t="s">
        <v>17604</v>
      </c>
      <c r="B206" s="1" t="s">
        <v>7680</v>
      </c>
      <c r="C206" s="1" t="s">
        <v>6725</v>
      </c>
      <c r="D206" s="1" t="s">
        <v>6726</v>
      </c>
    </row>
    <row r="207" spans="1:4" x14ac:dyDescent="0.15">
      <c r="A207" s="1" t="s">
        <v>17608</v>
      </c>
      <c r="B207" s="1" t="s">
        <v>9994</v>
      </c>
      <c r="C207" s="1" t="s">
        <v>17609</v>
      </c>
      <c r="D207" s="1" t="s">
        <v>6718</v>
      </c>
    </row>
    <row r="208" spans="1:4" x14ac:dyDescent="0.15">
      <c r="A208" s="1" t="s">
        <v>17612</v>
      </c>
      <c r="B208" s="1" t="s">
        <v>9994</v>
      </c>
      <c r="C208" s="1" t="s">
        <v>17613</v>
      </c>
      <c r="D208" s="1" t="s">
        <v>6718</v>
      </c>
    </row>
    <row r="209" spans="1:4" x14ac:dyDescent="0.15">
      <c r="A209" s="1" t="s">
        <v>17616</v>
      </c>
      <c r="B209" s="1" t="s">
        <v>7683</v>
      </c>
      <c r="C209" s="1" t="s">
        <v>6727</v>
      </c>
      <c r="D209" s="1" t="s">
        <v>6728</v>
      </c>
    </row>
    <row r="210" spans="1:4" x14ac:dyDescent="0.15">
      <c r="A210" s="1" t="s">
        <v>6729</v>
      </c>
      <c r="C210" s="1" t="s">
        <v>6730</v>
      </c>
      <c r="D210" s="1" t="s">
        <v>6584</v>
      </c>
    </row>
    <row r="211" spans="1:4" x14ac:dyDescent="0.15">
      <c r="A211" s="1" t="s">
        <v>17624</v>
      </c>
      <c r="B211" s="1" t="s">
        <v>7293</v>
      </c>
      <c r="C211" s="1" t="s">
        <v>17625</v>
      </c>
      <c r="D211" s="1" t="s">
        <v>6720</v>
      </c>
    </row>
    <row r="212" spans="1:4" x14ac:dyDescent="0.15">
      <c r="A212" s="1" t="s">
        <v>17628</v>
      </c>
      <c r="B212" s="1" t="s">
        <v>7293</v>
      </c>
      <c r="C212" s="1" t="s">
        <v>17629</v>
      </c>
      <c r="D212" s="1" t="s">
        <v>6720</v>
      </c>
    </row>
    <row r="213" spans="1:4" x14ac:dyDescent="0.15">
      <c r="A213" s="1" t="s">
        <v>17632</v>
      </c>
      <c r="C213" s="1" t="s">
        <v>6731</v>
      </c>
      <c r="D213" s="1" t="s">
        <v>6584</v>
      </c>
    </row>
    <row r="214" spans="1:4" x14ac:dyDescent="0.15">
      <c r="A214" s="1" t="s">
        <v>6732</v>
      </c>
      <c r="C214" s="1" t="s">
        <v>6733</v>
      </c>
      <c r="D214" s="1" t="s">
        <v>6584</v>
      </c>
    </row>
    <row r="215" spans="1:4" x14ac:dyDescent="0.15">
      <c r="A215" s="1" t="s">
        <v>17640</v>
      </c>
      <c r="B215" s="1" t="s">
        <v>7296</v>
      </c>
      <c r="C215" s="1" t="s">
        <v>6734</v>
      </c>
      <c r="D215" s="1" t="s">
        <v>6735</v>
      </c>
    </row>
    <row r="216" spans="1:4" x14ac:dyDescent="0.15">
      <c r="B216" s="1" t="s">
        <v>7696</v>
      </c>
      <c r="D216" s="1" t="s">
        <v>6736</v>
      </c>
    </row>
    <row r="217" spans="1:4" x14ac:dyDescent="0.15">
      <c r="B217" s="1" t="s">
        <v>7698</v>
      </c>
      <c r="D217" s="1" t="s">
        <v>6737</v>
      </c>
    </row>
    <row r="218" spans="1:4" x14ac:dyDescent="0.15">
      <c r="B218" s="1" t="s">
        <v>7284</v>
      </c>
      <c r="D218" s="1" t="s">
        <v>6736</v>
      </c>
    </row>
    <row r="219" spans="1:4" x14ac:dyDescent="0.15">
      <c r="A219" s="1" t="s">
        <v>6738</v>
      </c>
      <c r="C219" s="1" t="s">
        <v>17661</v>
      </c>
      <c r="D219" s="1" t="s">
        <v>6584</v>
      </c>
    </row>
    <row r="220" spans="1:4" x14ac:dyDescent="0.15">
      <c r="A220" s="1" t="s">
        <v>6739</v>
      </c>
      <c r="C220" s="1" t="s">
        <v>6740</v>
      </c>
      <c r="D220" s="1" t="s">
        <v>6584</v>
      </c>
    </row>
    <row r="221" spans="1:4" x14ac:dyDescent="0.15">
      <c r="A221" s="1" t="s">
        <v>17671</v>
      </c>
      <c r="B221" s="1" t="s">
        <v>7284</v>
      </c>
      <c r="C221" s="1" t="s">
        <v>17672</v>
      </c>
      <c r="D221" s="1" t="s">
        <v>17672</v>
      </c>
    </row>
    <row r="222" spans="1:4" x14ac:dyDescent="0.15">
      <c r="A222" s="1" t="s">
        <v>17644</v>
      </c>
      <c r="B222" s="1" t="s">
        <v>7296</v>
      </c>
      <c r="C222" s="1" t="s">
        <v>17645</v>
      </c>
      <c r="D222" s="1" t="s">
        <v>6735</v>
      </c>
    </row>
    <row r="223" spans="1:4" x14ac:dyDescent="0.15">
      <c r="A223" s="1" t="s">
        <v>17648</v>
      </c>
      <c r="B223" s="1" t="s">
        <v>7296</v>
      </c>
      <c r="C223" s="1" t="s">
        <v>17649</v>
      </c>
      <c r="D223" s="1" t="s">
        <v>6735</v>
      </c>
    </row>
    <row r="224" spans="1:4" x14ac:dyDescent="0.15">
      <c r="A224" s="1" t="s">
        <v>17652</v>
      </c>
      <c r="B224" s="1" t="s">
        <v>7296</v>
      </c>
      <c r="C224" s="1" t="s">
        <v>17653</v>
      </c>
      <c r="D224" s="1" t="s">
        <v>6735</v>
      </c>
    </row>
    <row r="225" spans="1:4" x14ac:dyDescent="0.15">
      <c r="A225" s="1" t="s">
        <v>17656</v>
      </c>
      <c r="B225" s="1" t="s">
        <v>7296</v>
      </c>
      <c r="C225" s="1" t="s">
        <v>6741</v>
      </c>
      <c r="D225" s="1" t="s">
        <v>6735</v>
      </c>
    </row>
    <row r="226" spans="1:4" x14ac:dyDescent="0.15">
      <c r="A226" s="1" t="s">
        <v>17664</v>
      </c>
      <c r="B226" s="1" t="s">
        <v>7290</v>
      </c>
      <c r="C226" s="1" t="s">
        <v>17661</v>
      </c>
      <c r="D226" s="1" t="s">
        <v>6715</v>
      </c>
    </row>
    <row r="227" spans="1:4" x14ac:dyDescent="0.15">
      <c r="A227" s="1" t="s">
        <v>17675</v>
      </c>
      <c r="B227" s="1" t="s">
        <v>7698</v>
      </c>
      <c r="C227" s="1" t="s">
        <v>17676</v>
      </c>
      <c r="D227" s="1" t="s">
        <v>6740</v>
      </c>
    </row>
    <row r="228" spans="1:4" x14ac:dyDescent="0.15">
      <c r="A228" s="1" t="s">
        <v>17679</v>
      </c>
      <c r="B228" s="1" t="s">
        <v>7698</v>
      </c>
      <c r="C228" s="1" t="s">
        <v>6742</v>
      </c>
      <c r="D228" s="1" t="s">
        <v>6740</v>
      </c>
    </row>
    <row r="229" spans="1:4" x14ac:dyDescent="0.15">
      <c r="A229" s="1" t="s">
        <v>6743</v>
      </c>
      <c r="C229" s="1" t="s">
        <v>6744</v>
      </c>
      <c r="D229" s="1" t="s">
        <v>6584</v>
      </c>
    </row>
    <row r="230" spans="1:4" x14ac:dyDescent="0.15">
      <c r="A230" s="1" t="s">
        <v>17687</v>
      </c>
      <c r="B230" s="1" t="s">
        <v>7287</v>
      </c>
      <c r="C230" s="1" t="s">
        <v>6745</v>
      </c>
      <c r="D230" s="1" t="s">
        <v>6746</v>
      </c>
    </row>
    <row r="231" spans="1:4" x14ac:dyDescent="0.15">
      <c r="A231" s="1" t="s">
        <v>17691</v>
      </c>
      <c r="B231" s="1" t="s">
        <v>7287</v>
      </c>
      <c r="C231" s="1" t="s">
        <v>17692</v>
      </c>
      <c r="D231" s="1" t="s">
        <v>6747</v>
      </c>
    </row>
    <row r="232" spans="1:4" x14ac:dyDescent="0.15">
      <c r="A232" s="1" t="s">
        <v>17695</v>
      </c>
      <c r="C232" s="1" t="s">
        <v>17696</v>
      </c>
      <c r="D232" s="1" t="s">
        <v>6584</v>
      </c>
    </row>
    <row r="233" spans="1:4" x14ac:dyDescent="0.15">
      <c r="A233" s="1" t="s">
        <v>17699</v>
      </c>
      <c r="C233" s="1" t="s">
        <v>6748</v>
      </c>
      <c r="D233" s="1" t="s">
        <v>6584</v>
      </c>
    </row>
    <row r="234" spans="1:4" x14ac:dyDescent="0.15">
      <c r="A234" s="1" t="s">
        <v>6749</v>
      </c>
      <c r="C234" s="1" t="s">
        <v>6750</v>
      </c>
      <c r="D234" s="1" t="s">
        <v>6584</v>
      </c>
    </row>
    <row r="235" spans="1:4" x14ac:dyDescent="0.15">
      <c r="A235" s="1" t="s">
        <v>17707</v>
      </c>
      <c r="B235" s="1" t="s">
        <v>7293</v>
      </c>
      <c r="C235" s="1" t="s">
        <v>6750</v>
      </c>
      <c r="D235" s="1" t="s">
        <v>6751</v>
      </c>
    </row>
    <row r="236" spans="1:4" x14ac:dyDescent="0.15">
      <c r="A236" s="1" t="s">
        <v>6752</v>
      </c>
      <c r="C236" s="1" t="s">
        <v>6753</v>
      </c>
      <c r="D236" s="1" t="s">
        <v>6584</v>
      </c>
    </row>
    <row r="237" spans="1:4" x14ac:dyDescent="0.15">
      <c r="A237" s="1" t="s">
        <v>17815</v>
      </c>
      <c r="B237" s="1" t="s">
        <v>17815</v>
      </c>
      <c r="C237" s="1" t="s">
        <v>17812</v>
      </c>
      <c r="D237" s="1" t="s">
        <v>6754</v>
      </c>
    </row>
    <row r="238" spans="1:4" x14ac:dyDescent="0.15">
      <c r="B238" s="1" t="s">
        <v>11171</v>
      </c>
      <c r="D238" s="1" t="s">
        <v>6755</v>
      </c>
    </row>
    <row r="239" spans="1:4" x14ac:dyDescent="0.15">
      <c r="B239" s="1" t="s">
        <v>11176</v>
      </c>
      <c r="D239" s="1" t="s">
        <v>6756</v>
      </c>
    </row>
    <row r="240" spans="1:4" x14ac:dyDescent="0.15">
      <c r="B240" s="1" t="s">
        <v>11179</v>
      </c>
      <c r="D240" s="1" t="s">
        <v>6757</v>
      </c>
    </row>
    <row r="241" spans="1:4" x14ac:dyDescent="0.15">
      <c r="A241" s="1" t="s">
        <v>11182</v>
      </c>
      <c r="B241" s="1" t="s">
        <v>11182</v>
      </c>
      <c r="C241" s="1" t="s">
        <v>17819</v>
      </c>
      <c r="D241" s="1" t="s">
        <v>12076</v>
      </c>
    </row>
    <row r="242" spans="1:4" x14ac:dyDescent="0.15">
      <c r="A242" s="1" t="s">
        <v>17714</v>
      </c>
      <c r="B242" s="1" t="s">
        <v>7683</v>
      </c>
      <c r="C242" s="1" t="s">
        <v>6753</v>
      </c>
      <c r="D242" s="1" t="s">
        <v>6758</v>
      </c>
    </row>
    <row r="243" spans="1:4" x14ac:dyDescent="0.15">
      <c r="A243" s="1" t="s">
        <v>11475</v>
      </c>
      <c r="B243" s="1" t="s">
        <v>11475</v>
      </c>
      <c r="C243" s="1" t="s">
        <v>6759</v>
      </c>
      <c r="D243" s="1" t="s">
        <v>6760</v>
      </c>
    </row>
    <row r="244" spans="1:4" x14ac:dyDescent="0.15">
      <c r="A244" s="1" t="s">
        <v>11478</v>
      </c>
      <c r="B244" s="1" t="s">
        <v>11478</v>
      </c>
      <c r="C244" s="1" t="s">
        <v>17722</v>
      </c>
      <c r="D244" s="1" t="s">
        <v>6761</v>
      </c>
    </row>
    <row r="245" spans="1:4" x14ac:dyDescent="0.15">
      <c r="A245" s="1" t="s">
        <v>17725</v>
      </c>
      <c r="B245" s="1" t="s">
        <v>17725</v>
      </c>
      <c r="C245" s="1" t="s">
        <v>17722</v>
      </c>
      <c r="D245" s="1" t="s">
        <v>6762</v>
      </c>
    </row>
    <row r="246" spans="1:4" x14ac:dyDescent="0.15">
      <c r="B246" s="1" t="s">
        <v>11488</v>
      </c>
      <c r="D246" s="1" t="s">
        <v>6763</v>
      </c>
    </row>
    <row r="247" spans="1:4" x14ac:dyDescent="0.15">
      <c r="A247" s="1" t="s">
        <v>11491</v>
      </c>
      <c r="C247" s="1" t="s">
        <v>17729</v>
      </c>
      <c r="D247" s="1" t="s">
        <v>6584</v>
      </c>
    </row>
    <row r="248" spans="1:4" x14ac:dyDescent="0.15">
      <c r="A248" s="1" t="s">
        <v>17732</v>
      </c>
      <c r="B248" s="1" t="s">
        <v>10996</v>
      </c>
      <c r="C248" s="1" t="s">
        <v>17729</v>
      </c>
      <c r="D248" s="1" t="s">
        <v>17729</v>
      </c>
    </row>
    <row r="249" spans="1:4" x14ac:dyDescent="0.15">
      <c r="A249" s="1" t="s">
        <v>11494</v>
      </c>
      <c r="B249" s="1" t="s">
        <v>11494</v>
      </c>
      <c r="C249" s="1" t="s">
        <v>6764</v>
      </c>
      <c r="D249" s="1" t="s">
        <v>17740</v>
      </c>
    </row>
    <row r="250" spans="1:4" x14ac:dyDescent="0.15">
      <c r="A250" s="1" t="s">
        <v>17739</v>
      </c>
      <c r="B250" s="1" t="s">
        <v>17739</v>
      </c>
      <c r="C250" s="1" t="s">
        <v>17740</v>
      </c>
      <c r="D250" s="1" t="s">
        <v>17740</v>
      </c>
    </row>
    <row r="251" spans="1:4" x14ac:dyDescent="0.15">
      <c r="A251" s="1" t="s">
        <v>17743</v>
      </c>
      <c r="B251" s="1" t="s">
        <v>17743</v>
      </c>
      <c r="C251" s="1" t="s">
        <v>17744</v>
      </c>
      <c r="D251" s="1" t="s">
        <v>17744</v>
      </c>
    </row>
    <row r="252" spans="1:4" x14ac:dyDescent="0.15">
      <c r="A252" s="1" t="s">
        <v>17747</v>
      </c>
      <c r="B252" s="1" t="s">
        <v>11485</v>
      </c>
      <c r="C252" s="1" t="s">
        <v>17748</v>
      </c>
      <c r="D252" s="1" t="s">
        <v>6765</v>
      </c>
    </row>
    <row r="253" spans="1:4" x14ac:dyDescent="0.15">
      <c r="B253" s="1" t="s">
        <v>11500</v>
      </c>
      <c r="D253" s="1" t="s">
        <v>6766</v>
      </c>
    </row>
    <row r="254" spans="1:4" x14ac:dyDescent="0.15">
      <c r="A254" s="1" t="s">
        <v>17751</v>
      </c>
      <c r="B254" s="1" t="s">
        <v>17751</v>
      </c>
      <c r="C254" s="1" t="s">
        <v>6767</v>
      </c>
      <c r="D254" s="1" t="s">
        <v>6768</v>
      </c>
    </row>
    <row r="255" spans="1:4" x14ac:dyDescent="0.15">
      <c r="A255" s="1" t="s">
        <v>11505</v>
      </c>
      <c r="C255" s="1" t="s">
        <v>6769</v>
      </c>
      <c r="D255" s="1" t="s">
        <v>6584</v>
      </c>
    </row>
    <row r="256" spans="1:4" x14ac:dyDescent="0.15">
      <c r="A256" s="1" t="s">
        <v>17759</v>
      </c>
      <c r="B256" s="1" t="s">
        <v>10993</v>
      </c>
      <c r="C256" s="1" t="s">
        <v>6769</v>
      </c>
      <c r="D256" s="1" t="s">
        <v>6770</v>
      </c>
    </row>
    <row r="257" spans="1:4" x14ac:dyDescent="0.15">
      <c r="A257" s="1" t="s">
        <v>11508</v>
      </c>
      <c r="B257" s="1" t="s">
        <v>11508</v>
      </c>
      <c r="C257" s="1" t="s">
        <v>6771</v>
      </c>
      <c r="D257" s="1" t="s">
        <v>6772</v>
      </c>
    </row>
    <row r="258" spans="1:4" x14ac:dyDescent="0.15">
      <c r="A258" s="1" t="s">
        <v>17766</v>
      </c>
      <c r="B258" s="1" t="s">
        <v>17766</v>
      </c>
      <c r="C258" s="1" t="s">
        <v>6771</v>
      </c>
      <c r="D258" s="1" t="s">
        <v>6773</v>
      </c>
    </row>
    <row r="259" spans="1:4" x14ac:dyDescent="0.15">
      <c r="B259" s="1" t="s">
        <v>10979</v>
      </c>
      <c r="D259" s="1" t="s">
        <v>6774</v>
      </c>
    </row>
    <row r="260" spans="1:4" x14ac:dyDescent="0.15">
      <c r="B260" s="1" t="s">
        <v>10985</v>
      </c>
      <c r="D260" s="1" t="s">
        <v>6775</v>
      </c>
    </row>
    <row r="261" spans="1:4" x14ac:dyDescent="0.15">
      <c r="B261" s="1" t="s">
        <v>11703</v>
      </c>
      <c r="D261" s="1" t="s">
        <v>6776</v>
      </c>
    </row>
    <row r="262" spans="1:4" x14ac:dyDescent="0.15">
      <c r="B262" s="1" t="s">
        <v>10990</v>
      </c>
      <c r="D262" s="1" t="s">
        <v>6777</v>
      </c>
    </row>
    <row r="263" spans="1:4" x14ac:dyDescent="0.15">
      <c r="B263" s="1" t="s">
        <v>11000</v>
      </c>
      <c r="D263" s="1" t="s">
        <v>6778</v>
      </c>
    </row>
    <row r="264" spans="1:4" x14ac:dyDescent="0.15">
      <c r="B264" s="1" t="s">
        <v>11003</v>
      </c>
      <c r="D264" s="1" t="s">
        <v>6779</v>
      </c>
    </row>
    <row r="265" spans="1:4" x14ac:dyDescent="0.15">
      <c r="B265" s="1" t="s">
        <v>11006</v>
      </c>
      <c r="D265" s="1" t="s">
        <v>6776</v>
      </c>
    </row>
    <row r="266" spans="1:4" x14ac:dyDescent="0.15">
      <c r="B266" s="1" t="s">
        <v>11008</v>
      </c>
      <c r="D266" s="1" t="s">
        <v>6780</v>
      </c>
    </row>
    <row r="267" spans="1:4" x14ac:dyDescent="0.15">
      <c r="B267" s="1" t="s">
        <v>11011</v>
      </c>
      <c r="D267" s="1" t="s">
        <v>6780</v>
      </c>
    </row>
    <row r="268" spans="1:4" x14ac:dyDescent="0.15">
      <c r="A268" s="1" t="s">
        <v>11013</v>
      </c>
      <c r="B268" s="1" t="s">
        <v>11013</v>
      </c>
      <c r="C268" s="1" t="s">
        <v>17770</v>
      </c>
      <c r="D268" s="1" t="s">
        <v>6781</v>
      </c>
    </row>
    <row r="269" spans="1:4" x14ac:dyDescent="0.15">
      <c r="A269" s="1" t="s">
        <v>17773</v>
      </c>
      <c r="B269" s="1" t="s">
        <v>17773</v>
      </c>
      <c r="C269" s="1" t="s">
        <v>6782</v>
      </c>
      <c r="D269" s="1" t="s">
        <v>6781</v>
      </c>
    </row>
    <row r="270" spans="1:4" x14ac:dyDescent="0.15">
      <c r="A270" s="1" t="s">
        <v>11017</v>
      </c>
      <c r="B270" s="1" t="s">
        <v>11017</v>
      </c>
      <c r="C270" s="1" t="s">
        <v>6783</v>
      </c>
      <c r="D270" s="1" t="s">
        <v>6784</v>
      </c>
    </row>
    <row r="271" spans="1:4" x14ac:dyDescent="0.15">
      <c r="A271" s="1" t="s">
        <v>11020</v>
      </c>
      <c r="B271" s="1" t="s">
        <v>11020</v>
      </c>
      <c r="C271" s="1" t="s">
        <v>17777</v>
      </c>
      <c r="D271" s="1" t="s">
        <v>6785</v>
      </c>
    </row>
    <row r="272" spans="1:4" x14ac:dyDescent="0.15">
      <c r="A272" s="1" t="s">
        <v>17783</v>
      </c>
      <c r="B272" s="1" t="s">
        <v>16978</v>
      </c>
      <c r="C272" s="1" t="s">
        <v>17784</v>
      </c>
      <c r="D272" s="1" t="s">
        <v>16975</v>
      </c>
    </row>
    <row r="273" spans="1:4" x14ac:dyDescent="0.15">
      <c r="A273" s="1" t="s">
        <v>17787</v>
      </c>
      <c r="B273" s="1" t="s">
        <v>10975</v>
      </c>
      <c r="C273" s="1" t="s">
        <v>17788</v>
      </c>
      <c r="D273" s="1" t="s">
        <v>6786</v>
      </c>
    </row>
    <row r="274" spans="1:4" x14ac:dyDescent="0.15">
      <c r="A274" s="1" t="s">
        <v>17791</v>
      </c>
      <c r="B274" s="1" t="s">
        <v>10976</v>
      </c>
      <c r="C274" s="1" t="s">
        <v>6787</v>
      </c>
      <c r="D274" s="1" t="s">
        <v>6787</v>
      </c>
    </row>
    <row r="275" spans="1:4" x14ac:dyDescent="0.15">
      <c r="B275" s="1" t="s">
        <v>11028</v>
      </c>
      <c r="D275" s="1" t="s">
        <v>6788</v>
      </c>
    </row>
    <row r="276" spans="1:4" x14ac:dyDescent="0.15">
      <c r="A276" s="1" t="s">
        <v>17795</v>
      </c>
      <c r="B276" s="1" t="s">
        <v>11141</v>
      </c>
      <c r="C276" s="1" t="s">
        <v>17796</v>
      </c>
      <c r="D276" s="1" t="s">
        <v>6789</v>
      </c>
    </row>
    <row r="277" spans="1:4" x14ac:dyDescent="0.15">
      <c r="B277" s="1" t="s">
        <v>11032</v>
      </c>
      <c r="D277" s="1" t="s">
        <v>6790</v>
      </c>
    </row>
    <row r="278" spans="1:4" x14ac:dyDescent="0.15">
      <c r="B278" s="1" t="s">
        <v>10978</v>
      </c>
      <c r="D278" s="1" t="s">
        <v>6791</v>
      </c>
    </row>
    <row r="279" spans="1:4" x14ac:dyDescent="0.15">
      <c r="B279" s="1" t="s">
        <v>11043</v>
      </c>
      <c r="D279" s="1" t="s">
        <v>6792</v>
      </c>
    </row>
    <row r="280" spans="1:4" x14ac:dyDescent="0.15">
      <c r="B280" s="1" t="s">
        <v>11046</v>
      </c>
      <c r="D280" s="1" t="s">
        <v>6793</v>
      </c>
    </row>
    <row r="281" spans="1:4" x14ac:dyDescent="0.15">
      <c r="B281" s="1" t="s">
        <v>11051</v>
      </c>
      <c r="D281" s="1" t="s">
        <v>6794</v>
      </c>
    </row>
    <row r="282" spans="1:4" x14ac:dyDescent="0.15">
      <c r="B282" s="1" t="s">
        <v>11057</v>
      </c>
      <c r="D282" s="1" t="s">
        <v>6795</v>
      </c>
    </row>
    <row r="283" spans="1:4" x14ac:dyDescent="0.15">
      <c r="B283" s="1" t="s">
        <v>11065</v>
      </c>
      <c r="D283" s="1" t="s">
        <v>6796</v>
      </c>
    </row>
    <row r="284" spans="1:4" x14ac:dyDescent="0.15">
      <c r="B284" s="1" t="s">
        <v>11135</v>
      </c>
      <c r="D284" s="1" t="s">
        <v>6797</v>
      </c>
    </row>
    <row r="285" spans="1:4" x14ac:dyDescent="0.15">
      <c r="B285" s="1" t="s">
        <v>11138</v>
      </c>
      <c r="D285" s="1" t="s">
        <v>6798</v>
      </c>
    </row>
    <row r="286" spans="1:4" x14ac:dyDescent="0.15">
      <c r="A286" s="1" t="s">
        <v>11511</v>
      </c>
      <c r="B286" s="1" t="s">
        <v>11511</v>
      </c>
      <c r="C286" s="1" t="s">
        <v>6799</v>
      </c>
      <c r="D286" s="1" t="s">
        <v>6800</v>
      </c>
    </row>
    <row r="287" spans="1:4" x14ac:dyDescent="0.15">
      <c r="A287" s="1" t="s">
        <v>11144</v>
      </c>
      <c r="B287" s="1" t="s">
        <v>11144</v>
      </c>
      <c r="C287" s="1" t="s">
        <v>6801</v>
      </c>
      <c r="D287" s="1" t="s">
        <v>6801</v>
      </c>
    </row>
    <row r="288" spans="1:4" x14ac:dyDescent="0.15">
      <c r="B288" s="1" t="s">
        <v>11149</v>
      </c>
      <c r="D288" s="1" t="s">
        <v>6802</v>
      </c>
    </row>
    <row r="289" spans="1:4" x14ac:dyDescent="0.15">
      <c r="B289" s="1" t="s">
        <v>11157</v>
      </c>
      <c r="D289" s="1" t="s">
        <v>6803</v>
      </c>
    </row>
    <row r="290" spans="1:4" x14ac:dyDescent="0.15">
      <c r="B290" s="1" t="s">
        <v>11162</v>
      </c>
      <c r="D290" s="1" t="s">
        <v>6804</v>
      </c>
    </row>
    <row r="291" spans="1:4" x14ac:dyDescent="0.15">
      <c r="A291" s="1" t="s">
        <v>11165</v>
      </c>
      <c r="B291" s="1" t="s">
        <v>11165</v>
      </c>
      <c r="C291" s="1" t="s">
        <v>17812</v>
      </c>
      <c r="D291" s="1" t="s">
        <v>17812</v>
      </c>
    </row>
    <row r="292" spans="1:4" x14ac:dyDescent="0.15">
      <c r="A292" s="1" t="s">
        <v>16547</v>
      </c>
      <c r="B292" s="1" t="s">
        <v>16547</v>
      </c>
      <c r="C292" s="1" t="s">
        <v>16548</v>
      </c>
      <c r="D292" s="1" t="s">
        <v>6805</v>
      </c>
    </row>
    <row r="293" spans="1:4" x14ac:dyDescent="0.15">
      <c r="A293" s="1" t="s">
        <v>17808</v>
      </c>
      <c r="B293" s="1" t="s">
        <v>17808</v>
      </c>
      <c r="C293" s="1" t="s">
        <v>6801</v>
      </c>
      <c r="D293" s="1" t="s">
        <v>6801</v>
      </c>
    </row>
    <row r="294" spans="1:4" x14ac:dyDescent="0.15">
      <c r="A294" s="1" t="s">
        <v>17822</v>
      </c>
      <c r="B294" s="1" t="s">
        <v>17822</v>
      </c>
      <c r="C294" s="1" t="s">
        <v>17823</v>
      </c>
      <c r="D294" s="1" t="s">
        <v>6806</v>
      </c>
    </row>
    <row r="295" spans="1:4" x14ac:dyDescent="0.15">
      <c r="A295" s="1" t="s">
        <v>11215</v>
      </c>
      <c r="B295" s="1" t="s">
        <v>11215</v>
      </c>
      <c r="C295" s="1" t="s">
        <v>17840</v>
      </c>
      <c r="D295" s="1" t="s">
        <v>17840</v>
      </c>
    </row>
    <row r="296" spans="1:4" x14ac:dyDescent="0.15">
      <c r="A296" s="1" t="s">
        <v>17090</v>
      </c>
      <c r="B296" s="1" t="s">
        <v>17090</v>
      </c>
      <c r="C296" s="1" t="s">
        <v>17840</v>
      </c>
      <c r="D296" s="1" t="s">
        <v>17840</v>
      </c>
    </row>
    <row r="297" spans="1:4" x14ac:dyDescent="0.15">
      <c r="B297" s="1" t="s">
        <v>11224</v>
      </c>
      <c r="D297" s="1" t="s">
        <v>6807</v>
      </c>
    </row>
    <row r="298" spans="1:4" x14ac:dyDescent="0.15">
      <c r="B298" s="1" t="s">
        <v>11063</v>
      </c>
      <c r="D298" s="1" t="s">
        <v>6808</v>
      </c>
    </row>
    <row r="299" spans="1:4" x14ac:dyDescent="0.15">
      <c r="B299" s="1" t="s">
        <v>10791</v>
      </c>
      <c r="D299" s="1" t="s">
        <v>6809</v>
      </c>
    </row>
    <row r="300" spans="1:4" x14ac:dyDescent="0.15">
      <c r="B300" s="1" t="s">
        <v>11068</v>
      </c>
      <c r="D300" s="1" t="s">
        <v>6810</v>
      </c>
    </row>
    <row r="301" spans="1:4" x14ac:dyDescent="0.15">
      <c r="B301" s="1" t="s">
        <v>10795</v>
      </c>
      <c r="D301" s="1" t="s">
        <v>6811</v>
      </c>
    </row>
    <row r="302" spans="1:4" x14ac:dyDescent="0.15">
      <c r="B302" s="1" t="s">
        <v>10798</v>
      </c>
      <c r="D302" s="1" t="s">
        <v>6812</v>
      </c>
    </row>
    <row r="303" spans="1:4" x14ac:dyDescent="0.15">
      <c r="B303" s="1" t="s">
        <v>10801</v>
      </c>
      <c r="D303" s="1" t="s">
        <v>6813</v>
      </c>
    </row>
    <row r="304" spans="1:4" x14ac:dyDescent="0.15">
      <c r="B304" s="1" t="s">
        <v>10803</v>
      </c>
      <c r="D304" s="1" t="s">
        <v>6814</v>
      </c>
    </row>
    <row r="305" spans="1:4" x14ac:dyDescent="0.15">
      <c r="B305" s="1" t="s">
        <v>10810</v>
      </c>
      <c r="D305" s="1" t="s">
        <v>6815</v>
      </c>
    </row>
    <row r="306" spans="1:4" x14ac:dyDescent="0.15">
      <c r="B306" s="1" t="s">
        <v>10813</v>
      </c>
      <c r="D306" s="1" t="s">
        <v>6816</v>
      </c>
    </row>
    <row r="307" spans="1:4" x14ac:dyDescent="0.15">
      <c r="B307" s="1" t="s">
        <v>10816</v>
      </c>
      <c r="D307" s="1" t="s">
        <v>6817</v>
      </c>
    </row>
    <row r="308" spans="1:4" x14ac:dyDescent="0.15">
      <c r="B308" s="1" t="s">
        <v>10819</v>
      </c>
      <c r="D308" s="1" t="s">
        <v>6818</v>
      </c>
    </row>
    <row r="309" spans="1:4" x14ac:dyDescent="0.15">
      <c r="B309" s="1" t="s">
        <v>10822</v>
      </c>
      <c r="D309" s="1" t="s">
        <v>6819</v>
      </c>
    </row>
    <row r="310" spans="1:4" x14ac:dyDescent="0.15">
      <c r="A310" s="1" t="s">
        <v>10825</v>
      </c>
      <c r="B310" s="1" t="s">
        <v>10825</v>
      </c>
      <c r="C310" s="1" t="s">
        <v>6820</v>
      </c>
      <c r="D310" s="1" t="s">
        <v>6821</v>
      </c>
    </row>
    <row r="311" spans="1:4" x14ac:dyDescent="0.15">
      <c r="A311" s="1" t="s">
        <v>17097</v>
      </c>
      <c r="B311" s="1" t="s">
        <v>17097</v>
      </c>
      <c r="C311" s="1" t="s">
        <v>6820</v>
      </c>
      <c r="D311" s="1" t="s">
        <v>6821</v>
      </c>
    </row>
    <row r="312" spans="1:4" x14ac:dyDescent="0.15">
      <c r="A312" s="1" t="s">
        <v>10829</v>
      </c>
      <c r="B312" s="1" t="s">
        <v>10829</v>
      </c>
      <c r="C312" s="1" t="s">
        <v>6822</v>
      </c>
      <c r="D312" s="1" t="s">
        <v>6823</v>
      </c>
    </row>
    <row r="313" spans="1:4" x14ac:dyDescent="0.15">
      <c r="A313" s="1" t="s">
        <v>10832</v>
      </c>
      <c r="B313" s="1" t="s">
        <v>10829</v>
      </c>
      <c r="C313" s="1" t="s">
        <v>6824</v>
      </c>
      <c r="D313" s="1" t="s">
        <v>6825</v>
      </c>
    </row>
    <row r="314" spans="1:4" x14ac:dyDescent="0.15">
      <c r="A314" s="1" t="s">
        <v>17109</v>
      </c>
      <c r="B314" s="1" t="s">
        <v>16910</v>
      </c>
      <c r="C314" s="1" t="s">
        <v>17110</v>
      </c>
      <c r="D314" s="1" t="s">
        <v>6826</v>
      </c>
    </row>
    <row r="315" spans="1:4" x14ac:dyDescent="0.15">
      <c r="A315" s="1" t="s">
        <v>17113</v>
      </c>
      <c r="B315" s="1" t="s">
        <v>16910</v>
      </c>
      <c r="C315" s="1" t="s">
        <v>6827</v>
      </c>
      <c r="D315" s="1" t="s">
        <v>6826</v>
      </c>
    </row>
    <row r="316" spans="1:4" x14ac:dyDescent="0.15">
      <c r="A316" s="1" t="s">
        <v>16535</v>
      </c>
      <c r="B316" s="1" t="s">
        <v>16535</v>
      </c>
      <c r="C316" s="1" t="s">
        <v>16536</v>
      </c>
      <c r="D316" s="1" t="s">
        <v>6828</v>
      </c>
    </row>
    <row r="317" spans="1:4" x14ac:dyDescent="0.15">
      <c r="A317" s="1" t="s">
        <v>16551</v>
      </c>
      <c r="B317" s="1" t="s">
        <v>16551</v>
      </c>
      <c r="C317" s="1" t="s">
        <v>16552</v>
      </c>
      <c r="D317" s="1" t="s">
        <v>16552</v>
      </c>
    </row>
    <row r="318" spans="1:4" x14ac:dyDescent="0.15">
      <c r="A318" s="1" t="s">
        <v>17117</v>
      </c>
      <c r="B318" s="1" t="s">
        <v>16910</v>
      </c>
      <c r="C318" s="1" t="s">
        <v>6829</v>
      </c>
      <c r="D318" s="1" t="s">
        <v>6826</v>
      </c>
    </row>
    <row r="319" spans="1:4" x14ac:dyDescent="0.15">
      <c r="A319" s="1" t="s">
        <v>10838</v>
      </c>
      <c r="B319" s="1" t="s">
        <v>10838</v>
      </c>
      <c r="C319" s="1" t="s">
        <v>6830</v>
      </c>
      <c r="D319" s="1" t="s">
        <v>6831</v>
      </c>
    </row>
    <row r="320" spans="1:4" x14ac:dyDescent="0.15">
      <c r="A320" s="1" t="s">
        <v>17125</v>
      </c>
      <c r="B320" s="1" t="s">
        <v>17125</v>
      </c>
      <c r="C320" s="1" t="s">
        <v>6830</v>
      </c>
      <c r="D320" s="1" t="s">
        <v>6832</v>
      </c>
    </row>
    <row r="321" spans="1:4" x14ac:dyDescent="0.15">
      <c r="B321" s="1" t="s">
        <v>10843</v>
      </c>
      <c r="D321" s="1" t="s">
        <v>6833</v>
      </c>
    </row>
    <row r="322" spans="1:4" x14ac:dyDescent="0.15">
      <c r="B322" s="1" t="s">
        <v>10846</v>
      </c>
      <c r="D322" s="1" t="s">
        <v>6834</v>
      </c>
    </row>
    <row r="323" spans="1:4" x14ac:dyDescent="0.15">
      <c r="B323" s="1" t="s">
        <v>10849</v>
      </c>
      <c r="D323" s="1" t="s">
        <v>6835</v>
      </c>
    </row>
    <row r="324" spans="1:4" x14ac:dyDescent="0.15">
      <c r="A324" s="1" t="s">
        <v>11657</v>
      </c>
      <c r="B324" s="1" t="s">
        <v>11657</v>
      </c>
      <c r="C324" s="1" t="s">
        <v>17129</v>
      </c>
      <c r="D324" s="1" t="s">
        <v>6836</v>
      </c>
    </row>
    <row r="325" spans="1:4" x14ac:dyDescent="0.15">
      <c r="A325" s="1" t="s">
        <v>17132</v>
      </c>
      <c r="B325" s="1" t="s">
        <v>17132</v>
      </c>
      <c r="C325" s="1" t="s">
        <v>17133</v>
      </c>
      <c r="D325" s="1" t="s">
        <v>6837</v>
      </c>
    </row>
    <row r="326" spans="1:4" x14ac:dyDescent="0.15">
      <c r="A326" s="1" t="s">
        <v>16846</v>
      </c>
      <c r="B326" s="1" t="s">
        <v>16846</v>
      </c>
      <c r="C326" s="1" t="s">
        <v>16847</v>
      </c>
      <c r="D326" s="1" t="s">
        <v>6838</v>
      </c>
    </row>
    <row r="327" spans="1:4" x14ac:dyDescent="0.15">
      <c r="A327" s="1" t="s">
        <v>16850</v>
      </c>
      <c r="B327" s="1" t="s">
        <v>17132</v>
      </c>
      <c r="C327" s="1" t="s">
        <v>16851</v>
      </c>
      <c r="D327" s="1" t="s">
        <v>6837</v>
      </c>
    </row>
    <row r="328" spans="1:4" x14ac:dyDescent="0.15">
      <c r="A328" s="1" t="s">
        <v>16854</v>
      </c>
      <c r="B328" s="1" t="s">
        <v>16854</v>
      </c>
      <c r="C328" s="1" t="s">
        <v>16855</v>
      </c>
      <c r="D328" s="1" t="s">
        <v>6839</v>
      </c>
    </row>
    <row r="329" spans="1:4" x14ac:dyDescent="0.15">
      <c r="A329" s="1" t="s">
        <v>16858</v>
      </c>
      <c r="B329" s="1" t="s">
        <v>7793</v>
      </c>
      <c r="C329" s="1" t="s">
        <v>16859</v>
      </c>
      <c r="D329" s="1" t="s">
        <v>6840</v>
      </c>
    </row>
    <row r="330" spans="1:4" x14ac:dyDescent="0.15">
      <c r="A330" s="1" t="s">
        <v>16862</v>
      </c>
      <c r="B330" s="1" t="s">
        <v>16862</v>
      </c>
      <c r="C330" s="1" t="s">
        <v>6841</v>
      </c>
      <c r="D330" s="1" t="s">
        <v>6842</v>
      </c>
    </row>
    <row r="331" spans="1:4" x14ac:dyDescent="0.15">
      <c r="B331" s="1" t="s">
        <v>10865</v>
      </c>
      <c r="D331" s="1" t="s">
        <v>6843</v>
      </c>
    </row>
    <row r="332" spans="1:4" x14ac:dyDescent="0.15">
      <c r="B332" s="1" t="s">
        <v>10868</v>
      </c>
      <c r="D332" s="1" t="s">
        <v>6844</v>
      </c>
    </row>
    <row r="333" spans="1:4" x14ac:dyDescent="0.15">
      <c r="B333" s="1" t="s">
        <v>10871</v>
      </c>
      <c r="D333" s="1" t="s">
        <v>6845</v>
      </c>
    </row>
    <row r="334" spans="1:4" x14ac:dyDescent="0.15">
      <c r="B334" s="1" t="s">
        <v>10874</v>
      </c>
      <c r="D334" s="1" t="s">
        <v>6846</v>
      </c>
    </row>
    <row r="335" spans="1:4" x14ac:dyDescent="0.15">
      <c r="B335" s="1" t="s">
        <v>10877</v>
      </c>
      <c r="D335" s="1" t="s">
        <v>6847</v>
      </c>
    </row>
    <row r="336" spans="1:4" x14ac:dyDescent="0.15">
      <c r="B336" s="1" t="s">
        <v>10880</v>
      </c>
      <c r="D336" s="1" t="s">
        <v>6848</v>
      </c>
    </row>
    <row r="337" spans="1:4" x14ac:dyDescent="0.15">
      <c r="B337" s="1" t="s">
        <v>10883</v>
      </c>
      <c r="D337" s="1" t="s">
        <v>6849</v>
      </c>
    </row>
    <row r="338" spans="1:4" x14ac:dyDescent="0.15">
      <c r="A338" s="1" t="s">
        <v>16866</v>
      </c>
      <c r="B338" s="1" t="s">
        <v>16866</v>
      </c>
      <c r="C338" s="1" t="s">
        <v>16867</v>
      </c>
      <c r="D338" s="1" t="s">
        <v>6850</v>
      </c>
    </row>
    <row r="339" spans="1:4" x14ac:dyDescent="0.15">
      <c r="A339" s="1" t="s">
        <v>10888</v>
      </c>
      <c r="B339" s="1" t="s">
        <v>10888</v>
      </c>
      <c r="C339" s="1" t="s">
        <v>6851</v>
      </c>
      <c r="D339" s="1" t="s">
        <v>6851</v>
      </c>
    </row>
    <row r="340" spans="1:4" x14ac:dyDescent="0.15">
      <c r="B340" s="1" t="s">
        <v>16870</v>
      </c>
      <c r="D340" s="1" t="s">
        <v>6852</v>
      </c>
    </row>
    <row r="341" spans="1:4" x14ac:dyDescent="0.15">
      <c r="A341" s="1" t="s">
        <v>16874</v>
      </c>
      <c r="B341" s="1" t="s">
        <v>16874</v>
      </c>
      <c r="C341" s="1" t="s">
        <v>16875</v>
      </c>
      <c r="D341" s="1" t="s">
        <v>6853</v>
      </c>
    </row>
    <row r="342" spans="1:4" x14ac:dyDescent="0.15">
      <c r="A342" s="1" t="s">
        <v>16878</v>
      </c>
      <c r="B342" s="1" t="s">
        <v>16878</v>
      </c>
      <c r="C342" s="1" t="s">
        <v>16879</v>
      </c>
      <c r="D342" s="1" t="s">
        <v>6854</v>
      </c>
    </row>
    <row r="343" spans="1:4" x14ac:dyDescent="0.15">
      <c r="A343" s="1" t="s">
        <v>16882</v>
      </c>
      <c r="B343" s="1" t="s">
        <v>16882</v>
      </c>
      <c r="C343" s="1" t="s">
        <v>16883</v>
      </c>
      <c r="D343" s="1" t="s">
        <v>16883</v>
      </c>
    </row>
    <row r="344" spans="1:4" x14ac:dyDescent="0.15">
      <c r="A344" s="1" t="s">
        <v>16886</v>
      </c>
      <c r="B344" s="1" t="s">
        <v>16886</v>
      </c>
      <c r="C344" s="1" t="s">
        <v>6855</v>
      </c>
      <c r="D344" s="1" t="s">
        <v>6856</v>
      </c>
    </row>
    <row r="345" spans="1:4" x14ac:dyDescent="0.15">
      <c r="A345" s="1" t="s">
        <v>16890</v>
      </c>
      <c r="B345" s="1" t="s">
        <v>16890</v>
      </c>
      <c r="C345" s="1" t="s">
        <v>6857</v>
      </c>
      <c r="D345" s="1" t="s">
        <v>6858</v>
      </c>
    </row>
    <row r="346" spans="1:4" x14ac:dyDescent="0.15">
      <c r="A346" s="1" t="s">
        <v>16894</v>
      </c>
      <c r="B346" s="1" t="s">
        <v>16894</v>
      </c>
      <c r="C346" s="1" t="s">
        <v>16895</v>
      </c>
      <c r="D346" s="1" t="s">
        <v>6859</v>
      </c>
    </row>
    <row r="347" spans="1:4" x14ac:dyDescent="0.15">
      <c r="A347" s="1" t="s">
        <v>16898</v>
      </c>
      <c r="B347" s="1" t="s">
        <v>16898</v>
      </c>
      <c r="C347" s="1" t="s">
        <v>6860</v>
      </c>
      <c r="D347" s="1" t="s">
        <v>6861</v>
      </c>
    </row>
    <row r="348" spans="1:4" x14ac:dyDescent="0.15">
      <c r="B348" s="1" t="s">
        <v>10908</v>
      </c>
      <c r="D348" s="1" t="s">
        <v>6862</v>
      </c>
    </row>
    <row r="349" spans="1:4" x14ac:dyDescent="0.15">
      <c r="A349" s="1" t="s">
        <v>16902</v>
      </c>
      <c r="B349" s="1" t="s">
        <v>16902</v>
      </c>
      <c r="C349" s="1" t="s">
        <v>6863</v>
      </c>
      <c r="D349" s="1" t="s">
        <v>6863</v>
      </c>
    </row>
    <row r="350" spans="1:4" x14ac:dyDescent="0.15">
      <c r="A350" s="1" t="s">
        <v>10913</v>
      </c>
      <c r="B350" s="1" t="s">
        <v>10913</v>
      </c>
      <c r="C350" s="1" t="s">
        <v>6864</v>
      </c>
      <c r="D350" s="1" t="s">
        <v>6826</v>
      </c>
    </row>
    <row r="351" spans="1:4" x14ac:dyDescent="0.15">
      <c r="A351" s="1" t="s">
        <v>16910</v>
      </c>
      <c r="B351" s="1" t="s">
        <v>16910</v>
      </c>
      <c r="C351" s="1" t="s">
        <v>6864</v>
      </c>
      <c r="D351" s="1" t="s">
        <v>6826</v>
      </c>
    </row>
    <row r="352" spans="1:4" x14ac:dyDescent="0.15">
      <c r="A352" s="1" t="s">
        <v>10917</v>
      </c>
      <c r="B352" s="1" t="s">
        <v>10917</v>
      </c>
      <c r="C352" s="1" t="s">
        <v>6865</v>
      </c>
      <c r="D352" s="1" t="s">
        <v>6865</v>
      </c>
    </row>
    <row r="353" spans="1:4" x14ac:dyDescent="0.15">
      <c r="A353" s="1" t="s">
        <v>10922</v>
      </c>
      <c r="B353" s="1" t="s">
        <v>10922</v>
      </c>
      <c r="C353" s="1" t="s">
        <v>16918</v>
      </c>
      <c r="D353" s="1" t="s">
        <v>16918</v>
      </c>
    </row>
    <row r="354" spans="1:4" x14ac:dyDescent="0.15">
      <c r="A354" s="1" t="s">
        <v>16921</v>
      </c>
      <c r="B354" s="1" t="s">
        <v>16921</v>
      </c>
      <c r="C354" s="1" t="s">
        <v>16918</v>
      </c>
      <c r="D354" s="1" t="s">
        <v>16918</v>
      </c>
    </row>
    <row r="355" spans="1:4" x14ac:dyDescent="0.15">
      <c r="A355" s="1" t="s">
        <v>10926</v>
      </c>
      <c r="B355" s="1" t="s">
        <v>10926</v>
      </c>
      <c r="C355" s="1" t="s">
        <v>6866</v>
      </c>
      <c r="D355" s="1" t="s">
        <v>6867</v>
      </c>
    </row>
    <row r="356" spans="1:4" x14ac:dyDescent="0.15">
      <c r="A356" s="1" t="s">
        <v>16928</v>
      </c>
      <c r="B356" s="1" t="s">
        <v>16928</v>
      </c>
      <c r="C356" s="1" t="s">
        <v>6866</v>
      </c>
      <c r="D356" s="1" t="s">
        <v>6868</v>
      </c>
    </row>
    <row r="357" spans="1:4" x14ac:dyDescent="0.15">
      <c r="B357" s="1" t="s">
        <v>10934</v>
      </c>
      <c r="D357" s="1" t="s">
        <v>6869</v>
      </c>
    </row>
    <row r="358" spans="1:4" x14ac:dyDescent="0.15">
      <c r="B358" s="1" t="s">
        <v>10937</v>
      </c>
      <c r="D358" s="1" t="s">
        <v>6870</v>
      </c>
    </row>
    <row r="359" spans="1:4" x14ac:dyDescent="0.15">
      <c r="B359" s="1" t="s">
        <v>10940</v>
      </c>
      <c r="D359" s="1" t="s">
        <v>6871</v>
      </c>
    </row>
    <row r="360" spans="1:4" x14ac:dyDescent="0.15">
      <c r="A360" s="1" t="s">
        <v>10943</v>
      </c>
      <c r="B360" s="1" t="s">
        <v>10943</v>
      </c>
      <c r="C360" s="1" t="s">
        <v>6872</v>
      </c>
      <c r="D360" s="1" t="s">
        <v>6872</v>
      </c>
    </row>
    <row r="361" spans="1:4" x14ac:dyDescent="0.15">
      <c r="A361" s="1" t="s">
        <v>16935</v>
      </c>
      <c r="B361" s="1" t="s">
        <v>16935</v>
      </c>
      <c r="C361" s="1" t="s">
        <v>6872</v>
      </c>
      <c r="D361" s="1" t="s">
        <v>6872</v>
      </c>
    </row>
    <row r="362" spans="1:4" x14ac:dyDescent="0.15">
      <c r="A362" s="1" t="s">
        <v>10947</v>
      </c>
      <c r="B362" s="1" t="s">
        <v>10947</v>
      </c>
      <c r="C362" s="1" t="s">
        <v>6873</v>
      </c>
      <c r="D362" s="1" t="s">
        <v>6874</v>
      </c>
    </row>
    <row r="363" spans="1:4" x14ac:dyDescent="0.15">
      <c r="A363" s="1" t="s">
        <v>16946</v>
      </c>
      <c r="B363" s="1" t="s">
        <v>16946</v>
      </c>
      <c r="C363" s="1" t="s">
        <v>16947</v>
      </c>
      <c r="D363" s="1" t="s">
        <v>16947</v>
      </c>
    </row>
    <row r="364" spans="1:4" x14ac:dyDescent="0.15">
      <c r="B364" s="1" t="s">
        <v>10967</v>
      </c>
      <c r="D364" s="1" t="s">
        <v>6875</v>
      </c>
    </row>
    <row r="365" spans="1:4" x14ac:dyDescent="0.15">
      <c r="A365" s="1" t="s">
        <v>16966</v>
      </c>
      <c r="B365" s="1" t="s">
        <v>16966</v>
      </c>
      <c r="C365" s="1" t="s">
        <v>6876</v>
      </c>
      <c r="D365" s="1" t="s">
        <v>6877</v>
      </c>
    </row>
    <row r="366" spans="1:4" x14ac:dyDescent="0.15">
      <c r="B366" s="1" t="s">
        <v>10970</v>
      </c>
      <c r="D366" s="1" t="s">
        <v>6878</v>
      </c>
    </row>
    <row r="367" spans="1:4" x14ac:dyDescent="0.15">
      <c r="A367" s="1" t="s">
        <v>16942</v>
      </c>
      <c r="B367" s="1" t="s">
        <v>16942</v>
      </c>
      <c r="C367" s="1" t="s">
        <v>6879</v>
      </c>
      <c r="D367" s="1" t="s">
        <v>6880</v>
      </c>
    </row>
    <row r="368" spans="1:4" x14ac:dyDescent="0.15">
      <c r="A368" s="1" t="s">
        <v>16950</v>
      </c>
      <c r="B368" s="1" t="s">
        <v>16950</v>
      </c>
      <c r="C368" s="1" t="s">
        <v>6881</v>
      </c>
      <c r="D368" s="1" t="s">
        <v>6881</v>
      </c>
    </row>
    <row r="369" spans="1:4" x14ac:dyDescent="0.15">
      <c r="A369" s="1" t="s">
        <v>16954</v>
      </c>
      <c r="B369" s="1" t="s">
        <v>16954</v>
      </c>
      <c r="C369" s="1" t="s">
        <v>16955</v>
      </c>
      <c r="D369" s="1" t="s">
        <v>6882</v>
      </c>
    </row>
    <row r="370" spans="1:4" x14ac:dyDescent="0.15">
      <c r="A370" s="1" t="s">
        <v>16958</v>
      </c>
      <c r="B370" s="1" t="s">
        <v>10964</v>
      </c>
      <c r="C370" s="1" t="s">
        <v>6883</v>
      </c>
      <c r="D370" s="1" t="s">
        <v>6884</v>
      </c>
    </row>
    <row r="371" spans="1:4" x14ac:dyDescent="0.15">
      <c r="A371" s="1" t="s">
        <v>16962</v>
      </c>
      <c r="B371" s="1" t="s">
        <v>16962</v>
      </c>
      <c r="C371" s="1" t="s">
        <v>16963</v>
      </c>
      <c r="D371" s="1" t="s">
        <v>6885</v>
      </c>
    </row>
    <row r="372" spans="1:4" x14ac:dyDescent="0.15">
      <c r="B372" s="1" t="s">
        <v>11090</v>
      </c>
      <c r="D372" s="1" t="s">
        <v>6886</v>
      </c>
    </row>
    <row r="373" spans="1:4" x14ac:dyDescent="0.15">
      <c r="A373" s="1" t="s">
        <v>16970</v>
      </c>
      <c r="B373" s="1" t="s">
        <v>16970</v>
      </c>
      <c r="C373" s="1" t="s">
        <v>6887</v>
      </c>
      <c r="D373" s="1" t="s">
        <v>6888</v>
      </c>
    </row>
    <row r="374" spans="1:4" x14ac:dyDescent="0.15">
      <c r="A374" s="1" t="s">
        <v>11095</v>
      </c>
      <c r="B374" s="1" t="s">
        <v>11095</v>
      </c>
      <c r="C374" s="1" t="s">
        <v>16975</v>
      </c>
      <c r="D374" s="1" t="s">
        <v>16975</v>
      </c>
    </row>
    <row r="375" spans="1:4" x14ac:dyDescent="0.15">
      <c r="A375" s="1" t="s">
        <v>16978</v>
      </c>
      <c r="B375" s="1" t="s">
        <v>16978</v>
      </c>
      <c r="C375" s="1" t="s">
        <v>16975</v>
      </c>
      <c r="D375" s="1" t="s">
        <v>16975</v>
      </c>
    </row>
    <row r="376" spans="1:4" x14ac:dyDescent="0.15">
      <c r="A376" s="1" t="s">
        <v>11099</v>
      </c>
      <c r="B376" s="1" t="s">
        <v>11099</v>
      </c>
      <c r="C376" s="1" t="s">
        <v>6889</v>
      </c>
      <c r="D376" s="1" t="s">
        <v>6890</v>
      </c>
    </row>
    <row r="377" spans="1:4" x14ac:dyDescent="0.15">
      <c r="A377" s="1" t="s">
        <v>16985</v>
      </c>
      <c r="B377" s="1" t="s">
        <v>16985</v>
      </c>
      <c r="C377" s="1" t="s">
        <v>6891</v>
      </c>
      <c r="D377" s="1" t="s">
        <v>6891</v>
      </c>
    </row>
    <row r="378" spans="1:4" x14ac:dyDescent="0.15">
      <c r="A378" s="1" t="s">
        <v>16989</v>
      </c>
      <c r="B378" s="1" t="s">
        <v>16989</v>
      </c>
      <c r="C378" s="1" t="s">
        <v>6892</v>
      </c>
      <c r="D378" s="1" t="s">
        <v>6892</v>
      </c>
    </row>
    <row r="379" spans="1:4" x14ac:dyDescent="0.15">
      <c r="A379" s="1" t="s">
        <v>16993</v>
      </c>
      <c r="B379" s="1" t="s">
        <v>16993</v>
      </c>
      <c r="C379" s="1" t="s">
        <v>6893</v>
      </c>
      <c r="D379" s="1" t="s">
        <v>6894</v>
      </c>
    </row>
    <row r="380" spans="1:4" x14ac:dyDescent="0.15">
      <c r="A380" s="1" t="s">
        <v>16997</v>
      </c>
      <c r="B380" s="1" t="s">
        <v>16997</v>
      </c>
      <c r="C380" s="1" t="s">
        <v>6895</v>
      </c>
      <c r="D380" s="1" t="s">
        <v>6896</v>
      </c>
    </row>
    <row r="381" spans="1:4" x14ac:dyDescent="0.15">
      <c r="A381" s="1" t="s">
        <v>11110</v>
      </c>
      <c r="B381" s="1" t="s">
        <v>11110</v>
      </c>
      <c r="C381" s="1" t="s">
        <v>6897</v>
      </c>
      <c r="D381" s="1" t="s">
        <v>6897</v>
      </c>
    </row>
    <row r="382" spans="1:4" x14ac:dyDescent="0.15">
      <c r="A382" s="1" t="s">
        <v>17070</v>
      </c>
      <c r="B382" s="1" t="s">
        <v>17070</v>
      </c>
      <c r="C382" s="1" t="s">
        <v>17071</v>
      </c>
      <c r="D382" s="1" t="s">
        <v>6898</v>
      </c>
    </row>
    <row r="383" spans="1:4" x14ac:dyDescent="0.15">
      <c r="B383" s="1" t="s">
        <v>10540</v>
      </c>
      <c r="D383" s="1" t="s">
        <v>6899</v>
      </c>
    </row>
    <row r="384" spans="1:4" x14ac:dyDescent="0.15">
      <c r="A384" s="1" t="s">
        <v>16499</v>
      </c>
      <c r="B384" s="1" t="s">
        <v>16499</v>
      </c>
      <c r="C384" s="1" t="s">
        <v>16500</v>
      </c>
      <c r="D384" s="1" t="s">
        <v>6900</v>
      </c>
    </row>
    <row r="385" spans="1:4" x14ac:dyDescent="0.15">
      <c r="A385" s="1" t="s">
        <v>16003</v>
      </c>
      <c r="B385" s="1" t="s">
        <v>16003</v>
      </c>
      <c r="C385" s="1" t="s">
        <v>6901</v>
      </c>
      <c r="D385" s="1" t="s">
        <v>6901</v>
      </c>
    </row>
    <row r="386" spans="1:4" x14ac:dyDescent="0.15">
      <c r="A386" s="1" t="s">
        <v>17005</v>
      </c>
      <c r="B386" s="1" t="s">
        <v>17005</v>
      </c>
      <c r="C386" s="1" t="s">
        <v>6897</v>
      </c>
      <c r="D386" s="1" t="s">
        <v>6897</v>
      </c>
    </row>
    <row r="387" spans="1:4" x14ac:dyDescent="0.15">
      <c r="A387" s="1" t="s">
        <v>11114</v>
      </c>
      <c r="B387" s="1" t="s">
        <v>9100</v>
      </c>
      <c r="C387" s="1" t="s">
        <v>17009</v>
      </c>
      <c r="D387" s="1" t="s">
        <v>17009</v>
      </c>
    </row>
    <row r="388" spans="1:4" x14ac:dyDescent="0.15">
      <c r="A388" s="1" t="s">
        <v>17012</v>
      </c>
      <c r="B388" s="1" t="s">
        <v>9102</v>
      </c>
      <c r="C388" s="1" t="s">
        <v>17009</v>
      </c>
      <c r="D388" s="1" t="s">
        <v>17009</v>
      </c>
    </row>
    <row r="389" spans="1:4" x14ac:dyDescent="0.15">
      <c r="A389" s="1" t="s">
        <v>11118</v>
      </c>
      <c r="B389" s="1" t="s">
        <v>11118</v>
      </c>
      <c r="C389" s="1" t="s">
        <v>6902</v>
      </c>
      <c r="D389" s="1" t="s">
        <v>6902</v>
      </c>
    </row>
    <row r="390" spans="1:4" x14ac:dyDescent="0.15">
      <c r="A390" s="1" t="s">
        <v>17019</v>
      </c>
      <c r="B390" s="1" t="s">
        <v>17019</v>
      </c>
      <c r="C390" s="1" t="s">
        <v>6902</v>
      </c>
      <c r="D390" s="1" t="s">
        <v>6902</v>
      </c>
    </row>
    <row r="391" spans="1:4" x14ac:dyDescent="0.15">
      <c r="A391" s="1" t="s">
        <v>10603</v>
      </c>
      <c r="B391" s="1" t="s">
        <v>10603</v>
      </c>
      <c r="C391" s="1" t="s">
        <v>17023</v>
      </c>
      <c r="D391" s="1" t="s">
        <v>6903</v>
      </c>
    </row>
    <row r="392" spans="1:4" x14ac:dyDescent="0.15">
      <c r="A392" s="1" t="s">
        <v>17026</v>
      </c>
      <c r="B392" s="1" t="s">
        <v>17026</v>
      </c>
      <c r="C392" s="1" t="s">
        <v>17027</v>
      </c>
      <c r="D392" s="1" t="s">
        <v>6904</v>
      </c>
    </row>
    <row r="393" spans="1:4" x14ac:dyDescent="0.15">
      <c r="A393" s="1" t="s">
        <v>17030</v>
      </c>
      <c r="B393" s="1" t="s">
        <v>17030</v>
      </c>
      <c r="C393" s="1" t="s">
        <v>6905</v>
      </c>
      <c r="D393" s="1" t="s">
        <v>6906</v>
      </c>
    </row>
    <row r="394" spans="1:4" x14ac:dyDescent="0.15">
      <c r="A394" s="1" t="s">
        <v>17034</v>
      </c>
      <c r="B394" s="1" t="s">
        <v>17034</v>
      </c>
      <c r="C394" s="1" t="s">
        <v>6907</v>
      </c>
      <c r="D394" s="1" t="s">
        <v>6908</v>
      </c>
    </row>
    <row r="395" spans="1:4" x14ac:dyDescent="0.15">
      <c r="A395" s="1" t="s">
        <v>17038</v>
      </c>
      <c r="B395" s="1" t="s">
        <v>17038</v>
      </c>
      <c r="C395" s="1" t="s">
        <v>17039</v>
      </c>
      <c r="D395" s="1" t="s">
        <v>6909</v>
      </c>
    </row>
    <row r="396" spans="1:4" x14ac:dyDescent="0.15">
      <c r="A396" s="1" t="s">
        <v>17042</v>
      </c>
      <c r="B396" s="1" t="s">
        <v>17042</v>
      </c>
      <c r="C396" s="1" t="s">
        <v>17043</v>
      </c>
      <c r="D396" s="1" t="s">
        <v>6910</v>
      </c>
    </row>
    <row r="397" spans="1:4" x14ac:dyDescent="0.15">
      <c r="A397" s="1" t="s">
        <v>17046</v>
      </c>
      <c r="B397" s="1" t="s">
        <v>17046</v>
      </c>
      <c r="C397" s="1" t="s">
        <v>17047</v>
      </c>
      <c r="D397" s="1" t="s">
        <v>6911</v>
      </c>
    </row>
    <row r="398" spans="1:4" x14ac:dyDescent="0.15">
      <c r="A398" s="1" t="s">
        <v>17050</v>
      </c>
      <c r="B398" s="1" t="s">
        <v>17050</v>
      </c>
      <c r="C398" s="1" t="s">
        <v>17051</v>
      </c>
      <c r="D398" s="1" t="s">
        <v>6912</v>
      </c>
    </row>
    <row r="399" spans="1:4" x14ac:dyDescent="0.15">
      <c r="A399" s="1" t="s">
        <v>17054</v>
      </c>
      <c r="B399" s="1" t="s">
        <v>17054</v>
      </c>
      <c r="C399" s="1" t="s">
        <v>6913</v>
      </c>
      <c r="D399" s="1" t="s">
        <v>6914</v>
      </c>
    </row>
    <row r="400" spans="1:4" x14ac:dyDescent="0.15">
      <c r="A400" s="1" t="s">
        <v>17058</v>
      </c>
      <c r="B400" s="1" t="s">
        <v>17058</v>
      </c>
      <c r="C400" s="1" t="s">
        <v>17059</v>
      </c>
      <c r="D400" s="1" t="s">
        <v>6915</v>
      </c>
    </row>
    <row r="401" spans="1:4" x14ac:dyDescent="0.15">
      <c r="A401" s="1" t="s">
        <v>17066</v>
      </c>
      <c r="B401" s="1" t="s">
        <v>17066</v>
      </c>
      <c r="C401" s="1" t="s">
        <v>17067</v>
      </c>
      <c r="D401" s="1" t="s">
        <v>6916</v>
      </c>
    </row>
    <row r="402" spans="1:4" x14ac:dyDescent="0.15">
      <c r="B402" s="1" t="s">
        <v>10524</v>
      </c>
      <c r="D402" s="1" t="s">
        <v>6917</v>
      </c>
    </row>
    <row r="403" spans="1:4" x14ac:dyDescent="0.15">
      <c r="B403" s="1" t="s">
        <v>10530</v>
      </c>
      <c r="D403" s="1" t="s">
        <v>6918</v>
      </c>
    </row>
    <row r="404" spans="1:4" x14ac:dyDescent="0.15">
      <c r="A404" s="1" t="s">
        <v>17062</v>
      </c>
      <c r="B404" s="1" t="s">
        <v>17062</v>
      </c>
      <c r="C404" s="1" t="s">
        <v>17063</v>
      </c>
      <c r="D404" s="1" t="s">
        <v>6919</v>
      </c>
    </row>
    <row r="405" spans="1:4" x14ac:dyDescent="0.15">
      <c r="B405" s="1" t="s">
        <v>10527</v>
      </c>
      <c r="D405" s="1" t="s">
        <v>6920</v>
      </c>
    </row>
    <row r="406" spans="1:4" x14ac:dyDescent="0.15">
      <c r="A406" s="1" t="s">
        <v>10535</v>
      </c>
      <c r="B406" s="1" t="s">
        <v>10535</v>
      </c>
      <c r="C406" s="1" t="s">
        <v>6921</v>
      </c>
      <c r="D406" s="1" t="s">
        <v>6921</v>
      </c>
    </row>
    <row r="407" spans="1:4" x14ac:dyDescent="0.15">
      <c r="A407" s="1" t="s">
        <v>17078</v>
      </c>
      <c r="B407" s="1" t="s">
        <v>17078</v>
      </c>
      <c r="C407" s="1" t="s">
        <v>6922</v>
      </c>
      <c r="D407" s="1" t="s">
        <v>6923</v>
      </c>
    </row>
    <row r="408" spans="1:4" x14ac:dyDescent="0.15">
      <c r="A408" s="1" t="s">
        <v>17082</v>
      </c>
      <c r="B408" s="1" t="s">
        <v>17082</v>
      </c>
      <c r="C408" s="1" t="s">
        <v>6924</v>
      </c>
      <c r="D408" s="1" t="s">
        <v>6925</v>
      </c>
    </row>
    <row r="409" spans="1:4" x14ac:dyDescent="0.15">
      <c r="A409" s="1" t="s">
        <v>10543</v>
      </c>
      <c r="B409" s="1" t="s">
        <v>10543</v>
      </c>
      <c r="C409" s="1" t="s">
        <v>17087</v>
      </c>
      <c r="D409" s="1" t="s">
        <v>6926</v>
      </c>
    </row>
    <row r="410" spans="1:4" x14ac:dyDescent="0.15">
      <c r="A410" s="1" t="s">
        <v>16495</v>
      </c>
      <c r="B410" s="1" t="s">
        <v>16495</v>
      </c>
      <c r="C410" s="1" t="s">
        <v>6927</v>
      </c>
      <c r="D410" s="1" t="s">
        <v>6928</v>
      </c>
    </row>
    <row r="411" spans="1:4" x14ac:dyDescent="0.15">
      <c r="A411" s="1" t="s">
        <v>16503</v>
      </c>
      <c r="B411" s="1" t="s">
        <v>16503</v>
      </c>
      <c r="C411" s="1" t="s">
        <v>16504</v>
      </c>
      <c r="D411" s="1" t="s">
        <v>6929</v>
      </c>
    </row>
    <row r="412" spans="1:4" x14ac:dyDescent="0.15">
      <c r="A412" s="1" t="s">
        <v>16507</v>
      </c>
      <c r="B412" s="1" t="s">
        <v>10629</v>
      </c>
      <c r="C412" s="1" t="s">
        <v>6930</v>
      </c>
      <c r="D412" s="1" t="s">
        <v>6931</v>
      </c>
    </row>
    <row r="413" spans="1:4" x14ac:dyDescent="0.15">
      <c r="B413" s="1" t="s">
        <v>10632</v>
      </c>
      <c r="D413" s="1" t="s">
        <v>6932</v>
      </c>
    </row>
    <row r="414" spans="1:4" x14ac:dyDescent="0.15">
      <c r="A414" s="1" t="s">
        <v>16511</v>
      </c>
      <c r="B414" s="1" t="s">
        <v>16511</v>
      </c>
      <c r="C414" s="1" t="s">
        <v>16512</v>
      </c>
      <c r="D414" s="1" t="s">
        <v>6933</v>
      </c>
    </row>
    <row r="415" spans="1:4" x14ac:dyDescent="0.15">
      <c r="A415" s="1" t="s">
        <v>16515</v>
      </c>
      <c r="B415" s="1" t="s">
        <v>16515</v>
      </c>
      <c r="C415" s="1" t="s">
        <v>16516</v>
      </c>
      <c r="D415" s="1" t="s">
        <v>16516</v>
      </c>
    </row>
    <row r="416" spans="1:4" x14ac:dyDescent="0.15">
      <c r="B416" s="1" t="s">
        <v>10623</v>
      </c>
      <c r="D416" s="1" t="s">
        <v>6934</v>
      </c>
    </row>
    <row r="417" spans="1:4" x14ac:dyDescent="0.15">
      <c r="B417" s="1" t="s">
        <v>10626</v>
      </c>
      <c r="D417" s="1" t="s">
        <v>6935</v>
      </c>
    </row>
    <row r="418" spans="1:4" x14ac:dyDescent="0.15">
      <c r="A418" s="1" t="s">
        <v>16519</v>
      </c>
      <c r="B418" s="1" t="s">
        <v>16519</v>
      </c>
      <c r="C418" s="1" t="s">
        <v>16520</v>
      </c>
      <c r="D418" s="1" t="s">
        <v>6936</v>
      </c>
    </row>
    <row r="419" spans="1:4" x14ac:dyDescent="0.15">
      <c r="A419" s="1" t="s">
        <v>10637</v>
      </c>
      <c r="B419" s="1" t="s">
        <v>10637</v>
      </c>
      <c r="C419" s="1" t="s">
        <v>6937</v>
      </c>
      <c r="D419" s="1" t="s">
        <v>6938</v>
      </c>
    </row>
    <row r="420" spans="1:4" x14ac:dyDescent="0.15">
      <c r="A420" s="1" t="s">
        <v>16527</v>
      </c>
      <c r="B420" s="1" t="s">
        <v>16527</v>
      </c>
      <c r="C420" s="1" t="s">
        <v>16528</v>
      </c>
      <c r="D420" s="1" t="s">
        <v>6939</v>
      </c>
    </row>
    <row r="421" spans="1:4" x14ac:dyDescent="0.15">
      <c r="A421" s="1" t="s">
        <v>16531</v>
      </c>
      <c r="B421" s="1" t="s">
        <v>16531</v>
      </c>
      <c r="C421" s="1" t="s">
        <v>16532</v>
      </c>
      <c r="D421" s="1" t="s">
        <v>16532</v>
      </c>
    </row>
    <row r="422" spans="1:4" x14ac:dyDescent="0.15">
      <c r="A422" s="1" t="s">
        <v>16539</v>
      </c>
      <c r="B422" s="1" t="s">
        <v>16539</v>
      </c>
      <c r="C422" s="1" t="s">
        <v>6940</v>
      </c>
      <c r="D422" s="1" t="s">
        <v>6940</v>
      </c>
    </row>
    <row r="423" spans="1:4" x14ac:dyDescent="0.15">
      <c r="A423" s="1" t="s">
        <v>16555</v>
      </c>
      <c r="B423" s="1" t="s">
        <v>16555</v>
      </c>
      <c r="C423" s="1" t="s">
        <v>16556</v>
      </c>
      <c r="D423" s="1" t="s">
        <v>6941</v>
      </c>
    </row>
    <row r="424" spans="1:4" x14ac:dyDescent="0.15">
      <c r="A424" s="1" t="s">
        <v>16559</v>
      </c>
      <c r="B424" s="1" t="s">
        <v>16559</v>
      </c>
      <c r="C424" s="1" t="s">
        <v>6942</v>
      </c>
      <c r="D424" s="1" t="s">
        <v>6942</v>
      </c>
    </row>
    <row r="425" spans="1:4" x14ac:dyDescent="0.15">
      <c r="A425" s="1" t="s">
        <v>16563</v>
      </c>
      <c r="B425" s="1" t="s">
        <v>16563</v>
      </c>
      <c r="C425" s="1" t="s">
        <v>6943</v>
      </c>
      <c r="D425" s="1" t="s">
        <v>6944</v>
      </c>
    </row>
    <row r="426" spans="1:4" x14ac:dyDescent="0.15">
      <c r="A426" s="1" t="s">
        <v>16567</v>
      </c>
      <c r="B426" s="1" t="s">
        <v>16567</v>
      </c>
      <c r="C426" s="1" t="s">
        <v>16568</v>
      </c>
      <c r="D426" s="1" t="s">
        <v>16568</v>
      </c>
    </row>
    <row r="427" spans="1:4" x14ac:dyDescent="0.15">
      <c r="A427" s="1" t="s">
        <v>16571</v>
      </c>
      <c r="B427" s="1" t="s">
        <v>16571</v>
      </c>
      <c r="C427" s="1" t="s">
        <v>16572</v>
      </c>
      <c r="D427" s="1" t="s">
        <v>16572</v>
      </c>
    </row>
    <row r="428" spans="1:4" x14ac:dyDescent="0.15">
      <c r="A428" s="1" t="s">
        <v>16575</v>
      </c>
      <c r="B428" s="1" t="s">
        <v>16575</v>
      </c>
      <c r="C428" s="1" t="s">
        <v>6945</v>
      </c>
      <c r="D428" s="1" t="s">
        <v>6945</v>
      </c>
    </row>
    <row r="429" spans="1:4" x14ac:dyDescent="0.15">
      <c r="A429" s="1" t="s">
        <v>16579</v>
      </c>
      <c r="B429" s="1" t="s">
        <v>16579</v>
      </c>
      <c r="C429" s="1" t="s">
        <v>16580</v>
      </c>
      <c r="D429" s="1" t="s">
        <v>16580</v>
      </c>
    </row>
    <row r="430" spans="1:4" x14ac:dyDescent="0.15">
      <c r="A430" s="1" t="s">
        <v>16583</v>
      </c>
      <c r="B430" s="1" t="s">
        <v>16583</v>
      </c>
      <c r="C430" s="1" t="s">
        <v>16584</v>
      </c>
      <c r="D430" s="1" t="s">
        <v>6946</v>
      </c>
    </row>
    <row r="431" spans="1:4" x14ac:dyDescent="0.15">
      <c r="A431" s="1" t="s">
        <v>16587</v>
      </c>
      <c r="B431" s="1" t="s">
        <v>16587</v>
      </c>
      <c r="C431" s="1" t="s">
        <v>16588</v>
      </c>
      <c r="D431" s="1" t="s">
        <v>16588</v>
      </c>
    </row>
    <row r="432" spans="1:4" x14ac:dyDescent="0.15">
      <c r="A432" s="1" t="s">
        <v>16591</v>
      </c>
      <c r="B432" s="1" t="s">
        <v>16591</v>
      </c>
      <c r="C432" s="1" t="s">
        <v>16592</v>
      </c>
      <c r="D432" s="1" t="s">
        <v>16592</v>
      </c>
    </row>
    <row r="433" spans="1:4" x14ac:dyDescent="0.15">
      <c r="A433" s="1" t="s">
        <v>16595</v>
      </c>
      <c r="B433" s="1" t="s">
        <v>16595</v>
      </c>
      <c r="C433" s="1" t="s">
        <v>6947</v>
      </c>
      <c r="D433" s="1" t="s">
        <v>6947</v>
      </c>
    </row>
    <row r="434" spans="1:4" x14ac:dyDescent="0.15">
      <c r="A434" s="1" t="s">
        <v>16599</v>
      </c>
      <c r="B434" s="1" t="s">
        <v>16599</v>
      </c>
      <c r="C434" s="1" t="s">
        <v>6948</v>
      </c>
      <c r="D434" s="1" t="s">
        <v>6949</v>
      </c>
    </row>
    <row r="435" spans="1:4" x14ac:dyDescent="0.15">
      <c r="A435" s="1" t="s">
        <v>16603</v>
      </c>
      <c r="B435" s="1" t="s">
        <v>16603</v>
      </c>
      <c r="C435" s="1" t="s">
        <v>16604</v>
      </c>
      <c r="D435" s="1" t="s">
        <v>16604</v>
      </c>
    </row>
    <row r="436" spans="1:4" x14ac:dyDescent="0.15">
      <c r="A436" s="1" t="s">
        <v>16607</v>
      </c>
      <c r="B436" s="1" t="s">
        <v>16607</v>
      </c>
      <c r="C436" s="1" t="s">
        <v>16608</v>
      </c>
      <c r="D436" s="1" t="s">
        <v>16608</v>
      </c>
    </row>
    <row r="437" spans="1:4" x14ac:dyDescent="0.15">
      <c r="A437" s="1" t="s">
        <v>16611</v>
      </c>
      <c r="B437" s="1" t="s">
        <v>16611</v>
      </c>
      <c r="C437" s="1" t="s">
        <v>16612</v>
      </c>
      <c r="D437" s="1" t="s">
        <v>16612</v>
      </c>
    </row>
    <row r="438" spans="1:4" x14ac:dyDescent="0.15">
      <c r="A438" s="1" t="s">
        <v>16615</v>
      </c>
      <c r="B438" s="1" t="s">
        <v>16615</v>
      </c>
      <c r="C438" s="1" t="s">
        <v>6950</v>
      </c>
      <c r="D438" s="1" t="s">
        <v>6950</v>
      </c>
    </row>
    <row r="439" spans="1:4" x14ac:dyDescent="0.15">
      <c r="A439" s="1" t="s">
        <v>16619</v>
      </c>
      <c r="B439" s="1" t="s">
        <v>16619</v>
      </c>
      <c r="C439" s="1" t="s">
        <v>16620</v>
      </c>
      <c r="D439" s="1" t="s">
        <v>16620</v>
      </c>
    </row>
    <row r="440" spans="1:4" x14ac:dyDescent="0.15">
      <c r="A440" s="1" t="s">
        <v>16623</v>
      </c>
      <c r="B440" s="1" t="s">
        <v>16623</v>
      </c>
      <c r="C440" s="1" t="s">
        <v>16624</v>
      </c>
      <c r="D440" s="1" t="s">
        <v>16624</v>
      </c>
    </row>
    <row r="441" spans="1:4" x14ac:dyDescent="0.15">
      <c r="A441" s="1" t="s">
        <v>16631</v>
      </c>
      <c r="B441" s="1" t="s">
        <v>16631</v>
      </c>
      <c r="C441" s="1" t="s">
        <v>16632</v>
      </c>
      <c r="D441" s="1" t="s">
        <v>16632</v>
      </c>
    </row>
    <row r="442" spans="1:4" x14ac:dyDescent="0.15">
      <c r="A442" s="1" t="s">
        <v>16635</v>
      </c>
      <c r="B442" s="1" t="s">
        <v>16635</v>
      </c>
      <c r="C442" s="1" t="s">
        <v>16636</v>
      </c>
      <c r="D442" s="1" t="s">
        <v>16636</v>
      </c>
    </row>
    <row r="443" spans="1:4" x14ac:dyDescent="0.15">
      <c r="A443" s="1" t="s">
        <v>16639</v>
      </c>
      <c r="B443" s="1" t="s">
        <v>16639</v>
      </c>
      <c r="C443" s="1" t="s">
        <v>16640</v>
      </c>
      <c r="D443" s="1" t="s">
        <v>16640</v>
      </c>
    </row>
    <row r="444" spans="1:4" x14ac:dyDescent="0.15">
      <c r="A444" s="1" t="s">
        <v>16627</v>
      </c>
      <c r="B444" s="1" t="s">
        <v>16627</v>
      </c>
      <c r="C444" s="1" t="s">
        <v>6951</v>
      </c>
      <c r="D444" s="1" t="s">
        <v>6952</v>
      </c>
    </row>
    <row r="445" spans="1:4" x14ac:dyDescent="0.15">
      <c r="A445" s="1" t="s">
        <v>16643</v>
      </c>
      <c r="B445" s="1" t="s">
        <v>16643</v>
      </c>
      <c r="C445" s="1" t="s">
        <v>16644</v>
      </c>
      <c r="D445" s="1" t="s">
        <v>16644</v>
      </c>
    </row>
    <row r="446" spans="1:4" x14ac:dyDescent="0.15">
      <c r="B446" s="1" t="s">
        <v>10743</v>
      </c>
      <c r="D446" s="1" t="s">
        <v>6953</v>
      </c>
    </row>
    <row r="447" spans="1:4" x14ac:dyDescent="0.15">
      <c r="B447" s="1" t="s">
        <v>10747</v>
      </c>
      <c r="D447" s="1" t="s">
        <v>6954</v>
      </c>
    </row>
    <row r="448" spans="1:4" x14ac:dyDescent="0.15">
      <c r="B448" s="1" t="s">
        <v>10750</v>
      </c>
      <c r="D448" s="1" t="s">
        <v>6955</v>
      </c>
    </row>
    <row r="449" spans="1:4" x14ac:dyDescent="0.15">
      <c r="B449" s="1" t="s">
        <v>10753</v>
      </c>
      <c r="D449" s="1" t="s">
        <v>6956</v>
      </c>
    </row>
    <row r="450" spans="1:4" x14ac:dyDescent="0.15">
      <c r="A450" s="1" t="s">
        <v>16647</v>
      </c>
      <c r="B450" s="1" t="s">
        <v>16647</v>
      </c>
      <c r="C450" s="1" t="s">
        <v>6957</v>
      </c>
      <c r="D450" s="1" t="s">
        <v>6958</v>
      </c>
    </row>
    <row r="451" spans="1:4" x14ac:dyDescent="0.15">
      <c r="A451" s="1" t="s">
        <v>10759</v>
      </c>
      <c r="B451" s="1" t="s">
        <v>10759</v>
      </c>
      <c r="C451" s="1" t="s">
        <v>6959</v>
      </c>
      <c r="D451" s="1" t="s">
        <v>6960</v>
      </c>
    </row>
    <row r="452" spans="1:4" x14ac:dyDescent="0.15">
      <c r="A452" s="1" t="s">
        <v>16655</v>
      </c>
      <c r="B452" s="1" t="s">
        <v>16655</v>
      </c>
      <c r="C452" s="1" t="s">
        <v>16652</v>
      </c>
      <c r="D452" s="1" t="s">
        <v>6961</v>
      </c>
    </row>
    <row r="453" spans="1:4" x14ac:dyDescent="0.15">
      <c r="B453" s="1" t="s">
        <v>10932</v>
      </c>
      <c r="D453" s="1" t="s">
        <v>6962</v>
      </c>
    </row>
    <row r="454" spans="1:4" x14ac:dyDescent="0.15">
      <c r="B454" s="1" t="s">
        <v>10764</v>
      </c>
      <c r="D454" s="1" t="s">
        <v>6963</v>
      </c>
    </row>
    <row r="455" spans="1:4" x14ac:dyDescent="0.15">
      <c r="A455" s="1" t="s">
        <v>10767</v>
      </c>
      <c r="B455" s="1" t="s">
        <v>10767</v>
      </c>
      <c r="C455" s="1" t="s">
        <v>16659</v>
      </c>
      <c r="D455" s="1" t="s">
        <v>6964</v>
      </c>
    </row>
    <row r="456" spans="1:4" x14ac:dyDescent="0.15">
      <c r="A456" s="1" t="s">
        <v>16662</v>
      </c>
      <c r="B456" s="1" t="s">
        <v>16662</v>
      </c>
      <c r="C456" s="1" t="s">
        <v>16659</v>
      </c>
      <c r="D456" s="1" t="s">
        <v>16659</v>
      </c>
    </row>
    <row r="457" spans="1:4" x14ac:dyDescent="0.15">
      <c r="B457" s="1" t="s">
        <v>10772</v>
      </c>
      <c r="D457" s="1" t="s">
        <v>6965</v>
      </c>
    </row>
    <row r="458" spans="1:4" x14ac:dyDescent="0.15">
      <c r="B458" s="1" t="s">
        <v>10775</v>
      </c>
      <c r="D458" s="1" t="s">
        <v>6966</v>
      </c>
    </row>
    <row r="459" spans="1:4" x14ac:dyDescent="0.15">
      <c r="A459" s="1" t="s">
        <v>10778</v>
      </c>
      <c r="B459" s="1" t="s">
        <v>10778</v>
      </c>
      <c r="C459" s="1" t="s">
        <v>16666</v>
      </c>
      <c r="D459" s="1" t="s">
        <v>16666</v>
      </c>
    </row>
    <row r="460" spans="1:4" x14ac:dyDescent="0.15">
      <c r="A460" s="1" t="s">
        <v>16669</v>
      </c>
      <c r="B460" s="1" t="s">
        <v>16669</v>
      </c>
      <c r="C460" s="1" t="s">
        <v>16666</v>
      </c>
      <c r="D460" s="1" t="s">
        <v>16666</v>
      </c>
    </row>
    <row r="461" spans="1:4" x14ac:dyDescent="0.15">
      <c r="A461" s="1" t="s">
        <v>11513</v>
      </c>
      <c r="B461" s="1" t="s">
        <v>11513</v>
      </c>
      <c r="C461" s="1" t="s">
        <v>6967</v>
      </c>
      <c r="D461" s="1" t="s">
        <v>6967</v>
      </c>
    </row>
    <row r="462" spans="1:4" x14ac:dyDescent="0.15">
      <c r="A462" s="1" t="s">
        <v>10783</v>
      </c>
      <c r="B462" s="1" t="s">
        <v>10783</v>
      </c>
      <c r="C462" s="1" t="s">
        <v>16678</v>
      </c>
      <c r="D462" s="1" t="s">
        <v>16678</v>
      </c>
    </row>
    <row r="463" spans="1:4" x14ac:dyDescent="0.15">
      <c r="A463" s="1" t="s">
        <v>16681</v>
      </c>
      <c r="B463" s="1" t="s">
        <v>16681</v>
      </c>
      <c r="C463" s="1" t="s">
        <v>16678</v>
      </c>
      <c r="D463" s="1" t="s">
        <v>16678</v>
      </c>
    </row>
    <row r="464" spans="1:4" x14ac:dyDescent="0.15">
      <c r="A464" s="1" t="s">
        <v>10288</v>
      </c>
      <c r="B464" s="1" t="s">
        <v>10288</v>
      </c>
      <c r="C464" s="1" t="s">
        <v>6968</v>
      </c>
      <c r="D464" s="1" t="s">
        <v>6968</v>
      </c>
    </row>
    <row r="465" spans="1:4" x14ac:dyDescent="0.15">
      <c r="A465" s="1" t="s">
        <v>10352</v>
      </c>
      <c r="B465" s="1" t="s">
        <v>10352</v>
      </c>
      <c r="C465" s="1" t="s">
        <v>16776</v>
      </c>
      <c r="D465" s="1" t="s">
        <v>16776</v>
      </c>
    </row>
    <row r="466" spans="1:4" x14ac:dyDescent="0.15">
      <c r="A466" s="1" t="s">
        <v>16779</v>
      </c>
      <c r="B466" s="1" t="s">
        <v>16779</v>
      </c>
      <c r="C466" s="1" t="s">
        <v>16776</v>
      </c>
      <c r="D466" s="1" t="s">
        <v>16776</v>
      </c>
    </row>
    <row r="467" spans="1:4" x14ac:dyDescent="0.15">
      <c r="A467" s="1" t="s">
        <v>10356</v>
      </c>
      <c r="B467" s="1" t="s">
        <v>10356</v>
      </c>
      <c r="C467" s="1" t="s">
        <v>16783</v>
      </c>
      <c r="D467" s="1" t="s">
        <v>16783</v>
      </c>
    </row>
    <row r="468" spans="1:4" x14ac:dyDescent="0.15">
      <c r="A468" s="1" t="s">
        <v>16786</v>
      </c>
      <c r="B468" s="1" t="s">
        <v>16786</v>
      </c>
      <c r="C468" s="1" t="s">
        <v>16783</v>
      </c>
      <c r="D468" s="1" t="s">
        <v>16783</v>
      </c>
    </row>
    <row r="469" spans="1:4" x14ac:dyDescent="0.15">
      <c r="A469" s="1" t="s">
        <v>10365</v>
      </c>
      <c r="C469" s="1" t="s">
        <v>16797</v>
      </c>
      <c r="D469" s="1" t="s">
        <v>6584</v>
      </c>
    </row>
    <row r="470" spans="1:4" x14ac:dyDescent="0.15">
      <c r="A470" s="1" t="s">
        <v>16688</v>
      </c>
      <c r="B470" s="1" t="s">
        <v>16688</v>
      </c>
      <c r="C470" s="1" t="s">
        <v>6968</v>
      </c>
      <c r="D470" s="1" t="s">
        <v>6968</v>
      </c>
    </row>
    <row r="471" spans="1:4" x14ac:dyDescent="0.15">
      <c r="A471" s="1" t="s">
        <v>10293</v>
      </c>
      <c r="B471" s="1" t="s">
        <v>10293</v>
      </c>
      <c r="C471" s="1" t="s">
        <v>16692</v>
      </c>
      <c r="D471" s="1" t="s">
        <v>6969</v>
      </c>
    </row>
    <row r="472" spans="1:4" x14ac:dyDescent="0.15">
      <c r="A472" s="1" t="s">
        <v>16695</v>
      </c>
      <c r="B472" s="1" t="s">
        <v>16695</v>
      </c>
      <c r="C472" s="1" t="s">
        <v>16692</v>
      </c>
      <c r="D472" s="1" t="s">
        <v>6969</v>
      </c>
    </row>
    <row r="473" spans="1:4" x14ac:dyDescent="0.15">
      <c r="A473" s="1" t="s">
        <v>10297</v>
      </c>
      <c r="B473" s="1" t="s">
        <v>10297</v>
      </c>
      <c r="C473" s="1" t="s">
        <v>16699</v>
      </c>
      <c r="D473" s="1" t="s">
        <v>16699</v>
      </c>
    </row>
    <row r="474" spans="1:4" x14ac:dyDescent="0.15">
      <c r="A474" s="1" t="s">
        <v>16702</v>
      </c>
      <c r="B474" s="1" t="s">
        <v>16702</v>
      </c>
      <c r="C474" s="1" t="s">
        <v>16699</v>
      </c>
      <c r="D474" s="1" t="s">
        <v>16699</v>
      </c>
    </row>
    <row r="475" spans="1:4" x14ac:dyDescent="0.15">
      <c r="A475" s="1" t="s">
        <v>10300</v>
      </c>
      <c r="B475" s="1" t="s">
        <v>10300</v>
      </c>
      <c r="C475" s="1" t="s">
        <v>6970</v>
      </c>
      <c r="D475" s="1" t="s">
        <v>6971</v>
      </c>
    </row>
    <row r="476" spans="1:4" x14ac:dyDescent="0.15">
      <c r="A476" s="1" t="s">
        <v>16709</v>
      </c>
      <c r="B476" s="1" t="s">
        <v>16709</v>
      </c>
      <c r="C476" s="1" t="s">
        <v>6970</v>
      </c>
      <c r="D476" s="1" t="s">
        <v>6971</v>
      </c>
    </row>
    <row r="477" spans="1:4" x14ac:dyDescent="0.15">
      <c r="A477" s="1" t="s">
        <v>10310</v>
      </c>
      <c r="B477" s="1" t="s">
        <v>10310</v>
      </c>
      <c r="C477" s="1" t="s">
        <v>6972</v>
      </c>
      <c r="D477" s="1" t="s">
        <v>6972</v>
      </c>
    </row>
    <row r="478" spans="1:4" x14ac:dyDescent="0.15">
      <c r="A478" s="1" t="s">
        <v>16716</v>
      </c>
      <c r="B478" s="1" t="s">
        <v>16716</v>
      </c>
      <c r="C478" s="1" t="s">
        <v>6972</v>
      </c>
      <c r="D478" s="1" t="s">
        <v>6972</v>
      </c>
    </row>
    <row r="479" spans="1:4" x14ac:dyDescent="0.15">
      <c r="A479" s="1" t="s">
        <v>10314</v>
      </c>
      <c r="B479" s="1" t="s">
        <v>10314</v>
      </c>
      <c r="C479" s="1" t="s">
        <v>16720</v>
      </c>
      <c r="D479" s="1" t="s">
        <v>16720</v>
      </c>
    </row>
    <row r="480" spans="1:4" x14ac:dyDescent="0.15">
      <c r="A480" s="1" t="s">
        <v>16723</v>
      </c>
      <c r="B480" s="1" t="s">
        <v>16723</v>
      </c>
      <c r="C480" s="1" t="s">
        <v>16720</v>
      </c>
      <c r="D480" s="1" t="s">
        <v>16720</v>
      </c>
    </row>
    <row r="481" spans="1:4" x14ac:dyDescent="0.15">
      <c r="A481" s="1" t="s">
        <v>10574</v>
      </c>
      <c r="B481" s="1" t="s">
        <v>10574</v>
      </c>
      <c r="C481" s="1" t="s">
        <v>16727</v>
      </c>
      <c r="D481" s="1" t="s">
        <v>16727</v>
      </c>
    </row>
    <row r="482" spans="1:4" x14ac:dyDescent="0.15">
      <c r="A482" s="1" t="s">
        <v>16730</v>
      </c>
      <c r="B482" s="1" t="s">
        <v>16730</v>
      </c>
      <c r="C482" s="1" t="s">
        <v>16731</v>
      </c>
      <c r="D482" s="1" t="s">
        <v>16731</v>
      </c>
    </row>
    <row r="483" spans="1:4" x14ac:dyDescent="0.15">
      <c r="A483" s="1" t="s">
        <v>16734</v>
      </c>
      <c r="B483" s="1" t="s">
        <v>16734</v>
      </c>
      <c r="C483" s="1" t="s">
        <v>16735</v>
      </c>
      <c r="D483" s="1" t="s">
        <v>16735</v>
      </c>
    </row>
    <row r="484" spans="1:4" x14ac:dyDescent="0.15">
      <c r="A484" s="1" t="s">
        <v>16738</v>
      </c>
      <c r="B484" s="1" t="s">
        <v>16738</v>
      </c>
      <c r="C484" s="1" t="s">
        <v>16739</v>
      </c>
      <c r="D484" s="1" t="s">
        <v>16739</v>
      </c>
    </row>
    <row r="485" spans="1:4" x14ac:dyDescent="0.15">
      <c r="A485" s="1" t="s">
        <v>16742</v>
      </c>
      <c r="B485" s="1" t="s">
        <v>16742</v>
      </c>
      <c r="C485" s="1" t="s">
        <v>6973</v>
      </c>
      <c r="D485" s="1" t="s">
        <v>6973</v>
      </c>
    </row>
    <row r="486" spans="1:4" x14ac:dyDescent="0.15">
      <c r="A486" s="1" t="s">
        <v>16746</v>
      </c>
      <c r="B486" s="1" t="s">
        <v>16746</v>
      </c>
      <c r="C486" s="1" t="s">
        <v>16747</v>
      </c>
      <c r="D486" s="1" t="s">
        <v>16747</v>
      </c>
    </row>
    <row r="487" spans="1:4" x14ac:dyDescent="0.15">
      <c r="A487" s="1" t="s">
        <v>16750</v>
      </c>
      <c r="B487" s="1" t="s">
        <v>16750</v>
      </c>
      <c r="C487" s="1" t="s">
        <v>16751</v>
      </c>
      <c r="D487" s="1" t="s">
        <v>16751</v>
      </c>
    </row>
    <row r="488" spans="1:4" x14ac:dyDescent="0.15">
      <c r="A488" s="1" t="s">
        <v>10335</v>
      </c>
      <c r="B488" s="1" t="s">
        <v>10335</v>
      </c>
      <c r="C488" s="1" t="s">
        <v>16755</v>
      </c>
      <c r="D488" s="1" t="s">
        <v>6974</v>
      </c>
    </row>
    <row r="489" spans="1:4" x14ac:dyDescent="0.15">
      <c r="A489" s="1" t="s">
        <v>16758</v>
      </c>
      <c r="B489" s="1" t="s">
        <v>16758</v>
      </c>
      <c r="C489" s="1" t="s">
        <v>16755</v>
      </c>
      <c r="D489" s="1" t="s">
        <v>6974</v>
      </c>
    </row>
    <row r="490" spans="1:4" x14ac:dyDescent="0.15">
      <c r="B490" s="1" t="s">
        <v>11153</v>
      </c>
      <c r="D490" s="1" t="s">
        <v>6975</v>
      </c>
    </row>
    <row r="491" spans="1:4" x14ac:dyDescent="0.15">
      <c r="B491" s="1" t="s">
        <v>10786</v>
      </c>
      <c r="D491" s="1" t="s">
        <v>6976</v>
      </c>
    </row>
    <row r="492" spans="1:4" x14ac:dyDescent="0.15">
      <c r="B492" s="1" t="s">
        <v>10342</v>
      </c>
      <c r="D492" s="1" t="s">
        <v>6977</v>
      </c>
    </row>
    <row r="493" spans="1:4" x14ac:dyDescent="0.15">
      <c r="A493" s="1" t="s">
        <v>10348</v>
      </c>
      <c r="B493" s="1" t="s">
        <v>10348</v>
      </c>
      <c r="C493" s="1" t="s">
        <v>16769</v>
      </c>
      <c r="D493" s="1" t="s">
        <v>16769</v>
      </c>
    </row>
    <row r="494" spans="1:4" x14ac:dyDescent="0.15">
      <c r="A494" s="1" t="s">
        <v>16772</v>
      </c>
      <c r="B494" s="1" t="s">
        <v>16772</v>
      </c>
      <c r="C494" s="1" t="s">
        <v>16769</v>
      </c>
      <c r="D494" s="1" t="s">
        <v>16769</v>
      </c>
    </row>
    <row r="495" spans="1:4" x14ac:dyDescent="0.15">
      <c r="A495" s="1" t="s">
        <v>10345</v>
      </c>
      <c r="B495" s="1" t="s">
        <v>10345</v>
      </c>
      <c r="C495" s="1" t="s">
        <v>6978</v>
      </c>
      <c r="D495" s="1" t="s">
        <v>6979</v>
      </c>
    </row>
    <row r="496" spans="1:4" x14ac:dyDescent="0.15">
      <c r="A496" s="1" t="s">
        <v>16765</v>
      </c>
      <c r="B496" s="1" t="s">
        <v>16765</v>
      </c>
      <c r="C496" s="1" t="s">
        <v>6980</v>
      </c>
      <c r="D496" s="1" t="s">
        <v>6979</v>
      </c>
    </row>
    <row r="497" spans="1:4" x14ac:dyDescent="0.15">
      <c r="A497" s="1" t="s">
        <v>10360</v>
      </c>
      <c r="B497" s="1" t="s">
        <v>10360</v>
      </c>
      <c r="C497" s="1" t="s">
        <v>16790</v>
      </c>
      <c r="D497" s="1" t="s">
        <v>16790</v>
      </c>
    </row>
    <row r="498" spans="1:4" x14ac:dyDescent="0.15">
      <c r="A498" s="1" t="s">
        <v>16793</v>
      </c>
      <c r="B498" s="1" t="s">
        <v>16793</v>
      </c>
      <c r="C498" s="1" t="s">
        <v>16790</v>
      </c>
      <c r="D498" s="1" t="s">
        <v>16790</v>
      </c>
    </row>
    <row r="499" spans="1:4" x14ac:dyDescent="0.15">
      <c r="A499" s="1" t="s">
        <v>16800</v>
      </c>
      <c r="B499" s="1" t="s">
        <v>10553</v>
      </c>
      <c r="C499" s="1" t="s">
        <v>16797</v>
      </c>
      <c r="D499" s="1" t="s">
        <v>6981</v>
      </c>
    </row>
    <row r="500" spans="1:4" x14ac:dyDescent="0.15">
      <c r="A500" s="1" t="s">
        <v>10368</v>
      </c>
      <c r="C500" s="1" t="s">
        <v>16804</v>
      </c>
      <c r="D500" s="1" t="s">
        <v>6584</v>
      </c>
    </row>
    <row r="501" spans="1:4" x14ac:dyDescent="0.15">
      <c r="A501" s="1" t="s">
        <v>16807</v>
      </c>
      <c r="B501" s="1" t="s">
        <v>10553</v>
      </c>
      <c r="C501" s="1" t="s">
        <v>16804</v>
      </c>
      <c r="D501" s="1" t="s">
        <v>6982</v>
      </c>
    </row>
    <row r="502" spans="1:4" x14ac:dyDescent="0.15">
      <c r="A502" s="1" t="s">
        <v>10371</v>
      </c>
      <c r="C502" s="1" t="s">
        <v>16811</v>
      </c>
      <c r="D502" s="1" t="s">
        <v>6584</v>
      </c>
    </row>
    <row r="503" spans="1:4" x14ac:dyDescent="0.15">
      <c r="A503" s="1" t="s">
        <v>16814</v>
      </c>
      <c r="B503" s="1" t="s">
        <v>10445</v>
      </c>
      <c r="C503" s="1" t="s">
        <v>16811</v>
      </c>
      <c r="D503" s="1" t="s">
        <v>6983</v>
      </c>
    </row>
    <row r="504" spans="1:4" x14ac:dyDescent="0.15">
      <c r="B504" s="1" t="s">
        <v>10452</v>
      </c>
      <c r="D504" s="1" t="s">
        <v>6984</v>
      </c>
    </row>
    <row r="505" spans="1:4" x14ac:dyDescent="0.15">
      <c r="A505" s="1" t="s">
        <v>10374</v>
      </c>
      <c r="B505" s="1" t="s">
        <v>10374</v>
      </c>
      <c r="C505" s="1" t="s">
        <v>16818</v>
      </c>
      <c r="D505" s="1" t="s">
        <v>16818</v>
      </c>
    </row>
    <row r="506" spans="1:4" x14ac:dyDescent="0.15">
      <c r="A506" s="1" t="s">
        <v>16821</v>
      </c>
      <c r="B506" s="1" t="s">
        <v>16821</v>
      </c>
      <c r="C506" s="1" t="s">
        <v>16818</v>
      </c>
      <c r="D506" s="1" t="s">
        <v>16818</v>
      </c>
    </row>
    <row r="507" spans="1:4" x14ac:dyDescent="0.15">
      <c r="A507" s="1" t="s">
        <v>10380</v>
      </c>
      <c r="B507" s="1" t="s">
        <v>10380</v>
      </c>
      <c r="C507" s="1" t="s">
        <v>16825</v>
      </c>
      <c r="D507" s="1" t="s">
        <v>16825</v>
      </c>
    </row>
    <row r="508" spans="1:4" x14ac:dyDescent="0.15">
      <c r="A508" s="1" t="s">
        <v>16828</v>
      </c>
      <c r="B508" s="1" t="s">
        <v>16828</v>
      </c>
      <c r="C508" s="1" t="s">
        <v>16825</v>
      </c>
      <c r="D508" s="1" t="s">
        <v>16825</v>
      </c>
    </row>
    <row r="509" spans="1:4" x14ac:dyDescent="0.15">
      <c r="A509" s="1" t="s">
        <v>10384</v>
      </c>
      <c r="B509" s="1" t="s">
        <v>10384</v>
      </c>
      <c r="C509" s="1" t="s">
        <v>16832</v>
      </c>
      <c r="D509" s="1" t="s">
        <v>16832</v>
      </c>
    </row>
    <row r="510" spans="1:4" x14ac:dyDescent="0.15">
      <c r="A510" s="1" t="s">
        <v>16835</v>
      </c>
      <c r="B510" s="1" t="s">
        <v>16835</v>
      </c>
      <c r="C510" s="1" t="s">
        <v>16832</v>
      </c>
      <c r="D510" s="1" t="s">
        <v>16832</v>
      </c>
    </row>
    <row r="511" spans="1:4" x14ac:dyDescent="0.15">
      <c r="A511" s="1" t="s">
        <v>10389</v>
      </c>
      <c r="B511" s="1" t="s">
        <v>10389</v>
      </c>
      <c r="C511" s="1" t="s">
        <v>6985</v>
      </c>
      <c r="D511" s="1" t="s">
        <v>6985</v>
      </c>
    </row>
    <row r="512" spans="1:4" x14ac:dyDescent="0.15">
      <c r="A512" s="1" t="s">
        <v>16258</v>
      </c>
      <c r="B512" s="1" t="s">
        <v>16258</v>
      </c>
      <c r="C512" s="1" t="s">
        <v>6985</v>
      </c>
      <c r="D512" s="1" t="s">
        <v>6985</v>
      </c>
    </row>
    <row r="513" spans="1:4" x14ac:dyDescent="0.15">
      <c r="A513" s="1" t="s">
        <v>10394</v>
      </c>
      <c r="B513" s="1" t="s">
        <v>10394</v>
      </c>
      <c r="C513" s="1" t="s">
        <v>6986</v>
      </c>
      <c r="D513" s="1" t="s">
        <v>6986</v>
      </c>
    </row>
    <row r="514" spans="1:4" x14ac:dyDescent="0.15">
      <c r="B514" s="1" t="s">
        <v>10561</v>
      </c>
      <c r="D514" s="1" t="s">
        <v>6987</v>
      </c>
    </row>
    <row r="515" spans="1:4" x14ac:dyDescent="0.15">
      <c r="A515" s="1" t="s">
        <v>15991</v>
      </c>
      <c r="B515" s="1" t="s">
        <v>15991</v>
      </c>
      <c r="C515" s="1" t="s">
        <v>6988</v>
      </c>
      <c r="D515" s="1" t="s">
        <v>6988</v>
      </c>
    </row>
    <row r="516" spans="1:4" x14ac:dyDescent="0.15">
      <c r="B516" s="1" t="s">
        <v>11427</v>
      </c>
      <c r="D516" s="1" t="s">
        <v>6989</v>
      </c>
    </row>
    <row r="517" spans="1:4" x14ac:dyDescent="0.15">
      <c r="B517" s="1" t="s">
        <v>11440</v>
      </c>
      <c r="D517" s="1" t="s">
        <v>6990</v>
      </c>
    </row>
    <row r="518" spans="1:4" x14ac:dyDescent="0.15">
      <c r="B518" s="1" t="s">
        <v>11346</v>
      </c>
      <c r="D518" s="1" t="s">
        <v>6991</v>
      </c>
    </row>
    <row r="519" spans="1:4" x14ac:dyDescent="0.15">
      <c r="A519" s="1" t="s">
        <v>16265</v>
      </c>
      <c r="B519" s="1" t="s">
        <v>16265</v>
      </c>
      <c r="C519" s="1" t="s">
        <v>6986</v>
      </c>
      <c r="D519" s="1" t="s">
        <v>6986</v>
      </c>
    </row>
    <row r="520" spans="1:4" x14ac:dyDescent="0.15">
      <c r="A520" s="1" t="s">
        <v>10398</v>
      </c>
      <c r="B520" s="1" t="s">
        <v>10398</v>
      </c>
      <c r="C520" s="1" t="s">
        <v>16269</v>
      </c>
      <c r="D520" s="1" t="s">
        <v>16269</v>
      </c>
    </row>
    <row r="521" spans="1:4" x14ac:dyDescent="0.15">
      <c r="A521" s="1" t="s">
        <v>16272</v>
      </c>
      <c r="B521" s="1" t="s">
        <v>16272</v>
      </c>
      <c r="C521" s="1" t="s">
        <v>16269</v>
      </c>
      <c r="D521" s="1" t="s">
        <v>16269</v>
      </c>
    </row>
    <row r="522" spans="1:4" x14ac:dyDescent="0.15">
      <c r="A522" s="1" t="s">
        <v>10404</v>
      </c>
      <c r="B522" s="1" t="s">
        <v>10404</v>
      </c>
      <c r="C522" s="1" t="s">
        <v>16276</v>
      </c>
      <c r="D522" s="1" t="s">
        <v>16276</v>
      </c>
    </row>
    <row r="523" spans="1:4" x14ac:dyDescent="0.15">
      <c r="A523" s="1" t="s">
        <v>16279</v>
      </c>
      <c r="B523" s="1" t="s">
        <v>16279</v>
      </c>
      <c r="C523" s="1" t="s">
        <v>16276</v>
      </c>
      <c r="D523" s="1" t="s">
        <v>16276</v>
      </c>
    </row>
    <row r="524" spans="1:4" x14ac:dyDescent="0.15">
      <c r="A524" s="1" t="s">
        <v>10409</v>
      </c>
      <c r="B524" s="1" t="s">
        <v>10409</v>
      </c>
      <c r="C524" s="1" t="s">
        <v>16283</v>
      </c>
      <c r="D524" s="1" t="s">
        <v>16283</v>
      </c>
    </row>
    <row r="525" spans="1:4" x14ac:dyDescent="0.15">
      <c r="A525" s="1" t="s">
        <v>16286</v>
      </c>
      <c r="B525" s="1" t="s">
        <v>16286</v>
      </c>
      <c r="C525" s="1" t="s">
        <v>16283</v>
      </c>
      <c r="D525" s="1" t="s">
        <v>16283</v>
      </c>
    </row>
    <row r="526" spans="1:4" x14ac:dyDescent="0.15">
      <c r="A526" s="1" t="s">
        <v>10414</v>
      </c>
      <c r="B526" s="1" t="s">
        <v>10414</v>
      </c>
      <c r="C526" s="1" t="s">
        <v>16290</v>
      </c>
      <c r="D526" s="1" t="s">
        <v>16290</v>
      </c>
    </row>
    <row r="527" spans="1:4" x14ac:dyDescent="0.15">
      <c r="A527" s="1" t="s">
        <v>16293</v>
      </c>
      <c r="B527" s="1" t="s">
        <v>16293</v>
      </c>
      <c r="C527" s="1" t="s">
        <v>16290</v>
      </c>
      <c r="D527" s="1" t="s">
        <v>16290</v>
      </c>
    </row>
    <row r="528" spans="1:4" x14ac:dyDescent="0.15">
      <c r="A528" s="1" t="s">
        <v>10417</v>
      </c>
      <c r="B528" s="1" t="s">
        <v>10417</v>
      </c>
      <c r="C528" s="1" t="s">
        <v>6992</v>
      </c>
      <c r="D528" s="1" t="s">
        <v>6992</v>
      </c>
    </row>
    <row r="529" spans="1:4" x14ac:dyDescent="0.15">
      <c r="A529" s="1" t="s">
        <v>16300</v>
      </c>
      <c r="B529" s="1" t="s">
        <v>16300</v>
      </c>
      <c r="C529" s="1" t="s">
        <v>6992</v>
      </c>
      <c r="D529" s="1" t="s">
        <v>6992</v>
      </c>
    </row>
    <row r="530" spans="1:4" x14ac:dyDescent="0.15">
      <c r="A530" s="1" t="s">
        <v>10421</v>
      </c>
      <c r="C530" s="1" t="s">
        <v>16304</v>
      </c>
      <c r="D530" s="1" t="s">
        <v>6584</v>
      </c>
    </row>
    <row r="531" spans="1:4" x14ac:dyDescent="0.15">
      <c r="A531" s="1" t="s">
        <v>16307</v>
      </c>
      <c r="B531" s="1" t="s">
        <v>16335</v>
      </c>
      <c r="C531" s="1" t="s">
        <v>16304</v>
      </c>
      <c r="D531" s="1" t="s">
        <v>16332</v>
      </c>
    </row>
    <row r="532" spans="1:4" x14ac:dyDescent="0.15">
      <c r="A532" s="1" t="s">
        <v>10424</v>
      </c>
      <c r="C532" s="1" t="s">
        <v>16311</v>
      </c>
      <c r="D532" s="1" t="s">
        <v>6584</v>
      </c>
    </row>
    <row r="533" spans="1:4" x14ac:dyDescent="0.15">
      <c r="A533" s="1" t="s">
        <v>16314</v>
      </c>
      <c r="B533" s="1" t="s">
        <v>10179</v>
      </c>
      <c r="C533" s="1" t="s">
        <v>16311</v>
      </c>
      <c r="D533" s="1" t="s">
        <v>16311</v>
      </c>
    </row>
    <row r="534" spans="1:4" x14ac:dyDescent="0.15">
      <c r="A534" s="1" t="s">
        <v>10427</v>
      </c>
      <c r="B534" s="1" t="s">
        <v>10427</v>
      </c>
      <c r="C534" s="1" t="s">
        <v>16318</v>
      </c>
      <c r="D534" s="1" t="s">
        <v>16318</v>
      </c>
    </row>
    <row r="535" spans="1:4" x14ac:dyDescent="0.15">
      <c r="A535" s="1" t="s">
        <v>16321</v>
      </c>
      <c r="B535" s="1" t="s">
        <v>16321</v>
      </c>
      <c r="C535" s="1" t="s">
        <v>16318</v>
      </c>
      <c r="D535" s="1" t="s">
        <v>16318</v>
      </c>
    </row>
    <row r="536" spans="1:4" x14ac:dyDescent="0.15">
      <c r="A536" s="1" t="s">
        <v>10430</v>
      </c>
      <c r="B536" s="1" t="s">
        <v>10430</v>
      </c>
      <c r="C536" s="1" t="s">
        <v>16325</v>
      </c>
      <c r="D536" s="1" t="s">
        <v>16325</v>
      </c>
    </row>
    <row r="537" spans="1:4" x14ac:dyDescent="0.15">
      <c r="A537" s="1" t="s">
        <v>16328</v>
      </c>
      <c r="B537" s="1" t="s">
        <v>16328</v>
      </c>
      <c r="C537" s="1" t="s">
        <v>16325</v>
      </c>
      <c r="D537" s="1" t="s">
        <v>16325</v>
      </c>
    </row>
    <row r="538" spans="1:4" x14ac:dyDescent="0.15">
      <c r="B538" s="1" t="s">
        <v>10436</v>
      </c>
      <c r="D538" s="1" t="s">
        <v>6993</v>
      </c>
    </row>
    <row r="539" spans="1:4" x14ac:dyDescent="0.15">
      <c r="B539" s="1" t="s">
        <v>12661</v>
      </c>
      <c r="D539" s="1" t="s">
        <v>6994</v>
      </c>
    </row>
    <row r="540" spans="1:4" x14ac:dyDescent="0.15">
      <c r="B540" s="1" t="s">
        <v>10439</v>
      </c>
      <c r="D540" s="1" t="s">
        <v>6995</v>
      </c>
    </row>
    <row r="541" spans="1:4" x14ac:dyDescent="0.15">
      <c r="B541" s="1" t="s">
        <v>12630</v>
      </c>
      <c r="D541" s="1" t="s">
        <v>6996</v>
      </c>
    </row>
    <row r="542" spans="1:4" x14ac:dyDescent="0.15">
      <c r="B542" s="1" t="s">
        <v>10442</v>
      </c>
      <c r="D542" s="1" t="s">
        <v>6997</v>
      </c>
    </row>
    <row r="543" spans="1:4" x14ac:dyDescent="0.15">
      <c r="B543" s="1" t="s">
        <v>10449</v>
      </c>
      <c r="D543" s="1" t="s">
        <v>6998</v>
      </c>
    </row>
    <row r="544" spans="1:4" x14ac:dyDescent="0.15">
      <c r="B544" s="1" t="s">
        <v>10454</v>
      </c>
      <c r="D544" s="1" t="s">
        <v>6999</v>
      </c>
    </row>
    <row r="545" spans="1:4" x14ac:dyDescent="0.15">
      <c r="B545" s="1" t="s">
        <v>10459</v>
      </c>
      <c r="D545" s="1" t="s">
        <v>7000</v>
      </c>
    </row>
    <row r="546" spans="1:4" x14ac:dyDescent="0.15">
      <c r="B546" s="1" t="s">
        <v>10462</v>
      </c>
      <c r="D546" s="1" t="s">
        <v>7000</v>
      </c>
    </row>
    <row r="547" spans="1:4" x14ac:dyDescent="0.15">
      <c r="B547" s="1" t="s">
        <v>10550</v>
      </c>
      <c r="D547" s="1" t="s">
        <v>7001</v>
      </c>
    </row>
    <row r="548" spans="1:4" x14ac:dyDescent="0.15">
      <c r="A548" s="1" t="s">
        <v>10556</v>
      </c>
      <c r="B548" s="1" t="s">
        <v>10556</v>
      </c>
      <c r="C548" s="1" t="s">
        <v>16332</v>
      </c>
      <c r="D548" s="1" t="s">
        <v>16332</v>
      </c>
    </row>
    <row r="549" spans="1:4" x14ac:dyDescent="0.15">
      <c r="A549" s="1" t="s">
        <v>16335</v>
      </c>
      <c r="B549" s="1" t="s">
        <v>16335</v>
      </c>
      <c r="C549" s="1" t="s">
        <v>16332</v>
      </c>
      <c r="D549" s="1" t="s">
        <v>16332</v>
      </c>
    </row>
    <row r="550" spans="1:4" x14ac:dyDescent="0.15">
      <c r="A550" s="1" t="s">
        <v>11515</v>
      </c>
      <c r="B550" s="1" t="s">
        <v>11515</v>
      </c>
      <c r="C550" s="1" t="s">
        <v>7002</v>
      </c>
      <c r="D550" s="1" t="s">
        <v>7003</v>
      </c>
    </row>
    <row r="551" spans="1:4" x14ac:dyDescent="0.15">
      <c r="A551" s="1" t="s">
        <v>10565</v>
      </c>
      <c r="B551" s="1" t="s">
        <v>10565</v>
      </c>
      <c r="C551" s="1" t="s">
        <v>16344</v>
      </c>
      <c r="D551" s="1" t="s">
        <v>7004</v>
      </c>
    </row>
    <row r="552" spans="1:4" x14ac:dyDescent="0.15">
      <c r="A552" s="1" t="s">
        <v>16347</v>
      </c>
      <c r="B552" s="1" t="s">
        <v>16347</v>
      </c>
      <c r="C552" s="1" t="s">
        <v>16348</v>
      </c>
      <c r="D552" s="1" t="s">
        <v>16348</v>
      </c>
    </row>
    <row r="553" spans="1:4" x14ac:dyDescent="0.15">
      <c r="A553" s="1" t="s">
        <v>10569</v>
      </c>
      <c r="B553" s="1" t="s">
        <v>10569</v>
      </c>
      <c r="C553" s="1" t="s">
        <v>16352</v>
      </c>
      <c r="D553" s="1" t="s">
        <v>7005</v>
      </c>
    </row>
    <row r="554" spans="1:4" x14ac:dyDescent="0.15">
      <c r="A554" s="1" t="s">
        <v>16355</v>
      </c>
      <c r="B554" s="1" t="s">
        <v>16355</v>
      </c>
      <c r="C554" s="1" t="s">
        <v>16356</v>
      </c>
      <c r="D554" s="1" t="s">
        <v>7005</v>
      </c>
    </row>
    <row r="555" spans="1:4" x14ac:dyDescent="0.15">
      <c r="A555" s="1" t="s">
        <v>10576</v>
      </c>
      <c r="B555" s="1" t="s">
        <v>10576</v>
      </c>
      <c r="C555" s="1" t="s">
        <v>7006</v>
      </c>
      <c r="D555" s="1" t="s">
        <v>7007</v>
      </c>
    </row>
    <row r="556" spans="1:4" x14ac:dyDescent="0.15">
      <c r="A556" s="1" t="s">
        <v>16363</v>
      </c>
      <c r="B556" s="1" t="s">
        <v>11222</v>
      </c>
      <c r="C556" s="1" t="s">
        <v>16364</v>
      </c>
      <c r="D556" s="1" t="s">
        <v>7008</v>
      </c>
    </row>
    <row r="557" spans="1:4" x14ac:dyDescent="0.15">
      <c r="A557" s="1" t="s">
        <v>16367</v>
      </c>
      <c r="B557" s="1" t="s">
        <v>16367</v>
      </c>
      <c r="C557" s="1" t="s">
        <v>7009</v>
      </c>
      <c r="D557" s="1" t="s">
        <v>7010</v>
      </c>
    </row>
    <row r="558" spans="1:4" x14ac:dyDescent="0.15">
      <c r="A558" s="1" t="s">
        <v>16371</v>
      </c>
      <c r="B558" s="1" t="s">
        <v>16371</v>
      </c>
      <c r="C558" s="1" t="s">
        <v>7011</v>
      </c>
      <c r="D558" s="1" t="s">
        <v>7011</v>
      </c>
    </row>
    <row r="559" spans="1:4" x14ac:dyDescent="0.15">
      <c r="B559" s="1" t="s">
        <v>10982</v>
      </c>
      <c r="D559" s="1" t="s">
        <v>7012</v>
      </c>
    </row>
    <row r="560" spans="1:4" x14ac:dyDescent="0.15">
      <c r="A560" s="1" t="s">
        <v>16375</v>
      </c>
      <c r="B560" s="1" t="s">
        <v>16375</v>
      </c>
      <c r="C560" s="1" t="s">
        <v>7013</v>
      </c>
      <c r="D560" s="1" t="s">
        <v>7014</v>
      </c>
    </row>
    <row r="561" spans="1:4" x14ac:dyDescent="0.15">
      <c r="A561" s="1" t="s">
        <v>10466</v>
      </c>
      <c r="B561" s="1" t="s">
        <v>10466</v>
      </c>
      <c r="C561" s="1" t="s">
        <v>7015</v>
      </c>
      <c r="D561" s="1" t="s">
        <v>7016</v>
      </c>
    </row>
    <row r="562" spans="1:4" x14ac:dyDescent="0.15">
      <c r="A562" s="1" t="s">
        <v>16383</v>
      </c>
      <c r="B562" s="1" t="s">
        <v>16383</v>
      </c>
      <c r="C562" s="1" t="s">
        <v>16384</v>
      </c>
      <c r="D562" s="1" t="s">
        <v>7017</v>
      </c>
    </row>
    <row r="563" spans="1:4" x14ac:dyDescent="0.15">
      <c r="A563" s="1" t="s">
        <v>16395</v>
      </c>
      <c r="B563" s="1" t="s">
        <v>16395</v>
      </c>
      <c r="C563" s="1" t="s">
        <v>16396</v>
      </c>
      <c r="D563" s="1" t="s">
        <v>16396</v>
      </c>
    </row>
    <row r="564" spans="1:4" x14ac:dyDescent="0.15">
      <c r="A564" s="1" t="s">
        <v>16399</v>
      </c>
      <c r="B564" s="1" t="s">
        <v>16399</v>
      </c>
      <c r="C564" s="1" t="s">
        <v>16400</v>
      </c>
      <c r="D564" s="1" t="s">
        <v>16400</v>
      </c>
    </row>
    <row r="565" spans="1:4" x14ac:dyDescent="0.15">
      <c r="A565" s="1" t="s">
        <v>16419</v>
      </c>
      <c r="B565" s="1" t="s">
        <v>16419</v>
      </c>
      <c r="C565" s="1" t="s">
        <v>16420</v>
      </c>
      <c r="D565" s="1" t="s">
        <v>7018</v>
      </c>
    </row>
    <row r="566" spans="1:4" x14ac:dyDescent="0.15">
      <c r="B566" s="1" t="s">
        <v>10490</v>
      </c>
      <c r="D566" s="1" t="s">
        <v>7019</v>
      </c>
    </row>
    <row r="567" spans="1:4" x14ac:dyDescent="0.15">
      <c r="B567" s="1" t="s">
        <v>10503</v>
      </c>
      <c r="D567" s="1" t="s">
        <v>5721</v>
      </c>
    </row>
    <row r="568" spans="1:4" x14ac:dyDescent="0.15">
      <c r="A568" s="1" t="s">
        <v>16443</v>
      </c>
      <c r="B568" s="1" t="s">
        <v>16443</v>
      </c>
      <c r="C568" s="1" t="s">
        <v>16444</v>
      </c>
      <c r="D568" s="1" t="s">
        <v>5722</v>
      </c>
    </row>
    <row r="569" spans="1:4" x14ac:dyDescent="0.15">
      <c r="A569" s="1" t="s">
        <v>16387</v>
      </c>
      <c r="B569" s="1" t="s">
        <v>10338</v>
      </c>
      <c r="C569" s="1" t="s">
        <v>16388</v>
      </c>
      <c r="D569" s="1" t="s">
        <v>5723</v>
      </c>
    </row>
    <row r="570" spans="1:4" x14ac:dyDescent="0.15">
      <c r="A570" s="1" t="s">
        <v>16391</v>
      </c>
      <c r="B570" s="1" t="s">
        <v>16391</v>
      </c>
      <c r="C570" s="1" t="s">
        <v>16392</v>
      </c>
      <c r="D570" s="1" t="s">
        <v>5724</v>
      </c>
    </row>
    <row r="571" spans="1:4" x14ac:dyDescent="0.15">
      <c r="A571" s="1" t="s">
        <v>16403</v>
      </c>
      <c r="B571" s="1" t="s">
        <v>16403</v>
      </c>
      <c r="C571" s="1" t="s">
        <v>5725</v>
      </c>
      <c r="D571" s="1" t="s">
        <v>5726</v>
      </c>
    </row>
    <row r="572" spans="1:4" x14ac:dyDescent="0.15">
      <c r="A572" s="1" t="s">
        <v>10305</v>
      </c>
      <c r="B572" s="1" t="s">
        <v>10305</v>
      </c>
      <c r="C572" s="1" t="s">
        <v>16408</v>
      </c>
      <c r="D572" s="1" t="s">
        <v>5727</v>
      </c>
    </row>
    <row r="573" spans="1:4" x14ac:dyDescent="0.15">
      <c r="A573" s="1" t="s">
        <v>16411</v>
      </c>
      <c r="B573" s="1" t="s">
        <v>16411</v>
      </c>
      <c r="C573" s="1" t="s">
        <v>5728</v>
      </c>
      <c r="D573" s="1" t="s">
        <v>5729</v>
      </c>
    </row>
    <row r="574" spans="1:4" x14ac:dyDescent="0.15">
      <c r="A574" s="1" t="s">
        <v>16415</v>
      </c>
      <c r="B574" s="1" t="s">
        <v>16415</v>
      </c>
      <c r="C574" s="1" t="s">
        <v>5730</v>
      </c>
      <c r="D574" s="1" t="s">
        <v>5730</v>
      </c>
    </row>
    <row r="575" spans="1:4" x14ac:dyDescent="0.15">
      <c r="A575" s="1" t="s">
        <v>16423</v>
      </c>
      <c r="B575" s="1" t="s">
        <v>16423</v>
      </c>
      <c r="C575" s="1" t="s">
        <v>5731</v>
      </c>
      <c r="D575" s="1" t="s">
        <v>5732</v>
      </c>
    </row>
    <row r="576" spans="1:4" x14ac:dyDescent="0.15">
      <c r="A576" s="1" t="s">
        <v>16427</v>
      </c>
      <c r="B576" s="1" t="s">
        <v>16427</v>
      </c>
      <c r="C576" s="1" t="s">
        <v>5733</v>
      </c>
      <c r="D576" s="1" t="s">
        <v>5734</v>
      </c>
    </row>
    <row r="577" spans="1:4" x14ac:dyDescent="0.15">
      <c r="A577" s="1" t="s">
        <v>16431</v>
      </c>
      <c r="B577" s="1" t="s">
        <v>16431</v>
      </c>
      <c r="C577" s="1" t="s">
        <v>16432</v>
      </c>
      <c r="D577" s="1" t="s">
        <v>16432</v>
      </c>
    </row>
    <row r="578" spans="1:4" x14ac:dyDescent="0.15">
      <c r="A578" s="1" t="s">
        <v>10495</v>
      </c>
      <c r="B578" s="1" t="s">
        <v>10495</v>
      </c>
      <c r="C578" s="1" t="s">
        <v>16436</v>
      </c>
      <c r="D578" s="1" t="s">
        <v>5735</v>
      </c>
    </row>
    <row r="579" spans="1:4" x14ac:dyDescent="0.15">
      <c r="A579" s="1" t="s">
        <v>16439</v>
      </c>
      <c r="B579" s="1" t="s">
        <v>10447</v>
      </c>
      <c r="C579" s="1" t="s">
        <v>16440</v>
      </c>
      <c r="D579" s="1" t="s">
        <v>5736</v>
      </c>
    </row>
    <row r="580" spans="1:4" x14ac:dyDescent="0.15">
      <c r="A580" s="1" t="s">
        <v>16447</v>
      </c>
      <c r="B580" s="1" t="s">
        <v>16447</v>
      </c>
      <c r="C580" s="1" t="s">
        <v>16448</v>
      </c>
      <c r="D580" s="1" t="s">
        <v>16448</v>
      </c>
    </row>
    <row r="581" spans="1:4" x14ac:dyDescent="0.15">
      <c r="B581" s="1" t="s">
        <v>10338</v>
      </c>
      <c r="D581" s="1" t="s">
        <v>5737</v>
      </c>
    </row>
    <row r="582" spans="1:4" x14ac:dyDescent="0.15">
      <c r="B582" s="1" t="s">
        <v>10203</v>
      </c>
      <c r="D582" s="1" t="s">
        <v>5738</v>
      </c>
    </row>
    <row r="583" spans="1:4" x14ac:dyDescent="0.15">
      <c r="B583" s="1" t="s">
        <v>11566</v>
      </c>
      <c r="D583" s="1" t="s">
        <v>5739</v>
      </c>
    </row>
    <row r="584" spans="1:4" x14ac:dyDescent="0.15">
      <c r="B584" s="1" t="s">
        <v>15983</v>
      </c>
      <c r="D584" s="1" t="s">
        <v>5740</v>
      </c>
    </row>
    <row r="585" spans="1:4" x14ac:dyDescent="0.15">
      <c r="A585" s="1" t="s">
        <v>15987</v>
      </c>
      <c r="B585" s="1" t="s">
        <v>15987</v>
      </c>
      <c r="C585" s="1" t="s">
        <v>5741</v>
      </c>
      <c r="D585" s="1" t="s">
        <v>5741</v>
      </c>
    </row>
    <row r="586" spans="1:4" x14ac:dyDescent="0.15">
      <c r="A586" s="1" t="s">
        <v>16451</v>
      </c>
      <c r="B586" s="1" t="s">
        <v>16451</v>
      </c>
      <c r="C586" s="1" t="s">
        <v>16452</v>
      </c>
      <c r="D586" s="1" t="s">
        <v>16452</v>
      </c>
    </row>
    <row r="587" spans="1:4" x14ac:dyDescent="0.15">
      <c r="A587" s="1" t="s">
        <v>10364</v>
      </c>
      <c r="B587" s="1" t="s">
        <v>10364</v>
      </c>
      <c r="C587" s="1" t="s">
        <v>5742</v>
      </c>
      <c r="D587" s="1" t="s">
        <v>5743</v>
      </c>
    </row>
    <row r="588" spans="1:4" x14ac:dyDescent="0.15">
      <c r="A588" s="1" t="s">
        <v>16459</v>
      </c>
      <c r="B588" s="1" t="s">
        <v>16459</v>
      </c>
      <c r="C588" s="1" t="s">
        <v>5744</v>
      </c>
      <c r="D588" s="1" t="s">
        <v>5744</v>
      </c>
    </row>
    <row r="589" spans="1:4" x14ac:dyDescent="0.15">
      <c r="A589" s="1" t="s">
        <v>16463</v>
      </c>
      <c r="B589" s="1" t="s">
        <v>16463</v>
      </c>
      <c r="C589" s="1" t="s">
        <v>16464</v>
      </c>
      <c r="D589" s="1" t="s">
        <v>16464</v>
      </c>
    </row>
    <row r="590" spans="1:4" x14ac:dyDescent="0.15">
      <c r="B590" s="1" t="s">
        <v>10093</v>
      </c>
      <c r="D590" s="1" t="s">
        <v>5745</v>
      </c>
    </row>
    <row r="591" spans="1:4" x14ac:dyDescent="0.15">
      <c r="B591" s="1" t="s">
        <v>10096</v>
      </c>
      <c r="D591" s="1" t="s">
        <v>5746</v>
      </c>
    </row>
    <row r="592" spans="1:4" x14ac:dyDescent="0.15">
      <c r="A592" s="1" t="s">
        <v>16467</v>
      </c>
      <c r="B592" s="1" t="s">
        <v>16467</v>
      </c>
      <c r="C592" s="1" t="s">
        <v>5747</v>
      </c>
      <c r="D592" s="1" t="s">
        <v>5747</v>
      </c>
    </row>
    <row r="593" spans="1:4" x14ac:dyDescent="0.15">
      <c r="A593" s="1" t="s">
        <v>10101</v>
      </c>
      <c r="B593" s="1" t="s">
        <v>10101</v>
      </c>
      <c r="C593" s="1" t="s">
        <v>16472</v>
      </c>
      <c r="D593" s="1" t="s">
        <v>5748</v>
      </c>
    </row>
    <row r="594" spans="1:4" x14ac:dyDescent="0.15">
      <c r="A594" s="1" t="s">
        <v>16475</v>
      </c>
      <c r="B594" s="1" t="s">
        <v>16475</v>
      </c>
      <c r="C594" s="1" t="s">
        <v>5749</v>
      </c>
      <c r="D594" s="1" t="s">
        <v>5750</v>
      </c>
    </row>
    <row r="595" spans="1:4" x14ac:dyDescent="0.15">
      <c r="A595" s="1" t="s">
        <v>16479</v>
      </c>
      <c r="B595" s="1" t="s">
        <v>16479</v>
      </c>
      <c r="C595" s="1" t="s">
        <v>16480</v>
      </c>
      <c r="D595" s="1" t="s">
        <v>16480</v>
      </c>
    </row>
    <row r="596" spans="1:4" x14ac:dyDescent="0.15">
      <c r="A596" s="1" t="s">
        <v>16483</v>
      </c>
      <c r="B596" s="1" t="s">
        <v>16483</v>
      </c>
      <c r="C596" s="1" t="s">
        <v>16484</v>
      </c>
      <c r="D596" s="1" t="s">
        <v>16484</v>
      </c>
    </row>
    <row r="597" spans="1:4" x14ac:dyDescent="0.15">
      <c r="A597" s="1" t="s">
        <v>16487</v>
      </c>
      <c r="B597" s="1" t="s">
        <v>16487</v>
      </c>
      <c r="C597" s="1" t="s">
        <v>5751</v>
      </c>
      <c r="D597" s="1" t="s">
        <v>5752</v>
      </c>
    </row>
    <row r="598" spans="1:4" x14ac:dyDescent="0.15">
      <c r="A598" s="1" t="s">
        <v>10113</v>
      </c>
      <c r="B598" s="1" t="s">
        <v>10113</v>
      </c>
      <c r="C598" s="1" t="s">
        <v>5753</v>
      </c>
      <c r="D598" s="1" t="s">
        <v>5754</v>
      </c>
    </row>
    <row r="599" spans="1:4" x14ac:dyDescent="0.15">
      <c r="A599" s="1" t="s">
        <v>15918</v>
      </c>
      <c r="B599" s="1" t="s">
        <v>15918</v>
      </c>
      <c r="C599" s="1" t="s">
        <v>15919</v>
      </c>
      <c r="D599" s="1" t="s">
        <v>15919</v>
      </c>
    </row>
    <row r="600" spans="1:4" x14ac:dyDescent="0.15">
      <c r="A600" s="1" t="s">
        <v>15922</v>
      </c>
      <c r="B600" s="1" t="s">
        <v>15922</v>
      </c>
      <c r="C600" s="1" t="s">
        <v>15923</v>
      </c>
      <c r="D600" s="1" t="s">
        <v>15923</v>
      </c>
    </row>
    <row r="601" spans="1:4" x14ac:dyDescent="0.15">
      <c r="A601" s="1" t="s">
        <v>10124</v>
      </c>
      <c r="B601" s="1" t="s">
        <v>10124</v>
      </c>
      <c r="C601" s="1" t="s">
        <v>15939</v>
      </c>
      <c r="D601" s="1" t="s">
        <v>16340</v>
      </c>
    </row>
    <row r="602" spans="1:4" x14ac:dyDescent="0.15">
      <c r="A602" s="1" t="s">
        <v>15946</v>
      </c>
      <c r="B602" s="1" t="s">
        <v>15946</v>
      </c>
      <c r="C602" s="1" t="s">
        <v>15947</v>
      </c>
      <c r="D602" s="1" t="s">
        <v>5755</v>
      </c>
    </row>
    <row r="603" spans="1:4" x14ac:dyDescent="0.15">
      <c r="B603" s="1" t="s">
        <v>10133</v>
      </c>
      <c r="D603" s="1" t="s">
        <v>5756</v>
      </c>
    </row>
    <row r="604" spans="1:4" x14ac:dyDescent="0.15">
      <c r="B604" s="1" t="s">
        <v>10136</v>
      </c>
      <c r="D604" s="1" t="s">
        <v>5757</v>
      </c>
    </row>
    <row r="605" spans="1:4" x14ac:dyDescent="0.15">
      <c r="A605" s="1" t="s">
        <v>15926</v>
      </c>
      <c r="B605" s="1" t="s">
        <v>15926</v>
      </c>
      <c r="C605" s="1" t="s">
        <v>5758</v>
      </c>
      <c r="D605" s="1" t="s">
        <v>5758</v>
      </c>
    </row>
    <row r="606" spans="1:4" x14ac:dyDescent="0.15">
      <c r="A606" s="1" t="s">
        <v>10120</v>
      </c>
      <c r="B606" s="1" t="s">
        <v>10120</v>
      </c>
      <c r="C606" s="1" t="s">
        <v>15931</v>
      </c>
      <c r="D606" s="1" t="s">
        <v>5759</v>
      </c>
    </row>
    <row r="607" spans="1:4" x14ac:dyDescent="0.15">
      <c r="A607" s="1" t="s">
        <v>15934</v>
      </c>
      <c r="B607" s="1" t="s">
        <v>15934</v>
      </c>
      <c r="C607" s="1" t="s">
        <v>15935</v>
      </c>
      <c r="D607" s="1" t="s">
        <v>5759</v>
      </c>
    </row>
    <row r="608" spans="1:4" x14ac:dyDescent="0.15">
      <c r="A608" s="1" t="s">
        <v>15942</v>
      </c>
      <c r="B608" s="1" t="s">
        <v>16339</v>
      </c>
      <c r="C608" s="1" t="s">
        <v>5760</v>
      </c>
      <c r="D608" s="1" t="s">
        <v>5761</v>
      </c>
    </row>
    <row r="609" spans="1:4" x14ac:dyDescent="0.15">
      <c r="A609" s="1" t="s">
        <v>15950</v>
      </c>
      <c r="B609" s="1" t="s">
        <v>15950</v>
      </c>
      <c r="C609" s="1" t="s">
        <v>5762</v>
      </c>
      <c r="D609" s="1" t="s">
        <v>5763</v>
      </c>
    </row>
    <row r="610" spans="1:4" x14ac:dyDescent="0.15">
      <c r="B610" s="1" t="s">
        <v>11155</v>
      </c>
      <c r="D610" s="1" t="s">
        <v>5764</v>
      </c>
    </row>
    <row r="611" spans="1:4" x14ac:dyDescent="0.15">
      <c r="B611" s="1" t="s">
        <v>10788</v>
      </c>
      <c r="D611" s="1" t="s">
        <v>5765</v>
      </c>
    </row>
    <row r="612" spans="1:4" x14ac:dyDescent="0.15">
      <c r="B612" s="1" t="s">
        <v>10144</v>
      </c>
      <c r="D612" s="1" t="s">
        <v>5766</v>
      </c>
    </row>
    <row r="613" spans="1:4" x14ac:dyDescent="0.15">
      <c r="B613" s="1" t="s">
        <v>10147</v>
      </c>
      <c r="D613" s="1" t="s">
        <v>5767</v>
      </c>
    </row>
    <row r="614" spans="1:4" x14ac:dyDescent="0.15">
      <c r="B614" s="1" t="s">
        <v>10153</v>
      </c>
      <c r="D614" s="1" t="s">
        <v>5768</v>
      </c>
    </row>
    <row r="615" spans="1:4" x14ac:dyDescent="0.15">
      <c r="B615" s="1" t="s">
        <v>10170</v>
      </c>
      <c r="D615" s="1" t="s">
        <v>5769</v>
      </c>
    </row>
    <row r="616" spans="1:4" x14ac:dyDescent="0.15">
      <c r="B616" s="1" t="s">
        <v>10173</v>
      </c>
      <c r="D616" s="1" t="s">
        <v>5769</v>
      </c>
    </row>
    <row r="617" spans="1:4" x14ac:dyDescent="0.15">
      <c r="B617" s="1" t="s">
        <v>5770</v>
      </c>
      <c r="D617" s="1" t="s">
        <v>5771</v>
      </c>
    </row>
    <row r="618" spans="1:4" x14ac:dyDescent="0.15">
      <c r="A618" s="1" t="s">
        <v>10181</v>
      </c>
      <c r="B618" s="1" t="s">
        <v>10181</v>
      </c>
      <c r="C618" s="1" t="s">
        <v>15955</v>
      </c>
      <c r="D618" s="1" t="s">
        <v>5772</v>
      </c>
    </row>
    <row r="619" spans="1:4" x14ac:dyDescent="0.15">
      <c r="A619" s="1" t="s">
        <v>15958</v>
      </c>
      <c r="B619" s="1" t="s">
        <v>15958</v>
      </c>
      <c r="C619" s="1" t="s">
        <v>15959</v>
      </c>
      <c r="D619" s="1" t="s">
        <v>5772</v>
      </c>
    </row>
    <row r="620" spans="1:4" x14ac:dyDescent="0.15">
      <c r="A620" s="1" t="s">
        <v>11560</v>
      </c>
      <c r="B620" s="1" t="s">
        <v>11560</v>
      </c>
      <c r="C620" s="1" t="s">
        <v>5773</v>
      </c>
      <c r="D620" s="1" t="s">
        <v>5774</v>
      </c>
    </row>
    <row r="621" spans="1:4" x14ac:dyDescent="0.15">
      <c r="A621" s="1" t="s">
        <v>10187</v>
      </c>
      <c r="B621" s="1" t="s">
        <v>10187</v>
      </c>
      <c r="C621" s="1" t="s">
        <v>15964</v>
      </c>
      <c r="D621" s="1" t="s">
        <v>5775</v>
      </c>
    </row>
    <row r="622" spans="1:4" x14ac:dyDescent="0.15">
      <c r="A622" s="1" t="s">
        <v>15971</v>
      </c>
      <c r="B622" s="1" t="s">
        <v>15971</v>
      </c>
      <c r="C622" s="1" t="s">
        <v>5776</v>
      </c>
      <c r="D622" s="1" t="s">
        <v>5776</v>
      </c>
    </row>
    <row r="623" spans="1:4" x14ac:dyDescent="0.15">
      <c r="A623" s="1" t="s">
        <v>15975</v>
      </c>
      <c r="B623" s="1" t="s">
        <v>15975</v>
      </c>
      <c r="C623" s="1" t="s">
        <v>15976</v>
      </c>
      <c r="D623" s="1" t="s">
        <v>15976</v>
      </c>
    </row>
    <row r="624" spans="1:4" x14ac:dyDescent="0.15">
      <c r="B624" s="1" t="s">
        <v>9923</v>
      </c>
      <c r="D624" s="1" t="s">
        <v>5777</v>
      </c>
    </row>
    <row r="625" spans="1:4" x14ac:dyDescent="0.15">
      <c r="B625" s="1" t="s">
        <v>9926</v>
      </c>
      <c r="D625" s="1" t="s">
        <v>5778</v>
      </c>
    </row>
    <row r="626" spans="1:4" x14ac:dyDescent="0.15">
      <c r="B626" s="1" t="s">
        <v>9929</v>
      </c>
      <c r="D626" s="1" t="s">
        <v>5779</v>
      </c>
    </row>
    <row r="627" spans="1:4" x14ac:dyDescent="0.15">
      <c r="B627" s="1" t="s">
        <v>9932</v>
      </c>
      <c r="D627" s="1" t="s">
        <v>5780</v>
      </c>
    </row>
    <row r="628" spans="1:4" x14ac:dyDescent="0.15">
      <c r="B628" s="1" t="s">
        <v>10200</v>
      </c>
      <c r="D628" s="1" t="s">
        <v>5781</v>
      </c>
    </row>
    <row r="629" spans="1:4" x14ac:dyDescent="0.15">
      <c r="A629" s="1" t="s">
        <v>15979</v>
      </c>
      <c r="B629" s="1" t="s">
        <v>15979</v>
      </c>
      <c r="C629" s="1" t="s">
        <v>5782</v>
      </c>
      <c r="D629" s="1" t="s">
        <v>5783</v>
      </c>
    </row>
    <row r="630" spans="1:4" x14ac:dyDescent="0.15">
      <c r="A630" s="1" t="s">
        <v>11332</v>
      </c>
      <c r="B630" s="1" t="s">
        <v>11332</v>
      </c>
      <c r="C630" s="1" t="s">
        <v>5784</v>
      </c>
      <c r="D630" s="1" t="s">
        <v>5785</v>
      </c>
    </row>
    <row r="631" spans="1:4" x14ac:dyDescent="0.15">
      <c r="A631" s="1" t="s">
        <v>15995</v>
      </c>
      <c r="B631" s="1" t="s">
        <v>15995</v>
      </c>
      <c r="C631" s="1" t="s">
        <v>5786</v>
      </c>
      <c r="D631" s="1" t="s">
        <v>5787</v>
      </c>
    </row>
    <row r="632" spans="1:4" x14ac:dyDescent="0.15">
      <c r="A632" s="1" t="s">
        <v>11341</v>
      </c>
      <c r="B632" s="1" t="s">
        <v>11341</v>
      </c>
      <c r="C632" s="1" t="s">
        <v>5788</v>
      </c>
      <c r="D632" s="1" t="s">
        <v>5789</v>
      </c>
    </row>
    <row r="633" spans="1:4" x14ac:dyDescent="0.15">
      <c r="A633" s="1" t="s">
        <v>16007</v>
      </c>
      <c r="B633" s="1" t="s">
        <v>15999</v>
      </c>
      <c r="C633" s="1" t="s">
        <v>5790</v>
      </c>
      <c r="D633" s="1" t="s">
        <v>5791</v>
      </c>
    </row>
    <row r="634" spans="1:4" x14ac:dyDescent="0.15">
      <c r="B634" s="1" t="s">
        <v>10223</v>
      </c>
      <c r="D634" s="1" t="s">
        <v>5792</v>
      </c>
    </row>
    <row r="635" spans="1:4" x14ac:dyDescent="0.15">
      <c r="B635" s="1" t="s">
        <v>10226</v>
      </c>
      <c r="D635" s="1" t="s">
        <v>5793</v>
      </c>
    </row>
    <row r="636" spans="1:4" x14ac:dyDescent="0.15">
      <c r="B636" s="1" t="s">
        <v>16011</v>
      </c>
      <c r="D636" s="1" t="s">
        <v>5794</v>
      </c>
    </row>
    <row r="637" spans="1:4" x14ac:dyDescent="0.15">
      <c r="B637" s="1" t="s">
        <v>11432</v>
      </c>
      <c r="D637" s="1" t="s">
        <v>5795</v>
      </c>
    </row>
    <row r="638" spans="1:4" x14ac:dyDescent="0.15">
      <c r="B638" s="1" t="s">
        <v>10232</v>
      </c>
      <c r="D638" s="1" t="s">
        <v>5796</v>
      </c>
    </row>
    <row r="639" spans="1:4" x14ac:dyDescent="0.15">
      <c r="B639" s="1" t="s">
        <v>10235</v>
      </c>
      <c r="D639" s="1" t="s">
        <v>5797</v>
      </c>
    </row>
    <row r="640" spans="1:4" x14ac:dyDescent="0.15">
      <c r="B640" s="1" t="s">
        <v>11445</v>
      </c>
      <c r="D640" s="1" t="s">
        <v>5798</v>
      </c>
    </row>
    <row r="641" spans="1:4" x14ac:dyDescent="0.15">
      <c r="B641" s="1" t="s">
        <v>16017</v>
      </c>
      <c r="D641" s="1" t="s">
        <v>5799</v>
      </c>
    </row>
    <row r="642" spans="1:4" x14ac:dyDescent="0.15">
      <c r="A642" s="1" t="s">
        <v>16021</v>
      </c>
      <c r="B642" s="1" t="s">
        <v>16021</v>
      </c>
      <c r="C642" s="1" t="s">
        <v>5800</v>
      </c>
      <c r="D642" s="1" t="s">
        <v>5800</v>
      </c>
    </row>
    <row r="643" spans="1:4" x14ac:dyDescent="0.15">
      <c r="A643" s="1" t="s">
        <v>16013</v>
      </c>
      <c r="B643" s="1" t="s">
        <v>16013</v>
      </c>
      <c r="C643" s="1" t="s">
        <v>5801</v>
      </c>
      <c r="D643" s="1" t="s">
        <v>5802</v>
      </c>
    </row>
    <row r="644" spans="1:4" x14ac:dyDescent="0.15">
      <c r="A644" s="1" t="s">
        <v>11335</v>
      </c>
      <c r="B644" s="1" t="s">
        <v>11335</v>
      </c>
      <c r="C644" s="1" t="s">
        <v>5803</v>
      </c>
      <c r="D644" s="1" t="s">
        <v>5804</v>
      </c>
    </row>
    <row r="645" spans="1:4" x14ac:dyDescent="0.15">
      <c r="A645" s="1" t="s">
        <v>16025</v>
      </c>
      <c r="B645" s="1" t="s">
        <v>16025</v>
      </c>
      <c r="C645" s="1" t="s">
        <v>5805</v>
      </c>
      <c r="D645" s="1" t="s">
        <v>5806</v>
      </c>
    </row>
    <row r="646" spans="1:4" x14ac:dyDescent="0.15">
      <c r="B646" s="1" t="s">
        <v>10246</v>
      </c>
      <c r="D646" s="1" t="s">
        <v>5807</v>
      </c>
    </row>
    <row r="647" spans="1:4" x14ac:dyDescent="0.15">
      <c r="B647" s="1" t="s">
        <v>10249</v>
      </c>
      <c r="D647" s="1" t="s">
        <v>5808</v>
      </c>
    </row>
    <row r="648" spans="1:4" x14ac:dyDescent="0.15">
      <c r="B648" s="1" t="s">
        <v>10252</v>
      </c>
      <c r="D648" s="1" t="s">
        <v>5809</v>
      </c>
    </row>
    <row r="649" spans="1:4" x14ac:dyDescent="0.15">
      <c r="B649" s="1" t="s">
        <v>10255</v>
      </c>
      <c r="D649" s="1" t="s">
        <v>5810</v>
      </c>
    </row>
    <row r="650" spans="1:4" x14ac:dyDescent="0.15">
      <c r="B650" s="1" t="s">
        <v>9866</v>
      </c>
      <c r="D650" s="1" t="s">
        <v>5811</v>
      </c>
    </row>
    <row r="651" spans="1:4" x14ac:dyDescent="0.15">
      <c r="B651" s="1" t="s">
        <v>9658</v>
      </c>
      <c r="D651" s="1" t="s">
        <v>5812</v>
      </c>
    </row>
    <row r="652" spans="1:4" x14ac:dyDescent="0.15">
      <c r="A652" s="1" t="s">
        <v>16029</v>
      </c>
      <c r="B652" s="1" t="s">
        <v>16029</v>
      </c>
      <c r="C652" s="1" t="s">
        <v>5813</v>
      </c>
      <c r="D652" s="1" t="s">
        <v>5814</v>
      </c>
    </row>
    <row r="653" spans="1:4" x14ac:dyDescent="0.15">
      <c r="A653" s="1" t="s">
        <v>10260</v>
      </c>
      <c r="B653" s="1" t="s">
        <v>10260</v>
      </c>
      <c r="C653" s="1" t="s">
        <v>5815</v>
      </c>
      <c r="D653" s="1" t="s">
        <v>5816</v>
      </c>
    </row>
    <row r="654" spans="1:4" x14ac:dyDescent="0.15">
      <c r="A654" s="1" t="s">
        <v>16037</v>
      </c>
      <c r="B654" s="1" t="s">
        <v>16037</v>
      </c>
      <c r="C654" s="1" t="s">
        <v>5815</v>
      </c>
      <c r="D654" s="1" t="s">
        <v>5816</v>
      </c>
    </row>
    <row r="655" spans="1:4" x14ac:dyDescent="0.15">
      <c r="A655" s="1" t="s">
        <v>11318</v>
      </c>
      <c r="B655" s="1" t="s">
        <v>11318</v>
      </c>
      <c r="C655" s="1" t="s">
        <v>5817</v>
      </c>
      <c r="D655" s="1" t="s">
        <v>5818</v>
      </c>
    </row>
    <row r="656" spans="1:4" x14ac:dyDescent="0.15">
      <c r="B656" s="1" t="s">
        <v>10266</v>
      </c>
      <c r="D656" s="1" t="s">
        <v>5819</v>
      </c>
    </row>
    <row r="657" spans="1:4" x14ac:dyDescent="0.15">
      <c r="B657" s="1" t="s">
        <v>10269</v>
      </c>
      <c r="D657" s="1" t="s">
        <v>5820</v>
      </c>
    </row>
    <row r="658" spans="1:4" x14ac:dyDescent="0.15">
      <c r="A658" s="1" t="s">
        <v>16044</v>
      </c>
      <c r="B658" s="1" t="s">
        <v>16040</v>
      </c>
      <c r="C658" s="1" t="s">
        <v>5817</v>
      </c>
      <c r="D658" s="1" t="s">
        <v>5821</v>
      </c>
    </row>
    <row r="659" spans="1:4" x14ac:dyDescent="0.15">
      <c r="B659" s="1" t="s">
        <v>10275</v>
      </c>
      <c r="D659" s="1" t="s">
        <v>5822</v>
      </c>
    </row>
    <row r="660" spans="1:4" x14ac:dyDescent="0.15">
      <c r="B660" s="1" t="s">
        <v>10278</v>
      </c>
      <c r="D660" s="1" t="s">
        <v>5823</v>
      </c>
    </row>
    <row r="661" spans="1:4" x14ac:dyDescent="0.15">
      <c r="B661" s="1" t="s">
        <v>10281</v>
      </c>
      <c r="D661" s="1" t="s">
        <v>5824</v>
      </c>
    </row>
    <row r="662" spans="1:4" x14ac:dyDescent="0.15">
      <c r="B662" s="1" t="s">
        <v>9844</v>
      </c>
      <c r="D662" s="1" t="s">
        <v>5825</v>
      </c>
    </row>
    <row r="663" spans="1:4" x14ac:dyDescent="0.15">
      <c r="B663" s="1" t="s">
        <v>9847</v>
      </c>
      <c r="D663" s="1" t="s">
        <v>5826</v>
      </c>
    </row>
    <row r="664" spans="1:4" x14ac:dyDescent="0.15">
      <c r="B664" s="1" t="s">
        <v>9850</v>
      </c>
      <c r="D664" s="1" t="s">
        <v>5827</v>
      </c>
    </row>
    <row r="665" spans="1:4" x14ac:dyDescent="0.15">
      <c r="B665" s="1" t="s">
        <v>9853</v>
      </c>
      <c r="D665" s="1" t="s">
        <v>5828</v>
      </c>
    </row>
    <row r="666" spans="1:4" x14ac:dyDescent="0.15">
      <c r="B666" s="1" t="s">
        <v>9914</v>
      </c>
      <c r="D666" s="1" t="s">
        <v>5829</v>
      </c>
    </row>
    <row r="667" spans="1:4" x14ac:dyDescent="0.15">
      <c r="B667" s="1" t="s">
        <v>9917</v>
      </c>
      <c r="D667" s="1" t="s">
        <v>5830</v>
      </c>
    </row>
    <row r="668" spans="1:4" x14ac:dyDescent="0.15">
      <c r="B668" s="1" t="s">
        <v>9920</v>
      </c>
      <c r="D668" s="1" t="s">
        <v>5831</v>
      </c>
    </row>
    <row r="669" spans="1:4" x14ac:dyDescent="0.15">
      <c r="A669" s="1" t="s">
        <v>11339</v>
      </c>
      <c r="B669" s="1" t="s">
        <v>11339</v>
      </c>
      <c r="C669" s="1" t="s">
        <v>5832</v>
      </c>
      <c r="D669" s="1" t="s">
        <v>5833</v>
      </c>
    </row>
    <row r="670" spans="1:4" x14ac:dyDescent="0.15">
      <c r="B670" s="1" t="s">
        <v>16047</v>
      </c>
      <c r="D670" s="1" t="s">
        <v>5834</v>
      </c>
    </row>
    <row r="671" spans="1:4" x14ac:dyDescent="0.15">
      <c r="A671" s="1" t="s">
        <v>16051</v>
      </c>
      <c r="B671" s="1" t="s">
        <v>16051</v>
      </c>
      <c r="C671" s="1" t="s">
        <v>5835</v>
      </c>
      <c r="D671" s="1" t="s">
        <v>5835</v>
      </c>
    </row>
    <row r="672" spans="1:4" x14ac:dyDescent="0.15">
      <c r="A672" s="1" t="s">
        <v>16055</v>
      </c>
      <c r="B672" s="1" t="s">
        <v>16055</v>
      </c>
      <c r="C672" s="1" t="s">
        <v>5836</v>
      </c>
      <c r="D672" s="1" t="s">
        <v>5836</v>
      </c>
    </row>
    <row r="673" spans="1:4" x14ac:dyDescent="0.15">
      <c r="A673" s="1" t="s">
        <v>16059</v>
      </c>
      <c r="B673" s="1" t="s">
        <v>16059</v>
      </c>
      <c r="C673" s="1" t="s">
        <v>5837</v>
      </c>
      <c r="D673" s="1" t="s">
        <v>5837</v>
      </c>
    </row>
    <row r="674" spans="1:4" x14ac:dyDescent="0.15">
      <c r="A674" s="1" t="s">
        <v>16063</v>
      </c>
      <c r="B674" s="1" t="s">
        <v>16063</v>
      </c>
      <c r="C674" s="1" t="s">
        <v>5838</v>
      </c>
      <c r="D674" s="1" t="s">
        <v>5838</v>
      </c>
    </row>
    <row r="675" spans="1:4" x14ac:dyDescent="0.15">
      <c r="B675" s="1" t="s">
        <v>9863</v>
      </c>
      <c r="D675" s="1" t="s">
        <v>5839</v>
      </c>
    </row>
    <row r="676" spans="1:4" x14ac:dyDescent="0.15">
      <c r="A676" s="1" t="s">
        <v>16067</v>
      </c>
      <c r="B676" s="1" t="s">
        <v>16067</v>
      </c>
      <c r="C676" s="1" t="s">
        <v>5840</v>
      </c>
      <c r="D676" s="1" t="s">
        <v>5841</v>
      </c>
    </row>
    <row r="677" spans="1:4" x14ac:dyDescent="0.15">
      <c r="B677" s="1" t="s">
        <v>9871</v>
      </c>
      <c r="D677" s="1" t="s">
        <v>5842</v>
      </c>
    </row>
    <row r="678" spans="1:4" x14ac:dyDescent="0.15">
      <c r="B678" s="1" t="s">
        <v>11356</v>
      </c>
      <c r="D678" s="1" t="s">
        <v>5843</v>
      </c>
    </row>
    <row r="679" spans="1:4" x14ac:dyDescent="0.15">
      <c r="A679" s="1" t="s">
        <v>11338</v>
      </c>
      <c r="B679" s="1" t="s">
        <v>11338</v>
      </c>
      <c r="C679" s="1" t="s">
        <v>5844</v>
      </c>
      <c r="D679" s="1" t="s">
        <v>5845</v>
      </c>
    </row>
    <row r="680" spans="1:4" x14ac:dyDescent="0.15">
      <c r="B680" s="1" t="s">
        <v>16071</v>
      </c>
      <c r="D680" s="1" t="s">
        <v>5846</v>
      </c>
    </row>
    <row r="681" spans="1:4" x14ac:dyDescent="0.15">
      <c r="A681" s="1" t="s">
        <v>16075</v>
      </c>
      <c r="B681" s="1" t="s">
        <v>16075</v>
      </c>
      <c r="C681" s="1" t="s">
        <v>5847</v>
      </c>
      <c r="D681" s="1" t="s">
        <v>5847</v>
      </c>
    </row>
    <row r="682" spans="1:4" x14ac:dyDescent="0.15">
      <c r="A682" s="1" t="s">
        <v>16079</v>
      </c>
      <c r="B682" s="1" t="s">
        <v>16079</v>
      </c>
      <c r="C682" s="1" t="s">
        <v>5848</v>
      </c>
      <c r="D682" s="1" t="s">
        <v>5848</v>
      </c>
    </row>
    <row r="683" spans="1:4" x14ac:dyDescent="0.15">
      <c r="B683" s="1" t="s">
        <v>9885</v>
      </c>
      <c r="D683" s="1" t="s">
        <v>5849</v>
      </c>
    </row>
    <row r="684" spans="1:4" x14ac:dyDescent="0.15">
      <c r="A684" s="1" t="s">
        <v>16083</v>
      </c>
      <c r="B684" s="1" t="s">
        <v>16083</v>
      </c>
      <c r="C684" s="1" t="s">
        <v>5850</v>
      </c>
      <c r="D684" s="1" t="s">
        <v>5851</v>
      </c>
    </row>
    <row r="685" spans="1:4" x14ac:dyDescent="0.15">
      <c r="A685" s="1" t="s">
        <v>9891</v>
      </c>
      <c r="B685" s="1" t="s">
        <v>9891</v>
      </c>
      <c r="C685" s="1" t="s">
        <v>5852</v>
      </c>
      <c r="D685" s="1" t="s">
        <v>5853</v>
      </c>
    </row>
    <row r="686" spans="1:4" x14ac:dyDescent="0.15">
      <c r="B686" s="1" t="s">
        <v>9907</v>
      </c>
      <c r="D686" s="1" t="s">
        <v>5854</v>
      </c>
    </row>
    <row r="687" spans="1:4" x14ac:dyDescent="0.15">
      <c r="B687" s="1" t="s">
        <v>11348</v>
      </c>
      <c r="D687" s="1" t="s">
        <v>5854</v>
      </c>
    </row>
    <row r="688" spans="1:4" x14ac:dyDescent="0.15">
      <c r="B688" s="1" t="s">
        <v>9911</v>
      </c>
      <c r="D688" s="1" t="s">
        <v>5855</v>
      </c>
    </row>
    <row r="689" spans="1:4" x14ac:dyDescent="0.15">
      <c r="A689" s="1" t="s">
        <v>16091</v>
      </c>
      <c r="B689" s="1" t="s">
        <v>16087</v>
      </c>
      <c r="C689" s="1" t="s">
        <v>5856</v>
      </c>
      <c r="D689" s="1" t="s">
        <v>5857</v>
      </c>
    </row>
    <row r="690" spans="1:4" x14ac:dyDescent="0.15">
      <c r="A690" s="1" t="s">
        <v>16095</v>
      </c>
      <c r="B690" s="1" t="s">
        <v>16095</v>
      </c>
      <c r="C690" s="1" t="s">
        <v>5858</v>
      </c>
      <c r="D690" s="1" t="s">
        <v>5859</v>
      </c>
    </row>
    <row r="691" spans="1:4" x14ac:dyDescent="0.15">
      <c r="A691" s="1" t="s">
        <v>16099</v>
      </c>
      <c r="B691" s="1" t="s">
        <v>16099</v>
      </c>
      <c r="C691" s="1" t="s">
        <v>5860</v>
      </c>
      <c r="D691" s="1" t="s">
        <v>5861</v>
      </c>
    </row>
    <row r="692" spans="1:4" x14ac:dyDescent="0.15">
      <c r="B692" s="1" t="s">
        <v>9935</v>
      </c>
      <c r="D692" s="1" t="s">
        <v>5862</v>
      </c>
    </row>
    <row r="693" spans="1:4" x14ac:dyDescent="0.15">
      <c r="B693" s="1" t="s">
        <v>9943</v>
      </c>
      <c r="D693" s="1" t="s">
        <v>5863</v>
      </c>
    </row>
    <row r="694" spans="1:4" x14ac:dyDescent="0.15">
      <c r="B694" s="1" t="s">
        <v>9946</v>
      </c>
      <c r="D694" s="1" t="s">
        <v>5864</v>
      </c>
    </row>
    <row r="695" spans="1:4" x14ac:dyDescent="0.15">
      <c r="B695" s="1" t="s">
        <v>9949</v>
      </c>
      <c r="D695" s="1" t="s">
        <v>5865</v>
      </c>
    </row>
    <row r="696" spans="1:4" x14ac:dyDescent="0.15">
      <c r="B696" s="1" t="s">
        <v>9952</v>
      </c>
      <c r="D696" s="1" t="s">
        <v>5866</v>
      </c>
    </row>
    <row r="697" spans="1:4" x14ac:dyDescent="0.15">
      <c r="A697" s="1" t="s">
        <v>16103</v>
      </c>
      <c r="B697" s="1" t="s">
        <v>16103</v>
      </c>
      <c r="C697" s="1" t="s">
        <v>5867</v>
      </c>
      <c r="D697" s="1" t="s">
        <v>5868</v>
      </c>
    </row>
    <row r="698" spans="1:4" x14ac:dyDescent="0.15">
      <c r="B698" s="1" t="s">
        <v>11320</v>
      </c>
      <c r="D698" s="1" t="s">
        <v>5869</v>
      </c>
    </row>
    <row r="699" spans="1:4" x14ac:dyDescent="0.15">
      <c r="B699" s="1" t="s">
        <v>9938</v>
      </c>
      <c r="D699" s="1" t="s">
        <v>5870</v>
      </c>
    </row>
    <row r="700" spans="1:4" x14ac:dyDescent="0.15">
      <c r="B700" s="1" t="s">
        <v>11321</v>
      </c>
      <c r="D700" s="1" t="s">
        <v>5871</v>
      </c>
    </row>
    <row r="701" spans="1:4" x14ac:dyDescent="0.15">
      <c r="B701" s="1" t="s">
        <v>9955</v>
      </c>
      <c r="D701" s="1" t="s">
        <v>5872</v>
      </c>
    </row>
    <row r="702" spans="1:4" x14ac:dyDescent="0.15">
      <c r="B702" s="1" t="s">
        <v>9958</v>
      </c>
      <c r="D702" s="1" t="s">
        <v>5873</v>
      </c>
    </row>
    <row r="703" spans="1:4" x14ac:dyDescent="0.15">
      <c r="B703" s="1" t="s">
        <v>9961</v>
      </c>
      <c r="D703" s="1" t="s">
        <v>5874</v>
      </c>
    </row>
    <row r="704" spans="1:4" x14ac:dyDescent="0.15">
      <c r="B704" s="1" t="s">
        <v>9964</v>
      </c>
      <c r="D704" s="1" t="s">
        <v>5875</v>
      </c>
    </row>
    <row r="705" spans="1:4" x14ac:dyDescent="0.15">
      <c r="B705" s="1" t="s">
        <v>11560</v>
      </c>
      <c r="D705" s="1" t="s">
        <v>5876</v>
      </c>
    </row>
    <row r="706" spans="1:4" x14ac:dyDescent="0.15">
      <c r="A706" s="1" t="s">
        <v>9972</v>
      </c>
      <c r="B706" s="1" t="s">
        <v>9972</v>
      </c>
      <c r="C706" s="1" t="s">
        <v>5877</v>
      </c>
      <c r="D706" s="1" t="s">
        <v>5878</v>
      </c>
    </row>
    <row r="707" spans="1:4" x14ac:dyDescent="0.15">
      <c r="A707" s="1" t="s">
        <v>16111</v>
      </c>
      <c r="B707" s="1" t="s">
        <v>16111</v>
      </c>
      <c r="C707" s="1" t="s">
        <v>5877</v>
      </c>
      <c r="D707" s="1" t="s">
        <v>5878</v>
      </c>
    </row>
    <row r="708" spans="1:4" x14ac:dyDescent="0.15">
      <c r="A708" s="1" t="s">
        <v>11575</v>
      </c>
      <c r="B708" s="1" t="s">
        <v>11575</v>
      </c>
      <c r="C708" s="1" t="s">
        <v>5879</v>
      </c>
      <c r="D708" s="1" t="s">
        <v>5880</v>
      </c>
    </row>
    <row r="709" spans="1:4" x14ac:dyDescent="0.15">
      <c r="B709" s="1" t="s">
        <v>9977</v>
      </c>
      <c r="D709" s="1" t="s">
        <v>5881</v>
      </c>
    </row>
    <row r="710" spans="1:4" x14ac:dyDescent="0.15">
      <c r="B710" s="1" t="s">
        <v>16113</v>
      </c>
      <c r="D710" s="1" t="s">
        <v>5881</v>
      </c>
    </row>
    <row r="711" spans="1:4" x14ac:dyDescent="0.15">
      <c r="A711" s="1" t="s">
        <v>9981</v>
      </c>
      <c r="B711" s="1" t="s">
        <v>9981</v>
      </c>
      <c r="C711" s="1" t="s">
        <v>17138</v>
      </c>
      <c r="D711" s="1" t="s">
        <v>5882</v>
      </c>
    </row>
    <row r="712" spans="1:4" x14ac:dyDescent="0.15">
      <c r="A712" s="1" t="s">
        <v>17137</v>
      </c>
      <c r="B712" s="1" t="s">
        <v>17137</v>
      </c>
      <c r="C712" s="1" t="s">
        <v>17138</v>
      </c>
      <c r="D712" s="1" t="s">
        <v>5882</v>
      </c>
    </row>
    <row r="713" spans="1:4" x14ac:dyDescent="0.15">
      <c r="A713" s="1" t="s">
        <v>9984</v>
      </c>
      <c r="B713" s="1" t="s">
        <v>9984</v>
      </c>
      <c r="C713" s="1" t="s">
        <v>5883</v>
      </c>
      <c r="D713" s="1" t="s">
        <v>5884</v>
      </c>
    </row>
    <row r="714" spans="1:4" x14ac:dyDescent="0.15">
      <c r="A714" s="1" t="s">
        <v>17145</v>
      </c>
      <c r="B714" s="1" t="s">
        <v>17145</v>
      </c>
      <c r="C714" s="1" t="s">
        <v>5885</v>
      </c>
      <c r="D714" s="1" t="s">
        <v>5886</v>
      </c>
    </row>
    <row r="715" spans="1:4" x14ac:dyDescent="0.15">
      <c r="A715" s="1" t="s">
        <v>16123</v>
      </c>
      <c r="B715" s="1" t="s">
        <v>16123</v>
      </c>
      <c r="C715" s="1" t="s">
        <v>5887</v>
      </c>
      <c r="D715" s="1" t="s">
        <v>5888</v>
      </c>
    </row>
    <row r="716" spans="1:4" x14ac:dyDescent="0.15">
      <c r="A716" s="1" t="s">
        <v>16127</v>
      </c>
      <c r="B716" s="1" t="s">
        <v>10053</v>
      </c>
      <c r="C716" s="1" t="s">
        <v>16128</v>
      </c>
      <c r="D716" s="1" t="s">
        <v>5889</v>
      </c>
    </row>
    <row r="717" spans="1:4" x14ac:dyDescent="0.15">
      <c r="A717" s="1" t="s">
        <v>16131</v>
      </c>
      <c r="B717" s="1" t="s">
        <v>16131</v>
      </c>
      <c r="C717" s="1" t="s">
        <v>5890</v>
      </c>
      <c r="D717" s="1" t="s">
        <v>5891</v>
      </c>
    </row>
    <row r="718" spans="1:4" x14ac:dyDescent="0.15">
      <c r="A718" s="1" t="s">
        <v>17149</v>
      </c>
      <c r="B718" s="1" t="s">
        <v>17149</v>
      </c>
      <c r="C718" s="1" t="s">
        <v>17150</v>
      </c>
      <c r="D718" s="1" t="s">
        <v>5892</v>
      </c>
    </row>
    <row r="719" spans="1:4" x14ac:dyDescent="0.15">
      <c r="B719" s="1" t="s">
        <v>9991</v>
      </c>
      <c r="D719" s="1" t="s">
        <v>5893</v>
      </c>
    </row>
    <row r="720" spans="1:4" x14ac:dyDescent="0.15">
      <c r="B720" s="1" t="s">
        <v>9998</v>
      </c>
      <c r="D720" s="1" t="s">
        <v>5894</v>
      </c>
    </row>
    <row r="721" spans="1:4" x14ac:dyDescent="0.15">
      <c r="A721" s="1" t="s">
        <v>10001</v>
      </c>
      <c r="C721" s="1" t="s">
        <v>5895</v>
      </c>
      <c r="D721" s="1" t="s">
        <v>6584</v>
      </c>
    </row>
    <row r="722" spans="1:4" x14ac:dyDescent="0.15">
      <c r="A722" s="1" t="s">
        <v>17157</v>
      </c>
      <c r="B722" s="1" t="s">
        <v>10067</v>
      </c>
      <c r="C722" s="1" t="s">
        <v>5895</v>
      </c>
      <c r="D722" s="1" t="s">
        <v>5896</v>
      </c>
    </row>
    <row r="723" spans="1:4" x14ac:dyDescent="0.15">
      <c r="A723" s="1" t="s">
        <v>10004</v>
      </c>
      <c r="B723" s="1" t="s">
        <v>10004</v>
      </c>
      <c r="C723" s="1" t="s">
        <v>17161</v>
      </c>
      <c r="D723" s="1" t="s">
        <v>5897</v>
      </c>
    </row>
    <row r="724" spans="1:4" x14ac:dyDescent="0.15">
      <c r="A724" s="1" t="s">
        <v>17164</v>
      </c>
      <c r="B724" s="1" t="s">
        <v>17164</v>
      </c>
      <c r="C724" s="1" t="s">
        <v>17165</v>
      </c>
      <c r="D724" s="1" t="s">
        <v>5898</v>
      </c>
    </row>
    <row r="725" spans="1:4" x14ac:dyDescent="0.15">
      <c r="A725" s="1" t="s">
        <v>17168</v>
      </c>
      <c r="B725" s="1" t="s">
        <v>17168</v>
      </c>
      <c r="C725" s="1" t="s">
        <v>5899</v>
      </c>
      <c r="D725" s="1" t="s">
        <v>5900</v>
      </c>
    </row>
    <row r="726" spans="1:4" x14ac:dyDescent="0.15">
      <c r="B726" s="1" t="s">
        <v>10013</v>
      </c>
      <c r="D726" s="1" t="s">
        <v>5901</v>
      </c>
    </row>
    <row r="727" spans="1:4" x14ac:dyDescent="0.15">
      <c r="A727" s="1" t="s">
        <v>17172</v>
      </c>
      <c r="B727" s="1" t="s">
        <v>17172</v>
      </c>
      <c r="C727" s="1" t="s">
        <v>17173</v>
      </c>
      <c r="D727" s="1" t="s">
        <v>5902</v>
      </c>
    </row>
    <row r="728" spans="1:4" x14ac:dyDescent="0.15">
      <c r="A728" s="1" t="s">
        <v>10018</v>
      </c>
      <c r="B728" s="1" t="s">
        <v>10018</v>
      </c>
      <c r="C728" s="1" t="s">
        <v>5903</v>
      </c>
      <c r="D728" s="1" t="s">
        <v>5904</v>
      </c>
    </row>
    <row r="729" spans="1:4" x14ac:dyDescent="0.15">
      <c r="A729" s="1" t="s">
        <v>17180</v>
      </c>
      <c r="B729" s="1" t="s">
        <v>17180</v>
      </c>
      <c r="C729" s="1" t="s">
        <v>5905</v>
      </c>
      <c r="D729" s="1" t="s">
        <v>5906</v>
      </c>
    </row>
    <row r="730" spans="1:4" x14ac:dyDescent="0.15">
      <c r="A730" s="1" t="s">
        <v>17184</v>
      </c>
      <c r="B730" s="1" t="s">
        <v>17180</v>
      </c>
      <c r="C730" s="1" t="s">
        <v>5907</v>
      </c>
      <c r="D730" s="1" t="s">
        <v>5906</v>
      </c>
    </row>
    <row r="731" spans="1:4" x14ac:dyDescent="0.15">
      <c r="A731" s="1" t="s">
        <v>17188</v>
      </c>
      <c r="B731" s="1" t="s">
        <v>7739</v>
      </c>
      <c r="C731" s="1" t="s">
        <v>17189</v>
      </c>
      <c r="D731" s="1" t="s">
        <v>5908</v>
      </c>
    </row>
    <row r="732" spans="1:4" x14ac:dyDescent="0.15">
      <c r="B732" s="1" t="s">
        <v>7742</v>
      </c>
      <c r="D732" s="1" t="s">
        <v>5909</v>
      </c>
    </row>
    <row r="733" spans="1:4" x14ac:dyDescent="0.15">
      <c r="B733" s="1" t="s">
        <v>12370</v>
      </c>
      <c r="D733" s="1" t="s">
        <v>5910</v>
      </c>
    </row>
    <row r="734" spans="1:4" x14ac:dyDescent="0.15">
      <c r="A734" s="1" t="s">
        <v>17192</v>
      </c>
      <c r="B734" s="1" t="s">
        <v>17192</v>
      </c>
      <c r="C734" s="1" t="s">
        <v>17193</v>
      </c>
      <c r="D734" s="1" t="s">
        <v>5911</v>
      </c>
    </row>
    <row r="735" spans="1:4" x14ac:dyDescent="0.15">
      <c r="A735" s="1" t="s">
        <v>10034</v>
      </c>
      <c r="B735" s="1" t="s">
        <v>10034</v>
      </c>
      <c r="C735" s="1" t="s">
        <v>17201</v>
      </c>
      <c r="D735" s="1" t="s">
        <v>5912</v>
      </c>
    </row>
    <row r="736" spans="1:4" x14ac:dyDescent="0.15">
      <c r="A736" s="1" t="s">
        <v>17204</v>
      </c>
      <c r="B736" s="1" t="s">
        <v>17204</v>
      </c>
      <c r="C736" s="1" t="s">
        <v>17205</v>
      </c>
      <c r="D736" s="1" t="s">
        <v>5913</v>
      </c>
    </row>
    <row r="737" spans="1:4" x14ac:dyDescent="0.15">
      <c r="A737" s="1" t="s">
        <v>17196</v>
      </c>
      <c r="B737" s="1" t="s">
        <v>17196</v>
      </c>
      <c r="C737" s="1" t="s">
        <v>5914</v>
      </c>
      <c r="D737" s="1" t="s">
        <v>5915</v>
      </c>
    </row>
    <row r="738" spans="1:4" x14ac:dyDescent="0.15">
      <c r="A738" s="1" t="s">
        <v>17208</v>
      </c>
      <c r="B738" s="1" t="s">
        <v>17204</v>
      </c>
      <c r="C738" s="1" t="s">
        <v>17209</v>
      </c>
      <c r="D738" s="1" t="s">
        <v>5913</v>
      </c>
    </row>
    <row r="739" spans="1:4" x14ac:dyDescent="0.15">
      <c r="B739" s="1" t="s">
        <v>10040</v>
      </c>
      <c r="D739" s="1" t="s">
        <v>5916</v>
      </c>
    </row>
    <row r="740" spans="1:4" x14ac:dyDescent="0.15">
      <c r="A740" s="1" t="s">
        <v>17212</v>
      </c>
      <c r="B740" s="1" t="s">
        <v>17212</v>
      </c>
      <c r="C740" s="1" t="s">
        <v>17213</v>
      </c>
      <c r="D740" s="1" t="s">
        <v>5917</v>
      </c>
    </row>
    <row r="741" spans="1:4" x14ac:dyDescent="0.15">
      <c r="A741" s="1" t="s">
        <v>16119</v>
      </c>
      <c r="B741" s="1" t="s">
        <v>11072</v>
      </c>
      <c r="C741" s="1" t="s">
        <v>5918</v>
      </c>
      <c r="D741" s="1" t="s">
        <v>5919</v>
      </c>
    </row>
    <row r="742" spans="1:4" x14ac:dyDescent="0.15">
      <c r="A742" s="1" t="s">
        <v>10048</v>
      </c>
      <c r="B742" s="1" t="s">
        <v>10048</v>
      </c>
      <c r="C742" s="1" t="s">
        <v>5920</v>
      </c>
      <c r="D742" s="1" t="s">
        <v>5921</v>
      </c>
    </row>
    <row r="743" spans="1:4" x14ac:dyDescent="0.15">
      <c r="A743" s="1" t="s">
        <v>17220</v>
      </c>
      <c r="B743" s="1" t="s">
        <v>17220</v>
      </c>
      <c r="C743" s="1" t="s">
        <v>5922</v>
      </c>
      <c r="D743" s="1" t="s">
        <v>5923</v>
      </c>
    </row>
    <row r="744" spans="1:4" x14ac:dyDescent="0.15">
      <c r="B744" s="1" t="s">
        <v>10067</v>
      </c>
      <c r="D744" s="1" t="s">
        <v>5896</v>
      </c>
    </row>
    <row r="745" spans="1:4" x14ac:dyDescent="0.15">
      <c r="B745" s="1" t="s">
        <v>10073</v>
      </c>
      <c r="D745" s="1" t="s">
        <v>5924</v>
      </c>
    </row>
    <row r="746" spans="1:4" x14ac:dyDescent="0.15">
      <c r="A746" s="1" t="s">
        <v>16135</v>
      </c>
      <c r="B746" s="1" t="s">
        <v>16135</v>
      </c>
      <c r="C746" s="1" t="s">
        <v>5925</v>
      </c>
      <c r="D746" s="1" t="s">
        <v>5926</v>
      </c>
    </row>
    <row r="747" spans="1:4" x14ac:dyDescent="0.15">
      <c r="A747" s="1" t="s">
        <v>10081</v>
      </c>
      <c r="B747" s="1" t="s">
        <v>10081</v>
      </c>
      <c r="C747" s="1" t="s">
        <v>5927</v>
      </c>
      <c r="D747" s="1" t="s">
        <v>5928</v>
      </c>
    </row>
    <row r="748" spans="1:4" x14ac:dyDescent="0.15">
      <c r="A748" s="1" t="s">
        <v>16143</v>
      </c>
      <c r="B748" s="1" t="s">
        <v>16143</v>
      </c>
      <c r="C748" s="1" t="s">
        <v>5927</v>
      </c>
      <c r="D748" s="1" t="s">
        <v>5929</v>
      </c>
    </row>
    <row r="749" spans="1:4" x14ac:dyDescent="0.15">
      <c r="B749" s="1" t="s">
        <v>9583</v>
      </c>
      <c r="D749" s="1" t="s">
        <v>5930</v>
      </c>
    </row>
    <row r="750" spans="1:4" x14ac:dyDescent="0.15">
      <c r="A750" s="1" t="s">
        <v>9597</v>
      </c>
      <c r="B750" s="1" t="s">
        <v>9597</v>
      </c>
      <c r="C750" s="1" t="s">
        <v>16147</v>
      </c>
      <c r="D750" s="1" t="s">
        <v>5931</v>
      </c>
    </row>
    <row r="751" spans="1:4" x14ac:dyDescent="0.15">
      <c r="A751" s="1" t="s">
        <v>16150</v>
      </c>
      <c r="B751" s="1" t="s">
        <v>16150</v>
      </c>
      <c r="C751" s="1" t="s">
        <v>16147</v>
      </c>
      <c r="D751" s="1" t="s">
        <v>5931</v>
      </c>
    </row>
    <row r="752" spans="1:4" x14ac:dyDescent="0.15">
      <c r="A752" s="1" t="s">
        <v>9601</v>
      </c>
      <c r="B752" s="1" t="s">
        <v>6584</v>
      </c>
      <c r="C752" s="1" t="s">
        <v>5932</v>
      </c>
      <c r="D752" s="1" t="s">
        <v>5933</v>
      </c>
    </row>
    <row r="753" spans="1:4" x14ac:dyDescent="0.15">
      <c r="A753" s="1" t="s">
        <v>15630</v>
      </c>
      <c r="B753" s="1" t="s">
        <v>17212</v>
      </c>
      <c r="C753" s="1" t="s">
        <v>15631</v>
      </c>
      <c r="D753" s="1" t="s">
        <v>5917</v>
      </c>
    </row>
    <row r="754" spans="1:4" x14ac:dyDescent="0.15">
      <c r="A754" s="1" t="s">
        <v>5934</v>
      </c>
      <c r="B754" s="1" t="s">
        <v>9597</v>
      </c>
      <c r="C754" s="1" t="s">
        <v>16147</v>
      </c>
      <c r="D754" s="1" t="s">
        <v>5931</v>
      </c>
    </row>
    <row r="755" spans="1:4" x14ac:dyDescent="0.15">
      <c r="A755" s="1" t="s">
        <v>9606</v>
      </c>
      <c r="B755" s="1" t="s">
        <v>9606</v>
      </c>
      <c r="C755" s="1" t="s">
        <v>5935</v>
      </c>
      <c r="D755" s="1" t="s">
        <v>5936</v>
      </c>
    </row>
    <row r="756" spans="1:4" x14ac:dyDescent="0.15">
      <c r="B756" s="1" t="s">
        <v>9609</v>
      </c>
      <c r="D756" s="1" t="s">
        <v>5937</v>
      </c>
    </row>
    <row r="757" spans="1:4" x14ac:dyDescent="0.15">
      <c r="A757" s="1" t="s">
        <v>5938</v>
      </c>
      <c r="B757" s="1" t="s">
        <v>10048</v>
      </c>
      <c r="C757" s="1" t="s">
        <v>5939</v>
      </c>
      <c r="D757" s="1" t="s">
        <v>5921</v>
      </c>
    </row>
    <row r="758" spans="1:4" x14ac:dyDescent="0.15">
      <c r="A758" s="1" t="s">
        <v>16210</v>
      </c>
      <c r="B758" s="1" t="s">
        <v>10073</v>
      </c>
      <c r="C758" s="1" t="s">
        <v>5940</v>
      </c>
      <c r="D758" s="1" t="s">
        <v>5924</v>
      </c>
    </row>
    <row r="759" spans="1:4" x14ac:dyDescent="0.15">
      <c r="A759" s="1" t="s">
        <v>16214</v>
      </c>
      <c r="B759" s="1" t="s">
        <v>10076</v>
      </c>
      <c r="C759" s="1" t="s">
        <v>16215</v>
      </c>
      <c r="D759" s="1" t="s">
        <v>16215</v>
      </c>
    </row>
    <row r="760" spans="1:4" x14ac:dyDescent="0.15">
      <c r="A760" s="1" t="s">
        <v>16218</v>
      </c>
      <c r="B760" s="1" t="s">
        <v>10073</v>
      </c>
      <c r="C760" s="1" t="s">
        <v>16219</v>
      </c>
      <c r="D760" s="1" t="s">
        <v>5924</v>
      </c>
    </row>
    <row r="761" spans="1:4" x14ac:dyDescent="0.15">
      <c r="B761" s="1" t="s">
        <v>9649</v>
      </c>
      <c r="D761" s="1" t="s">
        <v>5941</v>
      </c>
    </row>
    <row r="762" spans="1:4" x14ac:dyDescent="0.15">
      <c r="B762" s="1" t="s">
        <v>9652</v>
      </c>
      <c r="D762" s="1" t="s">
        <v>5942</v>
      </c>
    </row>
    <row r="763" spans="1:4" x14ac:dyDescent="0.15">
      <c r="B763" s="1" t="s">
        <v>9655</v>
      </c>
      <c r="D763" s="1" t="s">
        <v>5943</v>
      </c>
    </row>
    <row r="764" spans="1:4" x14ac:dyDescent="0.15">
      <c r="A764" s="1" t="s">
        <v>16222</v>
      </c>
      <c r="B764" s="1" t="s">
        <v>16135</v>
      </c>
      <c r="C764" s="1" t="s">
        <v>5944</v>
      </c>
      <c r="D764" s="1" t="s">
        <v>5926</v>
      </c>
    </row>
    <row r="765" spans="1:4" x14ac:dyDescent="0.15">
      <c r="A765" s="1" t="s">
        <v>5945</v>
      </c>
      <c r="B765" s="1" t="s">
        <v>10081</v>
      </c>
      <c r="C765" s="1" t="s">
        <v>5946</v>
      </c>
      <c r="D765" s="1" t="s">
        <v>5928</v>
      </c>
    </row>
    <row r="766" spans="1:4" x14ac:dyDescent="0.15">
      <c r="A766" s="1" t="s">
        <v>16230</v>
      </c>
      <c r="B766" s="1" t="s">
        <v>9586</v>
      </c>
      <c r="C766" s="1" t="s">
        <v>5947</v>
      </c>
      <c r="D766" s="1" t="s">
        <v>5948</v>
      </c>
    </row>
    <row r="767" spans="1:4" x14ac:dyDescent="0.15">
      <c r="A767" s="1" t="s">
        <v>16234</v>
      </c>
      <c r="B767" s="1" t="s">
        <v>12378</v>
      </c>
      <c r="C767" s="1" t="s">
        <v>5949</v>
      </c>
      <c r="D767" s="1" t="s">
        <v>5950</v>
      </c>
    </row>
    <row r="768" spans="1:4" x14ac:dyDescent="0.15">
      <c r="A768" s="1" t="s">
        <v>16238</v>
      </c>
      <c r="B768" s="1" t="s">
        <v>9594</v>
      </c>
      <c r="C768" s="1" t="s">
        <v>16239</v>
      </c>
      <c r="D768" s="1" t="s">
        <v>5951</v>
      </c>
    </row>
    <row r="769" spans="1:4" x14ac:dyDescent="0.15">
      <c r="A769" s="1" t="s">
        <v>16242</v>
      </c>
      <c r="B769" s="1" t="s">
        <v>9591</v>
      </c>
      <c r="C769" s="1" t="s">
        <v>5952</v>
      </c>
      <c r="D769" s="1" t="s">
        <v>5952</v>
      </c>
    </row>
    <row r="770" spans="1:4" x14ac:dyDescent="0.15">
      <c r="A770" s="1" t="s">
        <v>16246</v>
      </c>
      <c r="B770" s="1" t="s">
        <v>9594</v>
      </c>
      <c r="C770" s="1" t="s">
        <v>5953</v>
      </c>
      <c r="D770" s="1" t="s">
        <v>5951</v>
      </c>
    </row>
    <row r="771" spans="1:4" x14ac:dyDescent="0.15">
      <c r="A771" s="1" t="s">
        <v>16250</v>
      </c>
      <c r="B771" s="1" t="s">
        <v>9594</v>
      </c>
      <c r="C771" s="1" t="s">
        <v>5954</v>
      </c>
      <c r="D771" s="1" t="s">
        <v>5955</v>
      </c>
    </row>
    <row r="772" spans="1:4" x14ac:dyDescent="0.15">
      <c r="A772" s="1" t="s">
        <v>5956</v>
      </c>
      <c r="B772" s="1" t="s">
        <v>10018</v>
      </c>
      <c r="C772" s="1" t="s">
        <v>5957</v>
      </c>
      <c r="D772" s="1" t="s">
        <v>5904</v>
      </c>
    </row>
    <row r="773" spans="1:4" x14ac:dyDescent="0.15">
      <c r="A773" s="1" t="s">
        <v>15578</v>
      </c>
      <c r="B773" s="1" t="s">
        <v>10908</v>
      </c>
      <c r="C773" s="1" t="s">
        <v>5958</v>
      </c>
      <c r="D773" s="1" t="s">
        <v>6862</v>
      </c>
    </row>
    <row r="774" spans="1:4" x14ac:dyDescent="0.15">
      <c r="B774" s="1" t="s">
        <v>17192</v>
      </c>
      <c r="D774" s="1" t="s">
        <v>5911</v>
      </c>
    </row>
    <row r="775" spans="1:4" x14ac:dyDescent="0.15">
      <c r="A775" s="1" t="s">
        <v>15581</v>
      </c>
      <c r="B775" s="1" t="s">
        <v>7748</v>
      </c>
      <c r="C775" s="1" t="s">
        <v>5959</v>
      </c>
      <c r="D775" s="1" t="s">
        <v>5959</v>
      </c>
    </row>
    <row r="776" spans="1:4" x14ac:dyDescent="0.15">
      <c r="A776" s="1" t="s">
        <v>15585</v>
      </c>
      <c r="B776" s="1" t="s">
        <v>16886</v>
      </c>
      <c r="C776" s="1" t="s">
        <v>5960</v>
      </c>
      <c r="D776" s="1" t="s">
        <v>6856</v>
      </c>
    </row>
    <row r="777" spans="1:4" x14ac:dyDescent="0.15">
      <c r="A777" s="1" t="s">
        <v>15603</v>
      </c>
      <c r="B777" s="1" t="s">
        <v>17212</v>
      </c>
      <c r="C777" s="1" t="s">
        <v>5961</v>
      </c>
      <c r="D777" s="1" t="s">
        <v>5917</v>
      </c>
    </row>
    <row r="778" spans="1:4" x14ac:dyDescent="0.15">
      <c r="A778" s="1" t="s">
        <v>15618</v>
      </c>
      <c r="B778" s="1" t="s">
        <v>10053</v>
      </c>
      <c r="C778" s="1" t="s">
        <v>15619</v>
      </c>
      <c r="D778" s="1" t="s">
        <v>5962</v>
      </c>
    </row>
    <row r="779" spans="1:4" x14ac:dyDescent="0.15">
      <c r="A779" s="1" t="s">
        <v>15626</v>
      </c>
      <c r="B779" s="1" t="s">
        <v>17212</v>
      </c>
      <c r="C779" s="1" t="s">
        <v>15627</v>
      </c>
      <c r="D779" s="1" t="s">
        <v>5917</v>
      </c>
    </row>
    <row r="780" spans="1:4" x14ac:dyDescent="0.15">
      <c r="A780" s="1" t="s">
        <v>15589</v>
      </c>
      <c r="B780" s="1" t="s">
        <v>17192</v>
      </c>
      <c r="C780" s="1" t="s">
        <v>15590</v>
      </c>
      <c r="D780" s="1" t="s">
        <v>5911</v>
      </c>
    </row>
    <row r="781" spans="1:4" x14ac:dyDescent="0.15">
      <c r="B781" s="1" t="s">
        <v>15657</v>
      </c>
      <c r="D781" s="1" t="s">
        <v>5963</v>
      </c>
    </row>
    <row r="782" spans="1:4" x14ac:dyDescent="0.15">
      <c r="A782" s="1" t="s">
        <v>9617</v>
      </c>
      <c r="B782" s="1" t="s">
        <v>9617</v>
      </c>
      <c r="C782" s="1" t="s">
        <v>15658</v>
      </c>
      <c r="D782" s="1" t="s">
        <v>5964</v>
      </c>
    </row>
    <row r="783" spans="1:4" x14ac:dyDescent="0.15">
      <c r="A783" s="1" t="s">
        <v>15665</v>
      </c>
      <c r="B783" s="1" t="s">
        <v>15665</v>
      </c>
      <c r="C783" s="1" t="s">
        <v>5964</v>
      </c>
      <c r="D783" s="1" t="s">
        <v>5964</v>
      </c>
    </row>
    <row r="784" spans="1:4" x14ac:dyDescent="0.15">
      <c r="A784" s="1" t="s">
        <v>15669</v>
      </c>
      <c r="B784" s="1" t="s">
        <v>9614</v>
      </c>
      <c r="C784" s="1" t="s">
        <v>15670</v>
      </c>
      <c r="D784" s="1" t="s">
        <v>15670</v>
      </c>
    </row>
    <row r="785" spans="1:4" x14ac:dyDescent="0.15">
      <c r="A785" s="1" t="s">
        <v>15673</v>
      </c>
      <c r="B785" s="1" t="s">
        <v>9673</v>
      </c>
      <c r="C785" s="1" t="s">
        <v>15674</v>
      </c>
      <c r="D785" s="1" t="s">
        <v>5965</v>
      </c>
    </row>
    <row r="786" spans="1:4" x14ac:dyDescent="0.15">
      <c r="A786" s="1" t="s">
        <v>15681</v>
      </c>
      <c r="B786" s="1" t="s">
        <v>9685</v>
      </c>
      <c r="C786" s="1" t="s">
        <v>5966</v>
      </c>
      <c r="D786" s="1" t="s">
        <v>5967</v>
      </c>
    </row>
    <row r="787" spans="1:4" x14ac:dyDescent="0.15">
      <c r="A787" s="1" t="s">
        <v>15593</v>
      </c>
      <c r="B787" s="1" t="s">
        <v>17196</v>
      </c>
      <c r="C787" s="1" t="s">
        <v>5968</v>
      </c>
      <c r="D787" s="1" t="s">
        <v>5915</v>
      </c>
    </row>
    <row r="788" spans="1:4" x14ac:dyDescent="0.15">
      <c r="A788" s="1" t="s">
        <v>5969</v>
      </c>
      <c r="B788" s="1" t="s">
        <v>10034</v>
      </c>
      <c r="C788" s="1" t="s">
        <v>5970</v>
      </c>
      <c r="D788" s="1" t="s">
        <v>5912</v>
      </c>
    </row>
    <row r="789" spans="1:4" x14ac:dyDescent="0.15">
      <c r="A789" s="1" t="s">
        <v>15600</v>
      </c>
      <c r="B789" s="1" t="s">
        <v>10043</v>
      </c>
      <c r="C789" s="1" t="s">
        <v>5971</v>
      </c>
      <c r="D789" s="1" t="s">
        <v>5972</v>
      </c>
    </row>
    <row r="790" spans="1:4" x14ac:dyDescent="0.15">
      <c r="A790" s="1" t="s">
        <v>15607</v>
      </c>
      <c r="B790" s="1" t="s">
        <v>17212</v>
      </c>
      <c r="C790" s="1" t="s">
        <v>5973</v>
      </c>
      <c r="D790" s="1" t="s">
        <v>5917</v>
      </c>
    </row>
    <row r="791" spans="1:4" x14ac:dyDescent="0.15">
      <c r="A791" s="1" t="s">
        <v>5974</v>
      </c>
      <c r="B791" s="1" t="s">
        <v>17212</v>
      </c>
      <c r="C791" s="1" t="s">
        <v>5975</v>
      </c>
      <c r="D791" s="1" t="s">
        <v>5917</v>
      </c>
    </row>
    <row r="792" spans="1:4" x14ac:dyDescent="0.15">
      <c r="A792" s="1" t="s">
        <v>15614</v>
      </c>
      <c r="B792" s="1" t="s">
        <v>17212</v>
      </c>
      <c r="C792" s="1" t="s">
        <v>5975</v>
      </c>
      <c r="D792" s="1" t="s">
        <v>5917</v>
      </c>
    </row>
    <row r="793" spans="1:4" x14ac:dyDescent="0.15">
      <c r="A793" s="1" t="s">
        <v>15622</v>
      </c>
      <c r="B793" s="1" t="s">
        <v>16135</v>
      </c>
      <c r="C793" s="1" t="s">
        <v>15623</v>
      </c>
      <c r="D793" s="1" t="s">
        <v>5926</v>
      </c>
    </row>
    <row r="794" spans="1:4" x14ac:dyDescent="0.15">
      <c r="A794" s="1" t="s">
        <v>15634</v>
      </c>
      <c r="B794" s="1" t="s">
        <v>17212</v>
      </c>
      <c r="C794" s="1" t="s">
        <v>5976</v>
      </c>
      <c r="D794" s="1" t="s">
        <v>5917</v>
      </c>
    </row>
    <row r="795" spans="1:4" x14ac:dyDescent="0.15">
      <c r="A795" s="1" t="s">
        <v>15642</v>
      </c>
      <c r="B795" s="1" t="s">
        <v>16150</v>
      </c>
      <c r="C795" s="1" t="s">
        <v>15639</v>
      </c>
      <c r="D795" s="1" t="s">
        <v>5931</v>
      </c>
    </row>
    <row r="796" spans="1:4" x14ac:dyDescent="0.15">
      <c r="A796" s="1" t="s">
        <v>15677</v>
      </c>
      <c r="B796" s="1" t="s">
        <v>9664</v>
      </c>
      <c r="C796" s="1" t="s">
        <v>5977</v>
      </c>
      <c r="D796" s="1" t="s">
        <v>5978</v>
      </c>
    </row>
    <row r="797" spans="1:4" x14ac:dyDescent="0.15">
      <c r="B797" s="1" t="s">
        <v>9628</v>
      </c>
      <c r="D797" s="1" t="s">
        <v>5979</v>
      </c>
    </row>
    <row r="798" spans="1:4" x14ac:dyDescent="0.15">
      <c r="A798" s="1" t="s">
        <v>9749</v>
      </c>
      <c r="B798" s="1" t="s">
        <v>9749</v>
      </c>
      <c r="C798" s="1" t="s">
        <v>15798</v>
      </c>
      <c r="D798" s="1" t="s">
        <v>15798</v>
      </c>
    </row>
    <row r="799" spans="1:4" x14ac:dyDescent="0.15">
      <c r="A799" s="1" t="s">
        <v>15801</v>
      </c>
      <c r="B799" s="1" t="s">
        <v>15801</v>
      </c>
      <c r="C799" s="1" t="s">
        <v>15798</v>
      </c>
      <c r="D799" s="1" t="s">
        <v>15798</v>
      </c>
    </row>
    <row r="800" spans="1:4" x14ac:dyDescent="0.15">
      <c r="B800" s="1" t="s">
        <v>9631</v>
      </c>
      <c r="D800" s="1" t="s">
        <v>5980</v>
      </c>
    </row>
    <row r="801" spans="1:4" x14ac:dyDescent="0.15">
      <c r="B801" s="1" t="s">
        <v>9634</v>
      </c>
      <c r="D801" s="1" t="s">
        <v>5981</v>
      </c>
    </row>
    <row r="802" spans="1:4" x14ac:dyDescent="0.15">
      <c r="B802" s="1" t="s">
        <v>9637</v>
      </c>
      <c r="D802" s="1" t="s">
        <v>5982</v>
      </c>
    </row>
    <row r="803" spans="1:4" x14ac:dyDescent="0.15">
      <c r="B803" s="1" t="s">
        <v>9640</v>
      </c>
      <c r="D803" s="1" t="s">
        <v>5983</v>
      </c>
    </row>
    <row r="804" spans="1:4" x14ac:dyDescent="0.15">
      <c r="B804" s="1" t="s">
        <v>9643</v>
      </c>
      <c r="D804" s="1" t="s">
        <v>5984</v>
      </c>
    </row>
    <row r="805" spans="1:4" x14ac:dyDescent="0.15">
      <c r="B805" s="1" t="s">
        <v>9646</v>
      </c>
      <c r="D805" s="1" t="s">
        <v>5985</v>
      </c>
    </row>
    <row r="806" spans="1:4" x14ac:dyDescent="0.15">
      <c r="B806" s="1" t="s">
        <v>9661</v>
      </c>
      <c r="D806" s="1" t="s">
        <v>5986</v>
      </c>
    </row>
    <row r="807" spans="1:4" x14ac:dyDescent="0.15">
      <c r="B807" s="1" t="s">
        <v>9664</v>
      </c>
      <c r="D807" s="1" t="s">
        <v>5987</v>
      </c>
    </row>
    <row r="808" spans="1:4" x14ac:dyDescent="0.15">
      <c r="B808" s="1" t="s">
        <v>9667</v>
      </c>
      <c r="D808" s="1" t="s">
        <v>5988</v>
      </c>
    </row>
    <row r="809" spans="1:4" x14ac:dyDescent="0.15">
      <c r="B809" s="1" t="s">
        <v>9679</v>
      </c>
      <c r="D809" s="1" t="s">
        <v>5989</v>
      </c>
    </row>
    <row r="810" spans="1:4" x14ac:dyDescent="0.15">
      <c r="B810" s="1" t="s">
        <v>9682</v>
      </c>
      <c r="D810" s="1" t="s">
        <v>5990</v>
      </c>
    </row>
    <row r="811" spans="1:4" x14ac:dyDescent="0.15">
      <c r="B811" s="1" t="s">
        <v>9685</v>
      </c>
      <c r="D811" s="1" t="s">
        <v>5991</v>
      </c>
    </row>
    <row r="812" spans="1:4" x14ac:dyDescent="0.15">
      <c r="A812" s="1" t="s">
        <v>11481</v>
      </c>
      <c r="B812" s="1" t="s">
        <v>11481</v>
      </c>
      <c r="C812" s="1" t="s">
        <v>5992</v>
      </c>
      <c r="D812" s="1" t="s">
        <v>5992</v>
      </c>
    </row>
    <row r="813" spans="1:4" x14ac:dyDescent="0.15">
      <c r="A813" s="1" t="s">
        <v>9688</v>
      </c>
      <c r="B813" s="1" t="s">
        <v>9688</v>
      </c>
      <c r="C813" s="1" t="s">
        <v>5993</v>
      </c>
      <c r="D813" s="1" t="s">
        <v>5993</v>
      </c>
    </row>
    <row r="814" spans="1:4" x14ac:dyDescent="0.15">
      <c r="A814" s="1" t="s">
        <v>15694</v>
      </c>
      <c r="B814" s="1" t="s">
        <v>15694</v>
      </c>
      <c r="C814" s="1" t="s">
        <v>5993</v>
      </c>
      <c r="D814" s="1" t="s">
        <v>5993</v>
      </c>
    </row>
    <row r="815" spans="1:4" x14ac:dyDescent="0.15">
      <c r="A815" s="1" t="s">
        <v>9691</v>
      </c>
      <c r="C815" s="1" t="s">
        <v>15698</v>
      </c>
      <c r="D815" s="1" t="s">
        <v>6584</v>
      </c>
    </row>
    <row r="816" spans="1:4" x14ac:dyDescent="0.15">
      <c r="A816" s="1" t="s">
        <v>15701</v>
      </c>
      <c r="B816" s="1" t="s">
        <v>10197</v>
      </c>
      <c r="C816" s="1" t="s">
        <v>15698</v>
      </c>
      <c r="D816" s="1" t="s">
        <v>15698</v>
      </c>
    </row>
    <row r="817" spans="1:4" x14ac:dyDescent="0.15">
      <c r="A817" s="1" t="s">
        <v>9693</v>
      </c>
      <c r="B817" s="1" t="s">
        <v>9693</v>
      </c>
      <c r="C817" s="1" t="s">
        <v>15705</v>
      </c>
      <c r="D817" s="1" t="s">
        <v>15705</v>
      </c>
    </row>
    <row r="818" spans="1:4" x14ac:dyDescent="0.15">
      <c r="A818" s="1" t="s">
        <v>15708</v>
      </c>
      <c r="B818" s="1" t="s">
        <v>15708</v>
      </c>
      <c r="C818" s="1" t="s">
        <v>15705</v>
      </c>
      <c r="D818" s="1" t="s">
        <v>15705</v>
      </c>
    </row>
    <row r="819" spans="1:4" x14ac:dyDescent="0.15">
      <c r="A819" s="1" t="s">
        <v>9697</v>
      </c>
      <c r="B819" s="1" t="s">
        <v>9697</v>
      </c>
      <c r="C819" s="1" t="s">
        <v>15712</v>
      </c>
      <c r="D819" s="1" t="s">
        <v>12397</v>
      </c>
    </row>
    <row r="820" spans="1:4" x14ac:dyDescent="0.15">
      <c r="A820" s="1" t="s">
        <v>15715</v>
      </c>
      <c r="B820" s="1" t="s">
        <v>15715</v>
      </c>
      <c r="C820" s="1" t="s">
        <v>15712</v>
      </c>
      <c r="D820" s="1" t="s">
        <v>12397</v>
      </c>
    </row>
    <row r="821" spans="1:4" x14ac:dyDescent="0.15">
      <c r="A821" s="1" t="s">
        <v>15722</v>
      </c>
      <c r="B821" s="1" t="s">
        <v>15722</v>
      </c>
      <c r="C821" s="1" t="s">
        <v>15719</v>
      </c>
      <c r="D821" s="1" t="s">
        <v>15719</v>
      </c>
    </row>
    <row r="822" spans="1:4" x14ac:dyDescent="0.15">
      <c r="A822" s="1" t="s">
        <v>9701</v>
      </c>
      <c r="B822" s="1" t="s">
        <v>9701</v>
      </c>
      <c r="C822" s="1" t="s">
        <v>5994</v>
      </c>
      <c r="D822" s="1" t="s">
        <v>5995</v>
      </c>
    </row>
    <row r="823" spans="1:4" x14ac:dyDescent="0.15">
      <c r="B823" s="1" t="s">
        <v>11378</v>
      </c>
      <c r="D823" s="1" t="s">
        <v>5996</v>
      </c>
    </row>
    <row r="824" spans="1:4" x14ac:dyDescent="0.15">
      <c r="A824" s="1" t="s">
        <v>9706</v>
      </c>
      <c r="B824" s="1" t="s">
        <v>9706</v>
      </c>
      <c r="C824" s="1" t="s">
        <v>5997</v>
      </c>
      <c r="D824" s="1" t="s">
        <v>5997</v>
      </c>
    </row>
    <row r="825" spans="1:4" x14ac:dyDescent="0.15">
      <c r="A825" s="1" t="s">
        <v>15729</v>
      </c>
      <c r="B825" s="1" t="s">
        <v>15729</v>
      </c>
      <c r="C825" s="1" t="s">
        <v>5997</v>
      </c>
      <c r="D825" s="1" t="s">
        <v>5997</v>
      </c>
    </row>
    <row r="826" spans="1:4" x14ac:dyDescent="0.15">
      <c r="A826" s="1" t="s">
        <v>9709</v>
      </c>
      <c r="B826" s="1" t="s">
        <v>9709</v>
      </c>
      <c r="C826" s="1" t="s">
        <v>5998</v>
      </c>
      <c r="D826" s="1" t="s">
        <v>5998</v>
      </c>
    </row>
    <row r="827" spans="1:4" x14ac:dyDescent="0.15">
      <c r="A827" s="1" t="s">
        <v>15736</v>
      </c>
      <c r="B827" s="1" t="s">
        <v>15736</v>
      </c>
      <c r="C827" s="1" t="s">
        <v>5998</v>
      </c>
      <c r="D827" s="1" t="s">
        <v>5998</v>
      </c>
    </row>
    <row r="828" spans="1:4" x14ac:dyDescent="0.15">
      <c r="A828" s="1" t="s">
        <v>9712</v>
      </c>
      <c r="B828" s="1" t="s">
        <v>9712</v>
      </c>
      <c r="C828" s="1" t="s">
        <v>5999</v>
      </c>
      <c r="D828" s="1" t="s">
        <v>6000</v>
      </c>
    </row>
    <row r="829" spans="1:4" x14ac:dyDescent="0.15">
      <c r="A829" s="1" t="s">
        <v>15743</v>
      </c>
      <c r="B829" s="1" t="s">
        <v>15743</v>
      </c>
      <c r="C829" s="1" t="s">
        <v>5999</v>
      </c>
      <c r="D829" s="1" t="s">
        <v>6000</v>
      </c>
    </row>
    <row r="830" spans="1:4" x14ac:dyDescent="0.15">
      <c r="A830" s="1" t="s">
        <v>15766</v>
      </c>
      <c r="B830" s="1" t="s">
        <v>15766</v>
      </c>
      <c r="C830" s="1" t="s">
        <v>15767</v>
      </c>
      <c r="D830" s="1" t="s">
        <v>15767</v>
      </c>
    </row>
    <row r="831" spans="1:4" x14ac:dyDescent="0.15">
      <c r="A831" s="1" t="s">
        <v>15770</v>
      </c>
      <c r="B831" s="1" t="s">
        <v>15770</v>
      </c>
      <c r="C831" s="1" t="s">
        <v>15771</v>
      </c>
      <c r="D831" s="1" t="s">
        <v>15771</v>
      </c>
    </row>
    <row r="832" spans="1:4" x14ac:dyDescent="0.15">
      <c r="A832" s="1" t="s">
        <v>9716</v>
      </c>
      <c r="B832" s="1" t="s">
        <v>9716</v>
      </c>
      <c r="C832" s="1" t="s">
        <v>6001</v>
      </c>
      <c r="D832" s="1" t="s">
        <v>6001</v>
      </c>
    </row>
    <row r="833" spans="1:4" x14ac:dyDescent="0.15">
      <c r="A833" s="1" t="s">
        <v>15750</v>
      </c>
      <c r="B833" s="1" t="s">
        <v>15750</v>
      </c>
      <c r="C833" s="1" t="s">
        <v>6001</v>
      </c>
      <c r="D833" s="1" t="s">
        <v>6001</v>
      </c>
    </row>
    <row r="834" spans="1:4" x14ac:dyDescent="0.15">
      <c r="A834" s="1" t="s">
        <v>9720</v>
      </c>
      <c r="B834" s="1" t="s">
        <v>9720</v>
      </c>
      <c r="C834" s="1" t="s">
        <v>6002</v>
      </c>
      <c r="D834" s="1" t="s">
        <v>6002</v>
      </c>
    </row>
    <row r="835" spans="1:4" x14ac:dyDescent="0.15">
      <c r="A835" s="1" t="s">
        <v>9723</v>
      </c>
      <c r="B835" s="1" t="s">
        <v>9723</v>
      </c>
      <c r="C835" s="1" t="s">
        <v>6003</v>
      </c>
      <c r="D835" s="1" t="s">
        <v>6003</v>
      </c>
    </row>
    <row r="836" spans="1:4" x14ac:dyDescent="0.15">
      <c r="A836" s="1" t="s">
        <v>15762</v>
      </c>
      <c r="B836" s="1" t="s">
        <v>15762</v>
      </c>
      <c r="C836" s="1" t="s">
        <v>6004</v>
      </c>
      <c r="D836" s="1" t="s">
        <v>6004</v>
      </c>
    </row>
    <row r="837" spans="1:4" x14ac:dyDescent="0.15">
      <c r="A837" s="1" t="s">
        <v>15774</v>
      </c>
      <c r="B837" s="1" t="s">
        <v>15774</v>
      </c>
      <c r="C837" s="1" t="s">
        <v>6005</v>
      </c>
      <c r="D837" s="1" t="s">
        <v>6006</v>
      </c>
    </row>
    <row r="838" spans="1:4" x14ac:dyDescent="0.15">
      <c r="A838" s="1" t="s">
        <v>9734</v>
      </c>
      <c r="B838" s="1" t="s">
        <v>9734</v>
      </c>
      <c r="C838" s="1" t="s">
        <v>6007</v>
      </c>
      <c r="D838" s="1" t="s">
        <v>6007</v>
      </c>
    </row>
    <row r="839" spans="1:4" x14ac:dyDescent="0.15">
      <c r="A839" s="1" t="s">
        <v>9737</v>
      </c>
      <c r="B839" s="1" t="s">
        <v>9737</v>
      </c>
      <c r="C839" s="1" t="s">
        <v>15784</v>
      </c>
      <c r="D839" s="1" t="s">
        <v>15784</v>
      </c>
    </row>
    <row r="840" spans="1:4" x14ac:dyDescent="0.15">
      <c r="A840" s="1" t="s">
        <v>15787</v>
      </c>
      <c r="B840" s="1" t="s">
        <v>15787</v>
      </c>
      <c r="C840" s="1" t="s">
        <v>15784</v>
      </c>
      <c r="D840" s="1" t="s">
        <v>15784</v>
      </c>
    </row>
    <row r="841" spans="1:4" x14ac:dyDescent="0.15">
      <c r="A841" s="1" t="s">
        <v>9742</v>
      </c>
      <c r="B841" s="1" t="s">
        <v>9742</v>
      </c>
      <c r="C841" s="1" t="s">
        <v>15791</v>
      </c>
      <c r="D841" s="1" t="s">
        <v>15791</v>
      </c>
    </row>
    <row r="842" spans="1:4" x14ac:dyDescent="0.15">
      <c r="A842" s="1" t="s">
        <v>15794</v>
      </c>
      <c r="B842" s="1" t="s">
        <v>15794</v>
      </c>
      <c r="C842" s="1" t="s">
        <v>15791</v>
      </c>
      <c r="D842" s="1" t="s">
        <v>6008</v>
      </c>
    </row>
    <row r="843" spans="1:4" x14ac:dyDescent="0.15">
      <c r="A843" s="1" t="s">
        <v>11577</v>
      </c>
      <c r="B843" s="1" t="s">
        <v>11577</v>
      </c>
      <c r="C843" s="1" t="s">
        <v>6009</v>
      </c>
      <c r="D843" s="1" t="s">
        <v>6010</v>
      </c>
    </row>
    <row r="844" spans="1:4" x14ac:dyDescent="0.15">
      <c r="A844" s="1" t="s">
        <v>9756</v>
      </c>
      <c r="B844" s="1" t="s">
        <v>9756</v>
      </c>
      <c r="C844" s="1" t="s">
        <v>15809</v>
      </c>
      <c r="D844" s="1" t="s">
        <v>15809</v>
      </c>
    </row>
    <row r="845" spans="1:4" x14ac:dyDescent="0.15">
      <c r="A845" s="1" t="s">
        <v>15812</v>
      </c>
      <c r="B845" s="1" t="s">
        <v>15812</v>
      </c>
      <c r="C845" s="1" t="s">
        <v>15809</v>
      </c>
      <c r="D845" s="1" t="s">
        <v>6011</v>
      </c>
    </row>
    <row r="846" spans="1:4" x14ac:dyDescent="0.15">
      <c r="B846" s="1" t="s">
        <v>9760</v>
      </c>
      <c r="D846" s="1" t="s">
        <v>6012</v>
      </c>
    </row>
    <row r="847" spans="1:4" x14ac:dyDescent="0.15">
      <c r="A847" s="1" t="s">
        <v>11713</v>
      </c>
      <c r="B847" s="1" t="s">
        <v>11713</v>
      </c>
      <c r="C847" s="1" t="s">
        <v>6013</v>
      </c>
      <c r="D847" s="1" t="s">
        <v>6014</v>
      </c>
    </row>
    <row r="848" spans="1:4" x14ac:dyDescent="0.15">
      <c r="A848" s="1" t="s">
        <v>15819</v>
      </c>
      <c r="B848" s="1" t="s">
        <v>15819</v>
      </c>
      <c r="C848" s="1" t="s">
        <v>15820</v>
      </c>
      <c r="D848" s="1" t="s">
        <v>15820</v>
      </c>
    </row>
    <row r="849" spans="1:4" x14ac:dyDescent="0.15">
      <c r="A849" s="1" t="s">
        <v>15823</v>
      </c>
      <c r="B849" s="1" t="s">
        <v>15823</v>
      </c>
      <c r="C849" s="1" t="s">
        <v>15824</v>
      </c>
      <c r="D849" s="1" t="s">
        <v>15824</v>
      </c>
    </row>
    <row r="850" spans="1:4" x14ac:dyDescent="0.15">
      <c r="B850" s="1" t="s">
        <v>9772</v>
      </c>
      <c r="D850" s="1" t="s">
        <v>6015</v>
      </c>
    </row>
    <row r="851" spans="1:4" x14ac:dyDescent="0.15">
      <c r="B851" s="1" t="s">
        <v>9775</v>
      </c>
      <c r="D851" s="1" t="s">
        <v>6016</v>
      </c>
    </row>
    <row r="852" spans="1:4" x14ac:dyDescent="0.15">
      <c r="B852" s="1" t="s">
        <v>9778</v>
      </c>
      <c r="D852" s="1" t="s">
        <v>6017</v>
      </c>
    </row>
    <row r="853" spans="1:4" x14ac:dyDescent="0.15">
      <c r="B853" s="1" t="s">
        <v>9781</v>
      </c>
      <c r="D853" s="1" t="s">
        <v>6018</v>
      </c>
    </row>
    <row r="854" spans="1:4" x14ac:dyDescent="0.15">
      <c r="B854" s="1" t="s">
        <v>9787</v>
      </c>
      <c r="D854" s="1" t="s">
        <v>6019</v>
      </c>
    </row>
    <row r="855" spans="1:4" x14ac:dyDescent="0.15">
      <c r="B855" s="1" t="s">
        <v>9790</v>
      </c>
      <c r="D855" s="1" t="s">
        <v>6020</v>
      </c>
    </row>
    <row r="856" spans="1:4" x14ac:dyDescent="0.15">
      <c r="A856" s="1" t="s">
        <v>12615</v>
      </c>
      <c r="B856" s="1" t="s">
        <v>12615</v>
      </c>
      <c r="C856" s="1" t="s">
        <v>15828</v>
      </c>
      <c r="D856" s="1" t="s">
        <v>6021</v>
      </c>
    </row>
    <row r="857" spans="1:4" x14ac:dyDescent="0.15">
      <c r="A857" s="1" t="s">
        <v>15831</v>
      </c>
      <c r="B857" s="1" t="s">
        <v>15831</v>
      </c>
      <c r="C857" s="1" t="s">
        <v>15832</v>
      </c>
      <c r="D857" s="1" t="s">
        <v>6021</v>
      </c>
    </row>
    <row r="858" spans="1:4" x14ac:dyDescent="0.15">
      <c r="A858" s="1" t="s">
        <v>15835</v>
      </c>
      <c r="B858" s="1" t="s">
        <v>15835</v>
      </c>
      <c r="C858" s="1" t="s">
        <v>15836</v>
      </c>
      <c r="D858" s="1" t="s">
        <v>6609</v>
      </c>
    </row>
    <row r="859" spans="1:4" x14ac:dyDescent="0.15">
      <c r="A859" s="1" t="s">
        <v>15839</v>
      </c>
      <c r="B859" s="1" t="s">
        <v>15839</v>
      </c>
      <c r="C859" s="1" t="s">
        <v>15840</v>
      </c>
      <c r="D859" s="1" t="s">
        <v>15840</v>
      </c>
    </row>
    <row r="860" spans="1:4" x14ac:dyDescent="0.15">
      <c r="B860" s="1" t="s">
        <v>9799</v>
      </c>
      <c r="D860" s="1" t="s">
        <v>6022</v>
      </c>
    </row>
    <row r="861" spans="1:4" x14ac:dyDescent="0.15">
      <c r="A861" s="1" t="s">
        <v>15843</v>
      </c>
      <c r="B861" s="1" t="s">
        <v>15843</v>
      </c>
      <c r="C861" s="1" t="s">
        <v>15844</v>
      </c>
      <c r="D861" s="1" t="s">
        <v>6023</v>
      </c>
    </row>
    <row r="862" spans="1:4" x14ac:dyDescent="0.15">
      <c r="A862" s="1" t="s">
        <v>9804</v>
      </c>
      <c r="B862" s="1" t="s">
        <v>9804</v>
      </c>
      <c r="C862" s="1" t="s">
        <v>6024</v>
      </c>
      <c r="D862" s="1" t="s">
        <v>6025</v>
      </c>
    </row>
    <row r="863" spans="1:4" x14ac:dyDescent="0.15">
      <c r="A863" s="1" t="s">
        <v>15851</v>
      </c>
      <c r="B863" s="1" t="s">
        <v>15851</v>
      </c>
      <c r="C863" s="1" t="s">
        <v>15852</v>
      </c>
      <c r="D863" s="1" t="s">
        <v>6026</v>
      </c>
    </row>
    <row r="864" spans="1:4" x14ac:dyDescent="0.15">
      <c r="A864" s="1" t="s">
        <v>15855</v>
      </c>
      <c r="B864" s="1" t="s">
        <v>9769</v>
      </c>
      <c r="C864" s="1" t="s">
        <v>15856</v>
      </c>
      <c r="D864" s="1" t="s">
        <v>15856</v>
      </c>
    </row>
    <row r="865" spans="1:4" x14ac:dyDescent="0.15">
      <c r="B865" s="1" t="s">
        <v>9812</v>
      </c>
      <c r="D865" s="1" t="s">
        <v>6027</v>
      </c>
    </row>
    <row r="866" spans="1:4" x14ac:dyDescent="0.15">
      <c r="B866" s="1" t="s">
        <v>9815</v>
      </c>
      <c r="D866" s="1" t="s">
        <v>6028</v>
      </c>
    </row>
    <row r="867" spans="1:4" x14ac:dyDescent="0.15">
      <c r="B867" s="1" t="s">
        <v>9818</v>
      </c>
      <c r="D867" s="1" t="s">
        <v>6029</v>
      </c>
    </row>
    <row r="868" spans="1:4" x14ac:dyDescent="0.15">
      <c r="B868" s="1" t="s">
        <v>9821</v>
      </c>
      <c r="D868" s="1" t="s">
        <v>6030</v>
      </c>
    </row>
    <row r="869" spans="1:4" x14ac:dyDescent="0.15">
      <c r="A869" s="1" t="s">
        <v>15859</v>
      </c>
      <c r="B869" s="1" t="s">
        <v>15859</v>
      </c>
      <c r="C869" s="1" t="s">
        <v>6031</v>
      </c>
      <c r="D869" s="1" t="s">
        <v>6032</v>
      </c>
    </row>
    <row r="870" spans="1:4" x14ac:dyDescent="0.15">
      <c r="A870" s="1" t="s">
        <v>11732</v>
      </c>
      <c r="B870" s="1" t="s">
        <v>11732</v>
      </c>
      <c r="C870" s="1" t="s">
        <v>15864</v>
      </c>
      <c r="D870" s="1" t="s">
        <v>6033</v>
      </c>
    </row>
    <row r="871" spans="1:4" x14ac:dyDescent="0.15">
      <c r="A871" s="1" t="s">
        <v>15867</v>
      </c>
      <c r="B871" s="1" t="s">
        <v>9832</v>
      </c>
      <c r="C871" s="1" t="s">
        <v>15864</v>
      </c>
      <c r="D871" s="1" t="s">
        <v>6034</v>
      </c>
    </row>
    <row r="872" spans="1:4" x14ac:dyDescent="0.15">
      <c r="B872" s="1" t="s">
        <v>9829</v>
      </c>
      <c r="D872" s="1" t="s">
        <v>6035</v>
      </c>
    </row>
    <row r="873" spans="1:4" x14ac:dyDescent="0.15">
      <c r="B873" s="1" t="s">
        <v>9841</v>
      </c>
      <c r="D873" s="1" t="s">
        <v>6036</v>
      </c>
    </row>
    <row r="874" spans="1:4" x14ac:dyDescent="0.15">
      <c r="B874" s="1" t="s">
        <v>9418</v>
      </c>
      <c r="D874" s="1" t="s">
        <v>6037</v>
      </c>
    </row>
    <row r="875" spans="1:4" x14ac:dyDescent="0.15">
      <c r="A875" s="1" t="s">
        <v>9421</v>
      </c>
      <c r="C875" s="1" t="s">
        <v>15871</v>
      </c>
      <c r="D875" s="1" t="s">
        <v>6584</v>
      </c>
    </row>
    <row r="876" spans="1:4" x14ac:dyDescent="0.15">
      <c r="A876" s="1" t="s">
        <v>15874</v>
      </c>
      <c r="B876" s="1" t="s">
        <v>9809</v>
      </c>
      <c r="C876" s="1" t="s">
        <v>15875</v>
      </c>
      <c r="D876" s="1" t="s">
        <v>15875</v>
      </c>
    </row>
    <row r="877" spans="1:4" x14ac:dyDescent="0.15">
      <c r="A877" s="1" t="s">
        <v>15878</v>
      </c>
      <c r="B877" s="1" t="s">
        <v>12616</v>
      </c>
      <c r="C877" s="1" t="s">
        <v>15879</v>
      </c>
      <c r="D877" s="1" t="s">
        <v>15879</v>
      </c>
    </row>
    <row r="878" spans="1:4" x14ac:dyDescent="0.15">
      <c r="A878" s="1" t="s">
        <v>15882</v>
      </c>
      <c r="B878" s="1" t="s">
        <v>12587</v>
      </c>
      <c r="C878" s="1" t="s">
        <v>15883</v>
      </c>
      <c r="D878" s="1" t="s">
        <v>6038</v>
      </c>
    </row>
    <row r="879" spans="1:4" x14ac:dyDescent="0.15">
      <c r="A879" s="1" t="s">
        <v>15886</v>
      </c>
      <c r="B879" s="1" t="s">
        <v>9502</v>
      </c>
      <c r="C879" s="1" t="s">
        <v>15887</v>
      </c>
      <c r="D879" s="1" t="s">
        <v>15887</v>
      </c>
    </row>
    <row r="880" spans="1:4" x14ac:dyDescent="0.15">
      <c r="A880" s="1" t="s">
        <v>15890</v>
      </c>
      <c r="B880" s="1" t="s">
        <v>11743</v>
      </c>
      <c r="C880" s="1" t="s">
        <v>15891</v>
      </c>
      <c r="D880" s="1" t="s">
        <v>6039</v>
      </c>
    </row>
    <row r="881" spans="1:4" x14ac:dyDescent="0.15">
      <c r="A881" s="1" t="s">
        <v>15894</v>
      </c>
      <c r="B881" s="1" t="s">
        <v>9838</v>
      </c>
      <c r="C881" s="1" t="s">
        <v>15895</v>
      </c>
      <c r="D881" s="1" t="s">
        <v>15895</v>
      </c>
    </row>
    <row r="882" spans="1:4" x14ac:dyDescent="0.15">
      <c r="A882" s="1" t="s">
        <v>15898</v>
      </c>
      <c r="B882" s="1" t="s">
        <v>9784</v>
      </c>
      <c r="C882" s="1" t="s">
        <v>15899</v>
      </c>
      <c r="D882" s="1" t="s">
        <v>6040</v>
      </c>
    </row>
    <row r="883" spans="1:4" x14ac:dyDescent="0.15">
      <c r="A883" s="1" t="s">
        <v>15902</v>
      </c>
      <c r="B883" s="1" t="s">
        <v>9532</v>
      </c>
      <c r="C883" s="1" t="s">
        <v>15903</v>
      </c>
      <c r="D883" s="1" t="s">
        <v>15903</v>
      </c>
    </row>
    <row r="884" spans="1:4" x14ac:dyDescent="0.15">
      <c r="A884" s="1" t="s">
        <v>15906</v>
      </c>
      <c r="B884" s="1" t="s">
        <v>11725</v>
      </c>
      <c r="C884" s="1" t="s">
        <v>6041</v>
      </c>
      <c r="D884" s="1" t="s">
        <v>6042</v>
      </c>
    </row>
    <row r="885" spans="1:4" x14ac:dyDescent="0.15">
      <c r="B885" s="1" t="s">
        <v>11236</v>
      </c>
      <c r="D885" s="1" t="s">
        <v>6043</v>
      </c>
    </row>
    <row r="886" spans="1:4" x14ac:dyDescent="0.15">
      <c r="A886" s="1" t="s">
        <v>15910</v>
      </c>
      <c r="B886" s="1" t="s">
        <v>11717</v>
      </c>
      <c r="C886" s="1" t="s">
        <v>15911</v>
      </c>
      <c r="D886" s="1" t="s">
        <v>6044</v>
      </c>
    </row>
    <row r="887" spans="1:4" x14ac:dyDescent="0.15">
      <c r="A887" s="1" t="s">
        <v>15914</v>
      </c>
      <c r="B887" s="1" t="s">
        <v>9549</v>
      </c>
      <c r="C887" s="1" t="s">
        <v>15915</v>
      </c>
      <c r="D887" s="1" t="s">
        <v>15915</v>
      </c>
    </row>
    <row r="888" spans="1:4" x14ac:dyDescent="0.15">
      <c r="A888" s="1" t="s">
        <v>15145</v>
      </c>
      <c r="B888" s="1" t="s">
        <v>11727</v>
      </c>
      <c r="C888" s="1" t="s">
        <v>15146</v>
      </c>
      <c r="D888" s="1" t="s">
        <v>6045</v>
      </c>
    </row>
    <row r="889" spans="1:4" x14ac:dyDescent="0.15">
      <c r="A889" s="1" t="s">
        <v>15149</v>
      </c>
      <c r="B889" s="1" t="s">
        <v>9562</v>
      </c>
      <c r="C889" s="1" t="s">
        <v>15150</v>
      </c>
      <c r="D889" s="1" t="s">
        <v>15150</v>
      </c>
    </row>
    <row r="890" spans="1:4" x14ac:dyDescent="0.15">
      <c r="A890" s="1" t="s">
        <v>15153</v>
      </c>
      <c r="B890" s="1" t="s">
        <v>9415</v>
      </c>
      <c r="C890" s="1" t="s">
        <v>15154</v>
      </c>
      <c r="D890" s="1" t="s">
        <v>6046</v>
      </c>
    </row>
    <row r="891" spans="1:4" x14ac:dyDescent="0.15">
      <c r="A891" s="1" t="s">
        <v>15157</v>
      </c>
      <c r="B891" s="1" t="s">
        <v>9835</v>
      </c>
      <c r="C891" s="1" t="s">
        <v>15158</v>
      </c>
      <c r="D891" s="1" t="s">
        <v>15158</v>
      </c>
    </row>
    <row r="892" spans="1:4" x14ac:dyDescent="0.15">
      <c r="A892" s="1" t="s">
        <v>15161</v>
      </c>
      <c r="C892" s="1" t="s">
        <v>15162</v>
      </c>
      <c r="D892" s="1" t="s">
        <v>6584</v>
      </c>
    </row>
    <row r="893" spans="1:4" x14ac:dyDescent="0.15">
      <c r="A893" s="1" t="s">
        <v>12647</v>
      </c>
      <c r="B893" s="1" t="s">
        <v>12647</v>
      </c>
      <c r="C893" s="1" t="s">
        <v>15166</v>
      </c>
      <c r="D893" s="1" t="s">
        <v>6047</v>
      </c>
    </row>
    <row r="894" spans="1:4" x14ac:dyDescent="0.15">
      <c r="A894" s="1" t="s">
        <v>15169</v>
      </c>
      <c r="B894" s="1" t="s">
        <v>15169</v>
      </c>
      <c r="C894" s="1" t="s">
        <v>15170</v>
      </c>
      <c r="D894" s="1" t="s">
        <v>6047</v>
      </c>
    </row>
    <row r="895" spans="1:4" x14ac:dyDescent="0.15">
      <c r="A895" s="1" t="s">
        <v>15173</v>
      </c>
      <c r="B895" s="1" t="s">
        <v>15173</v>
      </c>
      <c r="C895" s="1" t="s">
        <v>15174</v>
      </c>
      <c r="D895" s="1" t="s">
        <v>15174</v>
      </c>
    </row>
    <row r="896" spans="1:4" x14ac:dyDescent="0.15">
      <c r="A896" s="1" t="s">
        <v>15177</v>
      </c>
      <c r="B896" s="1" t="s">
        <v>9514</v>
      </c>
      <c r="C896" s="1" t="s">
        <v>6048</v>
      </c>
      <c r="D896" s="1" t="s">
        <v>6049</v>
      </c>
    </row>
    <row r="897" spans="1:4" x14ac:dyDescent="0.15">
      <c r="A897" s="1" t="s">
        <v>15181</v>
      </c>
      <c r="B897" s="1" t="s">
        <v>9523</v>
      </c>
      <c r="C897" s="1" t="s">
        <v>6050</v>
      </c>
      <c r="D897" s="1" t="s">
        <v>6051</v>
      </c>
    </row>
    <row r="898" spans="1:4" x14ac:dyDescent="0.15">
      <c r="A898" s="1" t="s">
        <v>15185</v>
      </c>
      <c r="B898" s="1" t="s">
        <v>11746</v>
      </c>
      <c r="C898" s="1" t="s">
        <v>6052</v>
      </c>
      <c r="D898" s="1" t="s">
        <v>6596</v>
      </c>
    </row>
    <row r="899" spans="1:4" x14ac:dyDescent="0.15">
      <c r="B899" s="1" t="s">
        <v>9489</v>
      </c>
      <c r="D899" s="1" t="s">
        <v>6053</v>
      </c>
    </row>
    <row r="900" spans="1:4" x14ac:dyDescent="0.15">
      <c r="B900" s="1" t="s">
        <v>9459</v>
      </c>
      <c r="D900" s="1" t="s">
        <v>6054</v>
      </c>
    </row>
    <row r="901" spans="1:4" x14ac:dyDescent="0.15">
      <c r="B901" s="1" t="s">
        <v>12645</v>
      </c>
      <c r="D901" s="1" t="s">
        <v>6055</v>
      </c>
    </row>
    <row r="902" spans="1:4" x14ac:dyDescent="0.15">
      <c r="A902" s="1" t="s">
        <v>15189</v>
      </c>
      <c r="B902" s="1" t="s">
        <v>15189</v>
      </c>
      <c r="C902" s="1" t="s">
        <v>15190</v>
      </c>
      <c r="D902" s="1" t="s">
        <v>6056</v>
      </c>
    </row>
    <row r="903" spans="1:4" x14ac:dyDescent="0.15">
      <c r="B903" s="1" t="s">
        <v>12620</v>
      </c>
      <c r="D903" s="1" t="s">
        <v>6057</v>
      </c>
    </row>
    <row r="904" spans="1:4" x14ac:dyDescent="0.15">
      <c r="B904" s="1" t="s">
        <v>9466</v>
      </c>
      <c r="D904" s="1" t="s">
        <v>6058</v>
      </c>
    </row>
    <row r="905" spans="1:4" x14ac:dyDescent="0.15">
      <c r="B905" s="1" t="s">
        <v>9469</v>
      </c>
      <c r="D905" s="1" t="s">
        <v>6059</v>
      </c>
    </row>
    <row r="906" spans="1:4" x14ac:dyDescent="0.15">
      <c r="B906" s="1" t="s">
        <v>9472</v>
      </c>
      <c r="D906" s="1" t="s">
        <v>6060</v>
      </c>
    </row>
    <row r="907" spans="1:4" x14ac:dyDescent="0.15">
      <c r="B907" s="1" t="s">
        <v>9485</v>
      </c>
      <c r="D907" s="1" t="s">
        <v>6061</v>
      </c>
    </row>
    <row r="908" spans="1:4" x14ac:dyDescent="0.15">
      <c r="B908" s="1" t="s">
        <v>11734</v>
      </c>
      <c r="D908" s="1" t="s">
        <v>6062</v>
      </c>
    </row>
    <row r="909" spans="1:4" x14ac:dyDescent="0.15">
      <c r="B909" s="1" t="s">
        <v>9489</v>
      </c>
      <c r="D909" s="1" t="s">
        <v>6063</v>
      </c>
    </row>
    <row r="910" spans="1:4" x14ac:dyDescent="0.15">
      <c r="B910" s="1" t="s">
        <v>11240</v>
      </c>
      <c r="D910" s="1" t="s">
        <v>6064</v>
      </c>
    </row>
    <row r="911" spans="1:4" x14ac:dyDescent="0.15">
      <c r="B911" s="1" t="s">
        <v>11242</v>
      </c>
      <c r="D911" s="1" t="s">
        <v>6065</v>
      </c>
    </row>
    <row r="912" spans="1:4" x14ac:dyDescent="0.15">
      <c r="B912" s="1" t="s">
        <v>9493</v>
      </c>
      <c r="D912" s="1" t="s">
        <v>6066</v>
      </c>
    </row>
    <row r="913" spans="2:4" x14ac:dyDescent="0.15">
      <c r="B913" s="1" t="s">
        <v>9496</v>
      </c>
      <c r="D913" s="1" t="s">
        <v>6067</v>
      </c>
    </row>
    <row r="914" spans="2:4" x14ac:dyDescent="0.15">
      <c r="B914" s="1" t="s">
        <v>9499</v>
      </c>
      <c r="D914" s="1" t="s">
        <v>6068</v>
      </c>
    </row>
    <row r="915" spans="2:4" x14ac:dyDescent="0.15">
      <c r="B915" s="1" t="s">
        <v>9504</v>
      </c>
      <c r="D915" s="1" t="s">
        <v>6069</v>
      </c>
    </row>
    <row r="916" spans="2:4" x14ac:dyDescent="0.15">
      <c r="B916" s="1" t="s">
        <v>9507</v>
      </c>
      <c r="D916" s="1" t="s">
        <v>6070</v>
      </c>
    </row>
    <row r="917" spans="2:4" x14ac:dyDescent="0.15">
      <c r="B917" s="1" t="s">
        <v>9511</v>
      </c>
      <c r="D917" s="1" t="s">
        <v>6071</v>
      </c>
    </row>
    <row r="918" spans="2:4" x14ac:dyDescent="0.15">
      <c r="B918" s="1" t="s">
        <v>9516</v>
      </c>
      <c r="D918" s="1" t="s">
        <v>6072</v>
      </c>
    </row>
    <row r="919" spans="2:4" x14ac:dyDescent="0.15">
      <c r="B919" s="1" t="s">
        <v>9519</v>
      </c>
      <c r="D919" s="1" t="s">
        <v>6073</v>
      </c>
    </row>
    <row r="920" spans="2:4" x14ac:dyDescent="0.15">
      <c r="B920" s="1" t="s">
        <v>11736</v>
      </c>
      <c r="D920" s="1" t="s">
        <v>6074</v>
      </c>
    </row>
    <row r="921" spans="2:4" x14ac:dyDescent="0.15">
      <c r="B921" s="1" t="s">
        <v>9526</v>
      </c>
      <c r="D921" s="1" t="s">
        <v>6075</v>
      </c>
    </row>
    <row r="922" spans="2:4" x14ac:dyDescent="0.15">
      <c r="B922" s="1" t="s">
        <v>9529</v>
      </c>
      <c r="D922" s="1" t="s">
        <v>6076</v>
      </c>
    </row>
    <row r="923" spans="2:4" x14ac:dyDescent="0.15">
      <c r="B923" s="1" t="s">
        <v>9534</v>
      </c>
      <c r="D923" s="1" t="s">
        <v>6077</v>
      </c>
    </row>
    <row r="924" spans="2:4" x14ac:dyDescent="0.15">
      <c r="B924" s="1" t="s">
        <v>9537</v>
      </c>
      <c r="D924" s="1" t="s">
        <v>6078</v>
      </c>
    </row>
    <row r="925" spans="2:4" x14ac:dyDescent="0.15">
      <c r="B925" s="1" t="s">
        <v>9540</v>
      </c>
      <c r="D925" s="1" t="s">
        <v>6079</v>
      </c>
    </row>
    <row r="926" spans="2:4" x14ac:dyDescent="0.15">
      <c r="B926" s="1" t="s">
        <v>9542</v>
      </c>
      <c r="D926" s="1" t="s">
        <v>6080</v>
      </c>
    </row>
    <row r="927" spans="2:4" x14ac:dyDescent="0.15">
      <c r="B927" s="1" t="s">
        <v>9545</v>
      </c>
      <c r="D927" s="1" t="s">
        <v>6081</v>
      </c>
    </row>
    <row r="928" spans="2:4" x14ac:dyDescent="0.15">
      <c r="B928" s="1" t="s">
        <v>11720</v>
      </c>
      <c r="D928" s="1" t="s">
        <v>6082</v>
      </c>
    </row>
    <row r="929" spans="1:4" x14ac:dyDescent="0.15">
      <c r="B929" s="1" t="s">
        <v>9552</v>
      </c>
      <c r="D929" s="1" t="s">
        <v>6083</v>
      </c>
    </row>
    <row r="930" spans="1:4" x14ac:dyDescent="0.15">
      <c r="B930" s="1" t="s">
        <v>9555</v>
      </c>
      <c r="D930" s="1" t="s">
        <v>6084</v>
      </c>
    </row>
    <row r="931" spans="1:4" x14ac:dyDescent="0.15">
      <c r="B931" s="1" t="s">
        <v>11715</v>
      </c>
      <c r="D931" s="1" t="s">
        <v>6085</v>
      </c>
    </row>
    <row r="932" spans="1:4" x14ac:dyDescent="0.15">
      <c r="B932" s="1" t="s">
        <v>12589</v>
      </c>
      <c r="D932" s="1" t="s">
        <v>6086</v>
      </c>
    </row>
    <row r="933" spans="1:4" x14ac:dyDescent="0.15">
      <c r="B933" s="1" t="s">
        <v>11290</v>
      </c>
      <c r="D933" s="1" t="s">
        <v>6087</v>
      </c>
    </row>
    <row r="934" spans="1:4" x14ac:dyDescent="0.15">
      <c r="B934" s="1" t="s">
        <v>9566</v>
      </c>
      <c r="D934" s="1" t="s">
        <v>6088</v>
      </c>
    </row>
    <row r="935" spans="1:4" x14ac:dyDescent="0.15">
      <c r="B935" s="1" t="s">
        <v>11288</v>
      </c>
      <c r="D935" s="1" t="s">
        <v>6089</v>
      </c>
    </row>
    <row r="936" spans="1:4" x14ac:dyDescent="0.15">
      <c r="B936" s="1" t="s">
        <v>9570</v>
      </c>
      <c r="D936" s="1" t="s">
        <v>6090</v>
      </c>
    </row>
    <row r="937" spans="1:4" x14ac:dyDescent="0.15">
      <c r="B937" s="1" t="s">
        <v>6091</v>
      </c>
      <c r="D937" s="1" t="s">
        <v>6092</v>
      </c>
    </row>
    <row r="938" spans="1:4" x14ac:dyDescent="0.15">
      <c r="A938" s="1" t="s">
        <v>9579</v>
      </c>
      <c r="B938" s="1" t="s">
        <v>9579</v>
      </c>
      <c r="C938" s="1" t="s">
        <v>15194</v>
      </c>
      <c r="D938" s="1" t="s">
        <v>6093</v>
      </c>
    </row>
    <row r="939" spans="1:4" x14ac:dyDescent="0.15">
      <c r="A939" s="1" t="s">
        <v>15197</v>
      </c>
      <c r="B939" s="1" t="s">
        <v>15197</v>
      </c>
      <c r="C939" s="1" t="s">
        <v>15194</v>
      </c>
      <c r="D939" s="1" t="s">
        <v>6093</v>
      </c>
    </row>
    <row r="940" spans="1:4" x14ac:dyDescent="0.15">
      <c r="A940" s="1" t="s">
        <v>10667</v>
      </c>
      <c r="B940" s="1" t="s">
        <v>10667</v>
      </c>
      <c r="C940" s="1" t="s">
        <v>6094</v>
      </c>
      <c r="D940" s="1" t="s">
        <v>6095</v>
      </c>
    </row>
    <row r="941" spans="1:4" x14ac:dyDescent="0.15">
      <c r="A941" s="1" t="s">
        <v>9145</v>
      </c>
      <c r="B941" s="1" t="s">
        <v>9145</v>
      </c>
      <c r="C941" s="1" t="s">
        <v>15201</v>
      </c>
      <c r="D941" s="1" t="s">
        <v>15201</v>
      </c>
    </row>
    <row r="942" spans="1:4" x14ac:dyDescent="0.15">
      <c r="A942" s="1" t="s">
        <v>15207</v>
      </c>
      <c r="B942" s="1" t="s">
        <v>15207</v>
      </c>
      <c r="C942" s="1" t="s">
        <v>15201</v>
      </c>
      <c r="D942" s="1" t="s">
        <v>12443</v>
      </c>
    </row>
    <row r="943" spans="1:4" x14ac:dyDescent="0.15">
      <c r="B943" s="1" t="s">
        <v>9150</v>
      </c>
      <c r="D943" s="1" t="s">
        <v>6096</v>
      </c>
    </row>
    <row r="944" spans="1:4" x14ac:dyDescent="0.15">
      <c r="B944" s="1" t="s">
        <v>9153</v>
      </c>
      <c r="D944" s="1" t="s">
        <v>6097</v>
      </c>
    </row>
    <row r="945" spans="1:4" x14ac:dyDescent="0.15">
      <c r="B945" s="1" t="s">
        <v>9156</v>
      </c>
      <c r="D945" s="1" t="s">
        <v>6098</v>
      </c>
    </row>
    <row r="946" spans="1:4" x14ac:dyDescent="0.15">
      <c r="B946" s="1" t="s">
        <v>9159</v>
      </c>
      <c r="D946" s="1" t="s">
        <v>6099</v>
      </c>
    </row>
    <row r="947" spans="1:4" x14ac:dyDescent="0.15">
      <c r="B947" s="1" t="s">
        <v>9162</v>
      </c>
      <c r="D947" s="1" t="s">
        <v>6100</v>
      </c>
    </row>
    <row r="948" spans="1:4" x14ac:dyDescent="0.15">
      <c r="A948" s="1" t="s">
        <v>9165</v>
      </c>
      <c r="B948" s="1" t="s">
        <v>9165</v>
      </c>
      <c r="C948" s="1" t="s">
        <v>15211</v>
      </c>
      <c r="D948" s="1" t="s">
        <v>15211</v>
      </c>
    </row>
    <row r="949" spans="1:4" x14ac:dyDescent="0.15">
      <c r="A949" s="1" t="s">
        <v>15214</v>
      </c>
      <c r="B949" s="1" t="s">
        <v>15214</v>
      </c>
      <c r="C949" s="1" t="s">
        <v>15215</v>
      </c>
      <c r="D949" s="1" t="s">
        <v>15211</v>
      </c>
    </row>
    <row r="950" spans="1:4" x14ac:dyDescent="0.15">
      <c r="A950" s="1" t="s">
        <v>15218</v>
      </c>
      <c r="B950" s="1" t="s">
        <v>10457</v>
      </c>
      <c r="C950" s="1" t="s">
        <v>15219</v>
      </c>
      <c r="D950" s="1" t="s">
        <v>15219</v>
      </c>
    </row>
    <row r="951" spans="1:4" x14ac:dyDescent="0.15">
      <c r="B951" s="1" t="s">
        <v>11219</v>
      </c>
      <c r="D951" s="1" t="s">
        <v>6101</v>
      </c>
    </row>
    <row r="952" spans="1:4" x14ac:dyDescent="0.15">
      <c r="A952" s="1" t="s">
        <v>15222</v>
      </c>
      <c r="B952" s="1" t="s">
        <v>15222</v>
      </c>
      <c r="C952" s="1" t="s">
        <v>15223</v>
      </c>
      <c r="D952" s="1" t="s">
        <v>15223</v>
      </c>
    </row>
    <row r="953" spans="1:4" x14ac:dyDescent="0.15">
      <c r="A953" s="1" t="s">
        <v>9173</v>
      </c>
      <c r="B953" s="1" t="s">
        <v>9173</v>
      </c>
      <c r="C953" s="1" t="s">
        <v>15227</v>
      </c>
      <c r="D953" s="1" t="s">
        <v>12444</v>
      </c>
    </row>
    <row r="954" spans="1:4" x14ac:dyDescent="0.15">
      <c r="A954" s="1" t="s">
        <v>15230</v>
      </c>
      <c r="B954" s="1" t="s">
        <v>15230</v>
      </c>
      <c r="C954" s="1" t="s">
        <v>15227</v>
      </c>
      <c r="D954" s="1" t="s">
        <v>6102</v>
      </c>
    </row>
    <row r="955" spans="1:4" x14ac:dyDescent="0.15">
      <c r="B955" s="1" t="s">
        <v>9182</v>
      </c>
      <c r="D955" s="1" t="s">
        <v>6103</v>
      </c>
    </row>
    <row r="956" spans="1:4" x14ac:dyDescent="0.15">
      <c r="B956" s="1" t="s">
        <v>9185</v>
      </c>
      <c r="D956" s="1" t="s">
        <v>6104</v>
      </c>
    </row>
    <row r="957" spans="1:4" x14ac:dyDescent="0.15">
      <c r="A957" s="1" t="s">
        <v>9188</v>
      </c>
      <c r="B957" s="1" t="s">
        <v>9188</v>
      </c>
      <c r="C957" s="1" t="s">
        <v>15234</v>
      </c>
      <c r="D957" s="1" t="s">
        <v>6105</v>
      </c>
    </row>
    <row r="958" spans="1:4" x14ac:dyDescent="0.15">
      <c r="A958" s="1" t="s">
        <v>15237</v>
      </c>
      <c r="B958" s="1" t="s">
        <v>15237</v>
      </c>
      <c r="C958" s="1" t="s">
        <v>15234</v>
      </c>
      <c r="D958" s="1" t="s">
        <v>6105</v>
      </c>
    </row>
    <row r="959" spans="1:4" x14ac:dyDescent="0.15">
      <c r="A959" s="1" t="s">
        <v>9194</v>
      </c>
      <c r="B959" s="1" t="s">
        <v>9194</v>
      </c>
      <c r="C959" s="1" t="s">
        <v>6106</v>
      </c>
      <c r="D959" s="1" t="s">
        <v>6106</v>
      </c>
    </row>
    <row r="960" spans="1:4" x14ac:dyDescent="0.15">
      <c r="A960" s="1" t="s">
        <v>9197</v>
      </c>
      <c r="B960" s="1" t="s">
        <v>9197</v>
      </c>
      <c r="C960" s="1" t="s">
        <v>17226</v>
      </c>
      <c r="D960" s="1" t="s">
        <v>17226</v>
      </c>
    </row>
    <row r="961" spans="1:4" x14ac:dyDescent="0.15">
      <c r="A961" s="1" t="s">
        <v>17232</v>
      </c>
      <c r="B961" s="1" t="s">
        <v>17232</v>
      </c>
      <c r="C961" s="1" t="s">
        <v>17226</v>
      </c>
      <c r="D961" s="1" t="s">
        <v>17226</v>
      </c>
    </row>
    <row r="962" spans="1:4" x14ac:dyDescent="0.15">
      <c r="A962" s="1" t="s">
        <v>9754</v>
      </c>
      <c r="B962" s="1" t="s">
        <v>9754</v>
      </c>
      <c r="C962" s="1" t="s">
        <v>6107</v>
      </c>
      <c r="D962" s="1" t="s">
        <v>6107</v>
      </c>
    </row>
    <row r="963" spans="1:4" x14ac:dyDescent="0.15">
      <c r="A963" s="1" t="s">
        <v>9203</v>
      </c>
      <c r="B963" s="1" t="s">
        <v>9203</v>
      </c>
      <c r="C963" s="1" t="s">
        <v>6108</v>
      </c>
      <c r="D963" s="1" t="s">
        <v>6108</v>
      </c>
    </row>
    <row r="964" spans="1:4" x14ac:dyDescent="0.15">
      <c r="A964" s="1" t="s">
        <v>17244</v>
      </c>
      <c r="B964" s="1" t="s">
        <v>17244</v>
      </c>
      <c r="C964" s="1" t="s">
        <v>6108</v>
      </c>
      <c r="D964" s="1" t="s">
        <v>6108</v>
      </c>
    </row>
    <row r="965" spans="1:4" x14ac:dyDescent="0.15">
      <c r="A965" s="1" t="s">
        <v>9206</v>
      </c>
      <c r="B965" s="1" t="s">
        <v>9206</v>
      </c>
      <c r="C965" s="1" t="s">
        <v>6109</v>
      </c>
      <c r="D965" s="1" t="s">
        <v>6110</v>
      </c>
    </row>
    <row r="966" spans="1:4" x14ac:dyDescent="0.15">
      <c r="A966" s="1" t="s">
        <v>17251</v>
      </c>
      <c r="B966" s="1" t="s">
        <v>17251</v>
      </c>
      <c r="C966" s="1" t="s">
        <v>6109</v>
      </c>
      <c r="D966" s="1" t="s">
        <v>6110</v>
      </c>
    </row>
    <row r="967" spans="1:4" x14ac:dyDescent="0.15">
      <c r="A967" s="1" t="s">
        <v>9211</v>
      </c>
      <c r="B967" s="1" t="s">
        <v>9211</v>
      </c>
      <c r="C967" s="1" t="s">
        <v>6111</v>
      </c>
      <c r="D967" s="1" t="s">
        <v>6111</v>
      </c>
    </row>
    <row r="968" spans="1:4" x14ac:dyDescent="0.15">
      <c r="A968" s="1" t="s">
        <v>17258</v>
      </c>
      <c r="B968" s="1" t="s">
        <v>17258</v>
      </c>
      <c r="C968" s="1" t="s">
        <v>6111</v>
      </c>
      <c r="D968" s="1" t="s">
        <v>6111</v>
      </c>
    </row>
    <row r="969" spans="1:4" x14ac:dyDescent="0.15">
      <c r="A969" s="1" t="s">
        <v>9214</v>
      </c>
      <c r="B969" s="1" t="s">
        <v>9214</v>
      </c>
      <c r="C969" s="1" t="s">
        <v>6112</v>
      </c>
      <c r="D969" s="1" t="s">
        <v>6112</v>
      </c>
    </row>
    <row r="970" spans="1:4" x14ac:dyDescent="0.15">
      <c r="A970" s="1" t="s">
        <v>17265</v>
      </c>
      <c r="B970" s="1" t="s">
        <v>17265</v>
      </c>
      <c r="C970" s="1" t="s">
        <v>6112</v>
      </c>
      <c r="D970" s="1" t="s">
        <v>6112</v>
      </c>
    </row>
    <row r="971" spans="1:4" x14ac:dyDescent="0.15">
      <c r="A971" s="1" t="s">
        <v>9218</v>
      </c>
      <c r="B971" s="1" t="s">
        <v>9218</v>
      </c>
      <c r="C971" s="1" t="s">
        <v>17269</v>
      </c>
      <c r="D971" s="1" t="s">
        <v>17269</v>
      </c>
    </row>
    <row r="972" spans="1:4" x14ac:dyDescent="0.15">
      <c r="A972" s="1" t="s">
        <v>17272</v>
      </c>
      <c r="B972" s="1" t="s">
        <v>17272</v>
      </c>
      <c r="C972" s="1" t="s">
        <v>17269</v>
      </c>
      <c r="D972" s="1" t="s">
        <v>17269</v>
      </c>
    </row>
    <row r="973" spans="1:4" x14ac:dyDescent="0.15">
      <c r="A973" s="1" t="s">
        <v>9222</v>
      </c>
      <c r="B973" s="1" t="s">
        <v>9222</v>
      </c>
      <c r="C973" s="1" t="s">
        <v>17276</v>
      </c>
      <c r="D973" s="1" t="s">
        <v>17276</v>
      </c>
    </row>
    <row r="974" spans="1:4" x14ac:dyDescent="0.15">
      <c r="A974" s="1" t="s">
        <v>17279</v>
      </c>
      <c r="B974" s="1" t="s">
        <v>17279</v>
      </c>
      <c r="C974" s="1" t="s">
        <v>17276</v>
      </c>
      <c r="D974" s="1" t="s">
        <v>17276</v>
      </c>
    </row>
    <row r="975" spans="1:4" x14ac:dyDescent="0.15">
      <c r="B975" s="1" t="s">
        <v>11541</v>
      </c>
      <c r="D975" s="1" t="s">
        <v>6113</v>
      </c>
    </row>
    <row r="976" spans="1:4" x14ac:dyDescent="0.15">
      <c r="B976" s="1" t="s">
        <v>9231</v>
      </c>
      <c r="D976" s="1" t="s">
        <v>6114</v>
      </c>
    </row>
    <row r="977" spans="1:4" x14ac:dyDescent="0.15">
      <c r="A977" s="1" t="s">
        <v>9234</v>
      </c>
      <c r="B977" s="1" t="s">
        <v>9234</v>
      </c>
      <c r="C977" s="1" t="s">
        <v>6115</v>
      </c>
      <c r="D977" s="1" t="s">
        <v>6115</v>
      </c>
    </row>
    <row r="978" spans="1:4" x14ac:dyDescent="0.15">
      <c r="A978" s="1" t="s">
        <v>9227</v>
      </c>
      <c r="B978" s="1" t="s">
        <v>9227</v>
      </c>
      <c r="C978" s="1" t="s">
        <v>6116</v>
      </c>
      <c r="D978" s="1" t="s">
        <v>6117</v>
      </c>
    </row>
    <row r="979" spans="1:4" x14ac:dyDescent="0.15">
      <c r="A979" s="1" t="s">
        <v>17286</v>
      </c>
      <c r="B979" s="1" t="s">
        <v>17286</v>
      </c>
      <c r="C979" s="1" t="s">
        <v>6116</v>
      </c>
      <c r="D979" s="1" t="s">
        <v>6117</v>
      </c>
    </row>
    <row r="980" spans="1:4" x14ac:dyDescent="0.15">
      <c r="A980" s="1" t="s">
        <v>17293</v>
      </c>
      <c r="B980" s="1" t="s">
        <v>17293</v>
      </c>
      <c r="C980" s="1" t="s">
        <v>6115</v>
      </c>
      <c r="D980" s="1" t="s">
        <v>6115</v>
      </c>
    </row>
    <row r="981" spans="1:4" x14ac:dyDescent="0.15">
      <c r="A981" s="1" t="s">
        <v>9237</v>
      </c>
      <c r="B981" s="1" t="s">
        <v>9237</v>
      </c>
      <c r="C981" s="1" t="s">
        <v>17297</v>
      </c>
      <c r="D981" s="1" t="s">
        <v>17297</v>
      </c>
    </row>
    <row r="982" spans="1:4" x14ac:dyDescent="0.15">
      <c r="A982" s="1" t="s">
        <v>17300</v>
      </c>
      <c r="B982" s="1" t="s">
        <v>17300</v>
      </c>
      <c r="C982" s="1" t="s">
        <v>17297</v>
      </c>
      <c r="D982" s="1" t="s">
        <v>17297</v>
      </c>
    </row>
    <row r="983" spans="1:4" x14ac:dyDescent="0.15">
      <c r="A983" s="1" t="s">
        <v>9240</v>
      </c>
      <c r="B983" s="1" t="s">
        <v>9240</v>
      </c>
      <c r="C983" s="1" t="s">
        <v>6118</v>
      </c>
      <c r="D983" s="1" t="s">
        <v>6118</v>
      </c>
    </row>
    <row r="984" spans="1:4" x14ac:dyDescent="0.15">
      <c r="A984" s="1" t="s">
        <v>15273</v>
      </c>
      <c r="B984" s="1" t="s">
        <v>15273</v>
      </c>
      <c r="C984" s="1" t="s">
        <v>6118</v>
      </c>
      <c r="D984" s="1" t="s">
        <v>6118</v>
      </c>
    </row>
    <row r="985" spans="1:4" x14ac:dyDescent="0.15">
      <c r="B985" s="1" t="s">
        <v>9244</v>
      </c>
      <c r="D985" s="1" t="s">
        <v>6119</v>
      </c>
    </row>
    <row r="986" spans="1:4" x14ac:dyDescent="0.15">
      <c r="B986" s="1" t="s">
        <v>9247</v>
      </c>
      <c r="D986" s="1" t="s">
        <v>6120</v>
      </c>
    </row>
    <row r="987" spans="1:4" x14ac:dyDescent="0.15">
      <c r="B987" s="1" t="s">
        <v>9249</v>
      </c>
      <c r="D987" s="1" t="s">
        <v>6121</v>
      </c>
    </row>
    <row r="988" spans="1:4" x14ac:dyDescent="0.15">
      <c r="B988" s="1" t="s">
        <v>9252</v>
      </c>
      <c r="D988" s="1" t="s">
        <v>6122</v>
      </c>
    </row>
    <row r="989" spans="1:4" x14ac:dyDescent="0.15">
      <c r="B989" s="1" t="s">
        <v>9254</v>
      </c>
      <c r="D989" s="1" t="s">
        <v>6123</v>
      </c>
    </row>
    <row r="990" spans="1:4" x14ac:dyDescent="0.15">
      <c r="B990" s="1" t="s">
        <v>9257</v>
      </c>
      <c r="D990" s="1" t="s">
        <v>6124</v>
      </c>
    </row>
    <row r="991" spans="1:4" x14ac:dyDescent="0.15">
      <c r="B991" s="1" t="s">
        <v>9259</v>
      </c>
      <c r="D991" s="1" t="s">
        <v>6125</v>
      </c>
    </row>
    <row r="992" spans="1:4" x14ac:dyDescent="0.15">
      <c r="B992" s="1" t="s">
        <v>9262</v>
      </c>
      <c r="D992" s="1" t="s">
        <v>6126</v>
      </c>
    </row>
    <row r="993" spans="1:4" x14ac:dyDescent="0.15">
      <c r="B993" s="1" t="s">
        <v>11342</v>
      </c>
      <c r="D993" s="1" t="s">
        <v>6127</v>
      </c>
    </row>
    <row r="994" spans="1:4" x14ac:dyDescent="0.15">
      <c r="B994" s="1" t="s">
        <v>9269</v>
      </c>
      <c r="D994" s="1" t="s">
        <v>6128</v>
      </c>
    </row>
    <row r="995" spans="1:4" x14ac:dyDescent="0.15">
      <c r="B995" s="1" t="s">
        <v>9896</v>
      </c>
      <c r="D995" s="1" t="s">
        <v>6129</v>
      </c>
    </row>
    <row r="996" spans="1:4" x14ac:dyDescent="0.15">
      <c r="B996" s="1" t="s">
        <v>9273</v>
      </c>
      <c r="D996" s="1" t="s">
        <v>6130</v>
      </c>
    </row>
    <row r="997" spans="1:4" x14ac:dyDescent="0.15">
      <c r="B997" s="1" t="s">
        <v>6131</v>
      </c>
      <c r="D997" s="1" t="s">
        <v>6132</v>
      </c>
    </row>
    <row r="998" spans="1:4" x14ac:dyDescent="0.15">
      <c r="B998" s="1" t="s">
        <v>9276</v>
      </c>
      <c r="D998" s="1" t="s">
        <v>6133</v>
      </c>
    </row>
    <row r="999" spans="1:4" x14ac:dyDescent="0.15">
      <c r="B999" s="1" t="s">
        <v>10190</v>
      </c>
      <c r="D999" s="1" t="s">
        <v>6133</v>
      </c>
    </row>
    <row r="1000" spans="1:4" x14ac:dyDescent="0.15">
      <c r="B1000" s="1" t="s">
        <v>9280</v>
      </c>
      <c r="D1000" s="1" t="s">
        <v>6134</v>
      </c>
    </row>
    <row r="1001" spans="1:4" x14ac:dyDescent="0.15">
      <c r="B1001" s="1" t="s">
        <v>9283</v>
      </c>
      <c r="D1001" s="1" t="s">
        <v>6135</v>
      </c>
    </row>
    <row r="1002" spans="1:4" x14ac:dyDescent="0.15">
      <c r="B1002" s="1" t="s">
        <v>11193</v>
      </c>
      <c r="D1002" s="1" t="s">
        <v>6136</v>
      </c>
    </row>
    <row r="1003" spans="1:4" x14ac:dyDescent="0.15">
      <c r="A1003" s="1" t="s">
        <v>9286</v>
      </c>
      <c r="B1003" s="1" t="s">
        <v>9286</v>
      </c>
      <c r="C1003" s="1" t="s">
        <v>15277</v>
      </c>
      <c r="D1003" s="1" t="s">
        <v>6137</v>
      </c>
    </row>
    <row r="1004" spans="1:4" x14ac:dyDescent="0.15">
      <c r="A1004" s="1" t="s">
        <v>15280</v>
      </c>
      <c r="B1004" s="1" t="s">
        <v>15280</v>
      </c>
      <c r="C1004" s="1" t="s">
        <v>15277</v>
      </c>
      <c r="D1004" s="1" t="s">
        <v>6137</v>
      </c>
    </row>
    <row r="1005" spans="1:4" x14ac:dyDescent="0.15">
      <c r="A1005" s="1" t="s">
        <v>15575</v>
      </c>
      <c r="B1005" s="1" t="s">
        <v>15575</v>
      </c>
      <c r="C1005" s="1" t="s">
        <v>15572</v>
      </c>
      <c r="D1005" s="1" t="s">
        <v>15572</v>
      </c>
    </row>
    <row r="1006" spans="1:4" x14ac:dyDescent="0.15">
      <c r="B1006" s="1" t="s">
        <v>11322</v>
      </c>
      <c r="D1006" s="1" t="s">
        <v>6138</v>
      </c>
    </row>
    <row r="1007" spans="1:4" x14ac:dyDescent="0.15">
      <c r="B1007" s="1" t="s">
        <v>9344</v>
      </c>
      <c r="D1007" s="1" t="s">
        <v>6139</v>
      </c>
    </row>
    <row r="1008" spans="1:4" x14ac:dyDescent="0.15">
      <c r="B1008" s="1" t="s">
        <v>10272</v>
      </c>
      <c r="D1008" s="1" t="s">
        <v>6140</v>
      </c>
    </row>
    <row r="1009" spans="1:4" x14ac:dyDescent="0.15">
      <c r="B1009" s="1" t="s">
        <v>11324</v>
      </c>
      <c r="D1009" s="1" t="s">
        <v>17494</v>
      </c>
    </row>
    <row r="1010" spans="1:4" x14ac:dyDescent="0.15">
      <c r="A1010" s="1" t="s">
        <v>11275</v>
      </c>
      <c r="B1010" s="1" t="s">
        <v>11275</v>
      </c>
      <c r="C1010" s="1" t="s">
        <v>6141</v>
      </c>
      <c r="D1010" s="1" t="s">
        <v>6141</v>
      </c>
    </row>
    <row r="1011" spans="1:4" x14ac:dyDescent="0.15">
      <c r="A1011" s="1" t="s">
        <v>9292</v>
      </c>
      <c r="B1011" s="1" t="s">
        <v>9292</v>
      </c>
      <c r="C1011" s="1" t="s">
        <v>6142</v>
      </c>
      <c r="D1011" s="1" t="s">
        <v>6142</v>
      </c>
    </row>
    <row r="1012" spans="1:4" x14ac:dyDescent="0.15">
      <c r="A1012" s="1" t="s">
        <v>15291</v>
      </c>
      <c r="B1012" s="1" t="s">
        <v>15291</v>
      </c>
      <c r="C1012" s="1" t="s">
        <v>6142</v>
      </c>
      <c r="D1012" s="1" t="s">
        <v>6142</v>
      </c>
    </row>
    <row r="1013" spans="1:4" x14ac:dyDescent="0.15">
      <c r="A1013" s="1" t="s">
        <v>9296</v>
      </c>
      <c r="B1013" s="1" t="s">
        <v>9296</v>
      </c>
      <c r="C1013" s="1" t="s">
        <v>6143</v>
      </c>
      <c r="D1013" s="1" t="s">
        <v>6143</v>
      </c>
    </row>
    <row r="1014" spans="1:4" x14ac:dyDescent="0.15">
      <c r="A1014" s="1" t="s">
        <v>15298</v>
      </c>
      <c r="B1014" s="1" t="s">
        <v>15298</v>
      </c>
      <c r="C1014" s="1" t="s">
        <v>6143</v>
      </c>
      <c r="D1014" s="1" t="s">
        <v>6143</v>
      </c>
    </row>
    <row r="1015" spans="1:4" x14ac:dyDescent="0.15">
      <c r="A1015" s="1" t="s">
        <v>9299</v>
      </c>
      <c r="B1015" s="1" t="s">
        <v>9299</v>
      </c>
      <c r="C1015" s="1" t="s">
        <v>6144</v>
      </c>
      <c r="D1015" s="1" t="s">
        <v>6144</v>
      </c>
    </row>
    <row r="1016" spans="1:4" x14ac:dyDescent="0.15">
      <c r="A1016" s="1" t="s">
        <v>15313</v>
      </c>
      <c r="B1016" s="1" t="s">
        <v>8017</v>
      </c>
      <c r="C1016" s="1" t="s">
        <v>6145</v>
      </c>
      <c r="D1016" s="1" t="s">
        <v>6146</v>
      </c>
    </row>
    <row r="1017" spans="1:4" x14ac:dyDescent="0.15">
      <c r="A1017" s="1" t="s">
        <v>9321</v>
      </c>
      <c r="B1017" s="1" t="s">
        <v>9321</v>
      </c>
      <c r="C1017" s="1" t="s">
        <v>6147</v>
      </c>
      <c r="D1017" s="1" t="s">
        <v>6148</v>
      </c>
    </row>
    <row r="1018" spans="1:4" x14ac:dyDescent="0.15">
      <c r="A1018" s="1" t="s">
        <v>9326</v>
      </c>
      <c r="B1018" s="1" t="s">
        <v>9326</v>
      </c>
      <c r="C1018" s="1" t="s">
        <v>15565</v>
      </c>
      <c r="D1018" s="1" t="s">
        <v>15565</v>
      </c>
    </row>
    <row r="1019" spans="1:4" x14ac:dyDescent="0.15">
      <c r="A1019" s="1" t="s">
        <v>15305</v>
      </c>
      <c r="B1019" s="1" t="s">
        <v>15305</v>
      </c>
      <c r="C1019" s="1" t="s">
        <v>6149</v>
      </c>
      <c r="D1019" s="1" t="s">
        <v>6149</v>
      </c>
    </row>
    <row r="1020" spans="1:4" x14ac:dyDescent="0.15">
      <c r="A1020" s="1" t="s">
        <v>15309</v>
      </c>
      <c r="B1020" s="1" t="s">
        <v>13522</v>
      </c>
      <c r="C1020" s="1" t="s">
        <v>15310</v>
      </c>
      <c r="D1020" s="1" t="s">
        <v>6150</v>
      </c>
    </row>
    <row r="1021" spans="1:4" x14ac:dyDescent="0.15">
      <c r="A1021" s="1" t="s">
        <v>15317</v>
      </c>
      <c r="B1021" s="1" t="s">
        <v>15317</v>
      </c>
      <c r="C1021" s="1" t="s">
        <v>6151</v>
      </c>
      <c r="D1021" s="1" t="s">
        <v>6151</v>
      </c>
    </row>
    <row r="1022" spans="1:4" x14ac:dyDescent="0.15">
      <c r="A1022" s="1" t="s">
        <v>15321</v>
      </c>
      <c r="B1022" s="1" t="s">
        <v>15321</v>
      </c>
      <c r="C1022" s="1" t="s">
        <v>6152</v>
      </c>
      <c r="D1022" s="1" t="s">
        <v>6153</v>
      </c>
    </row>
    <row r="1023" spans="1:4" x14ac:dyDescent="0.15">
      <c r="A1023" s="1" t="s">
        <v>15325</v>
      </c>
      <c r="B1023" s="1" t="s">
        <v>15329</v>
      </c>
      <c r="C1023" s="1" t="s">
        <v>15326</v>
      </c>
      <c r="D1023" s="1" t="s">
        <v>6154</v>
      </c>
    </row>
    <row r="1024" spans="1:4" x14ac:dyDescent="0.15">
      <c r="A1024" s="1" t="s">
        <v>15329</v>
      </c>
      <c r="B1024" s="1" t="s">
        <v>15329</v>
      </c>
      <c r="C1024" s="1" t="s">
        <v>6154</v>
      </c>
      <c r="D1024" s="1" t="s">
        <v>6154</v>
      </c>
    </row>
    <row r="1025" spans="1:4" x14ac:dyDescent="0.15">
      <c r="A1025" s="1" t="s">
        <v>9314</v>
      </c>
      <c r="B1025" s="1" t="s">
        <v>9314</v>
      </c>
      <c r="C1025" s="1" t="s">
        <v>6155</v>
      </c>
      <c r="D1025" s="1" t="s">
        <v>6155</v>
      </c>
    </row>
    <row r="1026" spans="1:4" x14ac:dyDescent="0.15">
      <c r="A1026" s="1" t="s">
        <v>15337</v>
      </c>
      <c r="B1026" s="1" t="s">
        <v>15337</v>
      </c>
      <c r="C1026" s="1" t="s">
        <v>6155</v>
      </c>
      <c r="D1026" s="1" t="s">
        <v>6155</v>
      </c>
    </row>
    <row r="1027" spans="1:4" x14ac:dyDescent="0.15">
      <c r="A1027" s="1" t="s">
        <v>15568</v>
      </c>
      <c r="B1027" s="1" t="s">
        <v>15568</v>
      </c>
      <c r="C1027" s="1" t="s">
        <v>15565</v>
      </c>
      <c r="D1027" s="1" t="s">
        <v>15565</v>
      </c>
    </row>
    <row r="1028" spans="1:4" x14ac:dyDescent="0.15">
      <c r="B1028" s="1" t="s">
        <v>9330</v>
      </c>
      <c r="D1028" s="1" t="s">
        <v>6156</v>
      </c>
    </row>
    <row r="1029" spans="1:4" x14ac:dyDescent="0.15">
      <c r="B1029" s="1" t="s">
        <v>9333</v>
      </c>
      <c r="D1029" s="1" t="s">
        <v>6157</v>
      </c>
    </row>
    <row r="1030" spans="1:4" x14ac:dyDescent="0.15">
      <c r="B1030" s="1" t="s">
        <v>9336</v>
      </c>
      <c r="D1030" s="1" t="s">
        <v>6158</v>
      </c>
    </row>
    <row r="1031" spans="1:4" x14ac:dyDescent="0.15">
      <c r="A1031" s="1" t="s">
        <v>9339</v>
      </c>
      <c r="B1031" s="1" t="s">
        <v>9339</v>
      </c>
      <c r="C1031" s="1" t="s">
        <v>15572</v>
      </c>
      <c r="D1031" s="1" t="s">
        <v>15572</v>
      </c>
    </row>
    <row r="1032" spans="1:4" x14ac:dyDescent="0.15">
      <c r="B1032" s="1" t="s">
        <v>11326</v>
      </c>
      <c r="D1032" s="1" t="s">
        <v>17498</v>
      </c>
    </row>
    <row r="1033" spans="1:4" x14ac:dyDescent="0.15">
      <c r="B1033" s="1" t="s">
        <v>9350</v>
      </c>
      <c r="D1033" s="1" t="s">
        <v>6159</v>
      </c>
    </row>
    <row r="1034" spans="1:4" x14ac:dyDescent="0.15">
      <c r="A1034" s="1" t="s">
        <v>9353</v>
      </c>
      <c r="B1034" s="1" t="s">
        <v>9353</v>
      </c>
      <c r="C1034" s="1" t="s">
        <v>6160</v>
      </c>
      <c r="D1034" s="1" t="s">
        <v>6161</v>
      </c>
    </row>
    <row r="1035" spans="1:4" x14ac:dyDescent="0.15">
      <c r="A1035" s="1" t="s">
        <v>14852</v>
      </c>
      <c r="B1035" s="1" t="s">
        <v>14852</v>
      </c>
      <c r="C1035" s="1" t="s">
        <v>6160</v>
      </c>
      <c r="D1035" s="1" t="s">
        <v>6161</v>
      </c>
    </row>
    <row r="1036" spans="1:4" x14ac:dyDescent="0.15">
      <c r="A1036" s="1" t="s">
        <v>9324</v>
      </c>
      <c r="B1036" s="1" t="s">
        <v>9324</v>
      </c>
      <c r="C1036" s="1" t="s">
        <v>6162</v>
      </c>
      <c r="D1036" s="1" t="s">
        <v>6163</v>
      </c>
    </row>
    <row r="1037" spans="1:4" x14ac:dyDescent="0.15">
      <c r="A1037" s="1" t="s">
        <v>9358</v>
      </c>
      <c r="C1037" s="1" t="s">
        <v>6164</v>
      </c>
      <c r="D1037" s="1" t="s">
        <v>6584</v>
      </c>
    </row>
    <row r="1038" spans="1:4" x14ac:dyDescent="0.15">
      <c r="A1038" s="1" t="s">
        <v>14864</v>
      </c>
      <c r="B1038" s="1" t="s">
        <v>9885</v>
      </c>
      <c r="C1038" s="1" t="s">
        <v>6164</v>
      </c>
      <c r="D1038" s="1" t="s">
        <v>6165</v>
      </c>
    </row>
    <row r="1039" spans="1:4" x14ac:dyDescent="0.15">
      <c r="A1039" s="1" t="s">
        <v>9361</v>
      </c>
      <c r="B1039" s="1" t="s">
        <v>9361</v>
      </c>
      <c r="C1039" s="1" t="s">
        <v>14868</v>
      </c>
      <c r="D1039" s="1" t="s">
        <v>14868</v>
      </c>
    </row>
    <row r="1040" spans="1:4" x14ac:dyDescent="0.15">
      <c r="A1040" s="1" t="s">
        <v>14871</v>
      </c>
      <c r="B1040" s="1" t="s">
        <v>14871</v>
      </c>
      <c r="C1040" s="1" t="s">
        <v>14868</v>
      </c>
      <c r="D1040" s="1" t="s">
        <v>14868</v>
      </c>
    </row>
    <row r="1041" spans="1:4" x14ac:dyDescent="0.15">
      <c r="B1041" s="1" t="s">
        <v>8958</v>
      </c>
      <c r="D1041" s="1" t="s">
        <v>6166</v>
      </c>
    </row>
    <row r="1042" spans="1:4" x14ac:dyDescent="0.15">
      <c r="A1042" s="1" t="s">
        <v>9364</v>
      </c>
      <c r="B1042" s="1" t="s">
        <v>9364</v>
      </c>
      <c r="C1042" s="1" t="s">
        <v>6167</v>
      </c>
      <c r="D1042" s="1" t="s">
        <v>6167</v>
      </c>
    </row>
    <row r="1043" spans="1:4" x14ac:dyDescent="0.15">
      <c r="A1043" s="1" t="s">
        <v>14878</v>
      </c>
      <c r="B1043" s="1" t="s">
        <v>14878</v>
      </c>
      <c r="C1043" s="1" t="s">
        <v>6167</v>
      </c>
      <c r="D1043" s="1" t="s">
        <v>6167</v>
      </c>
    </row>
    <row r="1044" spans="1:4" x14ac:dyDescent="0.15">
      <c r="A1044" s="1" t="s">
        <v>9368</v>
      </c>
      <c r="B1044" s="1" t="s">
        <v>9368</v>
      </c>
      <c r="C1044" s="1" t="s">
        <v>14882</v>
      </c>
      <c r="D1044" s="1" t="s">
        <v>14882</v>
      </c>
    </row>
    <row r="1045" spans="1:4" x14ac:dyDescent="0.15">
      <c r="A1045" s="1" t="s">
        <v>14885</v>
      </c>
      <c r="B1045" s="1" t="s">
        <v>14885</v>
      </c>
      <c r="C1045" s="1" t="s">
        <v>14882</v>
      </c>
      <c r="D1045" s="1" t="s">
        <v>14882</v>
      </c>
    </row>
    <row r="1046" spans="1:4" x14ac:dyDescent="0.15">
      <c r="A1046" s="1" t="s">
        <v>9372</v>
      </c>
      <c r="B1046" s="1" t="s">
        <v>9372</v>
      </c>
      <c r="C1046" s="1" t="s">
        <v>14889</v>
      </c>
      <c r="D1046" s="1" t="s">
        <v>14889</v>
      </c>
    </row>
    <row r="1047" spans="1:4" x14ac:dyDescent="0.15">
      <c r="A1047" s="1" t="s">
        <v>14892</v>
      </c>
      <c r="B1047" s="1" t="s">
        <v>14892</v>
      </c>
      <c r="C1047" s="1" t="s">
        <v>14889</v>
      </c>
      <c r="D1047" s="1" t="s">
        <v>14889</v>
      </c>
    </row>
    <row r="1048" spans="1:4" x14ac:dyDescent="0.15">
      <c r="A1048" s="1" t="s">
        <v>9376</v>
      </c>
      <c r="B1048" s="1" t="s">
        <v>9376</v>
      </c>
      <c r="C1048" s="1" t="s">
        <v>6168</v>
      </c>
      <c r="D1048" s="1" t="s">
        <v>6168</v>
      </c>
    </row>
    <row r="1049" spans="1:4" x14ac:dyDescent="0.15">
      <c r="A1049" s="1" t="s">
        <v>14899</v>
      </c>
      <c r="B1049" s="1" t="s">
        <v>14899</v>
      </c>
      <c r="C1049" s="1" t="s">
        <v>14900</v>
      </c>
      <c r="D1049" s="1" t="s">
        <v>14900</v>
      </c>
    </row>
    <row r="1050" spans="1:4" x14ac:dyDescent="0.15">
      <c r="A1050" s="1" t="s">
        <v>14903</v>
      </c>
      <c r="B1050" s="1" t="s">
        <v>14903</v>
      </c>
      <c r="C1050" s="1" t="s">
        <v>14904</v>
      </c>
      <c r="D1050" s="1" t="s">
        <v>6169</v>
      </c>
    </row>
    <row r="1051" spans="1:4" x14ac:dyDescent="0.15">
      <c r="A1051" s="1" t="s">
        <v>14907</v>
      </c>
      <c r="B1051" s="1" t="s">
        <v>9881</v>
      </c>
      <c r="C1051" s="1" t="s">
        <v>6170</v>
      </c>
      <c r="D1051" s="1" t="s">
        <v>6171</v>
      </c>
    </row>
    <row r="1052" spans="1:4" x14ac:dyDescent="0.15">
      <c r="B1052" s="1" t="s">
        <v>9883</v>
      </c>
      <c r="D1052" s="1" t="s">
        <v>6172</v>
      </c>
    </row>
    <row r="1053" spans="1:4" x14ac:dyDescent="0.15">
      <c r="A1053" s="1" t="s">
        <v>14911</v>
      </c>
      <c r="B1053" s="1" t="s">
        <v>14911</v>
      </c>
      <c r="C1053" s="1" t="s">
        <v>6173</v>
      </c>
      <c r="D1053" s="1" t="s">
        <v>14912</v>
      </c>
    </row>
    <row r="1054" spans="1:4" x14ac:dyDescent="0.15">
      <c r="A1054" s="1" t="s">
        <v>14923</v>
      </c>
      <c r="B1054" s="1" t="s">
        <v>14923</v>
      </c>
      <c r="C1054" s="1" t="s">
        <v>6174</v>
      </c>
      <c r="D1054" s="1" t="s">
        <v>6175</v>
      </c>
    </row>
    <row r="1055" spans="1:4" x14ac:dyDescent="0.15">
      <c r="B1055" s="1" t="s">
        <v>9395</v>
      </c>
      <c r="D1055" s="1" t="s">
        <v>6176</v>
      </c>
    </row>
    <row r="1056" spans="1:4" x14ac:dyDescent="0.15">
      <c r="B1056" s="1" t="s">
        <v>9398</v>
      </c>
      <c r="D1056" s="1" t="s">
        <v>6177</v>
      </c>
    </row>
    <row r="1057" spans="1:4" x14ac:dyDescent="0.15">
      <c r="A1057" s="1" t="s">
        <v>14915</v>
      </c>
      <c r="B1057" s="1" t="s">
        <v>14915</v>
      </c>
      <c r="C1057" s="1" t="s">
        <v>6178</v>
      </c>
      <c r="D1057" s="1" t="s">
        <v>6178</v>
      </c>
    </row>
    <row r="1058" spans="1:4" x14ac:dyDescent="0.15">
      <c r="A1058" s="1" t="s">
        <v>11074</v>
      </c>
      <c r="B1058" s="1" t="s">
        <v>11074</v>
      </c>
      <c r="C1058" s="1" t="s">
        <v>6174</v>
      </c>
      <c r="D1058" s="1" t="s">
        <v>6174</v>
      </c>
    </row>
    <row r="1059" spans="1:4" x14ac:dyDescent="0.15">
      <c r="A1059" s="1" t="s">
        <v>9401</v>
      </c>
      <c r="B1059" s="1" t="s">
        <v>9401</v>
      </c>
      <c r="C1059" s="1" t="s">
        <v>6179</v>
      </c>
      <c r="D1059" s="1" t="s">
        <v>6180</v>
      </c>
    </row>
    <row r="1060" spans="1:4" x14ac:dyDescent="0.15">
      <c r="A1060" s="1" t="s">
        <v>14930</v>
      </c>
      <c r="B1060" s="1" t="s">
        <v>14930</v>
      </c>
      <c r="C1060" s="1" t="s">
        <v>6179</v>
      </c>
      <c r="D1060" s="1" t="s">
        <v>6180</v>
      </c>
    </row>
    <row r="1061" spans="1:4" x14ac:dyDescent="0.15">
      <c r="A1061" s="1" t="s">
        <v>10285</v>
      </c>
      <c r="B1061" s="1" t="s">
        <v>10285</v>
      </c>
      <c r="C1061" s="1" t="s">
        <v>6181</v>
      </c>
      <c r="D1061" s="1" t="s">
        <v>6181</v>
      </c>
    </row>
    <row r="1062" spans="1:4" x14ac:dyDescent="0.15">
      <c r="A1062" s="1" t="s">
        <v>9406</v>
      </c>
      <c r="B1062" s="1" t="s">
        <v>9406</v>
      </c>
      <c r="C1062" s="1" t="s">
        <v>14939</v>
      </c>
      <c r="D1062" s="1" t="s">
        <v>14935</v>
      </c>
    </row>
    <row r="1063" spans="1:4" x14ac:dyDescent="0.15">
      <c r="A1063" s="1" t="s">
        <v>14942</v>
      </c>
      <c r="B1063" s="1" t="s">
        <v>14942</v>
      </c>
      <c r="C1063" s="1" t="s">
        <v>14939</v>
      </c>
      <c r="D1063" s="1" t="s">
        <v>14935</v>
      </c>
    </row>
    <row r="1064" spans="1:4" x14ac:dyDescent="0.15">
      <c r="A1064" s="1" t="s">
        <v>9410</v>
      </c>
      <c r="B1064" s="1" t="s">
        <v>9410</v>
      </c>
      <c r="C1064" s="1" t="s">
        <v>14946</v>
      </c>
      <c r="D1064" s="1" t="s">
        <v>6182</v>
      </c>
    </row>
    <row r="1065" spans="1:4" x14ac:dyDescent="0.15">
      <c r="A1065" s="1" t="s">
        <v>14949</v>
      </c>
      <c r="B1065" s="1" t="s">
        <v>14949</v>
      </c>
      <c r="C1065" s="1" t="s">
        <v>14946</v>
      </c>
      <c r="D1065" s="1" t="s">
        <v>14946</v>
      </c>
    </row>
    <row r="1066" spans="1:4" x14ac:dyDescent="0.15">
      <c r="B1066" s="1" t="s">
        <v>8955</v>
      </c>
      <c r="D1066" s="1" t="s">
        <v>6183</v>
      </c>
    </row>
    <row r="1067" spans="1:4" x14ac:dyDescent="0.15">
      <c r="A1067" s="1" t="s">
        <v>8961</v>
      </c>
      <c r="C1067" s="1" t="s">
        <v>14953</v>
      </c>
      <c r="D1067" s="1" t="s">
        <v>6584</v>
      </c>
    </row>
    <row r="1068" spans="1:4" x14ac:dyDescent="0.15">
      <c r="A1068" s="1" t="s">
        <v>14956</v>
      </c>
      <c r="B1068" s="1" t="s">
        <v>8952</v>
      </c>
      <c r="C1068" s="1" t="s">
        <v>14953</v>
      </c>
      <c r="D1068" s="1" t="s">
        <v>14953</v>
      </c>
    </row>
    <row r="1069" spans="1:4" x14ac:dyDescent="0.15">
      <c r="A1069" s="1" t="s">
        <v>8963</v>
      </c>
      <c r="B1069" s="1" t="s">
        <v>8963</v>
      </c>
      <c r="C1069" s="1" t="s">
        <v>6184</v>
      </c>
      <c r="D1069" s="1" t="s">
        <v>6184</v>
      </c>
    </row>
    <row r="1070" spans="1:4" x14ac:dyDescent="0.15">
      <c r="A1070" s="1" t="s">
        <v>14963</v>
      </c>
      <c r="B1070" s="1" t="s">
        <v>14963</v>
      </c>
      <c r="C1070" s="1" t="s">
        <v>6185</v>
      </c>
      <c r="D1070" s="1" t="s">
        <v>6185</v>
      </c>
    </row>
    <row r="1071" spans="1:4" x14ac:dyDescent="0.15">
      <c r="B1071" s="1" t="s">
        <v>8968</v>
      </c>
      <c r="D1071" s="1" t="s">
        <v>6186</v>
      </c>
    </row>
    <row r="1072" spans="1:4" x14ac:dyDescent="0.15">
      <c r="B1072" s="1" t="s">
        <v>8971</v>
      </c>
      <c r="D1072" s="1" t="s">
        <v>6187</v>
      </c>
    </row>
    <row r="1073" spans="1:4" x14ac:dyDescent="0.15">
      <c r="B1073" s="1" t="s">
        <v>8974</v>
      </c>
      <c r="D1073" s="1" t="s">
        <v>6188</v>
      </c>
    </row>
    <row r="1074" spans="1:4" x14ac:dyDescent="0.15">
      <c r="B1074" s="1" t="s">
        <v>8977</v>
      </c>
      <c r="D1074" s="1" t="s">
        <v>6189</v>
      </c>
    </row>
    <row r="1075" spans="1:4" x14ac:dyDescent="0.15">
      <c r="A1075" s="1" t="s">
        <v>10318</v>
      </c>
      <c r="B1075" s="1" t="s">
        <v>10318</v>
      </c>
      <c r="C1075" s="1" t="s">
        <v>14967</v>
      </c>
      <c r="D1075" s="1" t="s">
        <v>14967</v>
      </c>
    </row>
    <row r="1076" spans="1:4" x14ac:dyDescent="0.15">
      <c r="A1076" s="1" t="s">
        <v>14970</v>
      </c>
      <c r="B1076" s="1" t="s">
        <v>14970</v>
      </c>
      <c r="C1076" s="1" t="s">
        <v>14971</v>
      </c>
      <c r="D1076" s="1" t="s">
        <v>14971</v>
      </c>
    </row>
    <row r="1077" spans="1:4" x14ac:dyDescent="0.15">
      <c r="A1077" s="1" t="s">
        <v>14974</v>
      </c>
      <c r="B1077" s="1" t="s">
        <v>14974</v>
      </c>
      <c r="C1077" s="1" t="s">
        <v>14975</v>
      </c>
      <c r="D1077" s="1" t="s">
        <v>14975</v>
      </c>
    </row>
    <row r="1078" spans="1:4" x14ac:dyDescent="0.15">
      <c r="A1078" s="1" t="s">
        <v>14978</v>
      </c>
      <c r="B1078" s="1" t="s">
        <v>14978</v>
      </c>
      <c r="C1078" s="1" t="s">
        <v>14979</v>
      </c>
      <c r="D1078" s="1" t="s">
        <v>14979</v>
      </c>
    </row>
    <row r="1079" spans="1:4" x14ac:dyDescent="0.15">
      <c r="A1079" s="1" t="s">
        <v>14982</v>
      </c>
      <c r="B1079" s="1" t="s">
        <v>14982</v>
      </c>
      <c r="C1079" s="1" t="s">
        <v>14983</v>
      </c>
      <c r="D1079" s="1" t="s">
        <v>14983</v>
      </c>
    </row>
    <row r="1080" spans="1:4" x14ac:dyDescent="0.15">
      <c r="A1080" s="1" t="s">
        <v>14986</v>
      </c>
      <c r="B1080" s="1" t="s">
        <v>7891</v>
      </c>
      <c r="C1080" s="1" t="s">
        <v>14987</v>
      </c>
      <c r="D1080" s="1" t="s">
        <v>6190</v>
      </c>
    </row>
    <row r="1081" spans="1:4" x14ac:dyDescent="0.15">
      <c r="A1081" s="1" t="s">
        <v>14990</v>
      </c>
      <c r="B1081" s="1" t="s">
        <v>14990</v>
      </c>
      <c r="C1081" s="1" t="s">
        <v>6191</v>
      </c>
      <c r="D1081" s="1" t="s">
        <v>6191</v>
      </c>
    </row>
    <row r="1082" spans="1:4" x14ac:dyDescent="0.15">
      <c r="A1082" s="1" t="s">
        <v>14994</v>
      </c>
      <c r="B1082" s="1" t="s">
        <v>14994</v>
      </c>
      <c r="C1082" s="1" t="s">
        <v>14995</v>
      </c>
      <c r="D1082" s="1" t="s">
        <v>14995</v>
      </c>
    </row>
    <row r="1083" spans="1:4" x14ac:dyDescent="0.15">
      <c r="B1083" s="1" t="s">
        <v>8993</v>
      </c>
      <c r="D1083" s="1" t="s">
        <v>6192</v>
      </c>
    </row>
    <row r="1084" spans="1:4" x14ac:dyDescent="0.15">
      <c r="A1084" s="1" t="s">
        <v>14998</v>
      </c>
      <c r="B1084" s="1" t="s">
        <v>14998</v>
      </c>
      <c r="C1084" s="1" t="s">
        <v>14999</v>
      </c>
      <c r="D1084" s="1" t="s">
        <v>14999</v>
      </c>
    </row>
    <row r="1085" spans="1:4" x14ac:dyDescent="0.15">
      <c r="A1085" s="1" t="s">
        <v>8998</v>
      </c>
      <c r="B1085" s="1" t="s">
        <v>8998</v>
      </c>
      <c r="C1085" s="1" t="s">
        <v>6193</v>
      </c>
      <c r="D1085" s="1" t="s">
        <v>6194</v>
      </c>
    </row>
    <row r="1086" spans="1:4" x14ac:dyDescent="0.15">
      <c r="A1086" s="1" t="s">
        <v>15006</v>
      </c>
      <c r="B1086" s="1" t="s">
        <v>15006</v>
      </c>
      <c r="C1086" s="1" t="s">
        <v>15007</v>
      </c>
      <c r="D1086" s="1" t="s">
        <v>6195</v>
      </c>
    </row>
    <row r="1087" spans="1:4" x14ac:dyDescent="0.15">
      <c r="A1087" s="1" t="s">
        <v>15010</v>
      </c>
      <c r="B1087" s="1" t="s">
        <v>15010</v>
      </c>
      <c r="C1087" s="1" t="s">
        <v>15011</v>
      </c>
      <c r="D1087" s="1" t="s">
        <v>15011</v>
      </c>
    </row>
    <row r="1088" spans="1:4" x14ac:dyDescent="0.15">
      <c r="A1088" s="1" t="s">
        <v>15014</v>
      </c>
      <c r="B1088" s="1" t="s">
        <v>15014</v>
      </c>
      <c r="C1088" s="1" t="s">
        <v>6196</v>
      </c>
      <c r="D1088" s="1" t="s">
        <v>6196</v>
      </c>
    </row>
    <row r="1089" spans="1:4" x14ac:dyDescent="0.15">
      <c r="A1089" s="1" t="s">
        <v>15018</v>
      </c>
      <c r="B1089" s="1" t="s">
        <v>15018</v>
      </c>
      <c r="C1089" s="1" t="s">
        <v>15019</v>
      </c>
      <c r="D1089" s="1" t="s">
        <v>15019</v>
      </c>
    </row>
    <row r="1090" spans="1:4" x14ac:dyDescent="0.15">
      <c r="B1090" s="1" t="s">
        <v>11258</v>
      </c>
      <c r="D1090" s="1" t="s">
        <v>6197</v>
      </c>
    </row>
    <row r="1091" spans="1:4" x14ac:dyDescent="0.15">
      <c r="B1091" s="1" t="s">
        <v>9009</v>
      </c>
      <c r="D1091" s="1" t="s">
        <v>6198</v>
      </c>
    </row>
    <row r="1092" spans="1:4" x14ac:dyDescent="0.15">
      <c r="A1092" s="1" t="s">
        <v>15022</v>
      </c>
      <c r="B1092" s="1" t="s">
        <v>15022</v>
      </c>
      <c r="C1092" s="1" t="s">
        <v>6199</v>
      </c>
      <c r="D1092" s="1" t="s">
        <v>6200</v>
      </c>
    </row>
    <row r="1093" spans="1:4" x14ac:dyDescent="0.15">
      <c r="A1093" s="1" t="s">
        <v>9016</v>
      </c>
      <c r="C1093" s="1" t="s">
        <v>15027</v>
      </c>
      <c r="D1093" s="1" t="s">
        <v>6584</v>
      </c>
    </row>
    <row r="1094" spans="1:4" x14ac:dyDescent="0.15">
      <c r="A1094" s="1" t="s">
        <v>15030</v>
      </c>
      <c r="B1094" s="1" t="s">
        <v>15090</v>
      </c>
      <c r="C1094" s="1" t="s">
        <v>15031</v>
      </c>
      <c r="D1094" s="1" t="s">
        <v>15087</v>
      </c>
    </row>
    <row r="1095" spans="1:4" x14ac:dyDescent="0.15">
      <c r="A1095" s="1" t="s">
        <v>15034</v>
      </c>
      <c r="B1095" s="1" t="s">
        <v>10408</v>
      </c>
      <c r="C1095" s="1" t="s">
        <v>15035</v>
      </c>
      <c r="D1095" s="1" t="s">
        <v>6201</v>
      </c>
    </row>
    <row r="1096" spans="1:4" x14ac:dyDescent="0.15">
      <c r="A1096" s="1" t="s">
        <v>15038</v>
      </c>
      <c r="B1096" s="1" t="s">
        <v>15006</v>
      </c>
      <c r="C1096" s="1" t="s">
        <v>6202</v>
      </c>
      <c r="D1096" s="1" t="s">
        <v>6195</v>
      </c>
    </row>
    <row r="1097" spans="1:4" x14ac:dyDescent="0.15">
      <c r="A1097" s="1" t="s">
        <v>12490</v>
      </c>
      <c r="B1097" s="1" t="s">
        <v>15090</v>
      </c>
      <c r="C1097" s="1" t="s">
        <v>6203</v>
      </c>
      <c r="D1097" s="1" t="s">
        <v>15087</v>
      </c>
    </row>
    <row r="1098" spans="1:4" x14ac:dyDescent="0.15">
      <c r="A1098" s="1" t="s">
        <v>10735</v>
      </c>
      <c r="B1098" s="1" t="s">
        <v>10735</v>
      </c>
      <c r="C1098" s="1" t="s">
        <v>15043</v>
      </c>
      <c r="D1098" s="1" t="s">
        <v>15043</v>
      </c>
    </row>
    <row r="1099" spans="1:4" x14ac:dyDescent="0.15">
      <c r="A1099" s="1" t="s">
        <v>15046</v>
      </c>
      <c r="B1099" s="1" t="s">
        <v>15046</v>
      </c>
      <c r="C1099" s="1" t="s">
        <v>15047</v>
      </c>
      <c r="D1099" s="1" t="s">
        <v>15047</v>
      </c>
    </row>
    <row r="1100" spans="1:4" x14ac:dyDescent="0.15">
      <c r="A1100" s="1" t="s">
        <v>15050</v>
      </c>
      <c r="B1100" s="1" t="s">
        <v>15050</v>
      </c>
      <c r="C1100" s="1" t="s">
        <v>6204</v>
      </c>
      <c r="D1100" s="1" t="s">
        <v>6205</v>
      </c>
    </row>
    <row r="1101" spans="1:4" x14ac:dyDescent="0.15">
      <c r="A1101" s="1" t="s">
        <v>15054</v>
      </c>
      <c r="B1101" s="1" t="s">
        <v>15054</v>
      </c>
      <c r="C1101" s="1" t="s">
        <v>15055</v>
      </c>
      <c r="D1101" s="1" t="s">
        <v>15055</v>
      </c>
    </row>
    <row r="1102" spans="1:4" x14ac:dyDescent="0.15">
      <c r="A1102" s="1" t="s">
        <v>15058</v>
      </c>
      <c r="B1102" s="1" t="s">
        <v>15058</v>
      </c>
      <c r="C1102" s="1" t="s">
        <v>6206</v>
      </c>
      <c r="D1102" s="1" t="s">
        <v>6206</v>
      </c>
    </row>
    <row r="1103" spans="1:4" x14ac:dyDescent="0.15">
      <c r="A1103" s="1" t="s">
        <v>15062</v>
      </c>
      <c r="B1103" s="1" t="s">
        <v>15062</v>
      </c>
      <c r="C1103" s="1" t="s">
        <v>15063</v>
      </c>
      <c r="D1103" s="1" t="s">
        <v>15063</v>
      </c>
    </row>
    <row r="1104" spans="1:4" x14ac:dyDescent="0.15">
      <c r="A1104" s="1" t="s">
        <v>15066</v>
      </c>
      <c r="B1104" s="1" t="s">
        <v>15066</v>
      </c>
      <c r="C1104" s="1" t="s">
        <v>15067</v>
      </c>
      <c r="D1104" s="1" t="s">
        <v>6207</v>
      </c>
    </row>
    <row r="1105" spans="1:4" x14ac:dyDescent="0.15">
      <c r="A1105" s="1" t="s">
        <v>15070</v>
      </c>
      <c r="B1105" s="1" t="s">
        <v>15070</v>
      </c>
      <c r="C1105" s="1" t="s">
        <v>6208</v>
      </c>
      <c r="D1105" s="1" t="s">
        <v>6208</v>
      </c>
    </row>
    <row r="1106" spans="1:4" x14ac:dyDescent="0.15">
      <c r="A1106" s="1" t="s">
        <v>15074</v>
      </c>
      <c r="B1106" s="1" t="s">
        <v>15074</v>
      </c>
      <c r="C1106" s="1" t="s">
        <v>15075</v>
      </c>
      <c r="D1106" s="1" t="s">
        <v>15075</v>
      </c>
    </row>
    <row r="1107" spans="1:4" x14ac:dyDescent="0.15">
      <c r="A1107" s="1" t="s">
        <v>15078</v>
      </c>
      <c r="B1107" s="1" t="s">
        <v>15078</v>
      </c>
      <c r="C1107" s="1" t="s">
        <v>6209</v>
      </c>
      <c r="D1107" s="1" t="s">
        <v>6209</v>
      </c>
    </row>
    <row r="1108" spans="1:4" x14ac:dyDescent="0.15">
      <c r="A1108" s="1" t="s">
        <v>15082</v>
      </c>
      <c r="B1108" s="1" t="s">
        <v>15082</v>
      </c>
      <c r="C1108" s="1" t="s">
        <v>15083</v>
      </c>
      <c r="D1108" s="1" t="s">
        <v>15083</v>
      </c>
    </row>
    <row r="1109" spans="1:4" x14ac:dyDescent="0.15">
      <c r="A1109" s="1" t="s">
        <v>9045</v>
      </c>
      <c r="B1109" s="1" t="s">
        <v>9045</v>
      </c>
      <c r="C1109" s="1" t="s">
        <v>15087</v>
      </c>
      <c r="D1109" s="1" t="s">
        <v>15087</v>
      </c>
    </row>
    <row r="1110" spans="1:4" x14ac:dyDescent="0.15">
      <c r="A1110" s="1" t="s">
        <v>15090</v>
      </c>
      <c r="B1110" s="1" t="s">
        <v>15090</v>
      </c>
      <c r="C1110" s="1" t="s">
        <v>15087</v>
      </c>
      <c r="D1110" s="1" t="s">
        <v>15087</v>
      </c>
    </row>
    <row r="1111" spans="1:4" x14ac:dyDescent="0.15">
      <c r="A1111" s="1" t="s">
        <v>10691</v>
      </c>
      <c r="B1111" s="1" t="s">
        <v>10691</v>
      </c>
      <c r="C1111" s="1" t="s">
        <v>6210</v>
      </c>
      <c r="D1111" s="1" t="s">
        <v>6211</v>
      </c>
    </row>
    <row r="1112" spans="1:4" x14ac:dyDescent="0.15">
      <c r="A1112" s="1" t="s">
        <v>9051</v>
      </c>
      <c r="B1112" s="1" t="s">
        <v>9051</v>
      </c>
      <c r="C1112" s="1" t="s">
        <v>6212</v>
      </c>
      <c r="D1112" s="1" t="s">
        <v>6213</v>
      </c>
    </row>
    <row r="1113" spans="1:4" x14ac:dyDescent="0.15">
      <c r="A1113" s="1" t="s">
        <v>15101</v>
      </c>
      <c r="B1113" s="1" t="s">
        <v>15101</v>
      </c>
      <c r="C1113" s="1" t="s">
        <v>15102</v>
      </c>
      <c r="D1113" s="1" t="s">
        <v>6213</v>
      </c>
    </row>
    <row r="1114" spans="1:4" x14ac:dyDescent="0.15">
      <c r="A1114" s="1" t="s">
        <v>9054</v>
      </c>
      <c r="B1114" s="1" t="s">
        <v>9054</v>
      </c>
      <c r="C1114" s="1" t="s">
        <v>6214</v>
      </c>
      <c r="D1114" s="1" t="s">
        <v>6215</v>
      </c>
    </row>
    <row r="1115" spans="1:4" x14ac:dyDescent="0.15">
      <c r="A1115" s="1" t="s">
        <v>15109</v>
      </c>
      <c r="B1115" s="1" t="s">
        <v>15109</v>
      </c>
      <c r="C1115" s="1" t="s">
        <v>15110</v>
      </c>
      <c r="D1115" s="1" t="s">
        <v>15110</v>
      </c>
    </row>
    <row r="1116" spans="1:4" x14ac:dyDescent="0.15">
      <c r="A1116" s="1" t="s">
        <v>15113</v>
      </c>
      <c r="B1116" s="1" t="s">
        <v>15113</v>
      </c>
      <c r="C1116" s="1" t="s">
        <v>15114</v>
      </c>
      <c r="D1116" s="1" t="s">
        <v>15114</v>
      </c>
    </row>
    <row r="1117" spans="1:4" x14ac:dyDescent="0.15">
      <c r="A1117" s="1" t="s">
        <v>15117</v>
      </c>
      <c r="B1117" s="1" t="s">
        <v>15117</v>
      </c>
      <c r="C1117" s="1" t="s">
        <v>6216</v>
      </c>
      <c r="D1117" s="1" t="s">
        <v>6217</v>
      </c>
    </row>
    <row r="1118" spans="1:4" x14ac:dyDescent="0.15">
      <c r="A1118" s="1" t="s">
        <v>9062</v>
      </c>
      <c r="B1118" s="1" t="s">
        <v>9062</v>
      </c>
      <c r="C1118" s="1" t="s">
        <v>15122</v>
      </c>
      <c r="D1118" s="1" t="s">
        <v>6218</v>
      </c>
    </row>
    <row r="1119" spans="1:4" x14ac:dyDescent="0.15">
      <c r="A1119" s="1" t="s">
        <v>15125</v>
      </c>
      <c r="B1119" s="1" t="s">
        <v>15125</v>
      </c>
      <c r="C1119" s="1" t="s">
        <v>15126</v>
      </c>
      <c r="D1119" s="1" t="s">
        <v>15126</v>
      </c>
    </row>
    <row r="1120" spans="1:4" x14ac:dyDescent="0.15">
      <c r="A1120" s="1" t="s">
        <v>15129</v>
      </c>
      <c r="B1120" s="1" t="s">
        <v>15129</v>
      </c>
      <c r="C1120" s="1" t="s">
        <v>15130</v>
      </c>
      <c r="D1120" s="1" t="s">
        <v>15130</v>
      </c>
    </row>
    <row r="1121" spans="1:4" x14ac:dyDescent="0.15">
      <c r="A1121" s="1" t="s">
        <v>9068</v>
      </c>
      <c r="B1121" s="1" t="s">
        <v>9068</v>
      </c>
      <c r="C1121" s="1" t="s">
        <v>15134</v>
      </c>
      <c r="D1121" s="1" t="s">
        <v>15138</v>
      </c>
    </row>
    <row r="1122" spans="1:4" x14ac:dyDescent="0.15">
      <c r="A1122" s="1" t="s">
        <v>15137</v>
      </c>
      <c r="B1122" s="1" t="s">
        <v>15137</v>
      </c>
      <c r="C1122" s="1" t="s">
        <v>15138</v>
      </c>
      <c r="D1122" s="1" t="s">
        <v>15138</v>
      </c>
    </row>
    <row r="1123" spans="1:4" x14ac:dyDescent="0.15">
      <c r="A1123" s="1" t="s">
        <v>10920</v>
      </c>
      <c r="B1123" s="1" t="s">
        <v>10920</v>
      </c>
      <c r="C1123" s="1" t="s">
        <v>6219</v>
      </c>
      <c r="D1123" s="1" t="s">
        <v>6219</v>
      </c>
    </row>
    <row r="1124" spans="1:4" x14ac:dyDescent="0.15">
      <c r="A1124" s="1" t="s">
        <v>9073</v>
      </c>
      <c r="B1124" s="1" t="s">
        <v>9073</v>
      </c>
      <c r="C1124" s="1" t="s">
        <v>15141</v>
      </c>
      <c r="D1124" s="1" t="s">
        <v>14577</v>
      </c>
    </row>
    <row r="1125" spans="1:4" x14ac:dyDescent="0.15">
      <c r="A1125" s="1" t="s">
        <v>14580</v>
      </c>
      <c r="B1125" s="1" t="s">
        <v>14580</v>
      </c>
      <c r="C1125" s="1" t="s">
        <v>14577</v>
      </c>
      <c r="D1125" s="1" t="s">
        <v>14577</v>
      </c>
    </row>
    <row r="1126" spans="1:4" x14ac:dyDescent="0.15">
      <c r="A1126" s="1" t="s">
        <v>9076</v>
      </c>
      <c r="B1126" s="1" t="s">
        <v>9076</v>
      </c>
      <c r="C1126" s="1" t="s">
        <v>14584</v>
      </c>
      <c r="D1126" s="1" t="s">
        <v>14584</v>
      </c>
    </row>
    <row r="1127" spans="1:4" x14ac:dyDescent="0.15">
      <c r="A1127" s="1" t="s">
        <v>14587</v>
      </c>
      <c r="B1127" s="1" t="s">
        <v>14587</v>
      </c>
      <c r="C1127" s="1" t="s">
        <v>14584</v>
      </c>
      <c r="D1127" s="1" t="s">
        <v>14584</v>
      </c>
    </row>
    <row r="1128" spans="1:4" x14ac:dyDescent="0.15">
      <c r="A1128" s="1" t="s">
        <v>9080</v>
      </c>
      <c r="B1128" s="1" t="s">
        <v>9080</v>
      </c>
      <c r="C1128" s="1" t="s">
        <v>6220</v>
      </c>
      <c r="D1128" s="1" t="s">
        <v>6220</v>
      </c>
    </row>
    <row r="1129" spans="1:4" x14ac:dyDescent="0.15">
      <c r="A1129" s="1" t="s">
        <v>17308</v>
      </c>
      <c r="B1129" s="1" t="s">
        <v>17308</v>
      </c>
      <c r="C1129" s="1" t="s">
        <v>6220</v>
      </c>
      <c r="D1129" s="1" t="s">
        <v>6220</v>
      </c>
    </row>
    <row r="1130" spans="1:4" x14ac:dyDescent="0.15">
      <c r="A1130" s="1" t="s">
        <v>10587</v>
      </c>
      <c r="B1130" s="1" t="s">
        <v>10587</v>
      </c>
      <c r="C1130" s="1" t="s">
        <v>17312</v>
      </c>
      <c r="D1130" s="1" t="s">
        <v>17312</v>
      </c>
    </row>
    <row r="1131" spans="1:4" x14ac:dyDescent="0.15">
      <c r="A1131" s="1" t="s">
        <v>17315</v>
      </c>
      <c r="B1131" s="1" t="s">
        <v>17315</v>
      </c>
      <c r="C1131" s="1" t="s">
        <v>17312</v>
      </c>
      <c r="D1131" s="1" t="s">
        <v>17312</v>
      </c>
    </row>
    <row r="1132" spans="1:4" x14ac:dyDescent="0.15">
      <c r="B1132" s="1" t="s">
        <v>10594</v>
      </c>
      <c r="D1132" s="1" t="s">
        <v>6221</v>
      </c>
    </row>
    <row r="1133" spans="1:4" x14ac:dyDescent="0.15">
      <c r="B1133" s="1" t="s">
        <v>10597</v>
      </c>
      <c r="D1133" s="1" t="s">
        <v>6221</v>
      </c>
    </row>
    <row r="1134" spans="1:4" x14ac:dyDescent="0.15">
      <c r="A1134" s="1" t="s">
        <v>10599</v>
      </c>
      <c r="B1134" s="1" t="s">
        <v>10599</v>
      </c>
      <c r="C1134" s="1" t="s">
        <v>17319</v>
      </c>
      <c r="D1134" s="1" t="s">
        <v>17319</v>
      </c>
    </row>
    <row r="1135" spans="1:4" x14ac:dyDescent="0.15">
      <c r="A1135" s="1" t="s">
        <v>17322</v>
      </c>
      <c r="B1135" s="1" t="s">
        <v>17322</v>
      </c>
      <c r="C1135" s="1" t="s">
        <v>17319</v>
      </c>
      <c r="D1135" s="1" t="s">
        <v>17319</v>
      </c>
    </row>
    <row r="1136" spans="1:4" x14ac:dyDescent="0.15">
      <c r="A1136" s="1" t="s">
        <v>11076</v>
      </c>
      <c r="B1136" s="1" t="s">
        <v>11076</v>
      </c>
      <c r="C1136" s="1" t="s">
        <v>6222</v>
      </c>
      <c r="D1136" s="1" t="s">
        <v>6222</v>
      </c>
    </row>
    <row r="1137" spans="1:4" x14ac:dyDescent="0.15">
      <c r="A1137" s="1" t="s">
        <v>17329</v>
      </c>
      <c r="B1137" s="1" t="s">
        <v>17329</v>
      </c>
      <c r="C1137" s="1" t="s">
        <v>6222</v>
      </c>
      <c r="D1137" s="1" t="s">
        <v>6222</v>
      </c>
    </row>
    <row r="1138" spans="1:4" x14ac:dyDescent="0.15">
      <c r="A1138" s="1" t="s">
        <v>11082</v>
      </c>
      <c r="B1138" s="1" t="s">
        <v>11082</v>
      </c>
      <c r="C1138" s="1" t="s">
        <v>17333</v>
      </c>
      <c r="D1138" s="1" t="s">
        <v>17333</v>
      </c>
    </row>
    <row r="1139" spans="1:4" x14ac:dyDescent="0.15">
      <c r="A1139" s="1" t="s">
        <v>17336</v>
      </c>
      <c r="B1139" s="1" t="s">
        <v>17336</v>
      </c>
      <c r="C1139" s="1" t="s">
        <v>17333</v>
      </c>
      <c r="D1139" s="1" t="s">
        <v>17333</v>
      </c>
    </row>
    <row r="1140" spans="1:4" x14ac:dyDescent="0.15">
      <c r="A1140" s="1" t="s">
        <v>11086</v>
      </c>
      <c r="B1140" s="1" t="s">
        <v>11086</v>
      </c>
      <c r="C1140" s="1" t="s">
        <v>6223</v>
      </c>
      <c r="D1140" s="1" t="s">
        <v>6223</v>
      </c>
    </row>
    <row r="1141" spans="1:4" x14ac:dyDescent="0.15">
      <c r="A1141" s="1" t="s">
        <v>17343</v>
      </c>
      <c r="B1141" s="1" t="s">
        <v>17343</v>
      </c>
      <c r="C1141" s="1" t="s">
        <v>6223</v>
      </c>
      <c r="D1141" s="1" t="s">
        <v>6223</v>
      </c>
    </row>
    <row r="1142" spans="1:4" x14ac:dyDescent="0.15">
      <c r="B1142" s="1" t="s">
        <v>9084</v>
      </c>
      <c r="D1142" s="1" t="s">
        <v>6224</v>
      </c>
    </row>
    <row r="1143" spans="1:4" x14ac:dyDescent="0.15">
      <c r="B1143" s="1" t="s">
        <v>9087</v>
      </c>
      <c r="D1143" s="1" t="s">
        <v>6225</v>
      </c>
    </row>
    <row r="1144" spans="1:4" x14ac:dyDescent="0.15">
      <c r="A1144" s="1" t="s">
        <v>9092</v>
      </c>
      <c r="B1144" s="1" t="s">
        <v>9092</v>
      </c>
      <c r="C1144" s="1" t="s">
        <v>17354</v>
      </c>
      <c r="D1144" s="1" t="s">
        <v>17354</v>
      </c>
    </row>
    <row r="1145" spans="1:4" x14ac:dyDescent="0.15">
      <c r="A1145" s="1" t="s">
        <v>17357</v>
      </c>
      <c r="B1145" s="1" t="s">
        <v>17357</v>
      </c>
      <c r="C1145" s="1" t="s">
        <v>17354</v>
      </c>
      <c r="D1145" s="1" t="s">
        <v>17354</v>
      </c>
    </row>
    <row r="1146" spans="1:4" x14ac:dyDescent="0.15">
      <c r="A1146" s="1" t="s">
        <v>9096</v>
      </c>
      <c r="B1146" s="1" t="s">
        <v>9096</v>
      </c>
      <c r="C1146" s="1" t="s">
        <v>17361</v>
      </c>
      <c r="D1146" s="1" t="s">
        <v>17361</v>
      </c>
    </row>
    <row r="1147" spans="1:4" x14ac:dyDescent="0.15">
      <c r="A1147" s="1" t="s">
        <v>9089</v>
      </c>
      <c r="B1147" s="1" t="s">
        <v>9089</v>
      </c>
      <c r="C1147" s="1" t="s">
        <v>17347</v>
      </c>
      <c r="D1147" s="1" t="s">
        <v>17347</v>
      </c>
    </row>
    <row r="1148" spans="1:4" x14ac:dyDescent="0.15">
      <c r="A1148" s="1" t="s">
        <v>17350</v>
      </c>
      <c r="B1148" s="1" t="s">
        <v>17350</v>
      </c>
      <c r="C1148" s="1" t="s">
        <v>17347</v>
      </c>
      <c r="D1148" s="1" t="s">
        <v>17347</v>
      </c>
    </row>
    <row r="1149" spans="1:4" x14ac:dyDescent="0.15">
      <c r="A1149" s="1" t="s">
        <v>17364</v>
      </c>
      <c r="B1149" s="1" t="s">
        <v>17364</v>
      </c>
      <c r="C1149" s="1" t="s">
        <v>17361</v>
      </c>
      <c r="D1149" s="1" t="s">
        <v>17361</v>
      </c>
    </row>
    <row r="1150" spans="1:4" x14ac:dyDescent="0.15">
      <c r="B1150" s="1" t="s">
        <v>9104</v>
      </c>
      <c r="D1150" s="1" t="s">
        <v>6226</v>
      </c>
    </row>
    <row r="1151" spans="1:4" x14ac:dyDescent="0.15">
      <c r="B1151" s="1" t="s">
        <v>9178</v>
      </c>
      <c r="D1151" s="1" t="s">
        <v>6227</v>
      </c>
    </row>
    <row r="1152" spans="1:4" x14ac:dyDescent="0.15">
      <c r="B1152" s="1" t="s">
        <v>9107</v>
      </c>
      <c r="D1152" s="1" t="s">
        <v>6228</v>
      </c>
    </row>
    <row r="1153" spans="1:4" x14ac:dyDescent="0.15">
      <c r="B1153" s="1" t="s">
        <v>11080</v>
      </c>
      <c r="D1153" s="1" t="s">
        <v>6229</v>
      </c>
    </row>
    <row r="1154" spans="1:4" x14ac:dyDescent="0.15">
      <c r="B1154" s="1" t="s">
        <v>9110</v>
      </c>
      <c r="D1154" s="1" t="s">
        <v>6230</v>
      </c>
    </row>
    <row r="1155" spans="1:4" x14ac:dyDescent="0.15">
      <c r="B1155" s="1" t="s">
        <v>9113</v>
      </c>
      <c r="D1155" s="1" t="s">
        <v>6231</v>
      </c>
    </row>
    <row r="1156" spans="1:4" x14ac:dyDescent="0.15">
      <c r="B1156" s="1" t="s">
        <v>9115</v>
      </c>
      <c r="D1156" s="1" t="s">
        <v>6232</v>
      </c>
    </row>
    <row r="1157" spans="1:4" x14ac:dyDescent="0.15">
      <c r="B1157" s="1" t="s">
        <v>9225</v>
      </c>
      <c r="D1157" s="1" t="s">
        <v>6233</v>
      </c>
    </row>
    <row r="1158" spans="1:4" x14ac:dyDescent="0.15">
      <c r="B1158" s="1" t="s">
        <v>9118</v>
      </c>
      <c r="D1158" s="1" t="s">
        <v>6234</v>
      </c>
    </row>
    <row r="1159" spans="1:4" x14ac:dyDescent="0.15">
      <c r="B1159" s="1" t="s">
        <v>9121</v>
      </c>
      <c r="D1159" s="1" t="s">
        <v>6235</v>
      </c>
    </row>
    <row r="1160" spans="1:4" x14ac:dyDescent="0.15">
      <c r="B1160" s="1" t="s">
        <v>9124</v>
      </c>
      <c r="D1160" s="1" t="s">
        <v>6236</v>
      </c>
    </row>
    <row r="1161" spans="1:4" x14ac:dyDescent="0.15">
      <c r="B1161" s="1" t="s">
        <v>9127</v>
      </c>
      <c r="D1161" s="1" t="s">
        <v>6236</v>
      </c>
    </row>
    <row r="1162" spans="1:4" x14ac:dyDescent="0.15">
      <c r="B1162" s="1" t="s">
        <v>9129</v>
      </c>
      <c r="D1162" s="1" t="s">
        <v>6237</v>
      </c>
    </row>
    <row r="1163" spans="1:4" x14ac:dyDescent="0.15">
      <c r="B1163" s="1" t="s">
        <v>10061</v>
      </c>
      <c r="D1163" s="1" t="s">
        <v>6237</v>
      </c>
    </row>
    <row r="1164" spans="1:4" x14ac:dyDescent="0.15">
      <c r="B1164" s="1" t="s">
        <v>9132</v>
      </c>
      <c r="D1164" s="1" t="s">
        <v>6238</v>
      </c>
    </row>
    <row r="1165" spans="1:4" x14ac:dyDescent="0.15">
      <c r="B1165" s="1" t="s">
        <v>9135</v>
      </c>
      <c r="D1165" s="1" t="s">
        <v>6238</v>
      </c>
    </row>
    <row r="1166" spans="1:4" x14ac:dyDescent="0.15">
      <c r="A1166" s="1" t="s">
        <v>9137</v>
      </c>
      <c r="B1166" s="1" t="s">
        <v>9137</v>
      </c>
      <c r="C1166" s="1" t="s">
        <v>17368</v>
      </c>
      <c r="D1166" s="1" t="s">
        <v>17368</v>
      </c>
    </row>
    <row r="1167" spans="1:4" x14ac:dyDescent="0.15">
      <c r="A1167" s="1" t="s">
        <v>17371</v>
      </c>
      <c r="B1167" s="1" t="s">
        <v>17371</v>
      </c>
      <c r="C1167" s="1" t="s">
        <v>17368</v>
      </c>
      <c r="D1167" s="1" t="s">
        <v>17368</v>
      </c>
    </row>
    <row r="1168" spans="1:4" x14ac:dyDescent="0.15">
      <c r="A1168" s="1" t="s">
        <v>10694</v>
      </c>
      <c r="B1168" s="1" t="s">
        <v>10694</v>
      </c>
      <c r="C1168" s="1" t="s">
        <v>6239</v>
      </c>
      <c r="D1168" s="1" t="s">
        <v>6240</v>
      </c>
    </row>
    <row r="1169" spans="1:4" x14ac:dyDescent="0.15">
      <c r="A1169" s="1" t="s">
        <v>8743</v>
      </c>
      <c r="B1169" s="1" t="s">
        <v>8743</v>
      </c>
      <c r="C1169" s="1" t="s">
        <v>6241</v>
      </c>
      <c r="D1169" s="1" t="s">
        <v>6241</v>
      </c>
    </row>
    <row r="1170" spans="1:4" x14ac:dyDescent="0.15">
      <c r="A1170" s="1" t="s">
        <v>16842</v>
      </c>
      <c r="B1170" s="1" t="s">
        <v>16842</v>
      </c>
      <c r="C1170" s="1" t="s">
        <v>16843</v>
      </c>
      <c r="D1170" s="1" t="s">
        <v>6242</v>
      </c>
    </row>
    <row r="1171" spans="1:4" x14ac:dyDescent="0.15">
      <c r="A1171" s="1" t="s">
        <v>14590</v>
      </c>
      <c r="B1171" s="1" t="s">
        <v>14590</v>
      </c>
      <c r="C1171" s="1" t="s">
        <v>14591</v>
      </c>
      <c r="D1171" s="1" t="s">
        <v>14591</v>
      </c>
    </row>
    <row r="1172" spans="1:4" x14ac:dyDescent="0.15">
      <c r="A1172" s="1" t="s">
        <v>14594</v>
      </c>
      <c r="B1172" s="1" t="s">
        <v>14594</v>
      </c>
      <c r="C1172" s="1" t="s">
        <v>14595</v>
      </c>
      <c r="D1172" s="1" t="s">
        <v>6243</v>
      </c>
    </row>
    <row r="1173" spans="1:4" x14ac:dyDescent="0.15">
      <c r="A1173" s="1" t="s">
        <v>14598</v>
      </c>
      <c r="B1173" s="1" t="s">
        <v>14598</v>
      </c>
      <c r="C1173" s="1" t="s">
        <v>14599</v>
      </c>
      <c r="D1173" s="1" t="s">
        <v>6244</v>
      </c>
    </row>
    <row r="1174" spans="1:4" x14ac:dyDescent="0.15">
      <c r="A1174" s="1" t="s">
        <v>14602</v>
      </c>
      <c r="B1174" s="1" t="s">
        <v>14602</v>
      </c>
      <c r="C1174" s="1" t="s">
        <v>14603</v>
      </c>
      <c r="D1174" s="1" t="s">
        <v>6245</v>
      </c>
    </row>
    <row r="1175" spans="1:4" x14ac:dyDescent="0.15">
      <c r="A1175" s="1" t="s">
        <v>14606</v>
      </c>
      <c r="B1175" s="1" t="s">
        <v>14606</v>
      </c>
      <c r="C1175" s="1" t="s">
        <v>6246</v>
      </c>
      <c r="D1175" s="1" t="s">
        <v>6246</v>
      </c>
    </row>
    <row r="1176" spans="1:4" x14ac:dyDescent="0.15">
      <c r="B1176" s="1" t="s">
        <v>8760</v>
      </c>
      <c r="D1176" s="1" t="s">
        <v>6247</v>
      </c>
    </row>
    <row r="1177" spans="1:4" x14ac:dyDescent="0.15">
      <c r="B1177" s="1" t="s">
        <v>8763</v>
      </c>
      <c r="D1177" s="1" t="s">
        <v>6248</v>
      </c>
    </row>
    <row r="1178" spans="1:4" x14ac:dyDescent="0.15">
      <c r="B1178" s="1" t="s">
        <v>8766</v>
      </c>
      <c r="D1178" s="1" t="s">
        <v>6249</v>
      </c>
    </row>
    <row r="1179" spans="1:4" x14ac:dyDescent="0.15">
      <c r="B1179" s="1" t="s">
        <v>8769</v>
      </c>
      <c r="D1179" s="1" t="s">
        <v>6250</v>
      </c>
    </row>
    <row r="1180" spans="1:4" x14ac:dyDescent="0.15">
      <c r="A1180" s="1" t="s">
        <v>14610</v>
      </c>
      <c r="B1180" s="1" t="s">
        <v>14610</v>
      </c>
      <c r="C1180" s="1" t="s">
        <v>6251</v>
      </c>
      <c r="D1180" s="1" t="s">
        <v>6252</v>
      </c>
    </row>
    <row r="1181" spans="1:4" x14ac:dyDescent="0.15">
      <c r="A1181" s="1" t="s">
        <v>8774</v>
      </c>
      <c r="B1181" s="1" t="s">
        <v>8774</v>
      </c>
      <c r="C1181" s="1" t="s">
        <v>14615</v>
      </c>
      <c r="D1181" s="1" t="s">
        <v>14615</v>
      </c>
    </row>
    <row r="1182" spans="1:4" x14ac:dyDescent="0.15">
      <c r="A1182" s="1" t="s">
        <v>14618</v>
      </c>
      <c r="B1182" s="1" t="s">
        <v>14618</v>
      </c>
      <c r="C1182" s="1" t="s">
        <v>6253</v>
      </c>
      <c r="D1182" s="1" t="s">
        <v>6253</v>
      </c>
    </row>
    <row r="1183" spans="1:4" x14ac:dyDescent="0.15">
      <c r="A1183" s="1" t="s">
        <v>14622</v>
      </c>
      <c r="B1183" s="1" t="s">
        <v>14622</v>
      </c>
      <c r="C1183" s="1" t="s">
        <v>14623</v>
      </c>
      <c r="D1183" s="1" t="s">
        <v>14623</v>
      </c>
    </row>
    <row r="1184" spans="1:4" x14ac:dyDescent="0.15">
      <c r="A1184" s="1" t="s">
        <v>14626</v>
      </c>
      <c r="B1184" s="1" t="s">
        <v>14626</v>
      </c>
      <c r="C1184" s="1" t="s">
        <v>14627</v>
      </c>
      <c r="D1184" s="1" t="s">
        <v>14627</v>
      </c>
    </row>
    <row r="1185" spans="1:4" x14ac:dyDescent="0.15">
      <c r="A1185" s="1" t="s">
        <v>14630</v>
      </c>
      <c r="B1185" s="1" t="s">
        <v>14630</v>
      </c>
      <c r="C1185" s="1" t="s">
        <v>14631</v>
      </c>
      <c r="D1185" s="1" t="s">
        <v>14631</v>
      </c>
    </row>
    <row r="1186" spans="1:4" x14ac:dyDescent="0.15">
      <c r="A1186" s="1" t="s">
        <v>8785</v>
      </c>
      <c r="B1186" s="1" t="s">
        <v>8785</v>
      </c>
      <c r="C1186" s="1" t="s">
        <v>14635</v>
      </c>
      <c r="D1186" s="1" t="s">
        <v>6254</v>
      </c>
    </row>
    <row r="1187" spans="1:4" x14ac:dyDescent="0.15">
      <c r="A1187" s="1" t="s">
        <v>14638</v>
      </c>
      <c r="B1187" s="1" t="s">
        <v>14638</v>
      </c>
      <c r="C1187" s="1" t="s">
        <v>14635</v>
      </c>
      <c r="D1187" s="1" t="s">
        <v>6254</v>
      </c>
    </row>
    <row r="1188" spans="1:4" x14ac:dyDescent="0.15">
      <c r="B1188" s="1" t="s">
        <v>8792</v>
      </c>
      <c r="D1188" s="1" t="s">
        <v>6255</v>
      </c>
    </row>
    <row r="1189" spans="1:4" x14ac:dyDescent="0.15">
      <c r="B1189" s="1" t="s">
        <v>14642</v>
      </c>
      <c r="D1189" s="1" t="s">
        <v>6256</v>
      </c>
    </row>
    <row r="1190" spans="1:4" x14ac:dyDescent="0.15">
      <c r="A1190" s="1" t="s">
        <v>8800</v>
      </c>
      <c r="B1190" s="1" t="s">
        <v>8800</v>
      </c>
      <c r="C1190" s="1" t="s">
        <v>14654</v>
      </c>
      <c r="D1190" s="1" t="s">
        <v>14654</v>
      </c>
    </row>
    <row r="1191" spans="1:4" x14ac:dyDescent="0.15">
      <c r="A1191" s="1" t="s">
        <v>14657</v>
      </c>
      <c r="B1191" s="1" t="s">
        <v>14657</v>
      </c>
      <c r="C1191" s="1" t="s">
        <v>14654</v>
      </c>
      <c r="D1191" s="1" t="s">
        <v>14654</v>
      </c>
    </row>
    <row r="1192" spans="1:4" x14ac:dyDescent="0.15">
      <c r="A1192" s="1" t="s">
        <v>8804</v>
      </c>
      <c r="B1192" s="1" t="s">
        <v>8804</v>
      </c>
      <c r="C1192" s="1" t="s">
        <v>14661</v>
      </c>
      <c r="D1192" s="1" t="s">
        <v>14661</v>
      </c>
    </row>
    <row r="1193" spans="1:4" x14ac:dyDescent="0.15">
      <c r="A1193" s="1" t="s">
        <v>8789</v>
      </c>
      <c r="B1193" s="1" t="s">
        <v>8789</v>
      </c>
      <c r="C1193" s="1" t="s">
        <v>6257</v>
      </c>
      <c r="D1193" s="1" t="s">
        <v>6258</v>
      </c>
    </row>
    <row r="1194" spans="1:4" x14ac:dyDescent="0.15">
      <c r="A1194" s="1" t="s">
        <v>8796</v>
      </c>
      <c r="B1194" s="1" t="s">
        <v>8796</v>
      </c>
      <c r="C1194" s="1" t="s">
        <v>6259</v>
      </c>
      <c r="D1194" s="1" t="s">
        <v>6260</v>
      </c>
    </row>
    <row r="1195" spans="1:4" x14ac:dyDescent="0.15">
      <c r="A1195" s="1" t="s">
        <v>14650</v>
      </c>
      <c r="B1195" s="1" t="s">
        <v>14650</v>
      </c>
      <c r="C1195" s="1" t="s">
        <v>6259</v>
      </c>
      <c r="D1195" s="1" t="s">
        <v>6260</v>
      </c>
    </row>
    <row r="1196" spans="1:4" x14ac:dyDescent="0.15">
      <c r="A1196" s="1" t="s">
        <v>14664</v>
      </c>
      <c r="B1196" s="1" t="s">
        <v>14664</v>
      </c>
      <c r="C1196" s="1" t="s">
        <v>14661</v>
      </c>
      <c r="D1196" s="1" t="s">
        <v>14661</v>
      </c>
    </row>
    <row r="1197" spans="1:4" x14ac:dyDescent="0.15">
      <c r="A1197" s="1" t="s">
        <v>10070</v>
      </c>
      <c r="B1197" s="1" t="s">
        <v>10070</v>
      </c>
      <c r="C1197" s="1" t="s">
        <v>14668</v>
      </c>
      <c r="D1197" s="1" t="s">
        <v>14668</v>
      </c>
    </row>
    <row r="1198" spans="1:4" x14ac:dyDescent="0.15">
      <c r="A1198" s="1" t="s">
        <v>14671</v>
      </c>
      <c r="B1198" s="1" t="s">
        <v>14671</v>
      </c>
      <c r="C1198" s="1" t="s">
        <v>14668</v>
      </c>
      <c r="D1198" s="1" t="s">
        <v>14668</v>
      </c>
    </row>
    <row r="1199" spans="1:4" x14ac:dyDescent="0.15">
      <c r="B1199" s="1" t="s">
        <v>12515</v>
      </c>
      <c r="D1199" s="1" t="s">
        <v>6261</v>
      </c>
    </row>
    <row r="1200" spans="1:4" x14ac:dyDescent="0.15">
      <c r="B1200" s="1" t="s">
        <v>12518</v>
      </c>
      <c r="D1200" s="1" t="s">
        <v>6262</v>
      </c>
    </row>
    <row r="1201" spans="1:4" x14ac:dyDescent="0.15">
      <c r="A1201" s="1" t="s">
        <v>8813</v>
      </c>
      <c r="B1201" s="1" t="s">
        <v>8813</v>
      </c>
      <c r="C1201" s="1" t="s">
        <v>6263</v>
      </c>
      <c r="D1201" s="1" t="s">
        <v>6264</v>
      </c>
    </row>
    <row r="1202" spans="1:4" x14ac:dyDescent="0.15">
      <c r="A1202" s="1" t="s">
        <v>11561</v>
      </c>
      <c r="B1202" s="1" t="s">
        <v>11561</v>
      </c>
      <c r="C1202" s="1" t="s">
        <v>6265</v>
      </c>
      <c r="D1202" s="1" t="s">
        <v>6266</v>
      </c>
    </row>
    <row r="1203" spans="1:4" x14ac:dyDescent="0.15">
      <c r="A1203" s="1" t="s">
        <v>8818</v>
      </c>
      <c r="B1203" s="1" t="s">
        <v>8818</v>
      </c>
      <c r="C1203" s="1" t="s">
        <v>14687</v>
      </c>
      <c r="D1203" s="1" t="s">
        <v>14687</v>
      </c>
    </row>
    <row r="1204" spans="1:4" x14ac:dyDescent="0.15">
      <c r="A1204" s="1" t="s">
        <v>14690</v>
      </c>
      <c r="B1204" s="1" t="s">
        <v>14690</v>
      </c>
      <c r="C1204" s="1" t="s">
        <v>14687</v>
      </c>
      <c r="D1204" s="1" t="s">
        <v>14687</v>
      </c>
    </row>
    <row r="1205" spans="1:4" x14ac:dyDescent="0.15">
      <c r="A1205" s="1" t="s">
        <v>8821</v>
      </c>
      <c r="B1205" s="1" t="s">
        <v>8821</v>
      </c>
      <c r="C1205" s="1" t="s">
        <v>14694</v>
      </c>
      <c r="D1205" s="1" t="s">
        <v>14694</v>
      </c>
    </row>
    <row r="1206" spans="1:4" x14ac:dyDescent="0.15">
      <c r="A1206" s="1" t="s">
        <v>14678</v>
      </c>
      <c r="B1206" s="1" t="s">
        <v>14678</v>
      </c>
      <c r="C1206" s="1" t="s">
        <v>6263</v>
      </c>
      <c r="D1206" s="1" t="s">
        <v>6264</v>
      </c>
    </row>
    <row r="1207" spans="1:4" x14ac:dyDescent="0.15">
      <c r="A1207" s="1" t="s">
        <v>14697</v>
      </c>
      <c r="B1207" s="1" t="s">
        <v>14697</v>
      </c>
      <c r="C1207" s="1" t="s">
        <v>14694</v>
      </c>
      <c r="D1207" s="1" t="s">
        <v>14694</v>
      </c>
    </row>
    <row r="1208" spans="1:4" x14ac:dyDescent="0.15">
      <c r="B1208" s="1" t="s">
        <v>8824</v>
      </c>
      <c r="D1208" s="1" t="s">
        <v>6267</v>
      </c>
    </row>
    <row r="1209" spans="1:4" x14ac:dyDescent="0.15">
      <c r="B1209" s="1" t="s">
        <v>8827</v>
      </c>
      <c r="D1209" s="1" t="s">
        <v>6268</v>
      </c>
    </row>
    <row r="1210" spans="1:4" x14ac:dyDescent="0.15">
      <c r="A1210" s="1" t="s">
        <v>8830</v>
      </c>
      <c r="B1210" s="1" t="s">
        <v>8830</v>
      </c>
      <c r="C1210" s="1" t="s">
        <v>14701</v>
      </c>
      <c r="D1210" s="1" t="s">
        <v>14701</v>
      </c>
    </row>
    <row r="1211" spans="1:4" x14ac:dyDescent="0.15">
      <c r="A1211" s="1" t="s">
        <v>14704</v>
      </c>
      <c r="B1211" s="1" t="s">
        <v>14704</v>
      </c>
      <c r="C1211" s="1" t="s">
        <v>14701</v>
      </c>
      <c r="D1211" s="1" t="s">
        <v>14701</v>
      </c>
    </row>
    <row r="1212" spans="1:4" x14ac:dyDescent="0.15">
      <c r="A1212" s="1" t="s">
        <v>8746</v>
      </c>
      <c r="B1212" s="1" t="s">
        <v>8746</v>
      </c>
      <c r="C1212" s="1" t="s">
        <v>14708</v>
      </c>
      <c r="D1212" s="1" t="s">
        <v>14708</v>
      </c>
    </row>
    <row r="1213" spans="1:4" x14ac:dyDescent="0.15">
      <c r="A1213" s="1" t="s">
        <v>14711</v>
      </c>
      <c r="B1213" s="1" t="s">
        <v>14711</v>
      </c>
      <c r="C1213" s="1" t="s">
        <v>14708</v>
      </c>
      <c r="D1213" s="1" t="s">
        <v>14708</v>
      </c>
    </row>
    <row r="1214" spans="1:4" x14ac:dyDescent="0.15">
      <c r="A1214" s="1" t="s">
        <v>8836</v>
      </c>
      <c r="B1214" s="1" t="s">
        <v>8836</v>
      </c>
      <c r="C1214" s="1" t="s">
        <v>6269</v>
      </c>
      <c r="D1214" s="1" t="s">
        <v>6270</v>
      </c>
    </row>
    <row r="1215" spans="1:4" x14ac:dyDescent="0.15">
      <c r="A1215" s="1" t="s">
        <v>14718</v>
      </c>
      <c r="B1215" s="1" t="s">
        <v>14718</v>
      </c>
      <c r="C1215" s="1" t="s">
        <v>6269</v>
      </c>
      <c r="D1215" s="1" t="s">
        <v>6270</v>
      </c>
    </row>
    <row r="1216" spans="1:4" x14ac:dyDescent="0.15">
      <c r="A1216" s="1" t="s">
        <v>8840</v>
      </c>
      <c r="B1216" s="1" t="s">
        <v>8840</v>
      </c>
      <c r="C1216" s="1" t="s">
        <v>14722</v>
      </c>
      <c r="D1216" s="1" t="s">
        <v>14722</v>
      </c>
    </row>
    <row r="1217" spans="1:4" x14ac:dyDescent="0.15">
      <c r="A1217" s="1" t="s">
        <v>14725</v>
      </c>
      <c r="B1217" s="1" t="s">
        <v>14725</v>
      </c>
      <c r="C1217" s="1" t="s">
        <v>14726</v>
      </c>
      <c r="D1217" s="1" t="s">
        <v>14726</v>
      </c>
    </row>
    <row r="1218" spans="1:4" x14ac:dyDescent="0.15">
      <c r="A1218" s="1" t="s">
        <v>14729</v>
      </c>
      <c r="B1218" s="1" t="s">
        <v>14729</v>
      </c>
      <c r="C1218" s="1" t="s">
        <v>6271</v>
      </c>
      <c r="D1218" s="1" t="s">
        <v>6272</v>
      </c>
    </row>
    <row r="1219" spans="1:4" x14ac:dyDescent="0.15">
      <c r="A1219" s="1" t="s">
        <v>8894</v>
      </c>
      <c r="B1219" s="1" t="s">
        <v>8894</v>
      </c>
      <c r="C1219" s="1" t="s">
        <v>6273</v>
      </c>
      <c r="D1219" s="1" t="s">
        <v>14830</v>
      </c>
    </row>
    <row r="1220" spans="1:4" x14ac:dyDescent="0.15">
      <c r="A1220" s="1" t="s">
        <v>14829</v>
      </c>
      <c r="B1220" s="1" t="s">
        <v>14829</v>
      </c>
      <c r="C1220" s="1" t="s">
        <v>6273</v>
      </c>
      <c r="D1220" s="1" t="s">
        <v>14830</v>
      </c>
    </row>
    <row r="1221" spans="1:4" x14ac:dyDescent="0.15">
      <c r="A1221" s="1" t="s">
        <v>10696</v>
      </c>
      <c r="B1221" s="1" t="s">
        <v>10696</v>
      </c>
      <c r="C1221" s="1" t="s">
        <v>6274</v>
      </c>
      <c r="D1221" s="1" t="s">
        <v>6274</v>
      </c>
    </row>
    <row r="1222" spans="1:4" x14ac:dyDescent="0.15">
      <c r="A1222" s="1" t="s">
        <v>14733</v>
      </c>
      <c r="B1222" s="1" t="s">
        <v>14733</v>
      </c>
      <c r="C1222" s="1" t="s">
        <v>6275</v>
      </c>
      <c r="D1222" s="1" t="s">
        <v>6275</v>
      </c>
    </row>
    <row r="1223" spans="1:4" x14ac:dyDescent="0.15">
      <c r="A1223" s="1" t="s">
        <v>14737</v>
      </c>
      <c r="B1223" s="1" t="s">
        <v>14737</v>
      </c>
      <c r="C1223" s="1" t="s">
        <v>6276</v>
      </c>
      <c r="D1223" s="1" t="s">
        <v>6276</v>
      </c>
    </row>
    <row r="1224" spans="1:4" x14ac:dyDescent="0.15">
      <c r="A1224" s="1" t="s">
        <v>14741</v>
      </c>
      <c r="B1224" s="1" t="s">
        <v>14741</v>
      </c>
      <c r="C1224" s="1" t="s">
        <v>14742</v>
      </c>
      <c r="D1224" s="1" t="s">
        <v>14742</v>
      </c>
    </row>
    <row r="1225" spans="1:4" x14ac:dyDescent="0.15">
      <c r="A1225" s="1" t="s">
        <v>14745</v>
      </c>
      <c r="B1225" s="1" t="s">
        <v>14745</v>
      </c>
      <c r="C1225" s="1" t="s">
        <v>14746</v>
      </c>
      <c r="D1225" s="1" t="s">
        <v>14746</v>
      </c>
    </row>
    <row r="1226" spans="1:4" x14ac:dyDescent="0.15">
      <c r="A1226" s="1" t="s">
        <v>8855</v>
      </c>
      <c r="B1226" s="1" t="s">
        <v>8855</v>
      </c>
      <c r="C1226" s="1" t="s">
        <v>6277</v>
      </c>
      <c r="D1226" s="1" t="s">
        <v>6277</v>
      </c>
    </row>
    <row r="1227" spans="1:4" x14ac:dyDescent="0.15">
      <c r="A1227" s="1" t="s">
        <v>14753</v>
      </c>
      <c r="B1227" s="1" t="s">
        <v>14753</v>
      </c>
      <c r="C1227" s="1" t="s">
        <v>14750</v>
      </c>
      <c r="D1227" s="1" t="s">
        <v>14750</v>
      </c>
    </row>
    <row r="1228" spans="1:4" x14ac:dyDescent="0.15">
      <c r="A1228" s="1" t="s">
        <v>14756</v>
      </c>
      <c r="B1228" s="1" t="s">
        <v>14756</v>
      </c>
      <c r="C1228" s="1" t="s">
        <v>14757</v>
      </c>
      <c r="D1228" s="1" t="s">
        <v>14757</v>
      </c>
    </row>
    <row r="1229" spans="1:4" x14ac:dyDescent="0.15">
      <c r="B1229" s="1" t="s">
        <v>8861</v>
      </c>
      <c r="D1229" s="1" t="s">
        <v>6278</v>
      </c>
    </row>
    <row r="1230" spans="1:4" x14ac:dyDescent="0.15">
      <c r="A1230" s="1" t="s">
        <v>8864</v>
      </c>
      <c r="B1230" s="1" t="s">
        <v>6279</v>
      </c>
      <c r="C1230" s="1" t="s">
        <v>14761</v>
      </c>
      <c r="D1230" s="1" t="s">
        <v>6280</v>
      </c>
    </row>
    <row r="1231" spans="1:4" x14ac:dyDescent="0.15">
      <c r="A1231" s="1" t="s">
        <v>14764</v>
      </c>
      <c r="B1231" s="1" t="s">
        <v>7314</v>
      </c>
      <c r="C1231" s="1" t="s">
        <v>6281</v>
      </c>
      <c r="D1231" s="1" t="s">
        <v>14765</v>
      </c>
    </row>
    <row r="1232" spans="1:4" x14ac:dyDescent="0.15">
      <c r="A1232" s="1" t="s">
        <v>14768</v>
      </c>
      <c r="B1232" s="1" t="s">
        <v>11571</v>
      </c>
      <c r="C1232" s="1" t="s">
        <v>14769</v>
      </c>
      <c r="D1232" s="1" t="s">
        <v>6282</v>
      </c>
    </row>
    <row r="1233" spans="1:4" x14ac:dyDescent="0.15">
      <c r="A1233" s="1" t="s">
        <v>14772</v>
      </c>
      <c r="B1233" s="1" t="s">
        <v>11352</v>
      </c>
      <c r="C1233" s="1" t="s">
        <v>14773</v>
      </c>
      <c r="D1233" s="1" t="s">
        <v>14773</v>
      </c>
    </row>
    <row r="1234" spans="1:4" x14ac:dyDescent="0.15">
      <c r="B1234" s="1" t="s">
        <v>8938</v>
      </c>
      <c r="D1234" s="1" t="s">
        <v>6283</v>
      </c>
    </row>
    <row r="1235" spans="1:4" x14ac:dyDescent="0.15">
      <c r="A1235" s="1" t="s">
        <v>14253</v>
      </c>
      <c r="B1235" s="1" t="s">
        <v>14253</v>
      </c>
      <c r="C1235" s="1" t="s">
        <v>6284</v>
      </c>
      <c r="D1235" s="1" t="s">
        <v>6285</v>
      </c>
    </row>
    <row r="1236" spans="1:4" x14ac:dyDescent="0.15">
      <c r="B1236" s="1" t="s">
        <v>8943</v>
      </c>
      <c r="D1236" s="1" t="s">
        <v>6286</v>
      </c>
    </row>
    <row r="1237" spans="1:4" x14ac:dyDescent="0.15">
      <c r="A1237" s="1" t="s">
        <v>14776</v>
      </c>
      <c r="B1237" s="1" t="s">
        <v>11543</v>
      </c>
      <c r="C1237" s="1" t="s">
        <v>6287</v>
      </c>
      <c r="D1237" s="1" t="s">
        <v>6288</v>
      </c>
    </row>
    <row r="1238" spans="1:4" x14ac:dyDescent="0.15">
      <c r="A1238" s="1" t="s">
        <v>14780</v>
      </c>
      <c r="B1238" s="1" t="s">
        <v>9740</v>
      </c>
      <c r="C1238" s="1" t="s">
        <v>6289</v>
      </c>
      <c r="D1238" s="1" t="s">
        <v>6290</v>
      </c>
    </row>
    <row r="1239" spans="1:4" x14ac:dyDescent="0.15">
      <c r="B1239" s="1" t="s">
        <v>11328</v>
      </c>
      <c r="D1239" s="1" t="s">
        <v>6291</v>
      </c>
    </row>
    <row r="1240" spans="1:4" x14ac:dyDescent="0.15">
      <c r="B1240" s="1" t="s">
        <v>11381</v>
      </c>
      <c r="D1240" s="1" t="s">
        <v>6292</v>
      </c>
    </row>
    <row r="1241" spans="1:4" x14ac:dyDescent="0.15">
      <c r="A1241" s="1" t="s">
        <v>14784</v>
      </c>
      <c r="B1241" s="1" t="s">
        <v>7323</v>
      </c>
      <c r="C1241" s="1" t="s">
        <v>14785</v>
      </c>
      <c r="D1241" s="1" t="s">
        <v>14785</v>
      </c>
    </row>
    <row r="1242" spans="1:4" x14ac:dyDescent="0.15">
      <c r="A1242" s="1" t="s">
        <v>8876</v>
      </c>
      <c r="B1242" s="1" t="s">
        <v>8876</v>
      </c>
      <c r="C1242" s="1" t="s">
        <v>6293</v>
      </c>
      <c r="D1242" s="1" t="s">
        <v>6293</v>
      </c>
    </row>
    <row r="1243" spans="1:4" x14ac:dyDescent="0.15">
      <c r="A1243" s="1" t="s">
        <v>14792</v>
      </c>
      <c r="B1243" s="1" t="s">
        <v>14792</v>
      </c>
      <c r="C1243" s="1" t="s">
        <v>6293</v>
      </c>
      <c r="D1243" s="1" t="s">
        <v>6293</v>
      </c>
    </row>
    <row r="1244" spans="1:4" x14ac:dyDescent="0.15">
      <c r="A1244" s="1" t="s">
        <v>8879</v>
      </c>
      <c r="B1244" s="1" t="s">
        <v>8879</v>
      </c>
      <c r="C1244" s="1" t="s">
        <v>6294</v>
      </c>
      <c r="D1244" s="1" t="s">
        <v>6294</v>
      </c>
    </row>
    <row r="1245" spans="1:4" x14ac:dyDescent="0.15">
      <c r="A1245" s="1" t="s">
        <v>14799</v>
      </c>
      <c r="B1245" s="1" t="s">
        <v>14799</v>
      </c>
      <c r="C1245" s="1" t="s">
        <v>6295</v>
      </c>
      <c r="D1245" s="1" t="s">
        <v>6295</v>
      </c>
    </row>
    <row r="1246" spans="1:4" x14ac:dyDescent="0.15">
      <c r="A1246" s="1" t="s">
        <v>14803</v>
      </c>
      <c r="B1246" s="1" t="s">
        <v>14803</v>
      </c>
      <c r="C1246" s="1" t="s">
        <v>6296</v>
      </c>
      <c r="D1246" s="1" t="s">
        <v>6297</v>
      </c>
    </row>
    <row r="1247" spans="1:4" x14ac:dyDescent="0.15">
      <c r="B1247" s="1" t="s">
        <v>14807</v>
      </c>
      <c r="D1247" s="1" t="s">
        <v>6298</v>
      </c>
    </row>
    <row r="1248" spans="1:4" x14ac:dyDescent="0.15">
      <c r="A1248" s="1" t="s">
        <v>8888</v>
      </c>
      <c r="B1248" s="1" t="s">
        <v>8888</v>
      </c>
      <c r="C1248" s="1" t="s">
        <v>14812</v>
      </c>
      <c r="D1248" s="1" t="s">
        <v>14812</v>
      </c>
    </row>
    <row r="1249" spans="1:4" x14ac:dyDescent="0.15">
      <c r="A1249" s="1" t="s">
        <v>14815</v>
      </c>
      <c r="B1249" s="1" t="s">
        <v>14815</v>
      </c>
      <c r="C1249" s="1" t="s">
        <v>14812</v>
      </c>
      <c r="D1249" s="1" t="s">
        <v>14812</v>
      </c>
    </row>
    <row r="1250" spans="1:4" x14ac:dyDescent="0.15">
      <c r="A1250" s="1" t="s">
        <v>8891</v>
      </c>
      <c r="B1250" s="1" t="s">
        <v>8891</v>
      </c>
      <c r="C1250" s="1" t="s">
        <v>6299</v>
      </c>
      <c r="D1250" s="1" t="s">
        <v>14819</v>
      </c>
    </row>
    <row r="1251" spans="1:4" x14ac:dyDescent="0.15">
      <c r="A1251" s="1" t="s">
        <v>14822</v>
      </c>
      <c r="B1251" s="1" t="s">
        <v>14822</v>
      </c>
      <c r="C1251" s="1" t="s">
        <v>6299</v>
      </c>
      <c r="D1251" s="1" t="s">
        <v>14819</v>
      </c>
    </row>
    <row r="1252" spans="1:4" x14ac:dyDescent="0.15">
      <c r="A1252" s="1" t="s">
        <v>8885</v>
      </c>
      <c r="B1252" s="1" t="s">
        <v>8885</v>
      </c>
      <c r="C1252" s="1" t="s">
        <v>6300</v>
      </c>
      <c r="D1252" s="1" t="s">
        <v>6300</v>
      </c>
    </row>
    <row r="1253" spans="1:4" x14ac:dyDescent="0.15">
      <c r="B1253" s="1" t="s">
        <v>8899</v>
      </c>
      <c r="D1253" s="1" t="s">
        <v>6301</v>
      </c>
    </row>
    <row r="1254" spans="1:4" x14ac:dyDescent="0.15">
      <c r="B1254" s="1" t="s">
        <v>14834</v>
      </c>
      <c r="D1254" s="1" t="s">
        <v>6301</v>
      </c>
    </row>
    <row r="1255" spans="1:4" x14ac:dyDescent="0.15">
      <c r="A1255" s="1" t="s">
        <v>8903</v>
      </c>
      <c r="B1255" s="1" t="s">
        <v>8903</v>
      </c>
      <c r="C1255" s="1" t="s">
        <v>6302</v>
      </c>
      <c r="D1255" s="1" t="s">
        <v>6303</v>
      </c>
    </row>
    <row r="1256" spans="1:4" x14ac:dyDescent="0.15">
      <c r="A1256" s="1" t="s">
        <v>14842</v>
      </c>
      <c r="B1256" s="1" t="s">
        <v>14842</v>
      </c>
      <c r="C1256" s="1" t="s">
        <v>6304</v>
      </c>
      <c r="D1256" s="1" t="s">
        <v>6303</v>
      </c>
    </row>
    <row r="1257" spans="1:4" x14ac:dyDescent="0.15">
      <c r="A1257" s="1" t="s">
        <v>8907</v>
      </c>
      <c r="B1257" s="1" t="s">
        <v>8907</v>
      </c>
      <c r="C1257" s="1" t="s">
        <v>14214</v>
      </c>
      <c r="D1257" s="1" t="s">
        <v>14214</v>
      </c>
    </row>
    <row r="1258" spans="1:4" x14ac:dyDescent="0.15">
      <c r="A1258" s="1" t="s">
        <v>14217</v>
      </c>
      <c r="B1258" s="1" t="s">
        <v>14217</v>
      </c>
      <c r="C1258" s="1" t="s">
        <v>14218</v>
      </c>
      <c r="D1258" s="1" t="s">
        <v>6305</v>
      </c>
    </row>
    <row r="1259" spans="1:4" x14ac:dyDescent="0.15">
      <c r="A1259" s="1" t="s">
        <v>8912</v>
      </c>
      <c r="B1259" s="1" t="s">
        <v>8912</v>
      </c>
      <c r="C1259" s="1" t="s">
        <v>6306</v>
      </c>
      <c r="D1259" s="1" t="s">
        <v>6306</v>
      </c>
    </row>
    <row r="1260" spans="1:4" x14ac:dyDescent="0.15">
      <c r="A1260" s="1" t="s">
        <v>14229</v>
      </c>
      <c r="B1260" s="1" t="s">
        <v>14229</v>
      </c>
      <c r="C1260" s="1" t="s">
        <v>14230</v>
      </c>
      <c r="D1260" s="1" t="s">
        <v>14230</v>
      </c>
    </row>
    <row r="1261" spans="1:4" x14ac:dyDescent="0.15">
      <c r="A1261" s="1" t="s">
        <v>14233</v>
      </c>
      <c r="B1261" s="1" t="s">
        <v>14233</v>
      </c>
      <c r="C1261" s="1" t="s">
        <v>14234</v>
      </c>
      <c r="D1261" s="1" t="s">
        <v>14234</v>
      </c>
    </row>
    <row r="1262" spans="1:4" x14ac:dyDescent="0.15">
      <c r="B1262" s="1" t="s">
        <v>8930</v>
      </c>
      <c r="D1262" s="1" t="s">
        <v>6307</v>
      </c>
    </row>
    <row r="1263" spans="1:4" x14ac:dyDescent="0.15">
      <c r="A1263" s="1" t="s">
        <v>14249</v>
      </c>
      <c r="B1263" s="1" t="s">
        <v>14249</v>
      </c>
      <c r="C1263" s="1" t="s">
        <v>14250</v>
      </c>
      <c r="D1263" s="1" t="s">
        <v>6308</v>
      </c>
    </row>
    <row r="1264" spans="1:4" x14ac:dyDescent="0.15">
      <c r="B1264" s="1" t="s">
        <v>8935</v>
      </c>
      <c r="D1264" s="1" t="s">
        <v>6309</v>
      </c>
    </row>
    <row r="1265" spans="1:4" x14ac:dyDescent="0.15">
      <c r="A1265" s="1" t="s">
        <v>14225</v>
      </c>
      <c r="B1265" s="1" t="s">
        <v>14225</v>
      </c>
      <c r="C1265" s="1" t="s">
        <v>6310</v>
      </c>
      <c r="D1265" s="1" t="s">
        <v>6311</v>
      </c>
    </row>
    <row r="1266" spans="1:4" x14ac:dyDescent="0.15">
      <c r="A1266" s="1" t="s">
        <v>14237</v>
      </c>
      <c r="B1266" s="1" t="s">
        <v>14237</v>
      </c>
      <c r="C1266" s="1" t="s">
        <v>6312</v>
      </c>
      <c r="D1266" s="1" t="s">
        <v>6313</v>
      </c>
    </row>
    <row r="1267" spans="1:4" x14ac:dyDescent="0.15">
      <c r="A1267" s="1" t="s">
        <v>8923</v>
      </c>
      <c r="B1267" s="1" t="s">
        <v>8923</v>
      </c>
      <c r="C1267" s="1" t="s">
        <v>6314</v>
      </c>
      <c r="D1267" s="1" t="s">
        <v>6315</v>
      </c>
    </row>
    <row r="1268" spans="1:4" x14ac:dyDescent="0.15">
      <c r="A1268" s="1" t="s">
        <v>14245</v>
      </c>
      <c r="B1268" s="1" t="s">
        <v>14245</v>
      </c>
      <c r="C1268" s="1" t="s">
        <v>6316</v>
      </c>
      <c r="D1268" s="1" t="s">
        <v>6316</v>
      </c>
    </row>
    <row r="1269" spans="1:4" x14ac:dyDescent="0.15">
      <c r="B1269" s="1" t="s">
        <v>8946</v>
      </c>
      <c r="D1269" s="1" t="s">
        <v>6317</v>
      </c>
    </row>
    <row r="1270" spans="1:4" x14ac:dyDescent="0.15">
      <c r="B1270" s="1" t="s">
        <v>8949</v>
      </c>
      <c r="D1270" s="1" t="s">
        <v>6318</v>
      </c>
    </row>
    <row r="1271" spans="1:4" x14ac:dyDescent="0.15">
      <c r="A1271" s="1" t="s">
        <v>14257</v>
      </c>
      <c r="B1271" s="1" t="s">
        <v>14257</v>
      </c>
      <c r="C1271" s="1" t="s">
        <v>6319</v>
      </c>
      <c r="D1271" s="1" t="s">
        <v>6320</v>
      </c>
    </row>
    <row r="1272" spans="1:4" x14ac:dyDescent="0.15">
      <c r="A1272" s="1" t="s">
        <v>8499</v>
      </c>
      <c r="B1272" s="1" t="s">
        <v>8499</v>
      </c>
      <c r="C1272" s="1" t="s">
        <v>6321</v>
      </c>
      <c r="D1272" s="1" t="s">
        <v>6322</v>
      </c>
    </row>
    <row r="1273" spans="1:4" x14ac:dyDescent="0.15">
      <c r="A1273" s="1" t="s">
        <v>14265</v>
      </c>
      <c r="B1273" s="1" t="s">
        <v>8504</v>
      </c>
      <c r="C1273" s="1" t="s">
        <v>6323</v>
      </c>
      <c r="D1273" s="1" t="s">
        <v>6324</v>
      </c>
    </row>
    <row r="1274" spans="1:4" x14ac:dyDescent="0.15">
      <c r="B1274" s="1" t="s">
        <v>8507</v>
      </c>
      <c r="D1274" s="1" t="s">
        <v>6325</v>
      </c>
    </row>
    <row r="1275" spans="1:4" x14ac:dyDescent="0.15">
      <c r="B1275" s="1" t="s">
        <v>8510</v>
      </c>
      <c r="D1275" s="1" t="s">
        <v>6326</v>
      </c>
    </row>
    <row r="1276" spans="1:4" x14ac:dyDescent="0.15">
      <c r="B1276" s="1" t="s">
        <v>8513</v>
      </c>
      <c r="D1276" s="1" t="s">
        <v>6327</v>
      </c>
    </row>
    <row r="1277" spans="1:4" x14ac:dyDescent="0.15">
      <c r="B1277" s="1" t="s">
        <v>8516</v>
      </c>
      <c r="D1277" s="1" t="s">
        <v>6328</v>
      </c>
    </row>
    <row r="1278" spans="1:4" x14ac:dyDescent="0.15">
      <c r="A1278" s="1" t="s">
        <v>8519</v>
      </c>
      <c r="B1278" s="1" t="s">
        <v>8519</v>
      </c>
      <c r="C1278" s="1" t="s">
        <v>14270</v>
      </c>
      <c r="D1278" s="1" t="s">
        <v>14270</v>
      </c>
    </row>
    <row r="1279" spans="1:4" x14ac:dyDescent="0.15">
      <c r="A1279" s="1" t="s">
        <v>14273</v>
      </c>
      <c r="B1279" s="1" t="s">
        <v>14273</v>
      </c>
      <c r="C1279" s="1" t="s">
        <v>14270</v>
      </c>
      <c r="D1279" s="1" t="s">
        <v>14270</v>
      </c>
    </row>
    <row r="1280" spans="1:4" x14ac:dyDescent="0.15">
      <c r="A1280" s="1" t="s">
        <v>10698</v>
      </c>
      <c r="B1280" s="1" t="s">
        <v>10698</v>
      </c>
      <c r="C1280" s="1" t="s">
        <v>6329</v>
      </c>
      <c r="D1280" s="1" t="s">
        <v>6330</v>
      </c>
    </row>
    <row r="1281" spans="1:4" x14ac:dyDescent="0.15">
      <c r="B1281" s="1" t="s">
        <v>8525</v>
      </c>
      <c r="D1281" s="1" t="s">
        <v>6331</v>
      </c>
    </row>
    <row r="1282" spans="1:4" x14ac:dyDescent="0.15">
      <c r="B1282" s="1" t="s">
        <v>14276</v>
      </c>
      <c r="D1282" s="1" t="s">
        <v>6332</v>
      </c>
    </row>
    <row r="1283" spans="1:4" x14ac:dyDescent="0.15">
      <c r="A1283" s="1" t="s">
        <v>8529</v>
      </c>
      <c r="B1283" s="1" t="s">
        <v>8529</v>
      </c>
      <c r="C1283" s="1" t="s">
        <v>6333</v>
      </c>
      <c r="D1283" s="1" t="s">
        <v>6334</v>
      </c>
    </row>
    <row r="1284" spans="1:4" x14ac:dyDescent="0.15">
      <c r="A1284" s="1" t="s">
        <v>8653</v>
      </c>
      <c r="B1284" s="1" t="s">
        <v>8653</v>
      </c>
      <c r="C1284" s="1" t="s">
        <v>6335</v>
      </c>
      <c r="D1284" s="1" t="s">
        <v>6336</v>
      </c>
    </row>
    <row r="1285" spans="1:4" x14ac:dyDescent="0.15">
      <c r="A1285" s="1" t="s">
        <v>14491</v>
      </c>
      <c r="B1285" s="1" t="s">
        <v>14491</v>
      </c>
      <c r="C1285" s="1" t="s">
        <v>6337</v>
      </c>
      <c r="D1285" s="1" t="s">
        <v>6338</v>
      </c>
    </row>
    <row r="1286" spans="1:4" x14ac:dyDescent="0.15">
      <c r="A1286" s="1" t="s">
        <v>14495</v>
      </c>
      <c r="B1286" s="1" t="s">
        <v>14495</v>
      </c>
      <c r="C1286" s="1" t="s">
        <v>6339</v>
      </c>
      <c r="D1286" s="1" t="s">
        <v>6340</v>
      </c>
    </row>
    <row r="1287" spans="1:4" x14ac:dyDescent="0.15">
      <c r="A1287" s="1" t="s">
        <v>14499</v>
      </c>
      <c r="B1287" s="1" t="s">
        <v>14499</v>
      </c>
      <c r="C1287" s="1" t="s">
        <v>6341</v>
      </c>
      <c r="D1287" s="1" t="s">
        <v>6342</v>
      </c>
    </row>
    <row r="1288" spans="1:4" x14ac:dyDescent="0.15">
      <c r="A1288" s="1" t="s">
        <v>14284</v>
      </c>
      <c r="B1288" s="1" t="s">
        <v>14284</v>
      </c>
      <c r="C1288" s="1" t="s">
        <v>6343</v>
      </c>
      <c r="D1288" s="1" t="s">
        <v>6344</v>
      </c>
    </row>
    <row r="1289" spans="1:4" x14ac:dyDescent="0.15">
      <c r="A1289" s="1" t="s">
        <v>14288</v>
      </c>
      <c r="B1289" s="1" t="s">
        <v>14288</v>
      </c>
      <c r="C1289" s="1" t="s">
        <v>14289</v>
      </c>
      <c r="D1289" s="1" t="s">
        <v>14289</v>
      </c>
    </row>
    <row r="1290" spans="1:4" x14ac:dyDescent="0.15">
      <c r="A1290" s="1" t="s">
        <v>14292</v>
      </c>
      <c r="B1290" s="1" t="s">
        <v>14292</v>
      </c>
      <c r="C1290" s="1" t="s">
        <v>6345</v>
      </c>
      <c r="D1290" s="1" t="s">
        <v>6346</v>
      </c>
    </row>
    <row r="1291" spans="1:4" x14ac:dyDescent="0.15">
      <c r="A1291" s="1" t="s">
        <v>14296</v>
      </c>
      <c r="B1291" s="1" t="s">
        <v>14296</v>
      </c>
      <c r="C1291" s="1" t="s">
        <v>6347</v>
      </c>
      <c r="D1291" s="1" t="s">
        <v>6348</v>
      </c>
    </row>
    <row r="1292" spans="1:4" x14ac:dyDescent="0.15">
      <c r="A1292" s="1" t="s">
        <v>14300</v>
      </c>
      <c r="B1292" s="1" t="s">
        <v>14300</v>
      </c>
      <c r="C1292" s="1" t="s">
        <v>6349</v>
      </c>
      <c r="D1292" s="1" t="s">
        <v>6350</v>
      </c>
    </row>
    <row r="1293" spans="1:4" x14ac:dyDescent="0.15">
      <c r="A1293" s="1" t="s">
        <v>14304</v>
      </c>
      <c r="B1293" s="1" t="s">
        <v>14304</v>
      </c>
      <c r="C1293" s="1" t="s">
        <v>6351</v>
      </c>
      <c r="D1293" s="1" t="s">
        <v>6352</v>
      </c>
    </row>
    <row r="1294" spans="1:4" x14ac:dyDescent="0.15">
      <c r="B1294" s="1" t="s">
        <v>8543</v>
      </c>
      <c r="D1294" s="1" t="s">
        <v>6353</v>
      </c>
    </row>
    <row r="1295" spans="1:4" x14ac:dyDescent="0.15">
      <c r="A1295" s="1" t="s">
        <v>14308</v>
      </c>
      <c r="B1295" s="1" t="s">
        <v>14308</v>
      </c>
      <c r="C1295" s="1" t="s">
        <v>6354</v>
      </c>
      <c r="D1295" s="1" t="s">
        <v>6355</v>
      </c>
    </row>
    <row r="1296" spans="1:4" x14ac:dyDescent="0.15">
      <c r="A1296" s="1" t="s">
        <v>14340</v>
      </c>
      <c r="B1296" s="1" t="s">
        <v>16395</v>
      </c>
      <c r="C1296" s="1" t="s">
        <v>6356</v>
      </c>
      <c r="D1296" s="1" t="s">
        <v>16396</v>
      </c>
    </row>
    <row r="1297" spans="1:4" x14ac:dyDescent="0.15">
      <c r="A1297" s="1" t="s">
        <v>14344</v>
      </c>
      <c r="B1297" s="1" t="s">
        <v>14344</v>
      </c>
      <c r="C1297" s="1" t="s">
        <v>14345</v>
      </c>
      <c r="D1297" s="1" t="s">
        <v>6357</v>
      </c>
    </row>
    <row r="1298" spans="1:4" x14ac:dyDescent="0.15">
      <c r="A1298" s="1" t="s">
        <v>14348</v>
      </c>
      <c r="B1298" s="1" t="s">
        <v>14348</v>
      </c>
      <c r="C1298" s="1" t="s">
        <v>6358</v>
      </c>
      <c r="D1298" s="1" t="s">
        <v>6359</v>
      </c>
    </row>
    <row r="1299" spans="1:4" x14ac:dyDescent="0.15">
      <c r="A1299" s="1" t="s">
        <v>14352</v>
      </c>
      <c r="B1299" s="1" t="s">
        <v>14352</v>
      </c>
      <c r="C1299" s="1" t="s">
        <v>14353</v>
      </c>
      <c r="D1299" s="1" t="s">
        <v>6360</v>
      </c>
    </row>
    <row r="1300" spans="1:4" x14ac:dyDescent="0.15">
      <c r="A1300" s="1" t="s">
        <v>8548</v>
      </c>
      <c r="B1300" s="1" t="s">
        <v>8548</v>
      </c>
      <c r="C1300" s="1" t="s">
        <v>6361</v>
      </c>
      <c r="D1300" s="1" t="s">
        <v>6362</v>
      </c>
    </row>
    <row r="1301" spans="1:4" x14ac:dyDescent="0.15">
      <c r="A1301" s="1" t="s">
        <v>14316</v>
      </c>
      <c r="B1301" s="1" t="s">
        <v>14316</v>
      </c>
      <c r="C1301" s="1" t="s">
        <v>6363</v>
      </c>
      <c r="D1301" s="1" t="s">
        <v>6364</v>
      </c>
    </row>
    <row r="1302" spans="1:4" x14ac:dyDescent="0.15">
      <c r="A1302" s="1" t="s">
        <v>14356</v>
      </c>
      <c r="B1302" s="1" t="s">
        <v>14356</v>
      </c>
      <c r="C1302" s="1" t="s">
        <v>6365</v>
      </c>
      <c r="D1302" s="1" t="s">
        <v>6366</v>
      </c>
    </row>
    <row r="1303" spans="1:4" x14ac:dyDescent="0.15">
      <c r="B1303" s="1" t="s">
        <v>8574</v>
      </c>
      <c r="D1303" s="1" t="s">
        <v>6367</v>
      </c>
    </row>
    <row r="1304" spans="1:4" x14ac:dyDescent="0.15">
      <c r="A1304" s="1" t="s">
        <v>8579</v>
      </c>
      <c r="C1304" s="1" t="s">
        <v>6368</v>
      </c>
      <c r="D1304" s="1" t="s">
        <v>6584</v>
      </c>
    </row>
    <row r="1305" spans="1:4" x14ac:dyDescent="0.15">
      <c r="A1305" s="1" t="s">
        <v>8552</v>
      </c>
      <c r="B1305" s="1" t="s">
        <v>8552</v>
      </c>
      <c r="C1305" s="1" t="s">
        <v>6369</v>
      </c>
      <c r="D1305" s="1" t="s">
        <v>6370</v>
      </c>
    </row>
    <row r="1306" spans="1:4" x14ac:dyDescent="0.15">
      <c r="A1306" s="1" t="s">
        <v>14324</v>
      </c>
      <c r="B1306" s="1" t="s">
        <v>14324</v>
      </c>
      <c r="C1306" s="1" t="s">
        <v>6371</v>
      </c>
      <c r="D1306" s="1" t="s">
        <v>6372</v>
      </c>
    </row>
    <row r="1307" spans="1:4" x14ac:dyDescent="0.15">
      <c r="A1307" s="1" t="s">
        <v>14328</v>
      </c>
      <c r="B1307" s="1" t="s">
        <v>14328</v>
      </c>
      <c r="C1307" s="1" t="s">
        <v>6373</v>
      </c>
      <c r="D1307" s="1" t="s">
        <v>6374</v>
      </c>
    </row>
    <row r="1308" spans="1:4" x14ac:dyDescent="0.15">
      <c r="A1308" s="1" t="s">
        <v>14332</v>
      </c>
      <c r="B1308" s="1" t="s">
        <v>14332</v>
      </c>
      <c r="C1308" s="1" t="s">
        <v>6375</v>
      </c>
      <c r="D1308" s="1" t="s">
        <v>6376</v>
      </c>
    </row>
    <row r="1309" spans="1:4" x14ac:dyDescent="0.15">
      <c r="A1309" s="1" t="s">
        <v>8561</v>
      </c>
      <c r="B1309" s="1" t="s">
        <v>8561</v>
      </c>
      <c r="C1309" s="1" t="s">
        <v>6377</v>
      </c>
      <c r="D1309" s="1" t="s">
        <v>6378</v>
      </c>
    </row>
    <row r="1310" spans="1:4" x14ac:dyDescent="0.15">
      <c r="A1310" s="1" t="s">
        <v>14360</v>
      </c>
      <c r="B1310" s="1" t="s">
        <v>14360</v>
      </c>
      <c r="C1310" s="1" t="s">
        <v>6379</v>
      </c>
      <c r="D1310" s="1" t="s">
        <v>6380</v>
      </c>
    </row>
    <row r="1311" spans="1:4" x14ac:dyDescent="0.15">
      <c r="A1311" s="1" t="s">
        <v>14368</v>
      </c>
      <c r="B1311" s="1" t="s">
        <v>14420</v>
      </c>
      <c r="C1311" s="1" t="s">
        <v>6381</v>
      </c>
      <c r="D1311" s="1" t="s">
        <v>6382</v>
      </c>
    </row>
    <row r="1312" spans="1:4" x14ac:dyDescent="0.15">
      <c r="A1312" s="1" t="s">
        <v>11622</v>
      </c>
      <c r="B1312" s="1" t="s">
        <v>11622</v>
      </c>
      <c r="C1312" s="1" t="s">
        <v>6383</v>
      </c>
      <c r="D1312" s="1" t="s">
        <v>6384</v>
      </c>
    </row>
    <row r="1313" spans="1:4" x14ac:dyDescent="0.15">
      <c r="A1313" s="1" t="s">
        <v>14435</v>
      </c>
      <c r="B1313" s="1" t="s">
        <v>12664</v>
      </c>
      <c r="C1313" s="1" t="s">
        <v>14436</v>
      </c>
      <c r="D1313" s="1" t="s">
        <v>6385</v>
      </c>
    </row>
    <row r="1314" spans="1:4" x14ac:dyDescent="0.15">
      <c r="A1314" s="1" t="s">
        <v>14439</v>
      </c>
      <c r="B1314" s="1" t="s">
        <v>10158</v>
      </c>
      <c r="C1314" s="1" t="s">
        <v>14440</v>
      </c>
      <c r="D1314" s="1" t="s">
        <v>6386</v>
      </c>
    </row>
    <row r="1315" spans="1:4" x14ac:dyDescent="0.15">
      <c r="A1315" s="1" t="s">
        <v>14526</v>
      </c>
      <c r="B1315" s="1" t="s">
        <v>14526</v>
      </c>
      <c r="C1315" s="1" t="s">
        <v>14527</v>
      </c>
      <c r="D1315" s="1" t="s">
        <v>6387</v>
      </c>
    </row>
    <row r="1316" spans="1:4" x14ac:dyDescent="0.15">
      <c r="A1316" s="1" t="s">
        <v>8680</v>
      </c>
      <c r="B1316" s="1" t="s">
        <v>8680</v>
      </c>
      <c r="C1316" s="1" t="s">
        <v>14531</v>
      </c>
      <c r="D1316" s="1" t="s">
        <v>6388</v>
      </c>
    </row>
    <row r="1317" spans="1:4" x14ac:dyDescent="0.15">
      <c r="A1317" s="1" t="s">
        <v>14376</v>
      </c>
      <c r="B1317" s="1" t="s">
        <v>14376</v>
      </c>
      <c r="C1317" s="1" t="s">
        <v>14377</v>
      </c>
      <c r="D1317" s="1" t="s">
        <v>6389</v>
      </c>
    </row>
    <row r="1318" spans="1:4" x14ac:dyDescent="0.15">
      <c r="A1318" s="1" t="s">
        <v>14380</v>
      </c>
      <c r="B1318" s="1" t="s">
        <v>14380</v>
      </c>
      <c r="C1318" s="1" t="s">
        <v>14381</v>
      </c>
      <c r="D1318" s="1" t="s">
        <v>6390</v>
      </c>
    </row>
    <row r="1319" spans="1:4" x14ac:dyDescent="0.15">
      <c r="A1319" s="1" t="s">
        <v>14384</v>
      </c>
      <c r="B1319" s="1" t="s">
        <v>14384</v>
      </c>
      <c r="C1319" s="1" t="s">
        <v>6391</v>
      </c>
      <c r="D1319" s="1" t="s">
        <v>6392</v>
      </c>
    </row>
    <row r="1320" spans="1:4" x14ac:dyDescent="0.15">
      <c r="A1320" s="1" t="s">
        <v>14388</v>
      </c>
      <c r="B1320" s="1" t="s">
        <v>14388</v>
      </c>
      <c r="C1320" s="1" t="s">
        <v>6393</v>
      </c>
      <c r="D1320" s="1" t="s">
        <v>6394</v>
      </c>
    </row>
    <row r="1321" spans="1:4" x14ac:dyDescent="0.15">
      <c r="A1321" s="1" t="s">
        <v>14467</v>
      </c>
      <c r="B1321" s="1" t="s">
        <v>11125</v>
      </c>
      <c r="C1321" s="1" t="s">
        <v>6395</v>
      </c>
      <c r="D1321" s="1" t="s">
        <v>6396</v>
      </c>
    </row>
    <row r="1322" spans="1:4" x14ac:dyDescent="0.15">
      <c r="A1322" s="1" t="s">
        <v>14471</v>
      </c>
      <c r="B1322" s="1" t="s">
        <v>11129</v>
      </c>
      <c r="C1322" s="1" t="s">
        <v>14472</v>
      </c>
      <c r="D1322" s="1" t="s">
        <v>14472</v>
      </c>
    </row>
    <row r="1323" spans="1:4" x14ac:dyDescent="0.15">
      <c r="A1323" s="1" t="s">
        <v>14483</v>
      </c>
      <c r="B1323" s="1" t="s">
        <v>11135</v>
      </c>
      <c r="C1323" s="1" t="s">
        <v>6397</v>
      </c>
      <c r="D1323" s="1" t="s">
        <v>6398</v>
      </c>
    </row>
    <row r="1324" spans="1:4" x14ac:dyDescent="0.15">
      <c r="A1324" s="1" t="s">
        <v>14392</v>
      </c>
      <c r="B1324" s="1" t="s">
        <v>14392</v>
      </c>
      <c r="C1324" s="1" t="s">
        <v>6399</v>
      </c>
      <c r="D1324" s="1" t="s">
        <v>6400</v>
      </c>
    </row>
    <row r="1325" spans="1:4" x14ac:dyDescent="0.15">
      <c r="A1325" s="1" t="s">
        <v>14396</v>
      </c>
      <c r="B1325" s="1" t="s">
        <v>14396</v>
      </c>
      <c r="C1325" s="1" t="s">
        <v>6401</v>
      </c>
      <c r="D1325" s="1" t="s">
        <v>6402</v>
      </c>
    </row>
    <row r="1326" spans="1:4" x14ac:dyDescent="0.15">
      <c r="A1326" s="1" t="s">
        <v>14400</v>
      </c>
      <c r="B1326" s="1" t="s">
        <v>14400</v>
      </c>
      <c r="C1326" s="1" t="s">
        <v>6403</v>
      </c>
      <c r="D1326" s="1" t="s">
        <v>6404</v>
      </c>
    </row>
    <row r="1327" spans="1:4" x14ac:dyDescent="0.15">
      <c r="A1327" s="1" t="s">
        <v>14404</v>
      </c>
      <c r="B1327" s="1" t="s">
        <v>14404</v>
      </c>
      <c r="C1327" s="1" t="s">
        <v>6405</v>
      </c>
      <c r="D1327" s="1" t="s">
        <v>6406</v>
      </c>
    </row>
    <row r="1328" spans="1:4" x14ac:dyDescent="0.15">
      <c r="A1328" s="1" t="s">
        <v>14408</v>
      </c>
      <c r="B1328" s="1" t="s">
        <v>14408</v>
      </c>
      <c r="C1328" s="1" t="s">
        <v>6407</v>
      </c>
      <c r="D1328" s="1" t="s">
        <v>6408</v>
      </c>
    </row>
    <row r="1329" spans="1:4" x14ac:dyDescent="0.15">
      <c r="B1329" s="1" t="s">
        <v>8600</v>
      </c>
      <c r="D1329" s="1" t="s">
        <v>6409</v>
      </c>
    </row>
    <row r="1330" spans="1:4" x14ac:dyDescent="0.15">
      <c r="B1330" s="1" t="s">
        <v>8603</v>
      </c>
      <c r="D1330" s="1" t="s">
        <v>6410</v>
      </c>
    </row>
    <row r="1331" spans="1:4" x14ac:dyDescent="0.15">
      <c r="B1331" s="1" t="s">
        <v>8606</v>
      </c>
      <c r="D1331" s="1" t="s">
        <v>6411</v>
      </c>
    </row>
    <row r="1332" spans="1:4" x14ac:dyDescent="0.15">
      <c r="B1332" s="1" t="s">
        <v>8609</v>
      </c>
      <c r="D1332" s="1" t="s">
        <v>6412</v>
      </c>
    </row>
    <row r="1333" spans="1:4" x14ac:dyDescent="0.15">
      <c r="A1333" s="1" t="s">
        <v>14412</v>
      </c>
      <c r="B1333" s="1" t="s">
        <v>14412</v>
      </c>
      <c r="C1333" s="1" t="s">
        <v>6413</v>
      </c>
      <c r="D1333" s="1" t="s">
        <v>6414</v>
      </c>
    </row>
    <row r="1334" spans="1:4" x14ac:dyDescent="0.15">
      <c r="A1334" s="1" t="s">
        <v>8617</v>
      </c>
      <c r="B1334" s="1" t="s">
        <v>8617</v>
      </c>
      <c r="C1334" s="1" t="s">
        <v>6415</v>
      </c>
      <c r="D1334" s="1" t="s">
        <v>6382</v>
      </c>
    </row>
    <row r="1335" spans="1:4" x14ac:dyDescent="0.15">
      <c r="A1335" s="1" t="s">
        <v>14420</v>
      </c>
      <c r="B1335" s="1" t="s">
        <v>14420</v>
      </c>
      <c r="C1335" s="1" t="s">
        <v>6415</v>
      </c>
      <c r="D1335" s="1" t="s">
        <v>6382</v>
      </c>
    </row>
    <row r="1336" spans="1:4" x14ac:dyDescent="0.15">
      <c r="A1336" s="1" t="s">
        <v>10699</v>
      </c>
      <c r="B1336" s="1" t="s">
        <v>10699</v>
      </c>
      <c r="C1336" s="1" t="s">
        <v>6416</v>
      </c>
      <c r="D1336" s="1" t="s">
        <v>6417</v>
      </c>
    </row>
    <row r="1337" spans="1:4" x14ac:dyDescent="0.15">
      <c r="B1337" s="1" t="s">
        <v>8622</v>
      </c>
      <c r="D1337" s="1" t="s">
        <v>6418</v>
      </c>
    </row>
    <row r="1338" spans="1:4" x14ac:dyDescent="0.15">
      <c r="B1338" s="1" t="s">
        <v>14423</v>
      </c>
      <c r="D1338" s="1" t="s">
        <v>6419</v>
      </c>
    </row>
    <row r="1339" spans="1:4" x14ac:dyDescent="0.15">
      <c r="A1339" s="1" t="s">
        <v>8626</v>
      </c>
      <c r="C1339" s="1" t="s">
        <v>14428</v>
      </c>
      <c r="D1339" s="1" t="s">
        <v>6584</v>
      </c>
    </row>
    <row r="1340" spans="1:4" x14ac:dyDescent="0.15">
      <c r="A1340" s="1" t="s">
        <v>14431</v>
      </c>
      <c r="B1340" s="1" t="s">
        <v>10150</v>
      </c>
      <c r="C1340" s="1" t="s">
        <v>14432</v>
      </c>
      <c r="D1340" s="1" t="s">
        <v>6420</v>
      </c>
    </row>
    <row r="1341" spans="1:4" x14ac:dyDescent="0.15">
      <c r="A1341" s="1" t="s">
        <v>14443</v>
      </c>
      <c r="B1341" s="1" t="s">
        <v>10161</v>
      </c>
      <c r="C1341" s="1" t="s">
        <v>14444</v>
      </c>
      <c r="D1341" s="1" t="s">
        <v>6421</v>
      </c>
    </row>
    <row r="1342" spans="1:4" x14ac:dyDescent="0.15">
      <c r="A1342" s="1" t="s">
        <v>14447</v>
      </c>
      <c r="B1342" s="1" t="s">
        <v>10164</v>
      </c>
      <c r="C1342" s="1" t="s">
        <v>14448</v>
      </c>
      <c r="D1342" s="1" t="s">
        <v>6422</v>
      </c>
    </row>
    <row r="1343" spans="1:4" x14ac:dyDescent="0.15">
      <c r="A1343" s="1" t="s">
        <v>14451</v>
      </c>
      <c r="B1343" s="1" t="s">
        <v>10167</v>
      </c>
      <c r="C1343" s="1" t="s">
        <v>14452</v>
      </c>
      <c r="D1343" s="1" t="s">
        <v>6423</v>
      </c>
    </row>
    <row r="1344" spans="1:4" x14ac:dyDescent="0.15">
      <c r="A1344" s="1" t="s">
        <v>8639</v>
      </c>
      <c r="C1344" s="1" t="s">
        <v>6424</v>
      </c>
      <c r="D1344" s="1" t="s">
        <v>6584</v>
      </c>
    </row>
    <row r="1345" spans="1:4" x14ac:dyDescent="0.15">
      <c r="A1345" s="1" t="s">
        <v>14463</v>
      </c>
      <c r="B1345" s="1" t="s">
        <v>11135</v>
      </c>
      <c r="C1345" s="1" t="s">
        <v>4861</v>
      </c>
      <c r="D1345" s="1" t="s">
        <v>6398</v>
      </c>
    </row>
    <row r="1346" spans="1:4" x14ac:dyDescent="0.15">
      <c r="A1346" s="1" t="s">
        <v>14459</v>
      </c>
      <c r="B1346" s="1" t="s">
        <v>11122</v>
      </c>
      <c r="C1346" s="1" t="s">
        <v>4862</v>
      </c>
      <c r="D1346" s="1" t="s">
        <v>4863</v>
      </c>
    </row>
    <row r="1347" spans="1:4" x14ac:dyDescent="0.15">
      <c r="A1347" s="1" t="s">
        <v>14475</v>
      </c>
      <c r="B1347" s="1" t="s">
        <v>11132</v>
      </c>
      <c r="C1347" s="1" t="s">
        <v>4864</v>
      </c>
      <c r="D1347" s="1" t="s">
        <v>4864</v>
      </c>
    </row>
    <row r="1348" spans="1:4" x14ac:dyDescent="0.15">
      <c r="A1348" s="1" t="s">
        <v>14479</v>
      </c>
      <c r="B1348" s="1" t="s">
        <v>11060</v>
      </c>
      <c r="C1348" s="1" t="s">
        <v>14480</v>
      </c>
      <c r="D1348" s="1" t="s">
        <v>4865</v>
      </c>
    </row>
    <row r="1349" spans="1:4" x14ac:dyDescent="0.15">
      <c r="A1349" s="1" t="s">
        <v>8662</v>
      </c>
      <c r="B1349" s="1" t="s">
        <v>8662</v>
      </c>
      <c r="C1349" s="1" t="s">
        <v>14504</v>
      </c>
      <c r="D1349" s="1" t="s">
        <v>4866</v>
      </c>
    </row>
    <row r="1350" spans="1:4" x14ac:dyDescent="0.15">
      <c r="A1350" s="1" t="s">
        <v>14507</v>
      </c>
      <c r="B1350" s="1" t="s">
        <v>14507</v>
      </c>
      <c r="C1350" s="1" t="s">
        <v>14508</v>
      </c>
      <c r="D1350" s="1" t="s">
        <v>4867</v>
      </c>
    </row>
    <row r="1351" spans="1:4" x14ac:dyDescent="0.15">
      <c r="A1351" s="1" t="s">
        <v>14510</v>
      </c>
      <c r="B1351" s="1" t="s">
        <v>14510</v>
      </c>
      <c r="C1351" s="1" t="s">
        <v>14511</v>
      </c>
      <c r="D1351" s="1" t="s">
        <v>4868</v>
      </c>
    </row>
    <row r="1352" spans="1:4" x14ac:dyDescent="0.15">
      <c r="A1352" s="1" t="s">
        <v>14514</v>
      </c>
      <c r="B1352" s="1" t="s">
        <v>14514</v>
      </c>
      <c r="C1352" s="1" t="s">
        <v>14515</v>
      </c>
      <c r="D1352" s="1" t="s">
        <v>4869</v>
      </c>
    </row>
    <row r="1353" spans="1:4" x14ac:dyDescent="0.15">
      <c r="A1353" s="1" t="s">
        <v>14518</v>
      </c>
      <c r="B1353" s="1" t="s">
        <v>14518</v>
      </c>
      <c r="C1353" s="1" t="s">
        <v>4870</v>
      </c>
      <c r="D1353" s="1" t="s">
        <v>4871</v>
      </c>
    </row>
    <row r="1354" spans="1:4" x14ac:dyDescent="0.15">
      <c r="A1354" s="1" t="s">
        <v>14522</v>
      </c>
      <c r="B1354" s="1" t="s">
        <v>14522</v>
      </c>
      <c r="C1354" s="1" t="s">
        <v>14523</v>
      </c>
      <c r="D1354" s="1" t="s">
        <v>4872</v>
      </c>
    </row>
    <row r="1355" spans="1:4" x14ac:dyDescent="0.15">
      <c r="B1355" s="1" t="s">
        <v>8675</v>
      </c>
      <c r="D1355" s="1" t="s">
        <v>4873</v>
      </c>
    </row>
    <row r="1356" spans="1:4" x14ac:dyDescent="0.15">
      <c r="A1356" s="1" t="s">
        <v>14534</v>
      </c>
      <c r="B1356" s="1" t="s">
        <v>14534</v>
      </c>
      <c r="C1356" s="1" t="s">
        <v>4874</v>
      </c>
      <c r="D1356" s="1" t="s">
        <v>4875</v>
      </c>
    </row>
    <row r="1357" spans="1:4" x14ac:dyDescent="0.15">
      <c r="A1357" s="1" t="s">
        <v>14538</v>
      </c>
      <c r="B1357" s="1" t="s">
        <v>14538</v>
      </c>
      <c r="C1357" s="1" t="s">
        <v>4876</v>
      </c>
      <c r="D1357" s="1" t="s">
        <v>4877</v>
      </c>
    </row>
    <row r="1358" spans="1:4" x14ac:dyDescent="0.15">
      <c r="A1358" s="1" t="s">
        <v>14542</v>
      </c>
      <c r="B1358" s="1" t="s">
        <v>14542</v>
      </c>
      <c r="C1358" s="1" t="s">
        <v>4878</v>
      </c>
      <c r="D1358" s="1" t="s">
        <v>4879</v>
      </c>
    </row>
    <row r="1359" spans="1:4" x14ac:dyDescent="0.15">
      <c r="A1359" s="1" t="s">
        <v>14546</v>
      </c>
      <c r="B1359" s="1" t="s">
        <v>14546</v>
      </c>
      <c r="C1359" s="1" t="s">
        <v>14547</v>
      </c>
      <c r="D1359" s="1" t="s">
        <v>4880</v>
      </c>
    </row>
    <row r="1360" spans="1:4" x14ac:dyDescent="0.15">
      <c r="B1360" s="1" t="s">
        <v>8691</v>
      </c>
      <c r="D1360" s="1" t="s">
        <v>4881</v>
      </c>
    </row>
    <row r="1361" spans="1:4" x14ac:dyDescent="0.15">
      <c r="B1361" s="1" t="s">
        <v>8694</v>
      </c>
      <c r="D1361" s="1" t="s">
        <v>4881</v>
      </c>
    </row>
    <row r="1362" spans="1:4" x14ac:dyDescent="0.15">
      <c r="A1362" s="1" t="s">
        <v>8696</v>
      </c>
      <c r="B1362" s="1" t="s">
        <v>8696</v>
      </c>
      <c r="C1362" s="1" t="s">
        <v>14551</v>
      </c>
      <c r="D1362" s="1" t="s">
        <v>4882</v>
      </c>
    </row>
    <row r="1363" spans="1:4" x14ac:dyDescent="0.15">
      <c r="A1363" s="1" t="s">
        <v>14554</v>
      </c>
      <c r="B1363" s="1" t="s">
        <v>14554</v>
      </c>
      <c r="C1363" s="1" t="s">
        <v>14551</v>
      </c>
      <c r="D1363" s="1" t="s">
        <v>4882</v>
      </c>
    </row>
    <row r="1364" spans="1:4" x14ac:dyDescent="0.15">
      <c r="A1364" s="1" t="s">
        <v>11618</v>
      </c>
      <c r="B1364" s="1" t="s">
        <v>11618</v>
      </c>
      <c r="C1364" s="1" t="s">
        <v>4883</v>
      </c>
      <c r="D1364" s="1" t="s">
        <v>4884</v>
      </c>
    </row>
    <row r="1365" spans="1:4" x14ac:dyDescent="0.15">
      <c r="A1365" s="1" t="s">
        <v>8701</v>
      </c>
      <c r="B1365" s="1" t="s">
        <v>8701</v>
      </c>
      <c r="C1365" s="1" t="s">
        <v>14562</v>
      </c>
      <c r="D1365" s="1" t="s">
        <v>4885</v>
      </c>
    </row>
    <row r="1366" spans="1:4" x14ac:dyDescent="0.15">
      <c r="B1366" s="1" t="s">
        <v>8439</v>
      </c>
      <c r="D1366" s="1" t="s">
        <v>4886</v>
      </c>
    </row>
    <row r="1367" spans="1:4" x14ac:dyDescent="0.15">
      <c r="B1367" s="1" t="s">
        <v>8442</v>
      </c>
      <c r="D1367" s="1" t="s">
        <v>4887</v>
      </c>
    </row>
    <row r="1368" spans="1:4" x14ac:dyDescent="0.15">
      <c r="B1368" s="1" t="s">
        <v>8445</v>
      </c>
      <c r="D1368" s="1" t="s">
        <v>4888</v>
      </c>
    </row>
    <row r="1369" spans="1:4" x14ac:dyDescent="0.15">
      <c r="A1369" s="1" t="s">
        <v>14181</v>
      </c>
      <c r="B1369" s="1" t="s">
        <v>14181</v>
      </c>
      <c r="C1369" s="1" t="s">
        <v>14182</v>
      </c>
      <c r="D1369" s="1" t="s">
        <v>14182</v>
      </c>
    </row>
    <row r="1370" spans="1:4" x14ac:dyDescent="0.15">
      <c r="A1370" s="1" t="s">
        <v>8450</v>
      </c>
      <c r="B1370" s="1" t="s">
        <v>8450</v>
      </c>
      <c r="C1370" s="1" t="s">
        <v>4889</v>
      </c>
      <c r="D1370" s="1" t="s">
        <v>4890</v>
      </c>
    </row>
    <row r="1371" spans="1:4" x14ac:dyDescent="0.15">
      <c r="A1371" s="1" t="s">
        <v>14189</v>
      </c>
      <c r="B1371" s="1" t="s">
        <v>14189</v>
      </c>
      <c r="C1371" s="1" t="s">
        <v>4889</v>
      </c>
      <c r="D1371" s="1" t="s">
        <v>4890</v>
      </c>
    </row>
    <row r="1372" spans="1:4" x14ac:dyDescent="0.15">
      <c r="A1372" s="1" t="s">
        <v>14565</v>
      </c>
      <c r="B1372" s="1" t="s">
        <v>14565</v>
      </c>
      <c r="C1372" s="1" t="s">
        <v>4891</v>
      </c>
      <c r="D1372" s="1" t="s">
        <v>4892</v>
      </c>
    </row>
    <row r="1373" spans="1:4" x14ac:dyDescent="0.15">
      <c r="A1373" s="1" t="s">
        <v>14569</v>
      </c>
      <c r="B1373" s="1" t="s">
        <v>14569</v>
      </c>
      <c r="C1373" s="1" t="s">
        <v>4893</v>
      </c>
      <c r="D1373" s="1" t="s">
        <v>4894</v>
      </c>
    </row>
    <row r="1374" spans="1:4" x14ac:dyDescent="0.15">
      <c r="A1374" s="1" t="s">
        <v>14573</v>
      </c>
      <c r="B1374" s="1" t="s">
        <v>14573</v>
      </c>
      <c r="C1374" s="1" t="s">
        <v>14574</v>
      </c>
      <c r="D1374" s="1" t="s">
        <v>4895</v>
      </c>
    </row>
    <row r="1375" spans="1:4" x14ac:dyDescent="0.15">
      <c r="A1375" s="1" t="s">
        <v>13917</v>
      </c>
      <c r="B1375" s="1" t="s">
        <v>13917</v>
      </c>
      <c r="C1375" s="1" t="s">
        <v>13918</v>
      </c>
      <c r="D1375" s="1" t="s">
        <v>13918</v>
      </c>
    </row>
    <row r="1376" spans="1:4" x14ac:dyDescent="0.15">
      <c r="A1376" s="1" t="s">
        <v>13921</v>
      </c>
      <c r="B1376" s="1" t="s">
        <v>13921</v>
      </c>
      <c r="C1376" s="1" t="s">
        <v>13922</v>
      </c>
      <c r="D1376" s="1" t="s">
        <v>4896</v>
      </c>
    </row>
    <row r="1377" spans="1:4" x14ac:dyDescent="0.15">
      <c r="A1377" s="1" t="s">
        <v>13925</v>
      </c>
      <c r="B1377" s="1" t="s">
        <v>6426</v>
      </c>
      <c r="C1377" s="1" t="s">
        <v>13926</v>
      </c>
      <c r="D1377" s="1" t="s">
        <v>13926</v>
      </c>
    </row>
    <row r="1378" spans="1:4" x14ac:dyDescent="0.15">
      <c r="B1378" s="1" t="s">
        <v>8716</v>
      </c>
      <c r="D1378" s="1" t="s">
        <v>4897</v>
      </c>
    </row>
    <row r="1379" spans="1:4" x14ac:dyDescent="0.15">
      <c r="A1379" s="1" t="s">
        <v>13929</v>
      </c>
      <c r="B1379" s="1" t="s">
        <v>13929</v>
      </c>
      <c r="C1379" s="1" t="s">
        <v>13930</v>
      </c>
      <c r="D1379" s="1" t="s">
        <v>4898</v>
      </c>
    </row>
    <row r="1380" spans="1:4" x14ac:dyDescent="0.15">
      <c r="A1380" s="1" t="s">
        <v>8721</v>
      </c>
      <c r="B1380" s="1" t="s">
        <v>8721</v>
      </c>
      <c r="C1380" s="1" t="s">
        <v>4899</v>
      </c>
      <c r="D1380" s="1" t="s">
        <v>4900</v>
      </c>
    </row>
    <row r="1381" spans="1:4" x14ac:dyDescent="0.15">
      <c r="A1381" s="1" t="s">
        <v>13937</v>
      </c>
      <c r="B1381" s="1" t="s">
        <v>13937</v>
      </c>
      <c r="C1381" s="1" t="s">
        <v>13938</v>
      </c>
      <c r="D1381" s="1" t="s">
        <v>4901</v>
      </c>
    </row>
    <row r="1382" spans="1:4" x14ac:dyDescent="0.15">
      <c r="A1382" s="1" t="s">
        <v>13941</v>
      </c>
      <c r="B1382" s="1" t="s">
        <v>13941</v>
      </c>
      <c r="C1382" s="1" t="s">
        <v>4902</v>
      </c>
      <c r="D1382" s="1" t="s">
        <v>4903</v>
      </c>
    </row>
    <row r="1383" spans="1:4" x14ac:dyDescent="0.15">
      <c r="B1383" s="1" t="s">
        <v>8728</v>
      </c>
      <c r="D1383" s="1" t="s">
        <v>4904</v>
      </c>
    </row>
    <row r="1384" spans="1:4" x14ac:dyDescent="0.15">
      <c r="A1384" s="1" t="s">
        <v>13945</v>
      </c>
      <c r="B1384" s="1" t="s">
        <v>13945</v>
      </c>
      <c r="C1384" s="1" t="s">
        <v>4905</v>
      </c>
      <c r="D1384" s="1" t="s">
        <v>4906</v>
      </c>
    </row>
    <row r="1385" spans="1:4" x14ac:dyDescent="0.15">
      <c r="A1385" s="1" t="s">
        <v>8733</v>
      </c>
      <c r="B1385" s="1" t="s">
        <v>8733</v>
      </c>
      <c r="C1385" s="1" t="s">
        <v>13950</v>
      </c>
      <c r="D1385" s="1" t="s">
        <v>4907</v>
      </c>
    </row>
    <row r="1386" spans="1:4" x14ac:dyDescent="0.15">
      <c r="A1386" s="1" t="s">
        <v>13953</v>
      </c>
      <c r="B1386" s="1" t="s">
        <v>13953</v>
      </c>
      <c r="C1386" s="1" t="s">
        <v>13954</v>
      </c>
      <c r="D1386" s="1" t="s">
        <v>4908</v>
      </c>
    </row>
    <row r="1387" spans="1:4" x14ac:dyDescent="0.15">
      <c r="A1387" s="1" t="s">
        <v>13957</v>
      </c>
      <c r="B1387" s="1" t="s">
        <v>13957</v>
      </c>
      <c r="C1387" s="1" t="s">
        <v>13958</v>
      </c>
      <c r="D1387" s="1" t="s">
        <v>4909</v>
      </c>
    </row>
    <row r="1388" spans="1:4" x14ac:dyDescent="0.15">
      <c r="A1388" s="1" t="s">
        <v>13961</v>
      </c>
      <c r="B1388" s="1" t="s">
        <v>8612</v>
      </c>
      <c r="C1388" s="1" t="s">
        <v>4910</v>
      </c>
      <c r="D1388" s="1" t="s">
        <v>4911</v>
      </c>
    </row>
    <row r="1389" spans="1:4" x14ac:dyDescent="0.15">
      <c r="A1389" s="1" t="s">
        <v>13965</v>
      </c>
      <c r="B1389" s="1" t="s">
        <v>13965</v>
      </c>
      <c r="C1389" s="1" t="s">
        <v>13966</v>
      </c>
      <c r="D1389" s="1" t="s">
        <v>13966</v>
      </c>
    </row>
    <row r="1390" spans="1:4" x14ac:dyDescent="0.15">
      <c r="A1390" s="1" t="s">
        <v>13969</v>
      </c>
      <c r="B1390" s="1" t="s">
        <v>13969</v>
      </c>
      <c r="C1390" s="1" t="s">
        <v>13970</v>
      </c>
      <c r="D1390" s="1" t="s">
        <v>4912</v>
      </c>
    </row>
    <row r="1391" spans="1:4" x14ac:dyDescent="0.15">
      <c r="A1391" s="1" t="s">
        <v>8324</v>
      </c>
      <c r="B1391" s="1" t="s">
        <v>8324</v>
      </c>
      <c r="C1391" s="1" t="s">
        <v>4913</v>
      </c>
      <c r="D1391" s="1" t="s">
        <v>4913</v>
      </c>
    </row>
    <row r="1392" spans="1:4" x14ac:dyDescent="0.15">
      <c r="A1392" s="1" t="s">
        <v>8326</v>
      </c>
      <c r="B1392" s="1" t="s">
        <v>8326</v>
      </c>
      <c r="C1392" s="1" t="s">
        <v>13982</v>
      </c>
      <c r="D1392" s="1" t="s">
        <v>4914</v>
      </c>
    </row>
    <row r="1393" spans="1:4" x14ac:dyDescent="0.15">
      <c r="A1393" s="1" t="s">
        <v>13989</v>
      </c>
      <c r="B1393" s="1" t="s">
        <v>13989</v>
      </c>
      <c r="C1393" s="1" t="s">
        <v>13982</v>
      </c>
      <c r="D1393" s="1" t="s">
        <v>4914</v>
      </c>
    </row>
    <row r="1394" spans="1:4" x14ac:dyDescent="0.15">
      <c r="A1394" s="1" t="s">
        <v>8330</v>
      </c>
      <c r="B1394" s="1" t="s">
        <v>8330</v>
      </c>
      <c r="C1394" s="1" t="s">
        <v>4915</v>
      </c>
      <c r="D1394" s="1" t="s">
        <v>4916</v>
      </c>
    </row>
    <row r="1395" spans="1:4" x14ac:dyDescent="0.15">
      <c r="A1395" s="1" t="s">
        <v>8320</v>
      </c>
      <c r="B1395" s="1" t="s">
        <v>8320</v>
      </c>
      <c r="C1395" s="1" t="s">
        <v>4917</v>
      </c>
      <c r="D1395" s="1" t="s">
        <v>4918</v>
      </c>
    </row>
    <row r="1396" spans="1:4" x14ac:dyDescent="0.15">
      <c r="A1396" s="1" t="s">
        <v>13977</v>
      </c>
      <c r="B1396" s="1" t="s">
        <v>13977</v>
      </c>
      <c r="C1396" s="1" t="s">
        <v>4917</v>
      </c>
      <c r="D1396" s="1" t="s">
        <v>4918</v>
      </c>
    </row>
    <row r="1397" spans="1:4" x14ac:dyDescent="0.15">
      <c r="A1397" s="1" t="s">
        <v>13996</v>
      </c>
      <c r="B1397" s="1" t="s">
        <v>13996</v>
      </c>
      <c r="C1397" s="1" t="s">
        <v>4915</v>
      </c>
      <c r="D1397" s="1" t="s">
        <v>4916</v>
      </c>
    </row>
    <row r="1398" spans="1:4" x14ac:dyDescent="0.15">
      <c r="A1398" s="1" t="s">
        <v>8336</v>
      </c>
      <c r="B1398" s="1" t="s">
        <v>8336</v>
      </c>
      <c r="C1398" s="1" t="s">
        <v>14000</v>
      </c>
      <c r="D1398" s="1" t="s">
        <v>14000</v>
      </c>
    </row>
    <row r="1399" spans="1:4" x14ac:dyDescent="0.15">
      <c r="A1399" s="1" t="s">
        <v>14003</v>
      </c>
      <c r="B1399" s="1" t="s">
        <v>14003</v>
      </c>
      <c r="C1399" s="1" t="s">
        <v>14000</v>
      </c>
      <c r="D1399" s="1" t="s">
        <v>4919</v>
      </c>
    </row>
    <row r="1400" spans="1:4" x14ac:dyDescent="0.15">
      <c r="B1400" s="1" t="s">
        <v>8343</v>
      </c>
      <c r="D1400" s="1" t="s">
        <v>4920</v>
      </c>
    </row>
    <row r="1401" spans="1:4" x14ac:dyDescent="0.15">
      <c r="B1401" s="1" t="s">
        <v>8346</v>
      </c>
      <c r="D1401" s="1" t="s">
        <v>4921</v>
      </c>
    </row>
    <row r="1402" spans="1:4" x14ac:dyDescent="0.15">
      <c r="A1402" s="1" t="s">
        <v>11049</v>
      </c>
      <c r="B1402" s="1" t="s">
        <v>11049</v>
      </c>
      <c r="C1402" s="1" t="s">
        <v>4922</v>
      </c>
      <c r="D1402" s="1" t="s">
        <v>4922</v>
      </c>
    </row>
    <row r="1403" spans="1:4" x14ac:dyDescent="0.15">
      <c r="A1403" s="1" t="s">
        <v>14010</v>
      </c>
      <c r="B1403" s="1" t="s">
        <v>14010</v>
      </c>
      <c r="C1403" s="1" t="s">
        <v>4923</v>
      </c>
      <c r="D1403" s="1" t="s">
        <v>4924</v>
      </c>
    </row>
    <row r="1404" spans="1:4" x14ac:dyDescent="0.15">
      <c r="A1404" s="1" t="s">
        <v>14014</v>
      </c>
      <c r="B1404" s="1" t="s">
        <v>14014</v>
      </c>
      <c r="C1404" s="1" t="s">
        <v>4925</v>
      </c>
      <c r="D1404" s="1" t="s">
        <v>4926</v>
      </c>
    </row>
    <row r="1405" spans="1:4" x14ac:dyDescent="0.15">
      <c r="A1405" s="1" t="s">
        <v>14018</v>
      </c>
      <c r="B1405" s="1" t="s">
        <v>14018</v>
      </c>
      <c r="C1405" s="1" t="s">
        <v>14019</v>
      </c>
      <c r="D1405" s="1" t="s">
        <v>14019</v>
      </c>
    </row>
    <row r="1406" spans="1:4" x14ac:dyDescent="0.15">
      <c r="A1406" s="1" t="s">
        <v>14022</v>
      </c>
      <c r="B1406" s="1" t="s">
        <v>14022</v>
      </c>
      <c r="C1406" s="1" t="s">
        <v>14023</v>
      </c>
      <c r="D1406" s="1" t="s">
        <v>14023</v>
      </c>
    </row>
    <row r="1407" spans="1:4" x14ac:dyDescent="0.15">
      <c r="A1407" s="1" t="s">
        <v>14026</v>
      </c>
      <c r="B1407" s="1" t="s">
        <v>14026</v>
      </c>
      <c r="C1407" s="1" t="s">
        <v>4927</v>
      </c>
      <c r="D1407" s="1" t="s">
        <v>4928</v>
      </c>
    </row>
    <row r="1408" spans="1:4" x14ac:dyDescent="0.15">
      <c r="A1408" s="1" t="s">
        <v>14030</v>
      </c>
      <c r="B1408" s="1" t="s">
        <v>14030</v>
      </c>
      <c r="C1408" s="1" t="s">
        <v>14031</v>
      </c>
      <c r="D1408" s="1" t="s">
        <v>14031</v>
      </c>
    </row>
    <row r="1409" spans="1:4" x14ac:dyDescent="0.15">
      <c r="B1409" s="1" t="s">
        <v>11054</v>
      </c>
      <c r="D1409" s="1" t="s">
        <v>4929</v>
      </c>
    </row>
    <row r="1410" spans="1:4" x14ac:dyDescent="0.15">
      <c r="B1410" s="1" t="s">
        <v>8359</v>
      </c>
      <c r="D1410" s="1" t="s">
        <v>4930</v>
      </c>
    </row>
    <row r="1411" spans="1:4" x14ac:dyDescent="0.15">
      <c r="A1411" s="1" t="s">
        <v>14034</v>
      </c>
      <c r="B1411" s="1" t="s">
        <v>14034</v>
      </c>
      <c r="C1411" s="1" t="s">
        <v>4931</v>
      </c>
      <c r="D1411" s="1" t="s">
        <v>4931</v>
      </c>
    </row>
    <row r="1412" spans="1:4" x14ac:dyDescent="0.15">
      <c r="A1412" s="1" t="s">
        <v>8340</v>
      </c>
      <c r="B1412" s="1" t="s">
        <v>8340</v>
      </c>
      <c r="C1412" s="1" t="s">
        <v>4932</v>
      </c>
      <c r="D1412" s="1" t="s">
        <v>4933</v>
      </c>
    </row>
    <row r="1413" spans="1:4" x14ac:dyDescent="0.15">
      <c r="A1413" s="1" t="s">
        <v>14042</v>
      </c>
      <c r="B1413" s="1" t="s">
        <v>14042</v>
      </c>
      <c r="C1413" s="1" t="s">
        <v>14043</v>
      </c>
      <c r="D1413" s="1" t="s">
        <v>4934</v>
      </c>
    </row>
    <row r="1414" spans="1:4" x14ac:dyDescent="0.15">
      <c r="A1414" s="1" t="s">
        <v>14046</v>
      </c>
      <c r="B1414" s="1" t="s">
        <v>14046</v>
      </c>
      <c r="C1414" s="1" t="s">
        <v>4935</v>
      </c>
      <c r="D1414" s="1" t="s">
        <v>4936</v>
      </c>
    </row>
    <row r="1415" spans="1:4" x14ac:dyDescent="0.15">
      <c r="A1415" s="1" t="s">
        <v>14050</v>
      </c>
      <c r="B1415" s="1" t="s">
        <v>8376</v>
      </c>
      <c r="C1415" s="1" t="s">
        <v>4937</v>
      </c>
      <c r="D1415" s="1" t="s">
        <v>4938</v>
      </c>
    </row>
    <row r="1416" spans="1:4" x14ac:dyDescent="0.15">
      <c r="B1416" s="1" t="s">
        <v>8379</v>
      </c>
      <c r="D1416" s="1" t="s">
        <v>4939</v>
      </c>
    </row>
    <row r="1417" spans="1:4" x14ac:dyDescent="0.15">
      <c r="A1417" s="1" t="s">
        <v>14054</v>
      </c>
      <c r="B1417" s="1" t="s">
        <v>14054</v>
      </c>
      <c r="C1417" s="1" t="s">
        <v>4940</v>
      </c>
      <c r="D1417" s="1" t="s">
        <v>4940</v>
      </c>
    </row>
    <row r="1418" spans="1:4" x14ac:dyDescent="0.15">
      <c r="A1418" s="1" t="s">
        <v>14165</v>
      </c>
      <c r="B1418" s="1" t="s">
        <v>14165</v>
      </c>
      <c r="C1418" s="1" t="s">
        <v>4941</v>
      </c>
      <c r="D1418" s="1" t="s">
        <v>4942</v>
      </c>
    </row>
    <row r="1419" spans="1:4" x14ac:dyDescent="0.15">
      <c r="A1419" s="1" t="s">
        <v>14169</v>
      </c>
      <c r="B1419" s="1" t="s">
        <v>14169</v>
      </c>
      <c r="C1419" s="1" t="s">
        <v>4943</v>
      </c>
      <c r="D1419" s="1" t="s">
        <v>4944</v>
      </c>
    </row>
    <row r="1420" spans="1:4" x14ac:dyDescent="0.15">
      <c r="A1420" s="1" t="s">
        <v>14173</v>
      </c>
      <c r="B1420" s="1" t="s">
        <v>14173</v>
      </c>
      <c r="C1420" s="1" t="s">
        <v>4945</v>
      </c>
      <c r="D1420" s="1" t="s">
        <v>4946</v>
      </c>
    </row>
    <row r="1421" spans="1:4" x14ac:dyDescent="0.15">
      <c r="A1421" s="1" t="s">
        <v>14177</v>
      </c>
      <c r="B1421" s="1" t="s">
        <v>14177</v>
      </c>
      <c r="C1421" s="1" t="s">
        <v>4947</v>
      </c>
      <c r="D1421" s="1" t="s">
        <v>4948</v>
      </c>
    </row>
    <row r="1422" spans="1:4" x14ac:dyDescent="0.15">
      <c r="A1422" s="1" t="s">
        <v>14058</v>
      </c>
      <c r="B1422" s="1" t="s">
        <v>14058</v>
      </c>
      <c r="C1422" s="1" t="s">
        <v>4949</v>
      </c>
      <c r="D1422" s="1" t="s">
        <v>4950</v>
      </c>
    </row>
    <row r="1423" spans="1:4" x14ac:dyDescent="0.15">
      <c r="B1423" s="1" t="s">
        <v>8382</v>
      </c>
      <c r="D1423" s="1" t="s">
        <v>4951</v>
      </c>
    </row>
    <row r="1424" spans="1:4" x14ac:dyDescent="0.15">
      <c r="A1424" s="1" t="s">
        <v>14062</v>
      </c>
      <c r="B1424" s="1" t="s">
        <v>14062</v>
      </c>
      <c r="C1424" s="1" t="s">
        <v>4952</v>
      </c>
      <c r="D1424" s="1" t="s">
        <v>4953</v>
      </c>
    </row>
    <row r="1425" spans="1:4" x14ac:dyDescent="0.15">
      <c r="A1425" s="1" t="s">
        <v>10973</v>
      </c>
      <c r="B1425" s="1" t="s">
        <v>10973</v>
      </c>
      <c r="C1425" s="1" t="s">
        <v>4954</v>
      </c>
      <c r="D1425" s="1" t="s">
        <v>4954</v>
      </c>
    </row>
    <row r="1426" spans="1:4" x14ac:dyDescent="0.15">
      <c r="A1426" s="1" t="s">
        <v>14070</v>
      </c>
      <c r="B1426" s="1" t="s">
        <v>14070</v>
      </c>
      <c r="C1426" s="1" t="s">
        <v>14071</v>
      </c>
      <c r="D1426" s="1" t="s">
        <v>14071</v>
      </c>
    </row>
    <row r="1427" spans="1:4" x14ac:dyDescent="0.15">
      <c r="A1427" s="1" t="s">
        <v>14074</v>
      </c>
      <c r="B1427" s="1" t="s">
        <v>14074</v>
      </c>
      <c r="C1427" s="1" t="s">
        <v>4955</v>
      </c>
      <c r="D1427" s="1" t="s">
        <v>4956</v>
      </c>
    </row>
    <row r="1428" spans="1:4" x14ac:dyDescent="0.15">
      <c r="A1428" s="1" t="s">
        <v>14078</v>
      </c>
      <c r="B1428" s="1" t="s">
        <v>14078</v>
      </c>
      <c r="C1428" s="1" t="s">
        <v>14079</v>
      </c>
      <c r="D1428" s="1" t="s">
        <v>14079</v>
      </c>
    </row>
    <row r="1429" spans="1:4" x14ac:dyDescent="0.15">
      <c r="A1429" s="1" t="s">
        <v>14082</v>
      </c>
      <c r="B1429" s="1" t="s">
        <v>14082</v>
      </c>
      <c r="C1429" s="1" t="s">
        <v>4957</v>
      </c>
      <c r="D1429" s="1" t="s">
        <v>4957</v>
      </c>
    </row>
    <row r="1430" spans="1:4" x14ac:dyDescent="0.15">
      <c r="A1430" s="1" t="s">
        <v>8333</v>
      </c>
      <c r="B1430" s="1" t="s">
        <v>8333</v>
      </c>
      <c r="C1430" s="1" t="s">
        <v>4958</v>
      </c>
      <c r="D1430" s="1" t="s">
        <v>4959</v>
      </c>
    </row>
    <row r="1431" spans="1:4" x14ac:dyDescent="0.15">
      <c r="A1431" s="1" t="s">
        <v>14090</v>
      </c>
      <c r="B1431" s="1" t="s">
        <v>14090</v>
      </c>
      <c r="C1431" s="1" t="s">
        <v>14091</v>
      </c>
      <c r="D1431" s="1" t="s">
        <v>4960</v>
      </c>
    </row>
    <row r="1432" spans="1:4" x14ac:dyDescent="0.15">
      <c r="A1432" s="1" t="s">
        <v>14094</v>
      </c>
      <c r="B1432" s="1" t="s">
        <v>14094</v>
      </c>
      <c r="C1432" s="1" t="s">
        <v>14095</v>
      </c>
      <c r="D1432" s="1" t="s">
        <v>4961</v>
      </c>
    </row>
    <row r="1433" spans="1:4" x14ac:dyDescent="0.15">
      <c r="A1433" s="1" t="s">
        <v>14098</v>
      </c>
      <c r="B1433" s="1" t="s">
        <v>14098</v>
      </c>
      <c r="C1433" s="1" t="s">
        <v>4962</v>
      </c>
      <c r="D1433" s="1" t="s">
        <v>4962</v>
      </c>
    </row>
    <row r="1434" spans="1:4" x14ac:dyDescent="0.15">
      <c r="A1434" s="1" t="s">
        <v>14102</v>
      </c>
      <c r="B1434" s="1" t="s">
        <v>14102</v>
      </c>
      <c r="C1434" s="1" t="s">
        <v>14103</v>
      </c>
      <c r="D1434" s="1" t="s">
        <v>14103</v>
      </c>
    </row>
    <row r="1435" spans="1:4" x14ac:dyDescent="0.15">
      <c r="A1435" s="1" t="s">
        <v>14106</v>
      </c>
      <c r="B1435" s="1" t="s">
        <v>14106</v>
      </c>
      <c r="C1435" s="1" t="s">
        <v>14107</v>
      </c>
      <c r="D1435" s="1" t="s">
        <v>14107</v>
      </c>
    </row>
    <row r="1436" spans="1:4" x14ac:dyDescent="0.15">
      <c r="A1436" s="1" t="s">
        <v>14110</v>
      </c>
      <c r="B1436" s="1" t="s">
        <v>14110</v>
      </c>
      <c r="C1436" s="1" t="s">
        <v>14111</v>
      </c>
      <c r="D1436" s="1" t="s">
        <v>4963</v>
      </c>
    </row>
    <row r="1437" spans="1:4" x14ac:dyDescent="0.15">
      <c r="A1437" s="1" t="s">
        <v>14114</v>
      </c>
      <c r="B1437" s="1" t="s">
        <v>14114</v>
      </c>
      <c r="C1437" s="1" t="s">
        <v>14115</v>
      </c>
      <c r="D1437" s="1" t="s">
        <v>14115</v>
      </c>
    </row>
    <row r="1438" spans="1:4" x14ac:dyDescent="0.15">
      <c r="A1438" s="1" t="s">
        <v>14118</v>
      </c>
      <c r="B1438" s="1" t="s">
        <v>14118</v>
      </c>
      <c r="C1438" s="1" t="s">
        <v>14119</v>
      </c>
      <c r="D1438" s="1" t="s">
        <v>14119</v>
      </c>
    </row>
    <row r="1439" spans="1:4" x14ac:dyDescent="0.15">
      <c r="A1439" s="1" t="s">
        <v>14122</v>
      </c>
      <c r="B1439" s="1" t="s">
        <v>14122</v>
      </c>
      <c r="C1439" s="1" t="s">
        <v>14123</v>
      </c>
      <c r="D1439" s="1" t="s">
        <v>14123</v>
      </c>
    </row>
    <row r="1440" spans="1:4" x14ac:dyDescent="0.15">
      <c r="A1440" s="1" t="s">
        <v>14126</v>
      </c>
      <c r="B1440" s="1" t="s">
        <v>14126</v>
      </c>
      <c r="C1440" s="1" t="s">
        <v>4964</v>
      </c>
      <c r="D1440" s="1" t="s">
        <v>4965</v>
      </c>
    </row>
    <row r="1441" spans="1:4" x14ac:dyDescent="0.15">
      <c r="A1441" s="1" t="s">
        <v>14130</v>
      </c>
      <c r="B1441" s="1" t="s">
        <v>14130</v>
      </c>
      <c r="C1441" s="1" t="s">
        <v>4966</v>
      </c>
      <c r="D1441" s="1" t="s">
        <v>4966</v>
      </c>
    </row>
    <row r="1442" spans="1:4" x14ac:dyDescent="0.15">
      <c r="A1442" s="1" t="s">
        <v>14134</v>
      </c>
      <c r="B1442" s="1" t="s">
        <v>14134</v>
      </c>
      <c r="C1442" s="1" t="s">
        <v>4967</v>
      </c>
      <c r="D1442" s="1" t="s">
        <v>4967</v>
      </c>
    </row>
    <row r="1443" spans="1:4" x14ac:dyDescent="0.15">
      <c r="A1443" s="1" t="s">
        <v>14138</v>
      </c>
      <c r="B1443" s="1" t="s">
        <v>14138</v>
      </c>
      <c r="C1443" s="1" t="s">
        <v>4968</v>
      </c>
      <c r="D1443" s="1" t="s">
        <v>4968</v>
      </c>
    </row>
    <row r="1444" spans="1:4" x14ac:dyDescent="0.15">
      <c r="A1444" s="1" t="s">
        <v>10670</v>
      </c>
      <c r="B1444" s="1" t="s">
        <v>10670</v>
      </c>
      <c r="C1444" s="1" t="s">
        <v>15511</v>
      </c>
      <c r="D1444" s="1" t="s">
        <v>15511</v>
      </c>
    </row>
    <row r="1445" spans="1:4" x14ac:dyDescent="0.15">
      <c r="A1445" s="1" t="s">
        <v>14145</v>
      </c>
      <c r="B1445" s="1" t="s">
        <v>14145</v>
      </c>
      <c r="C1445" s="1" t="s">
        <v>14146</v>
      </c>
      <c r="D1445" s="1" t="s">
        <v>14146</v>
      </c>
    </row>
    <row r="1446" spans="1:4" x14ac:dyDescent="0.15">
      <c r="A1446" s="1" t="s">
        <v>14149</v>
      </c>
      <c r="B1446" s="1" t="s">
        <v>14149</v>
      </c>
      <c r="C1446" s="1" t="s">
        <v>4969</v>
      </c>
      <c r="D1446" s="1" t="s">
        <v>4970</v>
      </c>
    </row>
    <row r="1447" spans="1:4" x14ac:dyDescent="0.15">
      <c r="A1447" s="1" t="s">
        <v>14153</v>
      </c>
      <c r="B1447" s="1" t="s">
        <v>14153</v>
      </c>
      <c r="C1447" s="1" t="s">
        <v>4971</v>
      </c>
      <c r="D1447" s="1" t="s">
        <v>4972</v>
      </c>
    </row>
    <row r="1448" spans="1:4" x14ac:dyDescent="0.15">
      <c r="A1448" s="1" t="s">
        <v>14157</v>
      </c>
      <c r="B1448" s="1" t="s">
        <v>14157</v>
      </c>
      <c r="C1448" s="1" t="s">
        <v>4973</v>
      </c>
      <c r="D1448" s="1" t="s">
        <v>4974</v>
      </c>
    </row>
    <row r="1449" spans="1:4" x14ac:dyDescent="0.15">
      <c r="A1449" s="1" t="s">
        <v>14161</v>
      </c>
      <c r="B1449" s="1" t="s">
        <v>14161</v>
      </c>
      <c r="C1449" s="1" t="s">
        <v>4975</v>
      </c>
      <c r="D1449" s="1" t="s">
        <v>4975</v>
      </c>
    </row>
    <row r="1450" spans="1:4" x14ac:dyDescent="0.15">
      <c r="A1450" s="1" t="s">
        <v>9755</v>
      </c>
      <c r="B1450" s="1" t="s">
        <v>9755</v>
      </c>
      <c r="C1450" s="1" t="s">
        <v>4976</v>
      </c>
      <c r="D1450" s="1" t="s">
        <v>4977</v>
      </c>
    </row>
    <row r="1451" spans="1:4" x14ac:dyDescent="0.15">
      <c r="B1451" s="1" t="s">
        <v>8455</v>
      </c>
      <c r="D1451" s="1" t="s">
        <v>4978</v>
      </c>
    </row>
    <row r="1452" spans="1:4" x14ac:dyDescent="0.15">
      <c r="B1452" s="1" t="s">
        <v>14192</v>
      </c>
      <c r="D1452" s="1" t="s">
        <v>4979</v>
      </c>
    </row>
    <row r="1453" spans="1:4" x14ac:dyDescent="0.15">
      <c r="A1453" s="1" t="s">
        <v>8459</v>
      </c>
      <c r="B1453" s="1" t="s">
        <v>8459</v>
      </c>
      <c r="C1453" s="1" t="s">
        <v>14197</v>
      </c>
      <c r="D1453" s="1" t="s">
        <v>4980</v>
      </c>
    </row>
    <row r="1454" spans="1:4" x14ac:dyDescent="0.15">
      <c r="A1454" s="1" t="s">
        <v>14200</v>
      </c>
      <c r="B1454" s="1" t="s">
        <v>14200</v>
      </c>
      <c r="C1454" s="1" t="s">
        <v>14197</v>
      </c>
      <c r="D1454" s="1" t="s">
        <v>4980</v>
      </c>
    </row>
    <row r="1455" spans="1:4" x14ac:dyDescent="0.15">
      <c r="A1455" s="1" t="s">
        <v>8463</v>
      </c>
      <c r="B1455" s="1" t="s">
        <v>8463</v>
      </c>
      <c r="C1455" s="1" t="s">
        <v>4981</v>
      </c>
      <c r="D1455" s="1" t="s">
        <v>4981</v>
      </c>
    </row>
    <row r="1456" spans="1:4" x14ac:dyDescent="0.15">
      <c r="A1456" s="1" t="s">
        <v>14207</v>
      </c>
      <c r="B1456" s="1" t="s">
        <v>14207</v>
      </c>
      <c r="C1456" s="1" t="s">
        <v>14208</v>
      </c>
      <c r="D1456" s="1" t="s">
        <v>14208</v>
      </c>
    </row>
    <row r="1457" spans="1:4" x14ac:dyDescent="0.15">
      <c r="A1457" s="1" t="s">
        <v>14211</v>
      </c>
      <c r="B1457" s="1" t="s">
        <v>14211</v>
      </c>
      <c r="C1457" s="1" t="s">
        <v>14212</v>
      </c>
      <c r="D1457" s="1" t="s">
        <v>4982</v>
      </c>
    </row>
    <row r="1458" spans="1:4" x14ac:dyDescent="0.15">
      <c r="A1458" s="1" t="s">
        <v>13600</v>
      </c>
      <c r="B1458" s="1" t="s">
        <v>13600</v>
      </c>
      <c r="C1458" s="1" t="s">
        <v>13601</v>
      </c>
      <c r="D1458" s="1" t="s">
        <v>4983</v>
      </c>
    </row>
    <row r="1459" spans="1:4" x14ac:dyDescent="0.15">
      <c r="A1459" s="1" t="s">
        <v>13608</v>
      </c>
      <c r="B1459" s="1" t="s">
        <v>10610</v>
      </c>
      <c r="C1459" s="1" t="s">
        <v>13609</v>
      </c>
      <c r="D1459" s="1" t="s">
        <v>4984</v>
      </c>
    </row>
    <row r="1460" spans="1:4" x14ac:dyDescent="0.15">
      <c r="A1460" s="1" t="s">
        <v>13604</v>
      </c>
      <c r="B1460" s="1" t="s">
        <v>13604</v>
      </c>
      <c r="C1460" s="1" t="s">
        <v>4985</v>
      </c>
      <c r="D1460" s="1" t="s">
        <v>4986</v>
      </c>
    </row>
    <row r="1461" spans="1:4" x14ac:dyDescent="0.15">
      <c r="A1461" s="1" t="s">
        <v>13612</v>
      </c>
      <c r="B1461" s="1" t="s">
        <v>13612</v>
      </c>
      <c r="C1461" s="1" t="s">
        <v>4987</v>
      </c>
      <c r="D1461" s="1" t="s">
        <v>4987</v>
      </c>
    </row>
    <row r="1462" spans="1:4" x14ac:dyDescent="0.15">
      <c r="A1462" s="1" t="s">
        <v>8476</v>
      </c>
      <c r="C1462" s="1" t="s">
        <v>13617</v>
      </c>
      <c r="D1462" s="1" t="s">
        <v>6584</v>
      </c>
    </row>
    <row r="1463" spans="1:4" x14ac:dyDescent="0.15">
      <c r="A1463" s="1" t="s">
        <v>13620</v>
      </c>
      <c r="B1463" s="1" t="s">
        <v>10592</v>
      </c>
      <c r="C1463" s="1" t="s">
        <v>13621</v>
      </c>
      <c r="D1463" s="1" t="s">
        <v>4988</v>
      </c>
    </row>
    <row r="1464" spans="1:4" x14ac:dyDescent="0.15">
      <c r="A1464" s="1" t="s">
        <v>8481</v>
      </c>
      <c r="B1464" s="1" t="s">
        <v>8481</v>
      </c>
      <c r="C1464" s="1" t="s">
        <v>13625</v>
      </c>
      <c r="D1464" s="1" t="s">
        <v>4989</v>
      </c>
    </row>
    <row r="1465" spans="1:4" x14ac:dyDescent="0.15">
      <c r="A1465" s="1" t="s">
        <v>13628</v>
      </c>
      <c r="B1465" s="1" t="s">
        <v>13628</v>
      </c>
      <c r="C1465" s="1" t="s">
        <v>13625</v>
      </c>
      <c r="D1465" s="1" t="s">
        <v>4990</v>
      </c>
    </row>
    <row r="1466" spans="1:4" x14ac:dyDescent="0.15">
      <c r="A1466" s="1" t="s">
        <v>8485</v>
      </c>
      <c r="B1466" s="1" t="s">
        <v>8485</v>
      </c>
      <c r="C1466" s="1" t="s">
        <v>13632</v>
      </c>
      <c r="D1466" s="1" t="s">
        <v>4991</v>
      </c>
    </row>
    <row r="1467" spans="1:4" x14ac:dyDescent="0.15">
      <c r="A1467" s="1" t="s">
        <v>13635</v>
      </c>
      <c r="B1467" s="1" t="s">
        <v>13635</v>
      </c>
      <c r="C1467" s="1" t="s">
        <v>13632</v>
      </c>
      <c r="D1467" s="1" t="s">
        <v>4992</v>
      </c>
    </row>
    <row r="1468" spans="1:4" x14ac:dyDescent="0.15">
      <c r="B1468" s="1" t="s">
        <v>8490</v>
      </c>
      <c r="D1468" s="1" t="s">
        <v>4993</v>
      </c>
    </row>
    <row r="1469" spans="1:4" x14ac:dyDescent="0.15">
      <c r="B1469" s="1" t="s">
        <v>8493</v>
      </c>
      <c r="D1469" s="1" t="s">
        <v>4994</v>
      </c>
    </row>
    <row r="1470" spans="1:4" x14ac:dyDescent="0.15">
      <c r="B1470" s="1" t="s">
        <v>8185</v>
      </c>
      <c r="D1470" s="1" t="s">
        <v>4995</v>
      </c>
    </row>
    <row r="1471" spans="1:4" x14ac:dyDescent="0.15">
      <c r="B1471" s="1" t="s">
        <v>8188</v>
      </c>
      <c r="D1471" s="1" t="s">
        <v>4996</v>
      </c>
    </row>
    <row r="1472" spans="1:4" x14ac:dyDescent="0.15">
      <c r="B1472" s="1" t="s">
        <v>8191</v>
      </c>
      <c r="D1472" s="1" t="s">
        <v>4997</v>
      </c>
    </row>
    <row r="1473" spans="1:4" x14ac:dyDescent="0.15">
      <c r="B1473" s="1" t="s">
        <v>8194</v>
      </c>
      <c r="D1473" s="1" t="s">
        <v>4998</v>
      </c>
    </row>
    <row r="1474" spans="1:4" x14ac:dyDescent="0.15">
      <c r="B1474" s="1" t="s">
        <v>8197</v>
      </c>
      <c r="D1474" s="1" t="s">
        <v>4999</v>
      </c>
    </row>
    <row r="1475" spans="1:4" x14ac:dyDescent="0.15">
      <c r="B1475" s="1" t="s">
        <v>8200</v>
      </c>
      <c r="D1475" s="1" t="s">
        <v>5000</v>
      </c>
    </row>
    <row r="1476" spans="1:4" x14ac:dyDescent="0.15">
      <c r="B1476" s="1" t="s">
        <v>8203</v>
      </c>
      <c r="D1476" s="1" t="s">
        <v>5001</v>
      </c>
    </row>
    <row r="1477" spans="1:4" x14ac:dyDescent="0.15">
      <c r="B1477" s="1" t="s">
        <v>8206</v>
      </c>
      <c r="D1477" s="1" t="s">
        <v>5002</v>
      </c>
    </row>
    <row r="1478" spans="1:4" x14ac:dyDescent="0.15">
      <c r="B1478" s="1" t="s">
        <v>8209</v>
      </c>
      <c r="D1478" s="1" t="s">
        <v>5003</v>
      </c>
    </row>
    <row r="1479" spans="1:4" x14ac:dyDescent="0.15">
      <c r="A1479" s="1" t="s">
        <v>10721</v>
      </c>
      <c r="B1479" s="1" t="s">
        <v>10721</v>
      </c>
      <c r="C1479" s="1" t="s">
        <v>13639</v>
      </c>
      <c r="D1479" s="1" t="s">
        <v>5004</v>
      </c>
    </row>
    <row r="1480" spans="1:4" x14ac:dyDescent="0.15">
      <c r="A1480" s="1" t="s">
        <v>13642</v>
      </c>
      <c r="B1480" s="1" t="s">
        <v>13642</v>
      </c>
      <c r="C1480" s="1" t="s">
        <v>13643</v>
      </c>
      <c r="D1480" s="1" t="s">
        <v>5005</v>
      </c>
    </row>
    <row r="1481" spans="1:4" x14ac:dyDescent="0.15">
      <c r="A1481" s="1" t="s">
        <v>13646</v>
      </c>
      <c r="B1481" s="1" t="s">
        <v>13646</v>
      </c>
      <c r="C1481" s="1" t="s">
        <v>13647</v>
      </c>
      <c r="D1481" s="1" t="s">
        <v>5006</v>
      </c>
    </row>
    <row r="1482" spans="1:4" x14ac:dyDescent="0.15">
      <c r="A1482" s="1" t="s">
        <v>13650</v>
      </c>
      <c r="B1482" s="1" t="s">
        <v>13650</v>
      </c>
      <c r="C1482" s="1" t="s">
        <v>13651</v>
      </c>
      <c r="D1482" s="1" t="s">
        <v>5007</v>
      </c>
    </row>
    <row r="1483" spans="1:4" x14ac:dyDescent="0.15">
      <c r="A1483" s="1" t="s">
        <v>13654</v>
      </c>
      <c r="B1483" s="1" t="s">
        <v>13654</v>
      </c>
      <c r="C1483" s="1" t="s">
        <v>13655</v>
      </c>
      <c r="D1483" s="1" t="s">
        <v>5008</v>
      </c>
    </row>
    <row r="1484" spans="1:4" x14ac:dyDescent="0.15">
      <c r="A1484" s="1" t="s">
        <v>13718</v>
      </c>
      <c r="B1484" s="1" t="s">
        <v>13718</v>
      </c>
      <c r="C1484" s="1" t="s">
        <v>13719</v>
      </c>
      <c r="D1484" s="1" t="s">
        <v>13719</v>
      </c>
    </row>
    <row r="1485" spans="1:4" x14ac:dyDescent="0.15">
      <c r="A1485" s="1" t="s">
        <v>10722</v>
      </c>
      <c r="B1485" s="1" t="s">
        <v>10722</v>
      </c>
      <c r="C1485" s="1" t="s">
        <v>5009</v>
      </c>
      <c r="D1485" s="1" t="s">
        <v>5009</v>
      </c>
    </row>
    <row r="1486" spans="1:4" x14ac:dyDescent="0.15">
      <c r="A1486" s="1" t="s">
        <v>13662</v>
      </c>
      <c r="B1486" s="1" t="s">
        <v>13662</v>
      </c>
      <c r="C1486" s="1" t="s">
        <v>5010</v>
      </c>
      <c r="D1486" s="1" t="s">
        <v>5011</v>
      </c>
    </row>
    <row r="1487" spans="1:4" x14ac:dyDescent="0.15">
      <c r="A1487" s="1" t="s">
        <v>13666</v>
      </c>
      <c r="B1487" s="1" t="s">
        <v>13666</v>
      </c>
      <c r="C1487" s="1" t="s">
        <v>13667</v>
      </c>
      <c r="D1487" s="1" t="s">
        <v>5012</v>
      </c>
    </row>
    <row r="1488" spans="1:4" x14ac:dyDescent="0.15">
      <c r="A1488" s="1" t="s">
        <v>13670</v>
      </c>
      <c r="B1488" s="1" t="s">
        <v>13670</v>
      </c>
      <c r="C1488" s="1" t="s">
        <v>13671</v>
      </c>
      <c r="D1488" s="1" t="s">
        <v>13671</v>
      </c>
    </row>
    <row r="1489" spans="1:4" x14ac:dyDescent="0.15">
      <c r="A1489" s="1" t="s">
        <v>13674</v>
      </c>
      <c r="B1489" s="1" t="s">
        <v>13674</v>
      </c>
      <c r="C1489" s="1" t="s">
        <v>13675</v>
      </c>
      <c r="D1489" s="1" t="s">
        <v>13675</v>
      </c>
    </row>
    <row r="1490" spans="1:4" x14ac:dyDescent="0.15">
      <c r="A1490" s="1" t="s">
        <v>13678</v>
      </c>
      <c r="B1490" s="1" t="s">
        <v>13678</v>
      </c>
      <c r="C1490" s="1" t="s">
        <v>13679</v>
      </c>
      <c r="D1490" s="1" t="s">
        <v>5013</v>
      </c>
    </row>
    <row r="1491" spans="1:4" x14ac:dyDescent="0.15">
      <c r="A1491" s="1" t="s">
        <v>13682</v>
      </c>
      <c r="B1491" s="1" t="s">
        <v>13682</v>
      </c>
      <c r="C1491" s="1" t="s">
        <v>13683</v>
      </c>
      <c r="D1491" s="1" t="s">
        <v>5014</v>
      </c>
    </row>
    <row r="1492" spans="1:4" x14ac:dyDescent="0.15">
      <c r="A1492" s="1" t="s">
        <v>13686</v>
      </c>
      <c r="B1492" s="1" t="s">
        <v>13686</v>
      </c>
      <c r="C1492" s="1" t="s">
        <v>13687</v>
      </c>
      <c r="D1492" s="1" t="s">
        <v>5015</v>
      </c>
    </row>
    <row r="1493" spans="1:4" x14ac:dyDescent="0.15">
      <c r="A1493" s="1" t="s">
        <v>13690</v>
      </c>
      <c r="B1493" s="1" t="s">
        <v>13690</v>
      </c>
      <c r="C1493" s="1" t="s">
        <v>13691</v>
      </c>
      <c r="D1493" s="1" t="s">
        <v>5016</v>
      </c>
    </row>
    <row r="1494" spans="1:4" x14ac:dyDescent="0.15">
      <c r="B1494" s="1" t="s">
        <v>11174</v>
      </c>
      <c r="D1494" s="1" t="s">
        <v>5017</v>
      </c>
    </row>
    <row r="1495" spans="1:4" x14ac:dyDescent="0.15">
      <c r="B1495" s="1" t="s">
        <v>8240</v>
      </c>
      <c r="D1495" s="1" t="s">
        <v>5018</v>
      </c>
    </row>
    <row r="1496" spans="1:4" x14ac:dyDescent="0.15">
      <c r="B1496" s="1" t="s">
        <v>8243</v>
      </c>
      <c r="D1496" s="1" t="s">
        <v>5019</v>
      </c>
    </row>
    <row r="1497" spans="1:4" x14ac:dyDescent="0.15">
      <c r="B1497" s="1" t="s">
        <v>8246</v>
      </c>
      <c r="D1497" s="1" t="s">
        <v>5020</v>
      </c>
    </row>
    <row r="1498" spans="1:4" x14ac:dyDescent="0.15">
      <c r="B1498" s="1" t="s">
        <v>11207</v>
      </c>
      <c r="D1498" s="1" t="s">
        <v>5021</v>
      </c>
    </row>
    <row r="1499" spans="1:4" x14ac:dyDescent="0.15">
      <c r="B1499" s="1" t="s">
        <v>8250</v>
      </c>
      <c r="D1499" s="1" t="s">
        <v>5022</v>
      </c>
    </row>
    <row r="1500" spans="1:4" x14ac:dyDescent="0.15">
      <c r="B1500" s="1" t="s">
        <v>8253</v>
      </c>
      <c r="D1500" s="1" t="s">
        <v>5023</v>
      </c>
    </row>
    <row r="1501" spans="1:4" x14ac:dyDescent="0.15">
      <c r="B1501" s="1" t="s">
        <v>8259</v>
      </c>
      <c r="D1501" s="1" t="s">
        <v>5024</v>
      </c>
    </row>
    <row r="1502" spans="1:4" x14ac:dyDescent="0.15">
      <c r="A1502" s="1" t="s">
        <v>13694</v>
      </c>
      <c r="B1502" s="1" t="s">
        <v>13694</v>
      </c>
      <c r="C1502" s="1" t="s">
        <v>5025</v>
      </c>
      <c r="D1502" s="1" t="s">
        <v>5025</v>
      </c>
    </row>
    <row r="1503" spans="1:4" x14ac:dyDescent="0.15">
      <c r="A1503" s="1" t="s">
        <v>10724</v>
      </c>
      <c r="B1503" s="1" t="s">
        <v>10724</v>
      </c>
      <c r="C1503" s="1" t="s">
        <v>5026</v>
      </c>
      <c r="D1503" s="1" t="s">
        <v>5027</v>
      </c>
    </row>
    <row r="1504" spans="1:4" x14ac:dyDescent="0.15">
      <c r="A1504" s="1" t="s">
        <v>13702</v>
      </c>
      <c r="B1504" s="1" t="s">
        <v>13702</v>
      </c>
      <c r="C1504" s="1" t="s">
        <v>13703</v>
      </c>
      <c r="D1504" s="1" t="s">
        <v>5028</v>
      </c>
    </row>
    <row r="1505" spans="1:4" x14ac:dyDescent="0.15">
      <c r="A1505" s="1" t="s">
        <v>13706</v>
      </c>
      <c r="B1505" s="1" t="s">
        <v>13706</v>
      </c>
      <c r="C1505" s="1" t="s">
        <v>13707</v>
      </c>
      <c r="D1505" s="1" t="s">
        <v>5029</v>
      </c>
    </row>
    <row r="1506" spans="1:4" x14ac:dyDescent="0.15">
      <c r="A1506" s="1" t="s">
        <v>13710</v>
      </c>
      <c r="B1506" s="1" t="s">
        <v>13710</v>
      </c>
      <c r="C1506" s="1" t="s">
        <v>13711</v>
      </c>
      <c r="D1506" s="1" t="s">
        <v>5030</v>
      </c>
    </row>
    <row r="1507" spans="1:4" x14ac:dyDescent="0.15">
      <c r="A1507" s="1" t="s">
        <v>13714</v>
      </c>
      <c r="B1507" s="1" t="s">
        <v>13404</v>
      </c>
      <c r="C1507" s="1" t="s">
        <v>13715</v>
      </c>
      <c r="D1507" s="1" t="s">
        <v>5031</v>
      </c>
    </row>
    <row r="1508" spans="1:4" x14ac:dyDescent="0.15">
      <c r="A1508" s="1" t="s">
        <v>13722</v>
      </c>
      <c r="B1508" s="1" t="s">
        <v>13722</v>
      </c>
      <c r="C1508" s="1" t="s">
        <v>13723</v>
      </c>
      <c r="D1508" s="1" t="s">
        <v>5032</v>
      </c>
    </row>
    <row r="1509" spans="1:4" x14ac:dyDescent="0.15">
      <c r="A1509" s="1" t="s">
        <v>13726</v>
      </c>
      <c r="B1509" s="1" t="s">
        <v>8015</v>
      </c>
      <c r="C1509" s="1" t="s">
        <v>13727</v>
      </c>
      <c r="D1509" s="1" t="s">
        <v>13727</v>
      </c>
    </row>
    <row r="1510" spans="1:4" x14ac:dyDescent="0.15">
      <c r="A1510" s="1" t="s">
        <v>13730</v>
      </c>
      <c r="B1510" s="1" t="s">
        <v>13730</v>
      </c>
      <c r="C1510" s="1" t="s">
        <v>13731</v>
      </c>
      <c r="D1510" s="1" t="s">
        <v>5033</v>
      </c>
    </row>
    <row r="1511" spans="1:4" x14ac:dyDescent="0.15">
      <c r="B1511" s="1" t="s">
        <v>8281</v>
      </c>
      <c r="D1511" s="1" t="s">
        <v>5034</v>
      </c>
    </row>
    <row r="1512" spans="1:4" x14ac:dyDescent="0.15">
      <c r="B1512" s="1" t="s">
        <v>8284</v>
      </c>
      <c r="D1512" s="1" t="s">
        <v>5035</v>
      </c>
    </row>
    <row r="1513" spans="1:4" x14ac:dyDescent="0.15">
      <c r="B1513" s="1" t="s">
        <v>8287</v>
      </c>
      <c r="D1513" s="1" t="s">
        <v>5036</v>
      </c>
    </row>
    <row r="1514" spans="1:4" x14ac:dyDescent="0.15">
      <c r="B1514" s="1" t="s">
        <v>8290</v>
      </c>
      <c r="D1514" s="1" t="s">
        <v>5037</v>
      </c>
    </row>
    <row r="1515" spans="1:4" x14ac:dyDescent="0.15">
      <c r="B1515" s="1" t="s">
        <v>8293</v>
      </c>
      <c r="D1515" s="1" t="s">
        <v>5038</v>
      </c>
    </row>
    <row r="1516" spans="1:4" x14ac:dyDescent="0.15">
      <c r="A1516" s="1" t="s">
        <v>13734</v>
      </c>
      <c r="B1516" s="1" t="s">
        <v>13734</v>
      </c>
      <c r="C1516" s="1" t="s">
        <v>5039</v>
      </c>
      <c r="D1516" s="1" t="s">
        <v>5040</v>
      </c>
    </row>
    <row r="1517" spans="1:4" x14ac:dyDescent="0.15">
      <c r="A1517" s="1" t="s">
        <v>10726</v>
      </c>
      <c r="B1517" s="1" t="s">
        <v>10726</v>
      </c>
      <c r="C1517" s="1" t="s">
        <v>5041</v>
      </c>
      <c r="D1517" s="1" t="s">
        <v>5042</v>
      </c>
    </row>
    <row r="1518" spans="1:4" x14ac:dyDescent="0.15">
      <c r="A1518" s="1" t="s">
        <v>13742</v>
      </c>
      <c r="B1518" s="1" t="s">
        <v>13742</v>
      </c>
      <c r="C1518" s="1" t="s">
        <v>13743</v>
      </c>
      <c r="D1518" s="1" t="s">
        <v>5043</v>
      </c>
    </row>
    <row r="1519" spans="1:4" x14ac:dyDescent="0.15">
      <c r="A1519" s="1" t="s">
        <v>13758</v>
      </c>
      <c r="B1519" s="1" t="s">
        <v>13758</v>
      </c>
      <c r="C1519" s="1" t="s">
        <v>13759</v>
      </c>
      <c r="D1519" s="1" t="s">
        <v>5044</v>
      </c>
    </row>
    <row r="1520" spans="1:4" x14ac:dyDescent="0.15">
      <c r="A1520" s="1" t="s">
        <v>13746</v>
      </c>
      <c r="B1520" s="1" t="s">
        <v>13746</v>
      </c>
      <c r="C1520" s="1" t="s">
        <v>13747</v>
      </c>
      <c r="D1520" s="1" t="s">
        <v>13747</v>
      </c>
    </row>
    <row r="1521" spans="1:4" x14ac:dyDescent="0.15">
      <c r="A1521" s="1" t="s">
        <v>13750</v>
      </c>
      <c r="B1521" s="1" t="s">
        <v>13750</v>
      </c>
      <c r="C1521" s="1" t="s">
        <v>13751</v>
      </c>
      <c r="D1521" s="1" t="s">
        <v>5045</v>
      </c>
    </row>
    <row r="1522" spans="1:4" x14ac:dyDescent="0.15">
      <c r="A1522" s="1" t="s">
        <v>13754</v>
      </c>
      <c r="B1522" s="1" t="s">
        <v>13754</v>
      </c>
      <c r="C1522" s="1" t="s">
        <v>13755</v>
      </c>
      <c r="D1522" s="1" t="s">
        <v>5046</v>
      </c>
    </row>
    <row r="1523" spans="1:4" x14ac:dyDescent="0.15">
      <c r="A1523" s="1" t="s">
        <v>13762</v>
      </c>
      <c r="B1523" s="1" t="s">
        <v>13762</v>
      </c>
      <c r="C1523" s="1" t="s">
        <v>13763</v>
      </c>
      <c r="D1523" s="1" t="s">
        <v>5047</v>
      </c>
    </row>
    <row r="1524" spans="1:4" x14ac:dyDescent="0.15">
      <c r="A1524" s="1" t="s">
        <v>13766</v>
      </c>
      <c r="B1524" s="1" t="s">
        <v>13766</v>
      </c>
      <c r="C1524" s="1" t="s">
        <v>13767</v>
      </c>
      <c r="D1524" s="1" t="s">
        <v>5048</v>
      </c>
    </row>
    <row r="1525" spans="1:4" x14ac:dyDescent="0.15">
      <c r="A1525" s="1" t="s">
        <v>13770</v>
      </c>
      <c r="B1525" s="1" t="s">
        <v>13770</v>
      </c>
      <c r="C1525" s="1" t="s">
        <v>13771</v>
      </c>
      <c r="D1525" s="1" t="s">
        <v>5049</v>
      </c>
    </row>
    <row r="1526" spans="1:4" x14ac:dyDescent="0.15">
      <c r="A1526" s="1" t="s">
        <v>13774</v>
      </c>
      <c r="B1526" s="1" t="s">
        <v>13774</v>
      </c>
      <c r="C1526" s="1" t="s">
        <v>13775</v>
      </c>
      <c r="D1526" s="1" t="s">
        <v>5050</v>
      </c>
    </row>
    <row r="1527" spans="1:4" x14ac:dyDescent="0.15">
      <c r="B1527" s="1" t="s">
        <v>8012</v>
      </c>
      <c r="D1527" s="1" t="s">
        <v>5051</v>
      </c>
    </row>
    <row r="1528" spans="1:4" x14ac:dyDescent="0.15">
      <c r="B1528" s="1" t="s">
        <v>9483</v>
      </c>
      <c r="D1528" s="1" t="s">
        <v>5052</v>
      </c>
    </row>
    <row r="1529" spans="1:4" x14ac:dyDescent="0.15">
      <c r="B1529" s="1" t="s">
        <v>8021</v>
      </c>
      <c r="D1529" s="1" t="s">
        <v>5053</v>
      </c>
    </row>
    <row r="1530" spans="1:4" x14ac:dyDescent="0.15">
      <c r="B1530" s="1" t="s">
        <v>8024</v>
      </c>
      <c r="D1530" s="1" t="s">
        <v>5054</v>
      </c>
    </row>
    <row r="1531" spans="1:4" x14ac:dyDescent="0.15">
      <c r="A1531" s="1" t="s">
        <v>13778</v>
      </c>
      <c r="B1531" s="1" t="s">
        <v>13778</v>
      </c>
      <c r="C1531" s="1" t="s">
        <v>5055</v>
      </c>
      <c r="D1531" s="1" t="s">
        <v>5056</v>
      </c>
    </row>
    <row r="1532" spans="1:4" x14ac:dyDescent="0.15">
      <c r="A1532" s="1" t="s">
        <v>13782</v>
      </c>
      <c r="B1532" s="1" t="s">
        <v>13782</v>
      </c>
      <c r="C1532" s="1" t="s">
        <v>5057</v>
      </c>
      <c r="D1532" s="1" t="s">
        <v>5058</v>
      </c>
    </row>
    <row r="1533" spans="1:4" x14ac:dyDescent="0.15">
      <c r="A1533" s="1" t="s">
        <v>10727</v>
      </c>
      <c r="B1533" s="1" t="s">
        <v>10727</v>
      </c>
      <c r="C1533" s="1" t="s">
        <v>5059</v>
      </c>
      <c r="D1533" s="1" t="s">
        <v>5060</v>
      </c>
    </row>
    <row r="1534" spans="1:4" x14ac:dyDescent="0.15">
      <c r="A1534" s="1" t="s">
        <v>13790</v>
      </c>
      <c r="B1534" s="1" t="s">
        <v>13790</v>
      </c>
      <c r="C1534" s="1" t="s">
        <v>13791</v>
      </c>
      <c r="D1534" s="1" t="s">
        <v>5061</v>
      </c>
    </row>
    <row r="1535" spans="1:4" x14ac:dyDescent="0.15">
      <c r="A1535" s="1" t="s">
        <v>13794</v>
      </c>
      <c r="B1535" s="1" t="s">
        <v>13794</v>
      </c>
      <c r="C1535" s="1" t="s">
        <v>13795</v>
      </c>
      <c r="D1535" s="1" t="s">
        <v>5062</v>
      </c>
    </row>
    <row r="1536" spans="1:4" x14ac:dyDescent="0.15">
      <c r="A1536" s="1" t="s">
        <v>13798</v>
      </c>
      <c r="B1536" s="1" t="s">
        <v>13798</v>
      </c>
      <c r="C1536" s="1" t="s">
        <v>13799</v>
      </c>
      <c r="D1536" s="1" t="s">
        <v>13799</v>
      </c>
    </row>
    <row r="1537" spans="1:4" x14ac:dyDescent="0.15">
      <c r="A1537" s="1" t="s">
        <v>13802</v>
      </c>
      <c r="B1537" s="1" t="s">
        <v>13802</v>
      </c>
      <c r="C1537" s="1" t="s">
        <v>13803</v>
      </c>
      <c r="D1537" s="1" t="s">
        <v>5063</v>
      </c>
    </row>
    <row r="1538" spans="1:4" x14ac:dyDescent="0.15">
      <c r="A1538" s="1" t="s">
        <v>13806</v>
      </c>
      <c r="B1538" s="1" t="s">
        <v>13806</v>
      </c>
      <c r="C1538" s="1" t="s">
        <v>13807</v>
      </c>
      <c r="D1538" s="1" t="s">
        <v>5064</v>
      </c>
    </row>
    <row r="1539" spans="1:4" x14ac:dyDescent="0.15">
      <c r="A1539" s="1" t="s">
        <v>13885</v>
      </c>
      <c r="B1539" s="1" t="s">
        <v>9769</v>
      </c>
      <c r="C1539" s="1" t="s">
        <v>13886</v>
      </c>
      <c r="D1539" s="1" t="s">
        <v>15856</v>
      </c>
    </row>
    <row r="1540" spans="1:4" x14ac:dyDescent="0.15">
      <c r="A1540" s="1" t="s">
        <v>13889</v>
      </c>
      <c r="B1540" s="1" t="s">
        <v>9499</v>
      </c>
      <c r="C1540" s="1" t="s">
        <v>13890</v>
      </c>
      <c r="D1540" s="1" t="s">
        <v>5065</v>
      </c>
    </row>
    <row r="1541" spans="1:4" x14ac:dyDescent="0.15">
      <c r="A1541" s="1" t="s">
        <v>13810</v>
      </c>
      <c r="B1541" s="1" t="s">
        <v>13810</v>
      </c>
      <c r="C1541" s="1" t="s">
        <v>13811</v>
      </c>
      <c r="D1541" s="1" t="s">
        <v>5066</v>
      </c>
    </row>
    <row r="1542" spans="1:4" x14ac:dyDescent="0.15">
      <c r="B1542" s="1" t="s">
        <v>8043</v>
      </c>
      <c r="D1542" s="1" t="s">
        <v>5067</v>
      </c>
    </row>
    <row r="1543" spans="1:4" x14ac:dyDescent="0.15">
      <c r="B1543" s="1" t="s">
        <v>8046</v>
      </c>
      <c r="D1543" s="1" t="s">
        <v>5068</v>
      </c>
    </row>
    <row r="1544" spans="1:4" x14ac:dyDescent="0.15">
      <c r="B1544" s="1" t="s">
        <v>8049</v>
      </c>
      <c r="D1544" s="1" t="s">
        <v>5069</v>
      </c>
    </row>
    <row r="1545" spans="1:4" x14ac:dyDescent="0.15">
      <c r="B1545" s="1" t="s">
        <v>8052</v>
      </c>
      <c r="D1545" s="1" t="s">
        <v>5070</v>
      </c>
    </row>
    <row r="1546" spans="1:4" x14ac:dyDescent="0.15">
      <c r="B1546" s="1" t="s">
        <v>8055</v>
      </c>
      <c r="D1546" s="1" t="s">
        <v>5071</v>
      </c>
    </row>
    <row r="1547" spans="1:4" x14ac:dyDescent="0.15">
      <c r="A1547" s="1" t="s">
        <v>13814</v>
      </c>
      <c r="B1547" s="1" t="s">
        <v>13814</v>
      </c>
      <c r="C1547" s="1" t="s">
        <v>5072</v>
      </c>
      <c r="D1547" s="1" t="s">
        <v>5073</v>
      </c>
    </row>
    <row r="1548" spans="1:4" x14ac:dyDescent="0.15">
      <c r="A1548" s="1" t="s">
        <v>8060</v>
      </c>
      <c r="B1548" s="1" t="s">
        <v>8060</v>
      </c>
      <c r="C1548" s="1" t="s">
        <v>5074</v>
      </c>
      <c r="D1548" s="1" t="s">
        <v>5075</v>
      </c>
    </row>
    <row r="1549" spans="1:4" x14ac:dyDescent="0.15">
      <c r="A1549" s="1" t="s">
        <v>13822</v>
      </c>
      <c r="B1549" s="1" t="s">
        <v>13822</v>
      </c>
      <c r="C1549" s="1" t="s">
        <v>13823</v>
      </c>
      <c r="D1549" s="1" t="s">
        <v>13823</v>
      </c>
    </row>
    <row r="1550" spans="1:4" x14ac:dyDescent="0.15">
      <c r="A1550" s="1" t="s">
        <v>13826</v>
      </c>
      <c r="B1550" s="1" t="s">
        <v>13826</v>
      </c>
      <c r="C1550" s="1" t="s">
        <v>13827</v>
      </c>
      <c r="D1550" s="1" t="s">
        <v>5076</v>
      </c>
    </row>
    <row r="1551" spans="1:4" x14ac:dyDescent="0.15">
      <c r="A1551" s="1" t="s">
        <v>13830</v>
      </c>
      <c r="B1551" s="1" t="s">
        <v>13830</v>
      </c>
      <c r="C1551" s="1" t="s">
        <v>13831</v>
      </c>
      <c r="D1551" s="1" t="s">
        <v>13831</v>
      </c>
    </row>
    <row r="1552" spans="1:4" x14ac:dyDescent="0.15">
      <c r="A1552" s="1" t="s">
        <v>13834</v>
      </c>
      <c r="B1552" s="1" t="s">
        <v>13834</v>
      </c>
      <c r="C1552" s="1" t="s">
        <v>13835</v>
      </c>
      <c r="D1552" s="1" t="s">
        <v>13835</v>
      </c>
    </row>
    <row r="1553" spans="1:4" x14ac:dyDescent="0.15">
      <c r="B1553" s="1" t="s">
        <v>8071</v>
      </c>
      <c r="D1553" s="1" t="s">
        <v>5077</v>
      </c>
    </row>
    <row r="1554" spans="1:4" x14ac:dyDescent="0.15">
      <c r="B1554" s="1" t="s">
        <v>9481</v>
      </c>
      <c r="D1554" s="1" t="s">
        <v>5078</v>
      </c>
    </row>
    <row r="1555" spans="1:4" x14ac:dyDescent="0.15">
      <c r="A1555" s="1" t="s">
        <v>10728</v>
      </c>
      <c r="B1555" s="1" t="s">
        <v>10728</v>
      </c>
      <c r="C1555" s="1" t="s">
        <v>13317</v>
      </c>
      <c r="D1555" s="1" t="s">
        <v>13317</v>
      </c>
    </row>
    <row r="1556" spans="1:4" x14ac:dyDescent="0.15">
      <c r="A1556" s="1" t="s">
        <v>13324</v>
      </c>
      <c r="B1556" s="1" t="s">
        <v>13324</v>
      </c>
      <c r="C1556" s="1" t="s">
        <v>13325</v>
      </c>
      <c r="D1556" s="1" t="s">
        <v>5079</v>
      </c>
    </row>
    <row r="1557" spans="1:4" x14ac:dyDescent="0.15">
      <c r="A1557" s="1" t="s">
        <v>13838</v>
      </c>
      <c r="B1557" s="1" t="s">
        <v>13838</v>
      </c>
      <c r="C1557" s="1" t="s">
        <v>5080</v>
      </c>
      <c r="D1557" s="1" t="s">
        <v>5081</v>
      </c>
    </row>
    <row r="1558" spans="1:4" x14ac:dyDescent="0.15">
      <c r="A1558" s="1" t="s">
        <v>8076</v>
      </c>
      <c r="B1558" s="1" t="s">
        <v>8076</v>
      </c>
      <c r="C1558" s="1" t="s">
        <v>13843</v>
      </c>
      <c r="D1558" s="1" t="s">
        <v>5082</v>
      </c>
    </row>
    <row r="1559" spans="1:4" x14ac:dyDescent="0.15">
      <c r="A1559" s="1" t="s">
        <v>13846</v>
      </c>
      <c r="B1559" s="1" t="s">
        <v>13846</v>
      </c>
      <c r="C1559" s="1" t="s">
        <v>13843</v>
      </c>
      <c r="D1559" s="1" t="s">
        <v>5082</v>
      </c>
    </row>
    <row r="1560" spans="1:4" x14ac:dyDescent="0.15">
      <c r="A1560" s="1" t="s">
        <v>8080</v>
      </c>
      <c r="B1560" s="1" t="s">
        <v>6584</v>
      </c>
      <c r="C1560" s="1" t="s">
        <v>13850</v>
      </c>
      <c r="D1560" s="1" t="s">
        <v>5083</v>
      </c>
    </row>
    <row r="1561" spans="1:4" x14ac:dyDescent="0.15">
      <c r="A1561" s="1" t="s">
        <v>13853</v>
      </c>
      <c r="B1561" s="1" t="s">
        <v>9809</v>
      </c>
      <c r="C1561" s="1" t="s">
        <v>13854</v>
      </c>
      <c r="D1561" s="1" t="s">
        <v>15875</v>
      </c>
    </row>
    <row r="1562" spans="1:4" x14ac:dyDescent="0.15">
      <c r="A1562" s="1" t="s">
        <v>13857</v>
      </c>
      <c r="B1562" s="1" t="s">
        <v>15819</v>
      </c>
      <c r="C1562" s="1" t="s">
        <v>13858</v>
      </c>
      <c r="D1562" s="1" t="s">
        <v>15820</v>
      </c>
    </row>
    <row r="1563" spans="1:4" x14ac:dyDescent="0.15">
      <c r="A1563" s="1" t="s">
        <v>13861</v>
      </c>
      <c r="B1563" s="1" t="s">
        <v>11717</v>
      </c>
      <c r="C1563" s="1" t="s">
        <v>5084</v>
      </c>
      <c r="D1563" s="1" t="s">
        <v>5085</v>
      </c>
    </row>
    <row r="1564" spans="1:4" x14ac:dyDescent="0.15">
      <c r="A1564" s="1" t="s">
        <v>13865</v>
      </c>
      <c r="B1564" s="1" t="s">
        <v>15823</v>
      </c>
      <c r="C1564" s="1" t="s">
        <v>13866</v>
      </c>
      <c r="D1564" s="1" t="s">
        <v>15824</v>
      </c>
    </row>
    <row r="1565" spans="1:4" x14ac:dyDescent="0.15">
      <c r="A1565" s="1" t="s">
        <v>13869</v>
      </c>
      <c r="B1565" s="1" t="s">
        <v>15851</v>
      </c>
      <c r="C1565" s="1" t="s">
        <v>13870</v>
      </c>
      <c r="D1565" s="1" t="s">
        <v>6026</v>
      </c>
    </row>
    <row r="1566" spans="1:4" x14ac:dyDescent="0.15">
      <c r="A1566" s="1" t="s">
        <v>13873</v>
      </c>
      <c r="B1566" s="1" t="s">
        <v>9476</v>
      </c>
      <c r="C1566" s="1" t="s">
        <v>13874</v>
      </c>
      <c r="D1566" s="1" t="s">
        <v>5086</v>
      </c>
    </row>
    <row r="1567" spans="1:4" x14ac:dyDescent="0.15">
      <c r="A1567" s="1" t="s">
        <v>13877</v>
      </c>
      <c r="B1567" s="1" t="s">
        <v>9415</v>
      </c>
      <c r="C1567" s="1" t="s">
        <v>13878</v>
      </c>
      <c r="D1567" s="1" t="s">
        <v>6046</v>
      </c>
    </row>
    <row r="1568" spans="1:4" x14ac:dyDescent="0.15">
      <c r="A1568" s="1" t="s">
        <v>13881</v>
      </c>
      <c r="B1568" s="1" t="s">
        <v>9832</v>
      </c>
      <c r="C1568" s="1" t="s">
        <v>13882</v>
      </c>
      <c r="D1568" s="1" t="s">
        <v>5087</v>
      </c>
    </row>
    <row r="1569" spans="1:4" x14ac:dyDescent="0.15">
      <c r="A1569" s="1" t="s">
        <v>13893</v>
      </c>
      <c r="B1569" s="1" t="s">
        <v>11743</v>
      </c>
      <c r="C1569" s="1" t="s">
        <v>13894</v>
      </c>
      <c r="D1569" s="1" t="s">
        <v>6039</v>
      </c>
    </row>
    <row r="1570" spans="1:4" x14ac:dyDescent="0.15">
      <c r="A1570" s="1" t="s">
        <v>13897</v>
      </c>
      <c r="B1570" s="1" t="s">
        <v>9514</v>
      </c>
      <c r="C1570" s="1" t="s">
        <v>13898</v>
      </c>
      <c r="D1570" s="1" t="s">
        <v>5088</v>
      </c>
    </row>
    <row r="1571" spans="1:4" x14ac:dyDescent="0.15">
      <c r="A1571" s="1" t="s">
        <v>13901</v>
      </c>
      <c r="B1571" s="1" t="s">
        <v>11734</v>
      </c>
      <c r="C1571" s="1" t="s">
        <v>13902</v>
      </c>
      <c r="D1571" s="1" t="s">
        <v>5089</v>
      </c>
    </row>
    <row r="1572" spans="1:4" x14ac:dyDescent="0.15">
      <c r="A1572" s="1" t="s">
        <v>13905</v>
      </c>
      <c r="B1572" s="1" t="s">
        <v>9532</v>
      </c>
      <c r="C1572" s="1" t="s">
        <v>13906</v>
      </c>
      <c r="D1572" s="1" t="s">
        <v>15903</v>
      </c>
    </row>
    <row r="1573" spans="1:4" x14ac:dyDescent="0.15">
      <c r="A1573" s="1" t="s">
        <v>13909</v>
      </c>
      <c r="B1573" s="1" t="s">
        <v>15197</v>
      </c>
      <c r="C1573" s="1" t="s">
        <v>13910</v>
      </c>
      <c r="D1573" s="1" t="s">
        <v>6093</v>
      </c>
    </row>
    <row r="1574" spans="1:4" x14ac:dyDescent="0.15">
      <c r="A1574" s="1" t="s">
        <v>8108</v>
      </c>
      <c r="B1574" s="1" t="s">
        <v>8108</v>
      </c>
      <c r="C1574" s="1" t="s">
        <v>13914</v>
      </c>
      <c r="D1574" s="1" t="s">
        <v>5090</v>
      </c>
    </row>
    <row r="1575" spans="1:4" x14ac:dyDescent="0.15">
      <c r="A1575" s="1" t="s">
        <v>13293</v>
      </c>
      <c r="B1575" s="1" t="s">
        <v>13293</v>
      </c>
      <c r="C1575" s="1" t="s">
        <v>13914</v>
      </c>
      <c r="D1575" s="1" t="s">
        <v>5091</v>
      </c>
    </row>
    <row r="1576" spans="1:4" x14ac:dyDescent="0.15">
      <c r="A1576" s="1" t="s">
        <v>10720</v>
      </c>
      <c r="B1576" s="1" t="s">
        <v>10720</v>
      </c>
      <c r="C1576" s="1" t="s">
        <v>13297</v>
      </c>
      <c r="D1576" s="1" t="s">
        <v>5092</v>
      </c>
    </row>
    <row r="1577" spans="1:4" x14ac:dyDescent="0.15">
      <c r="A1577" s="1" t="s">
        <v>13300</v>
      </c>
      <c r="B1577" s="1" t="s">
        <v>13300</v>
      </c>
      <c r="C1577" s="1" t="s">
        <v>13301</v>
      </c>
      <c r="D1577" s="1" t="s">
        <v>5093</v>
      </c>
    </row>
    <row r="1578" spans="1:4" x14ac:dyDescent="0.15">
      <c r="A1578" s="1" t="s">
        <v>13308</v>
      </c>
      <c r="B1578" s="1" t="s">
        <v>13308</v>
      </c>
      <c r="C1578" s="1" t="s">
        <v>5094</v>
      </c>
      <c r="D1578" s="1" t="s">
        <v>5095</v>
      </c>
    </row>
    <row r="1579" spans="1:4" x14ac:dyDescent="0.15">
      <c r="B1579" s="1" t="s">
        <v>9393</v>
      </c>
      <c r="D1579" s="1" t="s">
        <v>5096</v>
      </c>
    </row>
    <row r="1580" spans="1:4" x14ac:dyDescent="0.15">
      <c r="B1580" s="1" t="s">
        <v>8126</v>
      </c>
      <c r="D1580" s="1" t="s">
        <v>5097</v>
      </c>
    </row>
    <row r="1581" spans="1:4" x14ac:dyDescent="0.15">
      <c r="A1581" s="1" t="s">
        <v>13304</v>
      </c>
      <c r="B1581" s="1" t="s">
        <v>13304</v>
      </c>
      <c r="C1581" s="1" t="s">
        <v>13305</v>
      </c>
      <c r="D1581" s="1" t="s">
        <v>13305</v>
      </c>
    </row>
    <row r="1582" spans="1:4" x14ac:dyDescent="0.15">
      <c r="A1582" s="1" t="s">
        <v>13312</v>
      </c>
      <c r="B1582" s="1" t="s">
        <v>13312</v>
      </c>
      <c r="C1582" s="1" t="s">
        <v>13313</v>
      </c>
      <c r="D1582" s="1" t="s">
        <v>5098</v>
      </c>
    </row>
    <row r="1583" spans="1:4" x14ac:dyDescent="0.15">
      <c r="A1583" s="1" t="s">
        <v>13320</v>
      </c>
      <c r="B1583" s="1" t="s">
        <v>13320</v>
      </c>
      <c r="C1583" s="1" t="s">
        <v>5099</v>
      </c>
      <c r="D1583" s="1" t="s">
        <v>5100</v>
      </c>
    </row>
    <row r="1584" spans="1:4" x14ac:dyDescent="0.15">
      <c r="A1584" s="1" t="s">
        <v>13328</v>
      </c>
      <c r="B1584" s="1" t="s">
        <v>13328</v>
      </c>
      <c r="C1584" s="1" t="s">
        <v>13329</v>
      </c>
      <c r="D1584" s="1" t="s">
        <v>5101</v>
      </c>
    </row>
    <row r="1585" spans="1:4" x14ac:dyDescent="0.15">
      <c r="A1585" s="1" t="s">
        <v>13332</v>
      </c>
      <c r="B1585" s="1" t="s">
        <v>13332</v>
      </c>
      <c r="C1585" s="1" t="s">
        <v>13333</v>
      </c>
      <c r="D1585" s="1" t="s">
        <v>5102</v>
      </c>
    </row>
    <row r="1586" spans="1:4" x14ac:dyDescent="0.15">
      <c r="A1586" s="1" t="s">
        <v>13336</v>
      </c>
      <c r="B1586" s="1" t="s">
        <v>13336</v>
      </c>
      <c r="C1586" s="1" t="s">
        <v>5103</v>
      </c>
      <c r="D1586" s="1" t="s">
        <v>5104</v>
      </c>
    </row>
    <row r="1587" spans="1:4" x14ac:dyDescent="0.15">
      <c r="A1587" s="1" t="s">
        <v>13340</v>
      </c>
      <c r="B1587" s="1" t="s">
        <v>13340</v>
      </c>
      <c r="C1587" s="1" t="s">
        <v>13341</v>
      </c>
      <c r="D1587" s="1" t="s">
        <v>5105</v>
      </c>
    </row>
    <row r="1588" spans="1:4" x14ac:dyDescent="0.15">
      <c r="A1588" s="1" t="s">
        <v>13344</v>
      </c>
      <c r="B1588" s="1" t="s">
        <v>13344</v>
      </c>
      <c r="C1588" s="1" t="s">
        <v>13345</v>
      </c>
      <c r="D1588" s="1" t="s">
        <v>5106</v>
      </c>
    </row>
    <row r="1589" spans="1:4" x14ac:dyDescent="0.15">
      <c r="A1589" s="1" t="s">
        <v>13348</v>
      </c>
      <c r="B1589" s="1" t="s">
        <v>13348</v>
      </c>
      <c r="C1589" s="1" t="s">
        <v>5107</v>
      </c>
      <c r="D1589" s="1" t="s">
        <v>5108</v>
      </c>
    </row>
    <row r="1590" spans="1:4" x14ac:dyDescent="0.15">
      <c r="A1590" s="1" t="s">
        <v>13352</v>
      </c>
      <c r="B1590" s="1" t="s">
        <v>13352</v>
      </c>
      <c r="C1590" s="1" t="s">
        <v>13353</v>
      </c>
      <c r="D1590" s="1" t="s">
        <v>5109</v>
      </c>
    </row>
    <row r="1591" spans="1:4" x14ac:dyDescent="0.15">
      <c r="A1591" s="1" t="s">
        <v>13360</v>
      </c>
      <c r="B1591" s="1" t="s">
        <v>13360</v>
      </c>
      <c r="C1591" s="1" t="s">
        <v>5110</v>
      </c>
      <c r="D1591" s="1" t="s">
        <v>5111</v>
      </c>
    </row>
    <row r="1592" spans="1:4" x14ac:dyDescent="0.15">
      <c r="A1592" s="1" t="s">
        <v>13356</v>
      </c>
      <c r="B1592" s="1" t="s">
        <v>13356</v>
      </c>
      <c r="C1592" s="1" t="s">
        <v>13357</v>
      </c>
      <c r="D1592" s="1" t="s">
        <v>5112</v>
      </c>
    </row>
    <row r="1593" spans="1:4" x14ac:dyDescent="0.15">
      <c r="A1593" s="1" t="s">
        <v>13364</v>
      </c>
      <c r="B1593" s="1" t="s">
        <v>13364</v>
      </c>
      <c r="C1593" s="1" t="s">
        <v>13365</v>
      </c>
      <c r="D1593" s="1" t="s">
        <v>5113</v>
      </c>
    </row>
    <row r="1594" spans="1:4" x14ac:dyDescent="0.15">
      <c r="A1594" s="1" t="s">
        <v>13368</v>
      </c>
      <c r="B1594" s="1" t="s">
        <v>13368</v>
      </c>
      <c r="C1594" s="1" t="s">
        <v>5114</v>
      </c>
      <c r="D1594" s="1" t="s">
        <v>5115</v>
      </c>
    </row>
    <row r="1595" spans="1:4" x14ac:dyDescent="0.15">
      <c r="A1595" s="1" t="s">
        <v>13372</v>
      </c>
      <c r="B1595" s="1" t="s">
        <v>13372</v>
      </c>
      <c r="C1595" s="1" t="s">
        <v>5116</v>
      </c>
      <c r="D1595" s="1" t="s">
        <v>5117</v>
      </c>
    </row>
    <row r="1596" spans="1:4" x14ac:dyDescent="0.15">
      <c r="A1596" s="1" t="s">
        <v>13376</v>
      </c>
      <c r="B1596" s="1" t="s">
        <v>7711</v>
      </c>
      <c r="C1596" s="1" t="s">
        <v>13377</v>
      </c>
      <c r="D1596" s="1" t="s">
        <v>5118</v>
      </c>
    </row>
    <row r="1597" spans="1:4" x14ac:dyDescent="0.15">
      <c r="B1597" s="1" t="s">
        <v>8163</v>
      </c>
      <c r="D1597" s="1" t="s">
        <v>5119</v>
      </c>
    </row>
    <row r="1598" spans="1:4" x14ac:dyDescent="0.15">
      <c r="B1598" s="1" t="s">
        <v>8166</v>
      </c>
      <c r="D1598" s="1" t="s">
        <v>5120</v>
      </c>
    </row>
    <row r="1599" spans="1:4" x14ac:dyDescent="0.15">
      <c r="B1599" s="1" t="s">
        <v>8169</v>
      </c>
      <c r="D1599" s="1" t="s">
        <v>5121</v>
      </c>
    </row>
    <row r="1600" spans="1:4" x14ac:dyDescent="0.15">
      <c r="A1600" s="1" t="s">
        <v>13380</v>
      </c>
      <c r="B1600" s="1" t="s">
        <v>13380</v>
      </c>
      <c r="C1600" s="1" t="s">
        <v>13381</v>
      </c>
      <c r="D1600" s="1" t="s">
        <v>13381</v>
      </c>
    </row>
    <row r="1601" spans="1:4" x14ac:dyDescent="0.15">
      <c r="A1601" s="1" t="s">
        <v>8174</v>
      </c>
      <c r="B1601" s="1" t="s">
        <v>8174</v>
      </c>
      <c r="C1601" s="1" t="s">
        <v>13389</v>
      </c>
      <c r="D1601" s="1" t="s">
        <v>5122</v>
      </c>
    </row>
    <row r="1602" spans="1:4" x14ac:dyDescent="0.15">
      <c r="A1602" s="1" t="s">
        <v>13388</v>
      </c>
      <c r="B1602" s="1" t="s">
        <v>13388</v>
      </c>
      <c r="C1602" s="1" t="s">
        <v>13389</v>
      </c>
      <c r="D1602" s="1" t="s">
        <v>5122</v>
      </c>
    </row>
    <row r="1603" spans="1:4" x14ac:dyDescent="0.15">
      <c r="A1603" s="1" t="s">
        <v>13458</v>
      </c>
      <c r="B1603" s="1" t="s">
        <v>13458</v>
      </c>
      <c r="C1603" s="1" t="s">
        <v>13459</v>
      </c>
      <c r="D1603" s="1" t="s">
        <v>13459</v>
      </c>
    </row>
    <row r="1604" spans="1:4" x14ac:dyDescent="0.15">
      <c r="A1604" s="1" t="s">
        <v>8178</v>
      </c>
      <c r="B1604" s="1" t="s">
        <v>8178</v>
      </c>
      <c r="C1604" s="1" t="s">
        <v>13393</v>
      </c>
      <c r="D1604" s="1" t="s">
        <v>5123</v>
      </c>
    </row>
    <row r="1605" spans="1:4" x14ac:dyDescent="0.15">
      <c r="A1605" s="1" t="s">
        <v>13396</v>
      </c>
      <c r="B1605" s="1" t="s">
        <v>13396</v>
      </c>
      <c r="C1605" s="1" t="s">
        <v>13397</v>
      </c>
      <c r="D1605" s="1" t="s">
        <v>5124</v>
      </c>
    </row>
    <row r="1606" spans="1:4" x14ac:dyDescent="0.15">
      <c r="A1606" s="1" t="s">
        <v>13400</v>
      </c>
      <c r="B1606" s="1" t="s">
        <v>13400</v>
      </c>
      <c r="C1606" s="1" t="s">
        <v>13401</v>
      </c>
      <c r="D1606" s="1" t="s">
        <v>5125</v>
      </c>
    </row>
    <row r="1607" spans="1:4" x14ac:dyDescent="0.15">
      <c r="A1607" s="1" t="s">
        <v>13404</v>
      </c>
      <c r="B1607" s="1" t="s">
        <v>13404</v>
      </c>
      <c r="C1607" s="1" t="s">
        <v>13405</v>
      </c>
      <c r="D1607" s="1" t="s">
        <v>5126</v>
      </c>
    </row>
    <row r="1608" spans="1:4" x14ac:dyDescent="0.15">
      <c r="A1608" s="1" t="s">
        <v>13408</v>
      </c>
      <c r="B1608" s="1" t="s">
        <v>13408</v>
      </c>
      <c r="C1608" s="1" t="s">
        <v>13409</v>
      </c>
      <c r="D1608" s="1" t="s">
        <v>5127</v>
      </c>
    </row>
    <row r="1609" spans="1:4" x14ac:dyDescent="0.15">
      <c r="A1609" s="1" t="s">
        <v>13412</v>
      </c>
      <c r="B1609" s="1" t="s">
        <v>13412</v>
      </c>
      <c r="C1609" s="1" t="s">
        <v>13413</v>
      </c>
      <c r="D1609" s="1" t="s">
        <v>5128</v>
      </c>
    </row>
    <row r="1610" spans="1:4" x14ac:dyDescent="0.15">
      <c r="A1610" s="1" t="s">
        <v>7878</v>
      </c>
      <c r="B1610" s="1" t="s">
        <v>7878</v>
      </c>
      <c r="C1610" s="1" t="s">
        <v>13417</v>
      </c>
      <c r="D1610" s="1" t="s">
        <v>5129</v>
      </c>
    </row>
    <row r="1611" spans="1:4" x14ac:dyDescent="0.15">
      <c r="A1611" s="1" t="s">
        <v>13420</v>
      </c>
      <c r="B1611" s="1" t="s">
        <v>13420</v>
      </c>
      <c r="C1611" s="1" t="s">
        <v>13417</v>
      </c>
      <c r="D1611" s="1" t="s">
        <v>5129</v>
      </c>
    </row>
    <row r="1612" spans="1:4" x14ac:dyDescent="0.15">
      <c r="A1612" s="1" t="s">
        <v>7882</v>
      </c>
      <c r="B1612" s="1" t="s">
        <v>7882</v>
      </c>
      <c r="C1612" s="1" t="s">
        <v>13424</v>
      </c>
      <c r="D1612" s="1" t="s">
        <v>5130</v>
      </c>
    </row>
    <row r="1613" spans="1:4" x14ac:dyDescent="0.15">
      <c r="A1613" s="1" t="s">
        <v>13498</v>
      </c>
      <c r="B1613" s="1" t="s">
        <v>7812</v>
      </c>
      <c r="C1613" s="1" t="s">
        <v>13499</v>
      </c>
      <c r="D1613" s="1" t="s">
        <v>5131</v>
      </c>
    </row>
    <row r="1614" spans="1:4" x14ac:dyDescent="0.15">
      <c r="A1614" s="1" t="s">
        <v>13502</v>
      </c>
      <c r="B1614" s="1" t="s">
        <v>7806</v>
      </c>
      <c r="C1614" s="1" t="s">
        <v>13503</v>
      </c>
      <c r="D1614" s="1" t="s">
        <v>5132</v>
      </c>
    </row>
    <row r="1615" spans="1:4" x14ac:dyDescent="0.15">
      <c r="A1615" s="1" t="s">
        <v>13506</v>
      </c>
      <c r="B1615" s="1" t="s">
        <v>13506</v>
      </c>
      <c r="C1615" s="1" t="s">
        <v>13507</v>
      </c>
      <c r="D1615" s="1" t="s">
        <v>5133</v>
      </c>
    </row>
    <row r="1616" spans="1:4" x14ac:dyDescent="0.15">
      <c r="A1616" s="1" t="s">
        <v>13510</v>
      </c>
      <c r="B1616" s="1" t="s">
        <v>13510</v>
      </c>
      <c r="C1616" s="1" t="s">
        <v>13511</v>
      </c>
      <c r="D1616" s="1" t="s">
        <v>5134</v>
      </c>
    </row>
    <row r="1617" spans="1:4" x14ac:dyDescent="0.15">
      <c r="A1617" s="1" t="s">
        <v>13427</v>
      </c>
      <c r="B1617" s="1" t="s">
        <v>13427</v>
      </c>
      <c r="C1617" s="1" t="s">
        <v>5135</v>
      </c>
      <c r="D1617" s="1" t="s">
        <v>5136</v>
      </c>
    </row>
    <row r="1618" spans="1:4" x14ac:dyDescent="0.15">
      <c r="A1618" s="1" t="s">
        <v>13431</v>
      </c>
      <c r="B1618" s="1" t="s">
        <v>13431</v>
      </c>
      <c r="C1618" s="1" t="s">
        <v>5137</v>
      </c>
      <c r="D1618" s="1" t="s">
        <v>5138</v>
      </c>
    </row>
    <row r="1619" spans="1:4" x14ac:dyDescent="0.15">
      <c r="A1619" s="1" t="s">
        <v>13435</v>
      </c>
      <c r="B1619" s="1" t="s">
        <v>13435</v>
      </c>
      <c r="C1619" s="1" t="s">
        <v>5139</v>
      </c>
      <c r="D1619" s="1" t="s">
        <v>5140</v>
      </c>
    </row>
    <row r="1620" spans="1:4" x14ac:dyDescent="0.15">
      <c r="B1620" s="1" t="s">
        <v>7894</v>
      </c>
      <c r="D1620" s="1" t="s">
        <v>5141</v>
      </c>
    </row>
    <row r="1621" spans="1:4" x14ac:dyDescent="0.15">
      <c r="B1621" s="1" t="s">
        <v>7897</v>
      </c>
      <c r="D1621" s="1" t="s">
        <v>5142</v>
      </c>
    </row>
    <row r="1622" spans="1:4" x14ac:dyDescent="0.15">
      <c r="B1622" s="1" t="s">
        <v>7900</v>
      </c>
      <c r="D1622" s="1" t="s">
        <v>5143</v>
      </c>
    </row>
    <row r="1623" spans="1:4" x14ac:dyDescent="0.15">
      <c r="B1623" s="1" t="s">
        <v>7903</v>
      </c>
      <c r="D1623" s="1" t="s">
        <v>5144</v>
      </c>
    </row>
    <row r="1624" spans="1:4" x14ac:dyDescent="0.15">
      <c r="B1624" s="1" t="s">
        <v>7906</v>
      </c>
      <c r="D1624" s="1" t="s">
        <v>5145</v>
      </c>
    </row>
    <row r="1625" spans="1:4" x14ac:dyDescent="0.15">
      <c r="A1625" s="1" t="s">
        <v>13439</v>
      </c>
      <c r="B1625" s="1" t="s">
        <v>13439</v>
      </c>
      <c r="C1625" s="1" t="s">
        <v>13440</v>
      </c>
      <c r="D1625" s="1" t="s">
        <v>5146</v>
      </c>
    </row>
    <row r="1626" spans="1:4" x14ac:dyDescent="0.15">
      <c r="A1626" s="1" t="s">
        <v>7911</v>
      </c>
      <c r="B1626" s="1" t="s">
        <v>7911</v>
      </c>
      <c r="C1626" s="1" t="s">
        <v>13444</v>
      </c>
      <c r="D1626" s="1" t="s">
        <v>5147</v>
      </c>
    </row>
    <row r="1627" spans="1:4" x14ac:dyDescent="0.15">
      <c r="A1627" s="1" t="s">
        <v>13447</v>
      </c>
      <c r="B1627" s="1" t="s">
        <v>13447</v>
      </c>
      <c r="C1627" s="1" t="s">
        <v>13444</v>
      </c>
      <c r="D1627" s="1" t="s">
        <v>5147</v>
      </c>
    </row>
    <row r="1628" spans="1:4" x14ac:dyDescent="0.15">
      <c r="A1628" s="1" t="s">
        <v>7915</v>
      </c>
      <c r="B1628" s="1" t="s">
        <v>7915</v>
      </c>
      <c r="C1628" s="1" t="s">
        <v>13451</v>
      </c>
      <c r="D1628" s="1" t="s">
        <v>13451</v>
      </c>
    </row>
    <row r="1629" spans="1:4" x14ac:dyDescent="0.15">
      <c r="A1629" s="1" t="s">
        <v>13454</v>
      </c>
      <c r="B1629" s="1" t="s">
        <v>13454</v>
      </c>
      <c r="C1629" s="1" t="s">
        <v>13455</v>
      </c>
      <c r="D1629" s="1" t="s">
        <v>5148</v>
      </c>
    </row>
    <row r="1630" spans="1:4" x14ac:dyDescent="0.15">
      <c r="A1630" s="1" t="s">
        <v>13462</v>
      </c>
      <c r="B1630" s="1" t="s">
        <v>9573</v>
      </c>
      <c r="C1630" s="1" t="s">
        <v>13463</v>
      </c>
      <c r="D1630" s="1" t="s">
        <v>13463</v>
      </c>
    </row>
    <row r="1631" spans="1:4" x14ac:dyDescent="0.15">
      <c r="A1631" s="1" t="s">
        <v>13466</v>
      </c>
      <c r="B1631" s="1" t="s">
        <v>9549</v>
      </c>
      <c r="C1631" s="1" t="s">
        <v>5149</v>
      </c>
      <c r="D1631" s="1" t="s">
        <v>15915</v>
      </c>
    </row>
    <row r="1632" spans="1:4" x14ac:dyDescent="0.15">
      <c r="A1632" s="1" t="s">
        <v>13470</v>
      </c>
      <c r="B1632" s="1" t="s">
        <v>13470</v>
      </c>
      <c r="C1632" s="1" t="s">
        <v>13471</v>
      </c>
      <c r="D1632" s="1" t="s">
        <v>5150</v>
      </c>
    </row>
    <row r="1633" spans="1:4" x14ac:dyDescent="0.15">
      <c r="A1633" s="1" t="s">
        <v>13474</v>
      </c>
      <c r="B1633" s="1" t="s">
        <v>13474</v>
      </c>
      <c r="C1633" s="1" t="s">
        <v>5151</v>
      </c>
      <c r="D1633" s="1" t="s">
        <v>5151</v>
      </c>
    </row>
    <row r="1634" spans="1:4" x14ac:dyDescent="0.15">
      <c r="A1634" s="1" t="s">
        <v>13478</v>
      </c>
      <c r="B1634" s="1" t="s">
        <v>13478</v>
      </c>
      <c r="C1634" s="1" t="s">
        <v>5152</v>
      </c>
      <c r="D1634" s="1" t="s">
        <v>5152</v>
      </c>
    </row>
    <row r="1635" spans="1:4" x14ac:dyDescent="0.15">
      <c r="B1635" s="1" t="s">
        <v>7930</v>
      </c>
      <c r="D1635" s="1" t="s">
        <v>5153</v>
      </c>
    </row>
    <row r="1636" spans="1:4" x14ac:dyDescent="0.15">
      <c r="B1636" s="1" t="s">
        <v>7933</v>
      </c>
      <c r="D1636" s="1" t="s">
        <v>5154</v>
      </c>
    </row>
    <row r="1637" spans="1:4" x14ac:dyDescent="0.15">
      <c r="B1637" s="1" t="s">
        <v>7936</v>
      </c>
      <c r="D1637" s="1" t="s">
        <v>5155</v>
      </c>
    </row>
    <row r="1638" spans="1:4" x14ac:dyDescent="0.15">
      <c r="B1638" s="1" t="s">
        <v>7939</v>
      </c>
      <c r="D1638" s="1" t="s">
        <v>5156</v>
      </c>
    </row>
    <row r="1639" spans="1:4" x14ac:dyDescent="0.15">
      <c r="A1639" s="1" t="s">
        <v>13482</v>
      </c>
      <c r="B1639" s="1" t="s">
        <v>13482</v>
      </c>
      <c r="C1639" s="1" t="s">
        <v>13483</v>
      </c>
      <c r="D1639" s="1" t="s">
        <v>13483</v>
      </c>
    </row>
    <row r="1640" spans="1:4" x14ac:dyDescent="0.15">
      <c r="A1640" s="1" t="s">
        <v>13490</v>
      </c>
      <c r="B1640" s="1" t="s">
        <v>13490</v>
      </c>
      <c r="C1640" s="1" t="s">
        <v>13491</v>
      </c>
      <c r="D1640" s="1" t="s">
        <v>5157</v>
      </c>
    </row>
    <row r="1641" spans="1:4" x14ac:dyDescent="0.15">
      <c r="A1641" s="1" t="s">
        <v>13494</v>
      </c>
      <c r="B1641" s="1" t="s">
        <v>13494</v>
      </c>
      <c r="C1641" s="1" t="s">
        <v>13495</v>
      </c>
      <c r="D1641" s="1" t="s">
        <v>5158</v>
      </c>
    </row>
    <row r="1642" spans="1:4" x14ac:dyDescent="0.15">
      <c r="A1642" s="1" t="s">
        <v>7944</v>
      </c>
      <c r="B1642" s="1" t="s">
        <v>7944</v>
      </c>
      <c r="C1642" s="1" t="s">
        <v>13487</v>
      </c>
      <c r="D1642" s="1" t="s">
        <v>5159</v>
      </c>
    </row>
    <row r="1643" spans="1:4" x14ac:dyDescent="0.15">
      <c r="A1643" s="1" t="s">
        <v>13514</v>
      </c>
      <c r="B1643" s="1" t="s">
        <v>13514</v>
      </c>
      <c r="C1643" s="1" t="s">
        <v>13515</v>
      </c>
      <c r="D1643" s="1" t="s">
        <v>5160</v>
      </c>
    </row>
    <row r="1644" spans="1:4" x14ac:dyDescent="0.15">
      <c r="A1644" s="1" t="s">
        <v>13518</v>
      </c>
      <c r="B1644" s="1" t="s">
        <v>13518</v>
      </c>
      <c r="C1644" s="1" t="s">
        <v>13519</v>
      </c>
      <c r="D1644" s="1" t="s">
        <v>5161</v>
      </c>
    </row>
    <row r="1645" spans="1:4" x14ac:dyDescent="0.15">
      <c r="A1645" s="1" t="s">
        <v>13522</v>
      </c>
      <c r="B1645" s="1" t="s">
        <v>13522</v>
      </c>
      <c r="C1645" s="1" t="s">
        <v>13523</v>
      </c>
      <c r="D1645" s="1" t="s">
        <v>5162</v>
      </c>
    </row>
    <row r="1646" spans="1:4" x14ac:dyDescent="0.15">
      <c r="A1646" s="1" t="s">
        <v>13526</v>
      </c>
      <c r="B1646" s="1" t="s">
        <v>13526</v>
      </c>
      <c r="C1646" s="1" t="s">
        <v>13527</v>
      </c>
      <c r="D1646" s="1" t="s">
        <v>5163</v>
      </c>
    </row>
    <row r="1647" spans="1:4" x14ac:dyDescent="0.15">
      <c r="B1647" s="1" t="s">
        <v>7970</v>
      </c>
      <c r="D1647" s="1" t="s">
        <v>5164</v>
      </c>
    </row>
    <row r="1648" spans="1:4" x14ac:dyDescent="0.15">
      <c r="B1648" s="1" t="s">
        <v>7973</v>
      </c>
      <c r="D1648" s="1" t="s">
        <v>5165</v>
      </c>
    </row>
    <row r="1649" spans="1:4" x14ac:dyDescent="0.15">
      <c r="A1649" s="1" t="s">
        <v>11651</v>
      </c>
      <c r="B1649" s="1" t="s">
        <v>11651</v>
      </c>
      <c r="C1649" s="1" t="s">
        <v>13535</v>
      </c>
      <c r="D1649" s="1" t="s">
        <v>5166</v>
      </c>
    </row>
    <row r="1650" spans="1:4" x14ac:dyDescent="0.15">
      <c r="A1650" s="1" t="s">
        <v>13538</v>
      </c>
      <c r="B1650" s="1" t="s">
        <v>13538</v>
      </c>
      <c r="C1650" s="1" t="s">
        <v>13535</v>
      </c>
      <c r="D1650" s="1" t="s">
        <v>5166</v>
      </c>
    </row>
    <row r="1651" spans="1:4" x14ac:dyDescent="0.15">
      <c r="B1651" s="1" t="s">
        <v>7984</v>
      </c>
      <c r="D1651" s="1" t="s">
        <v>5167</v>
      </c>
    </row>
    <row r="1652" spans="1:4" x14ac:dyDescent="0.15">
      <c r="B1652" s="1" t="s">
        <v>7987</v>
      </c>
      <c r="D1652" s="1" t="s">
        <v>5168</v>
      </c>
    </row>
    <row r="1653" spans="1:4" x14ac:dyDescent="0.15">
      <c r="A1653" s="1" t="s">
        <v>13530</v>
      </c>
      <c r="B1653" s="1" t="s">
        <v>13530</v>
      </c>
      <c r="C1653" s="1" t="s">
        <v>13531</v>
      </c>
      <c r="D1653" s="1" t="s">
        <v>5169</v>
      </c>
    </row>
    <row r="1654" spans="1:4" x14ac:dyDescent="0.15">
      <c r="A1654" s="1" t="s">
        <v>11738</v>
      </c>
      <c r="B1654" s="1" t="s">
        <v>11738</v>
      </c>
      <c r="C1654" s="1" t="s">
        <v>13542</v>
      </c>
      <c r="D1654" s="1" t="s">
        <v>5170</v>
      </c>
    </row>
    <row r="1655" spans="1:4" x14ac:dyDescent="0.15">
      <c r="A1655" s="1" t="s">
        <v>13545</v>
      </c>
      <c r="B1655" s="1" t="s">
        <v>13545</v>
      </c>
      <c r="C1655" s="1" t="s">
        <v>13542</v>
      </c>
      <c r="D1655" s="1" t="s">
        <v>5171</v>
      </c>
    </row>
    <row r="1656" spans="1:4" x14ac:dyDescent="0.15">
      <c r="B1656" s="1" t="s">
        <v>7990</v>
      </c>
      <c r="D1656" s="1" t="s">
        <v>5172</v>
      </c>
    </row>
    <row r="1657" spans="1:4" x14ac:dyDescent="0.15">
      <c r="B1657" s="1" t="s">
        <v>7993</v>
      </c>
      <c r="D1657" s="1" t="s">
        <v>5173</v>
      </c>
    </row>
    <row r="1658" spans="1:4" x14ac:dyDescent="0.15">
      <c r="B1658" s="1" t="s">
        <v>9525</v>
      </c>
      <c r="D1658" s="1" t="s">
        <v>5174</v>
      </c>
    </row>
    <row r="1659" spans="1:4" x14ac:dyDescent="0.15">
      <c r="B1659" s="1" t="s">
        <v>7998</v>
      </c>
      <c r="D1659" s="1" t="s">
        <v>5175</v>
      </c>
    </row>
    <row r="1660" spans="1:4" x14ac:dyDescent="0.15">
      <c r="B1660" s="1" t="s">
        <v>8001</v>
      </c>
      <c r="D1660" s="1" t="s">
        <v>5176</v>
      </c>
    </row>
    <row r="1661" spans="1:4" x14ac:dyDescent="0.15">
      <c r="B1661" s="1" t="s">
        <v>8004</v>
      </c>
      <c r="D1661" s="1" t="s">
        <v>5177</v>
      </c>
    </row>
    <row r="1662" spans="1:4" x14ac:dyDescent="0.15">
      <c r="B1662" s="1" t="s">
        <v>8007</v>
      </c>
      <c r="D1662" s="1" t="s">
        <v>5178</v>
      </c>
    </row>
    <row r="1663" spans="1:4" x14ac:dyDescent="0.15">
      <c r="B1663" s="1" t="s">
        <v>7701</v>
      </c>
      <c r="D1663" s="1" t="s">
        <v>5179</v>
      </c>
    </row>
    <row r="1664" spans="1:4" x14ac:dyDescent="0.15">
      <c r="B1664" s="1" t="s">
        <v>7704</v>
      </c>
      <c r="D1664" s="1" t="s">
        <v>5180</v>
      </c>
    </row>
    <row r="1665" spans="1:4" x14ac:dyDescent="0.15">
      <c r="A1665" s="1" t="s">
        <v>7707</v>
      </c>
      <c r="B1665" s="1" t="s">
        <v>7707</v>
      </c>
      <c r="C1665" s="1" t="s">
        <v>13549</v>
      </c>
      <c r="D1665" s="1" t="s">
        <v>5181</v>
      </c>
    </row>
    <row r="1666" spans="1:4" x14ac:dyDescent="0.15">
      <c r="A1666" s="1" t="s">
        <v>13552</v>
      </c>
      <c r="B1666" s="1" t="s">
        <v>13552</v>
      </c>
      <c r="C1666" s="1" t="s">
        <v>13553</v>
      </c>
      <c r="D1666" s="1" t="s">
        <v>13553</v>
      </c>
    </row>
    <row r="1667" spans="1:4" x14ac:dyDescent="0.15">
      <c r="B1667" s="1" t="s">
        <v>7714</v>
      </c>
      <c r="D1667" s="1" t="s">
        <v>5182</v>
      </c>
    </row>
    <row r="1668" spans="1:4" x14ac:dyDescent="0.15">
      <c r="B1668" s="1" t="s">
        <v>7717</v>
      </c>
      <c r="D1668" s="1" t="s">
        <v>5183</v>
      </c>
    </row>
    <row r="1669" spans="1:4" x14ac:dyDescent="0.15">
      <c r="A1669" s="1" t="s">
        <v>7720</v>
      </c>
      <c r="B1669" s="1" t="s">
        <v>7720</v>
      </c>
      <c r="C1669" s="1" t="s">
        <v>5184</v>
      </c>
      <c r="D1669" s="1" t="s">
        <v>5185</v>
      </c>
    </row>
    <row r="1670" spans="1:4" x14ac:dyDescent="0.15">
      <c r="A1670" s="1" t="s">
        <v>13560</v>
      </c>
      <c r="B1670" s="1" t="s">
        <v>7765</v>
      </c>
      <c r="C1670" s="1" t="s">
        <v>5186</v>
      </c>
      <c r="D1670" s="1" t="s">
        <v>5187</v>
      </c>
    </row>
    <row r="1671" spans="1:4" x14ac:dyDescent="0.15">
      <c r="B1671" s="1" t="s">
        <v>7768</v>
      </c>
      <c r="D1671" s="1" t="s">
        <v>5188</v>
      </c>
    </row>
    <row r="1672" spans="1:4" x14ac:dyDescent="0.15">
      <c r="A1672" s="1" t="s">
        <v>13564</v>
      </c>
      <c r="B1672" s="1" t="s">
        <v>7739</v>
      </c>
      <c r="C1672" s="1" t="s">
        <v>5189</v>
      </c>
      <c r="D1672" s="1" t="s">
        <v>5190</v>
      </c>
    </row>
    <row r="1673" spans="1:4" x14ac:dyDescent="0.15">
      <c r="A1673" s="1" t="s">
        <v>13568</v>
      </c>
      <c r="B1673" s="1" t="s">
        <v>13568</v>
      </c>
      <c r="C1673" s="1" t="s">
        <v>13569</v>
      </c>
      <c r="D1673" s="1" t="s">
        <v>5191</v>
      </c>
    </row>
    <row r="1674" spans="1:4" x14ac:dyDescent="0.15">
      <c r="A1674" s="1" t="s">
        <v>13572</v>
      </c>
      <c r="B1674" s="1" t="s">
        <v>7771</v>
      </c>
      <c r="C1674" s="1" t="s">
        <v>13573</v>
      </c>
      <c r="D1674" s="1" t="s">
        <v>5192</v>
      </c>
    </row>
    <row r="1675" spans="1:4" x14ac:dyDescent="0.15">
      <c r="A1675" s="1" t="s">
        <v>13576</v>
      </c>
      <c r="B1675" s="1" t="s">
        <v>8123</v>
      </c>
      <c r="C1675" s="1" t="s">
        <v>13577</v>
      </c>
      <c r="D1675" s="1" t="s">
        <v>5193</v>
      </c>
    </row>
    <row r="1676" spans="1:4" x14ac:dyDescent="0.15">
      <c r="B1676" s="1" t="s">
        <v>11160</v>
      </c>
      <c r="D1676" s="1" t="s">
        <v>5194</v>
      </c>
    </row>
    <row r="1677" spans="1:4" x14ac:dyDescent="0.15">
      <c r="B1677" s="1" t="s">
        <v>7734</v>
      </c>
      <c r="D1677" s="1" t="s">
        <v>5195</v>
      </c>
    </row>
    <row r="1678" spans="1:4" x14ac:dyDescent="0.15">
      <c r="B1678" s="1" t="s">
        <v>10028</v>
      </c>
      <c r="D1678" s="1" t="s">
        <v>5196</v>
      </c>
    </row>
    <row r="1679" spans="1:4" x14ac:dyDescent="0.15">
      <c r="B1679" s="1" t="s">
        <v>7742</v>
      </c>
      <c r="D1679" s="1" t="s">
        <v>5197</v>
      </c>
    </row>
    <row r="1680" spans="1:4" x14ac:dyDescent="0.15">
      <c r="B1680" s="1" t="s">
        <v>7745</v>
      </c>
      <c r="D1680" s="1" t="s">
        <v>5198</v>
      </c>
    </row>
    <row r="1681" spans="2:4" x14ac:dyDescent="0.15">
      <c r="B1681" s="1" t="s">
        <v>7751</v>
      </c>
      <c r="D1681" s="1" t="s">
        <v>5199</v>
      </c>
    </row>
    <row r="1682" spans="2:4" x14ac:dyDescent="0.15">
      <c r="B1682" s="1" t="s">
        <v>7754</v>
      </c>
      <c r="D1682" s="1" t="s">
        <v>5200</v>
      </c>
    </row>
    <row r="1683" spans="2:4" x14ac:dyDescent="0.15">
      <c r="B1683" s="1" t="s">
        <v>7760</v>
      </c>
      <c r="D1683" s="1" t="s">
        <v>5201</v>
      </c>
    </row>
    <row r="1684" spans="2:4" x14ac:dyDescent="0.15">
      <c r="B1684" s="1" t="s">
        <v>7762</v>
      </c>
      <c r="D1684" s="1" t="s">
        <v>5202</v>
      </c>
    </row>
    <row r="1685" spans="2:4" x14ac:dyDescent="0.15">
      <c r="B1685" s="1" t="s">
        <v>7777</v>
      </c>
      <c r="D1685" s="1" t="s">
        <v>5203</v>
      </c>
    </row>
    <row r="1686" spans="2:4" x14ac:dyDescent="0.15">
      <c r="B1686" s="1" t="s">
        <v>5204</v>
      </c>
      <c r="D1686" s="1" t="s">
        <v>5205</v>
      </c>
    </row>
    <row r="1687" spans="2:4" x14ac:dyDescent="0.15">
      <c r="B1687" s="1" t="s">
        <v>7780</v>
      </c>
      <c r="D1687" s="1" t="s">
        <v>5206</v>
      </c>
    </row>
    <row r="1688" spans="2:4" x14ac:dyDescent="0.15">
      <c r="B1688" s="1" t="s">
        <v>7783</v>
      </c>
      <c r="D1688" s="1" t="s">
        <v>5207</v>
      </c>
    </row>
    <row r="1689" spans="2:4" x14ac:dyDescent="0.15">
      <c r="B1689" s="1" t="s">
        <v>7786</v>
      </c>
      <c r="D1689" s="1" t="s">
        <v>5208</v>
      </c>
    </row>
    <row r="1690" spans="2:4" x14ac:dyDescent="0.15">
      <c r="B1690" s="1" t="s">
        <v>7789</v>
      </c>
      <c r="D1690" s="1" t="s">
        <v>5209</v>
      </c>
    </row>
    <row r="1691" spans="2:4" x14ac:dyDescent="0.15">
      <c r="B1691" s="1" t="s">
        <v>7947</v>
      </c>
      <c r="D1691" s="1" t="s">
        <v>5210</v>
      </c>
    </row>
    <row r="1692" spans="2:4" x14ac:dyDescent="0.15">
      <c r="B1692" s="1" t="s">
        <v>7796</v>
      </c>
      <c r="D1692" s="1" t="s">
        <v>5211</v>
      </c>
    </row>
    <row r="1693" spans="2:4" x14ac:dyDescent="0.15">
      <c r="B1693" s="1" t="s">
        <v>7799</v>
      </c>
      <c r="D1693" s="1" t="s">
        <v>5212</v>
      </c>
    </row>
    <row r="1694" spans="2:4" x14ac:dyDescent="0.15">
      <c r="B1694" s="1" t="s">
        <v>7802</v>
      </c>
      <c r="D1694" s="1" t="s">
        <v>5213</v>
      </c>
    </row>
    <row r="1695" spans="2:4" x14ac:dyDescent="0.15">
      <c r="B1695" s="1" t="s">
        <v>7949</v>
      </c>
      <c r="D1695" s="1" t="s">
        <v>5214</v>
      </c>
    </row>
    <row r="1696" spans="2:4" x14ac:dyDescent="0.15">
      <c r="B1696" s="1" t="s">
        <v>7809</v>
      </c>
      <c r="D1696" s="1" t="s">
        <v>5215</v>
      </c>
    </row>
    <row r="1697" spans="1:4" x14ac:dyDescent="0.15">
      <c r="B1697" s="1" t="s">
        <v>7815</v>
      </c>
      <c r="D1697" s="1" t="s">
        <v>5216</v>
      </c>
    </row>
    <row r="1698" spans="1:4" x14ac:dyDescent="0.15">
      <c r="B1698" s="1" t="s">
        <v>7951</v>
      </c>
      <c r="D1698" s="1" t="s">
        <v>5217</v>
      </c>
    </row>
    <row r="1699" spans="1:4" x14ac:dyDescent="0.15">
      <c r="B1699" s="1" t="s">
        <v>7819</v>
      </c>
      <c r="D1699" s="1" t="s">
        <v>5218</v>
      </c>
    </row>
    <row r="1700" spans="1:4" x14ac:dyDescent="0.15">
      <c r="B1700" s="1" t="s">
        <v>7822</v>
      </c>
      <c r="D1700" s="1" t="s">
        <v>5219</v>
      </c>
    </row>
    <row r="1701" spans="1:4" x14ac:dyDescent="0.15">
      <c r="B1701" s="1" t="s">
        <v>7825</v>
      </c>
      <c r="D1701" s="1" t="s">
        <v>5220</v>
      </c>
    </row>
    <row r="1702" spans="1:4" x14ac:dyDescent="0.15">
      <c r="B1702" s="1" t="s">
        <v>7828</v>
      </c>
      <c r="D1702" s="1" t="s">
        <v>5221</v>
      </c>
    </row>
    <row r="1703" spans="1:4" x14ac:dyDescent="0.15">
      <c r="B1703" s="1" t="s">
        <v>7831</v>
      </c>
      <c r="D1703" s="1" t="s">
        <v>5222</v>
      </c>
    </row>
    <row r="1704" spans="1:4" x14ac:dyDescent="0.15">
      <c r="A1704" s="1" t="s">
        <v>7834</v>
      </c>
      <c r="B1704" s="1" t="s">
        <v>7834</v>
      </c>
      <c r="C1704" s="1" t="s">
        <v>5223</v>
      </c>
      <c r="D1704" s="1" t="s">
        <v>5224</v>
      </c>
    </row>
    <row r="1705" spans="1:4" x14ac:dyDescent="0.15">
      <c r="A1705" s="1" t="s">
        <v>7840</v>
      </c>
      <c r="B1705" s="1" t="s">
        <v>7840</v>
      </c>
      <c r="C1705" s="1" t="s">
        <v>12719</v>
      </c>
      <c r="D1705" s="1" t="s">
        <v>5225</v>
      </c>
    </row>
    <row r="1706" spans="1:4" x14ac:dyDescent="0.15">
      <c r="A1706" s="1" t="s">
        <v>12722</v>
      </c>
      <c r="B1706" s="1" t="s">
        <v>12722</v>
      </c>
      <c r="C1706" s="1" t="s">
        <v>12723</v>
      </c>
      <c r="D1706" s="1" t="s">
        <v>5225</v>
      </c>
    </row>
    <row r="1707" spans="1:4" x14ac:dyDescent="0.15">
      <c r="A1707" s="1" t="s">
        <v>12738</v>
      </c>
      <c r="B1707" s="1" t="s">
        <v>12738</v>
      </c>
      <c r="C1707" s="1" t="s">
        <v>5226</v>
      </c>
      <c r="D1707" s="1" t="s">
        <v>5226</v>
      </c>
    </row>
    <row r="1708" spans="1:4" x14ac:dyDescent="0.15">
      <c r="A1708" s="1" t="s">
        <v>12742</v>
      </c>
      <c r="B1708" s="1" t="s">
        <v>12742</v>
      </c>
      <c r="C1708" s="1" t="s">
        <v>5227</v>
      </c>
      <c r="D1708" s="1" t="s">
        <v>5228</v>
      </c>
    </row>
    <row r="1709" spans="1:4" x14ac:dyDescent="0.15">
      <c r="A1709" s="1" t="s">
        <v>12709</v>
      </c>
      <c r="B1709" s="1" t="s">
        <v>12709</v>
      </c>
      <c r="C1709" s="1" t="s">
        <v>5223</v>
      </c>
      <c r="D1709" s="1" t="s">
        <v>5224</v>
      </c>
    </row>
    <row r="1710" spans="1:4" x14ac:dyDescent="0.15">
      <c r="A1710" s="1" t="s">
        <v>10646</v>
      </c>
      <c r="B1710" s="1" t="s">
        <v>10646</v>
      </c>
      <c r="C1710" s="1" t="s">
        <v>5229</v>
      </c>
      <c r="D1710" s="1" t="s">
        <v>5230</v>
      </c>
    </row>
    <row r="1711" spans="1:4" x14ac:dyDescent="0.15">
      <c r="A1711" s="1" t="s">
        <v>7844</v>
      </c>
      <c r="B1711" s="1" t="s">
        <v>7844</v>
      </c>
      <c r="C1711" s="1" t="s">
        <v>5231</v>
      </c>
      <c r="D1711" s="1" t="s">
        <v>5232</v>
      </c>
    </row>
    <row r="1712" spans="1:4" x14ac:dyDescent="0.15">
      <c r="A1712" s="1" t="s">
        <v>12730</v>
      </c>
      <c r="B1712" s="1" t="s">
        <v>12730</v>
      </c>
      <c r="C1712" s="1" t="s">
        <v>5233</v>
      </c>
      <c r="D1712" s="1" t="s">
        <v>5233</v>
      </c>
    </row>
    <row r="1713" spans="1:4" x14ac:dyDescent="0.15">
      <c r="A1713" s="1" t="s">
        <v>12734</v>
      </c>
      <c r="B1713" s="1" t="s">
        <v>12734</v>
      </c>
      <c r="C1713" s="1" t="s">
        <v>5234</v>
      </c>
      <c r="D1713" s="1" t="s">
        <v>5235</v>
      </c>
    </row>
    <row r="1714" spans="1:4" x14ac:dyDescent="0.15">
      <c r="A1714" s="1" t="s">
        <v>12746</v>
      </c>
      <c r="B1714" s="1" t="s">
        <v>12746</v>
      </c>
      <c r="C1714" s="1" t="s">
        <v>5236</v>
      </c>
      <c r="D1714" s="1" t="s">
        <v>5236</v>
      </c>
    </row>
    <row r="1715" spans="1:4" x14ac:dyDescent="0.15">
      <c r="A1715" s="1" t="s">
        <v>12750</v>
      </c>
      <c r="B1715" s="1" t="s">
        <v>12750</v>
      </c>
      <c r="C1715" s="1" t="s">
        <v>5237</v>
      </c>
      <c r="D1715" s="1" t="s">
        <v>5238</v>
      </c>
    </row>
    <row r="1716" spans="1:4" x14ac:dyDescent="0.15">
      <c r="B1716" s="1" t="s">
        <v>10806</v>
      </c>
      <c r="D1716" s="1" t="s">
        <v>5239</v>
      </c>
    </row>
    <row r="1717" spans="1:4" x14ac:dyDescent="0.15">
      <c r="B1717" s="1" t="s">
        <v>7858</v>
      </c>
      <c r="D1717" s="1" t="s">
        <v>5240</v>
      </c>
    </row>
    <row r="1718" spans="1:4" x14ac:dyDescent="0.15">
      <c r="B1718" s="1" t="s">
        <v>7861</v>
      </c>
      <c r="D1718" s="1" t="s">
        <v>5241</v>
      </c>
    </row>
    <row r="1719" spans="1:4" x14ac:dyDescent="0.15">
      <c r="A1719" s="1" t="s">
        <v>7866</v>
      </c>
      <c r="B1719" s="1" t="s">
        <v>7866</v>
      </c>
      <c r="C1719" s="1" t="s">
        <v>12759</v>
      </c>
      <c r="D1719" s="1" t="s">
        <v>5242</v>
      </c>
    </row>
    <row r="1720" spans="1:4" x14ac:dyDescent="0.15">
      <c r="A1720" s="1" t="s">
        <v>12762</v>
      </c>
      <c r="B1720" s="1" t="s">
        <v>12762</v>
      </c>
      <c r="C1720" s="1" t="s">
        <v>12759</v>
      </c>
      <c r="D1720" s="1" t="s">
        <v>12759</v>
      </c>
    </row>
    <row r="1721" spans="1:4" x14ac:dyDescent="0.15">
      <c r="A1721" s="1" t="s">
        <v>12765</v>
      </c>
      <c r="B1721" s="1" t="s">
        <v>12765</v>
      </c>
      <c r="C1721" s="1" t="s">
        <v>12766</v>
      </c>
      <c r="D1721" s="1" t="s">
        <v>5243</v>
      </c>
    </row>
    <row r="1722" spans="1:4" x14ac:dyDescent="0.15">
      <c r="A1722" s="1" t="s">
        <v>12754</v>
      </c>
      <c r="B1722" s="1" t="s">
        <v>12754</v>
      </c>
      <c r="C1722" s="1" t="s">
        <v>5244</v>
      </c>
      <c r="D1722" s="1" t="s">
        <v>5245</v>
      </c>
    </row>
    <row r="1723" spans="1:4" x14ac:dyDescent="0.15">
      <c r="B1723" s="1" t="s">
        <v>7507</v>
      </c>
      <c r="D1723" s="1" t="s">
        <v>5246</v>
      </c>
    </row>
    <row r="1724" spans="1:4" x14ac:dyDescent="0.15">
      <c r="B1724" s="1" t="s">
        <v>7510</v>
      </c>
      <c r="D1724" s="1" t="s">
        <v>5247</v>
      </c>
    </row>
    <row r="1725" spans="1:4" x14ac:dyDescent="0.15">
      <c r="B1725" s="1" t="s">
        <v>7513</v>
      </c>
      <c r="D1725" s="1" t="s">
        <v>5248</v>
      </c>
    </row>
    <row r="1726" spans="1:4" x14ac:dyDescent="0.15">
      <c r="A1726" s="1" t="s">
        <v>12769</v>
      </c>
      <c r="B1726" s="1" t="s">
        <v>12769</v>
      </c>
      <c r="C1726" s="1" t="s">
        <v>12770</v>
      </c>
      <c r="D1726" s="1" t="s">
        <v>5249</v>
      </c>
    </row>
    <row r="1727" spans="1:4" x14ac:dyDescent="0.15">
      <c r="A1727" s="1" t="s">
        <v>7518</v>
      </c>
      <c r="B1727" s="1" t="s">
        <v>7518</v>
      </c>
      <c r="C1727" s="1" t="s">
        <v>5250</v>
      </c>
      <c r="D1727" s="1" t="s">
        <v>5251</v>
      </c>
    </row>
    <row r="1728" spans="1:4" x14ac:dyDescent="0.15">
      <c r="A1728" s="1" t="s">
        <v>12777</v>
      </c>
      <c r="B1728" s="1" t="s">
        <v>12777</v>
      </c>
      <c r="C1728" s="1" t="s">
        <v>12778</v>
      </c>
      <c r="D1728" s="1" t="s">
        <v>5252</v>
      </c>
    </row>
    <row r="1729" spans="1:4" x14ac:dyDescent="0.15">
      <c r="A1729" s="1" t="s">
        <v>12781</v>
      </c>
      <c r="B1729" s="1" t="s">
        <v>12781</v>
      </c>
      <c r="C1729" s="1" t="s">
        <v>12782</v>
      </c>
      <c r="D1729" s="1" t="s">
        <v>5253</v>
      </c>
    </row>
    <row r="1730" spans="1:4" x14ac:dyDescent="0.15">
      <c r="A1730" s="1" t="s">
        <v>12859</v>
      </c>
      <c r="B1730" s="1" t="s">
        <v>12859</v>
      </c>
      <c r="C1730" s="1" t="s">
        <v>12860</v>
      </c>
      <c r="D1730" s="1" t="s">
        <v>5254</v>
      </c>
    </row>
    <row r="1731" spans="1:4" x14ac:dyDescent="0.15">
      <c r="A1731" s="1" t="s">
        <v>12863</v>
      </c>
      <c r="B1731" s="1" t="s">
        <v>7669</v>
      </c>
      <c r="C1731" s="1" t="s">
        <v>5255</v>
      </c>
      <c r="D1731" s="1" t="s">
        <v>5256</v>
      </c>
    </row>
    <row r="1732" spans="1:4" x14ac:dyDescent="0.15">
      <c r="A1732" s="1" t="s">
        <v>12785</v>
      </c>
      <c r="B1732" s="1" t="s">
        <v>9670</v>
      </c>
      <c r="C1732" s="1" t="s">
        <v>12786</v>
      </c>
      <c r="D1732" s="1" t="s">
        <v>12786</v>
      </c>
    </row>
    <row r="1733" spans="1:4" x14ac:dyDescent="0.15">
      <c r="A1733" s="1" t="s">
        <v>12789</v>
      </c>
      <c r="B1733" s="1" t="s">
        <v>8256</v>
      </c>
      <c r="C1733" s="1" t="s">
        <v>12790</v>
      </c>
      <c r="D1733" s="1" t="s">
        <v>5257</v>
      </c>
    </row>
    <row r="1734" spans="1:4" x14ac:dyDescent="0.15">
      <c r="A1734" s="1" t="s">
        <v>12793</v>
      </c>
      <c r="B1734" s="1" t="s">
        <v>9676</v>
      </c>
      <c r="C1734" s="1" t="s">
        <v>12794</v>
      </c>
      <c r="D1734" s="1" t="s">
        <v>5258</v>
      </c>
    </row>
    <row r="1735" spans="1:4" x14ac:dyDescent="0.15">
      <c r="A1735" s="1" t="s">
        <v>12797</v>
      </c>
      <c r="B1735" s="1" t="s">
        <v>12797</v>
      </c>
      <c r="C1735" s="1" t="s">
        <v>12798</v>
      </c>
      <c r="D1735" s="1" t="s">
        <v>12798</v>
      </c>
    </row>
    <row r="1736" spans="1:4" x14ac:dyDescent="0.15">
      <c r="A1736" s="1" t="s">
        <v>12801</v>
      </c>
      <c r="B1736" s="1" t="s">
        <v>12801</v>
      </c>
      <c r="C1736" s="1" t="s">
        <v>12802</v>
      </c>
      <c r="D1736" s="1" t="s">
        <v>5259</v>
      </c>
    </row>
    <row r="1737" spans="1:4" x14ac:dyDescent="0.15">
      <c r="A1737" s="1" t="s">
        <v>12805</v>
      </c>
      <c r="B1737" s="1" t="s">
        <v>12805</v>
      </c>
      <c r="C1737" s="1" t="s">
        <v>5260</v>
      </c>
      <c r="D1737" s="1" t="s">
        <v>5261</v>
      </c>
    </row>
    <row r="1738" spans="1:4" x14ac:dyDescent="0.15">
      <c r="B1738" s="1" t="s">
        <v>7535</v>
      </c>
      <c r="D1738" s="1" t="s">
        <v>5262</v>
      </c>
    </row>
    <row r="1739" spans="1:4" x14ac:dyDescent="0.15">
      <c r="B1739" s="1" t="s">
        <v>7538</v>
      </c>
      <c r="D1739" s="1" t="s">
        <v>5263</v>
      </c>
    </row>
    <row r="1740" spans="1:4" x14ac:dyDescent="0.15">
      <c r="B1740" s="1" t="s">
        <v>7541</v>
      </c>
      <c r="D1740" s="1" t="s">
        <v>5264</v>
      </c>
    </row>
    <row r="1741" spans="1:4" x14ac:dyDescent="0.15">
      <c r="A1741" s="1" t="s">
        <v>12809</v>
      </c>
      <c r="B1741" s="1" t="s">
        <v>12809</v>
      </c>
      <c r="C1741" s="1" t="s">
        <v>5265</v>
      </c>
      <c r="D1741" s="1" t="s">
        <v>5266</v>
      </c>
    </row>
    <row r="1742" spans="1:4" x14ac:dyDescent="0.15">
      <c r="A1742" s="1" t="s">
        <v>7546</v>
      </c>
      <c r="B1742" s="1" t="s">
        <v>7546</v>
      </c>
      <c r="C1742" s="1" t="s">
        <v>12814</v>
      </c>
      <c r="D1742" s="1" t="s">
        <v>5267</v>
      </c>
    </row>
    <row r="1743" spans="1:4" x14ac:dyDescent="0.15">
      <c r="A1743" s="1" t="s">
        <v>12817</v>
      </c>
      <c r="B1743" s="1" t="s">
        <v>12817</v>
      </c>
      <c r="C1743" s="1" t="s">
        <v>12814</v>
      </c>
      <c r="D1743" s="1" t="s">
        <v>5267</v>
      </c>
    </row>
    <row r="1744" spans="1:4" x14ac:dyDescent="0.15">
      <c r="A1744" s="1" t="s">
        <v>7550</v>
      </c>
      <c r="B1744" s="1" t="s">
        <v>7550</v>
      </c>
      <c r="C1744" s="1" t="s">
        <v>12821</v>
      </c>
      <c r="D1744" s="1" t="s">
        <v>12821</v>
      </c>
    </row>
    <row r="1745" spans="1:4" x14ac:dyDescent="0.15">
      <c r="A1745" s="1" t="s">
        <v>12824</v>
      </c>
      <c r="B1745" s="1" t="s">
        <v>12824</v>
      </c>
      <c r="C1745" s="1" t="s">
        <v>12821</v>
      </c>
      <c r="D1745" s="1" t="s">
        <v>12821</v>
      </c>
    </row>
    <row r="1746" spans="1:4" x14ac:dyDescent="0.15">
      <c r="A1746" s="1" t="s">
        <v>7553</v>
      </c>
      <c r="B1746" s="1" t="s">
        <v>7553</v>
      </c>
      <c r="C1746" s="1" t="s">
        <v>5268</v>
      </c>
      <c r="D1746" s="1" t="s">
        <v>5269</v>
      </c>
    </row>
    <row r="1747" spans="1:4" x14ac:dyDescent="0.15">
      <c r="A1747" s="1" t="s">
        <v>12831</v>
      </c>
      <c r="B1747" s="1" t="s">
        <v>12831</v>
      </c>
      <c r="C1747" s="1" t="s">
        <v>5270</v>
      </c>
      <c r="D1747" s="1" t="s">
        <v>5271</v>
      </c>
    </row>
    <row r="1748" spans="1:4" x14ac:dyDescent="0.15">
      <c r="A1748" s="1" t="s">
        <v>12835</v>
      </c>
      <c r="B1748" s="1" t="s">
        <v>12835</v>
      </c>
      <c r="C1748" s="1" t="s">
        <v>12836</v>
      </c>
      <c r="D1748" s="1" t="s">
        <v>5272</v>
      </c>
    </row>
    <row r="1749" spans="1:4" x14ac:dyDescent="0.15">
      <c r="B1749" s="1" t="s">
        <v>11601</v>
      </c>
      <c r="D1749" s="1" t="s">
        <v>5273</v>
      </c>
    </row>
    <row r="1750" spans="1:4" x14ac:dyDescent="0.15">
      <c r="A1750" s="1" t="s">
        <v>7563</v>
      </c>
      <c r="B1750" s="1" t="s">
        <v>7563</v>
      </c>
      <c r="C1750" s="1" t="s">
        <v>5274</v>
      </c>
      <c r="D1750" s="1" t="s">
        <v>5275</v>
      </c>
    </row>
    <row r="1751" spans="1:4" x14ac:dyDescent="0.15">
      <c r="A1751" s="1" t="s">
        <v>12847</v>
      </c>
      <c r="B1751" s="1" t="s">
        <v>12847</v>
      </c>
      <c r="C1751" s="1" t="s">
        <v>12848</v>
      </c>
      <c r="D1751" s="1" t="s">
        <v>12848</v>
      </c>
    </row>
    <row r="1752" spans="1:4" x14ac:dyDescent="0.15">
      <c r="A1752" s="1" t="s">
        <v>12851</v>
      </c>
      <c r="B1752" s="1" t="s">
        <v>9180</v>
      </c>
      <c r="C1752" s="1" t="s">
        <v>12852</v>
      </c>
      <c r="D1752" s="1" t="s">
        <v>12852</v>
      </c>
    </row>
    <row r="1753" spans="1:4" x14ac:dyDescent="0.15">
      <c r="A1753" s="1" t="s">
        <v>12855</v>
      </c>
      <c r="B1753" s="1" t="s">
        <v>12855</v>
      </c>
      <c r="C1753" s="1" t="s">
        <v>5276</v>
      </c>
      <c r="D1753" s="1" t="s">
        <v>5276</v>
      </c>
    </row>
    <row r="1754" spans="1:4" x14ac:dyDescent="0.15">
      <c r="A1754" s="1" t="s">
        <v>12839</v>
      </c>
      <c r="B1754" s="1" t="s">
        <v>12839</v>
      </c>
      <c r="C1754" s="1" t="s">
        <v>5277</v>
      </c>
      <c r="D1754" s="1" t="s">
        <v>5278</v>
      </c>
    </row>
    <row r="1755" spans="1:4" x14ac:dyDescent="0.15">
      <c r="A1755" s="1" t="s">
        <v>12867</v>
      </c>
      <c r="B1755" s="1" t="s">
        <v>12867</v>
      </c>
      <c r="C1755" s="1" t="s">
        <v>12868</v>
      </c>
      <c r="D1755" s="1" t="s">
        <v>12868</v>
      </c>
    </row>
    <row r="1756" spans="1:4" x14ac:dyDescent="0.15">
      <c r="A1756" s="1" t="s">
        <v>12871</v>
      </c>
      <c r="B1756" s="1" t="s">
        <v>12871</v>
      </c>
      <c r="C1756" s="1" t="s">
        <v>5279</v>
      </c>
      <c r="D1756" s="1" t="s">
        <v>5279</v>
      </c>
    </row>
    <row r="1757" spans="1:4" x14ac:dyDescent="0.15">
      <c r="A1757" s="1" t="s">
        <v>12875</v>
      </c>
      <c r="B1757" s="1" t="s">
        <v>12875</v>
      </c>
      <c r="C1757" s="1" t="s">
        <v>12876</v>
      </c>
      <c r="D1757" s="1" t="s">
        <v>12876</v>
      </c>
    </row>
    <row r="1758" spans="1:4" x14ac:dyDescent="0.15">
      <c r="B1758" s="1" t="s">
        <v>7579</v>
      </c>
      <c r="D1758" s="1" t="s">
        <v>5280</v>
      </c>
    </row>
    <row r="1759" spans="1:4" x14ac:dyDescent="0.15">
      <c r="A1759" s="1" t="s">
        <v>12879</v>
      </c>
      <c r="B1759" s="1" t="s">
        <v>12879</v>
      </c>
      <c r="C1759" s="1" t="s">
        <v>5281</v>
      </c>
      <c r="D1759" s="1" t="s">
        <v>5282</v>
      </c>
    </row>
    <row r="1760" spans="1:4" x14ac:dyDescent="0.15">
      <c r="A1760" s="1" t="s">
        <v>7584</v>
      </c>
      <c r="B1760" s="1" t="s">
        <v>7584</v>
      </c>
      <c r="C1760" s="1" t="s">
        <v>12884</v>
      </c>
      <c r="D1760" s="1" t="s">
        <v>12888</v>
      </c>
    </row>
    <row r="1761" spans="1:4" x14ac:dyDescent="0.15">
      <c r="A1761" s="1" t="s">
        <v>12887</v>
      </c>
      <c r="B1761" s="1" t="s">
        <v>12887</v>
      </c>
      <c r="C1761" s="1" t="s">
        <v>5283</v>
      </c>
      <c r="D1761" s="1" t="s">
        <v>5284</v>
      </c>
    </row>
    <row r="1762" spans="1:4" x14ac:dyDescent="0.15">
      <c r="A1762" s="1" t="s">
        <v>12891</v>
      </c>
      <c r="B1762" s="1" t="s">
        <v>7592</v>
      </c>
      <c r="C1762" s="1" t="s">
        <v>5285</v>
      </c>
      <c r="D1762" s="1" t="s">
        <v>5286</v>
      </c>
    </row>
    <row r="1763" spans="1:4" x14ac:dyDescent="0.15">
      <c r="B1763" s="1" t="s">
        <v>7595</v>
      </c>
      <c r="D1763" s="1" t="s">
        <v>5287</v>
      </c>
    </row>
    <row r="1764" spans="1:4" x14ac:dyDescent="0.15">
      <c r="A1764" s="1" t="s">
        <v>12895</v>
      </c>
      <c r="B1764" s="1" t="s">
        <v>12895</v>
      </c>
      <c r="C1764" s="1" t="s">
        <v>12896</v>
      </c>
      <c r="D1764" s="1" t="s">
        <v>5288</v>
      </c>
    </row>
    <row r="1765" spans="1:4" x14ac:dyDescent="0.15">
      <c r="B1765" s="1" t="s">
        <v>7597</v>
      </c>
      <c r="D1765" s="1" t="s">
        <v>5289</v>
      </c>
    </row>
    <row r="1766" spans="1:4" x14ac:dyDescent="0.15">
      <c r="A1766" s="1" t="s">
        <v>7602</v>
      </c>
      <c r="B1766" s="1" t="s">
        <v>7602</v>
      </c>
      <c r="C1766" s="1" t="s">
        <v>12904</v>
      </c>
      <c r="D1766" s="1" t="s">
        <v>5290</v>
      </c>
    </row>
    <row r="1767" spans="1:4" x14ac:dyDescent="0.15">
      <c r="A1767" s="1" t="s">
        <v>12910</v>
      </c>
      <c r="B1767" s="1" t="s">
        <v>12910</v>
      </c>
      <c r="C1767" s="1" t="s">
        <v>5291</v>
      </c>
      <c r="D1767" s="1" t="s">
        <v>5292</v>
      </c>
    </row>
    <row r="1768" spans="1:4" x14ac:dyDescent="0.15">
      <c r="A1768" s="1" t="s">
        <v>12914</v>
      </c>
      <c r="B1768" s="1" t="s">
        <v>12914</v>
      </c>
      <c r="C1768" s="1" t="s">
        <v>12915</v>
      </c>
      <c r="D1768" s="1" t="s">
        <v>12915</v>
      </c>
    </row>
    <row r="1769" spans="1:4" x14ac:dyDescent="0.15">
      <c r="A1769" s="1" t="s">
        <v>12899</v>
      </c>
      <c r="B1769" s="1" t="s">
        <v>12899</v>
      </c>
      <c r="C1769" s="1" t="s">
        <v>12900</v>
      </c>
      <c r="D1769" s="1" t="s">
        <v>5293</v>
      </c>
    </row>
    <row r="1770" spans="1:4" x14ac:dyDescent="0.15">
      <c r="A1770" s="1" t="s">
        <v>12907</v>
      </c>
      <c r="B1770" s="1" t="s">
        <v>12907</v>
      </c>
      <c r="C1770" s="1" t="s">
        <v>12904</v>
      </c>
      <c r="D1770" s="1" t="s">
        <v>5294</v>
      </c>
    </row>
    <row r="1771" spans="1:4" x14ac:dyDescent="0.15">
      <c r="B1771" s="1" t="s">
        <v>7610</v>
      </c>
      <c r="D1771" s="1" t="s">
        <v>5295</v>
      </c>
    </row>
    <row r="1772" spans="1:4" x14ac:dyDescent="0.15">
      <c r="B1772" s="1" t="s">
        <v>7613</v>
      </c>
      <c r="D1772" s="1" t="s">
        <v>5296</v>
      </c>
    </row>
    <row r="1773" spans="1:4" x14ac:dyDescent="0.15">
      <c r="A1773" s="1" t="s">
        <v>12918</v>
      </c>
      <c r="B1773" s="1" t="s">
        <v>12918</v>
      </c>
      <c r="C1773" s="1" t="s">
        <v>12919</v>
      </c>
      <c r="D1773" s="1" t="s">
        <v>5297</v>
      </c>
    </row>
    <row r="1774" spans="1:4" x14ac:dyDescent="0.15">
      <c r="A1774" s="1" t="s">
        <v>7618</v>
      </c>
      <c r="B1774" s="1" t="s">
        <v>7618</v>
      </c>
      <c r="C1774" s="1" t="s">
        <v>12923</v>
      </c>
      <c r="D1774" s="1" t="s">
        <v>12923</v>
      </c>
    </row>
    <row r="1775" spans="1:4" x14ac:dyDescent="0.15">
      <c r="A1775" s="1" t="s">
        <v>12926</v>
      </c>
      <c r="B1775" s="1" t="s">
        <v>12926</v>
      </c>
      <c r="C1775" s="1" t="s">
        <v>12923</v>
      </c>
      <c r="D1775" s="1" t="s">
        <v>5298</v>
      </c>
    </row>
    <row r="1776" spans="1:4" x14ac:dyDescent="0.15">
      <c r="B1776" s="1" t="s">
        <v>7671</v>
      </c>
      <c r="D1776" s="1" t="s">
        <v>5299</v>
      </c>
    </row>
    <row r="1777" spans="1:4" x14ac:dyDescent="0.15">
      <c r="B1777" s="1" t="s">
        <v>7686</v>
      </c>
      <c r="D1777" s="1" t="s">
        <v>5300</v>
      </c>
    </row>
    <row r="1778" spans="1:4" x14ac:dyDescent="0.15">
      <c r="A1778" s="1" t="s">
        <v>10984</v>
      </c>
      <c r="B1778" s="1" t="s">
        <v>10984</v>
      </c>
      <c r="C1778" s="1" t="s">
        <v>5301</v>
      </c>
      <c r="D1778" s="1" t="s">
        <v>5302</v>
      </c>
    </row>
    <row r="1779" spans="1:4" x14ac:dyDescent="0.15">
      <c r="A1779" s="1" t="s">
        <v>12933</v>
      </c>
      <c r="B1779" s="1" t="s">
        <v>12933</v>
      </c>
      <c r="C1779" s="1" t="s">
        <v>5303</v>
      </c>
      <c r="D1779" s="1" t="s">
        <v>5304</v>
      </c>
    </row>
    <row r="1780" spans="1:4" x14ac:dyDescent="0.15">
      <c r="A1780" s="1" t="s">
        <v>12937</v>
      </c>
      <c r="B1780" s="1" t="s">
        <v>11171</v>
      </c>
      <c r="C1780" s="1" t="s">
        <v>12938</v>
      </c>
      <c r="D1780" s="1" t="s">
        <v>5305</v>
      </c>
    </row>
    <row r="1781" spans="1:4" x14ac:dyDescent="0.15">
      <c r="A1781" s="1" t="s">
        <v>12941</v>
      </c>
      <c r="B1781" s="1" t="s">
        <v>17836</v>
      </c>
      <c r="C1781" s="1" t="s">
        <v>5306</v>
      </c>
      <c r="D1781" s="1" t="s">
        <v>5307</v>
      </c>
    </row>
    <row r="1782" spans="1:4" x14ac:dyDescent="0.15">
      <c r="A1782" s="1" t="s">
        <v>12945</v>
      </c>
      <c r="B1782" s="1" t="s">
        <v>10801</v>
      </c>
      <c r="C1782" s="1" t="s">
        <v>5308</v>
      </c>
      <c r="D1782" s="1" t="s">
        <v>6813</v>
      </c>
    </row>
    <row r="1783" spans="1:4" x14ac:dyDescent="0.15">
      <c r="A1783" s="1" t="s">
        <v>12949</v>
      </c>
      <c r="B1783" s="1" t="s">
        <v>10822</v>
      </c>
      <c r="C1783" s="1" t="s">
        <v>12950</v>
      </c>
      <c r="D1783" s="1" t="s">
        <v>5309</v>
      </c>
    </row>
    <row r="1784" spans="1:4" x14ac:dyDescent="0.15">
      <c r="B1784" s="1" t="s">
        <v>10808</v>
      </c>
      <c r="D1784" s="1" t="s">
        <v>5310</v>
      </c>
    </row>
    <row r="1785" spans="1:4" x14ac:dyDescent="0.15">
      <c r="B1785" s="1" t="s">
        <v>7636</v>
      </c>
      <c r="D1785" s="1" t="s">
        <v>5311</v>
      </c>
    </row>
    <row r="1786" spans="1:4" x14ac:dyDescent="0.15">
      <c r="A1786" s="1" t="s">
        <v>12953</v>
      </c>
      <c r="B1786" s="1" t="s">
        <v>12953</v>
      </c>
      <c r="C1786" s="1" t="s">
        <v>5312</v>
      </c>
      <c r="D1786" s="1" t="s">
        <v>5313</v>
      </c>
    </row>
    <row r="1787" spans="1:4" x14ac:dyDescent="0.15">
      <c r="B1787" s="1" t="s">
        <v>7212</v>
      </c>
      <c r="D1787" s="1" t="s">
        <v>5314</v>
      </c>
    </row>
    <row r="1788" spans="1:4" x14ac:dyDescent="0.15">
      <c r="A1788" s="1" t="s">
        <v>15395</v>
      </c>
      <c r="B1788" s="1" t="s">
        <v>15395</v>
      </c>
      <c r="C1788" s="1" t="s">
        <v>15396</v>
      </c>
      <c r="D1788" s="1" t="s">
        <v>15396</v>
      </c>
    </row>
    <row r="1789" spans="1:4" x14ac:dyDescent="0.15">
      <c r="A1789" s="1" t="s">
        <v>7217</v>
      </c>
      <c r="B1789" s="1" t="s">
        <v>7217</v>
      </c>
      <c r="C1789" s="1" t="s">
        <v>5315</v>
      </c>
      <c r="D1789" s="1" t="s">
        <v>5315</v>
      </c>
    </row>
    <row r="1790" spans="1:4" x14ac:dyDescent="0.15">
      <c r="A1790" s="1" t="s">
        <v>7220</v>
      </c>
      <c r="B1790" s="1" t="s">
        <v>7220</v>
      </c>
      <c r="C1790" s="1" t="s">
        <v>15401</v>
      </c>
      <c r="D1790" s="1" t="s">
        <v>15401</v>
      </c>
    </row>
    <row r="1791" spans="1:4" x14ac:dyDescent="0.15">
      <c r="A1791" s="1" t="s">
        <v>7641</v>
      </c>
      <c r="B1791" s="1" t="s">
        <v>7641</v>
      </c>
      <c r="C1791" s="1" t="s">
        <v>5316</v>
      </c>
      <c r="D1791" s="1" t="s">
        <v>5317</v>
      </c>
    </row>
    <row r="1792" spans="1:4" x14ac:dyDescent="0.15">
      <c r="A1792" s="1" t="s">
        <v>11777</v>
      </c>
      <c r="B1792" s="1" t="s">
        <v>11777</v>
      </c>
      <c r="C1792" s="1" t="s">
        <v>11778</v>
      </c>
      <c r="D1792" s="1" t="s">
        <v>5318</v>
      </c>
    </row>
    <row r="1793" spans="1:4" x14ac:dyDescent="0.15">
      <c r="A1793" s="1" t="s">
        <v>11781</v>
      </c>
      <c r="B1793" s="1" t="s">
        <v>11781</v>
      </c>
      <c r="C1793" s="1" t="s">
        <v>11782</v>
      </c>
      <c r="D1793" s="1" t="s">
        <v>11782</v>
      </c>
    </row>
    <row r="1794" spans="1:4" x14ac:dyDescent="0.15">
      <c r="A1794" s="1" t="s">
        <v>11785</v>
      </c>
      <c r="B1794" s="1" t="s">
        <v>11785</v>
      </c>
      <c r="C1794" s="1" t="s">
        <v>5319</v>
      </c>
      <c r="D1794" s="1" t="s">
        <v>5320</v>
      </c>
    </row>
    <row r="1795" spans="1:4" x14ac:dyDescent="0.15">
      <c r="A1795" s="1" t="s">
        <v>7651</v>
      </c>
      <c r="B1795" s="1" t="s">
        <v>7651</v>
      </c>
      <c r="C1795" s="1" t="s">
        <v>5321</v>
      </c>
      <c r="D1795" s="1" t="s">
        <v>5322</v>
      </c>
    </row>
    <row r="1796" spans="1:4" x14ac:dyDescent="0.15">
      <c r="A1796" s="1" t="s">
        <v>11793</v>
      </c>
      <c r="B1796" s="1" t="s">
        <v>11793</v>
      </c>
      <c r="C1796" s="1" t="s">
        <v>5323</v>
      </c>
      <c r="D1796" s="1" t="s">
        <v>5324</v>
      </c>
    </row>
    <row r="1797" spans="1:4" x14ac:dyDescent="0.15">
      <c r="A1797" s="1" t="s">
        <v>11797</v>
      </c>
      <c r="B1797" s="1" t="s">
        <v>11797</v>
      </c>
      <c r="C1797" s="1" t="s">
        <v>11798</v>
      </c>
      <c r="D1797" s="1" t="s">
        <v>11798</v>
      </c>
    </row>
    <row r="1798" spans="1:4" x14ac:dyDescent="0.15">
      <c r="A1798" s="1" t="s">
        <v>11801</v>
      </c>
      <c r="B1798" s="1" t="s">
        <v>11801</v>
      </c>
      <c r="C1798" s="1" t="s">
        <v>11802</v>
      </c>
      <c r="D1798" s="1" t="s">
        <v>5325</v>
      </c>
    </row>
    <row r="1799" spans="1:4" x14ac:dyDescent="0.15">
      <c r="A1799" s="1" t="s">
        <v>11805</v>
      </c>
      <c r="B1799" s="1" t="s">
        <v>11805</v>
      </c>
      <c r="C1799" s="1" t="s">
        <v>5326</v>
      </c>
      <c r="D1799" s="1" t="s">
        <v>5327</v>
      </c>
    </row>
    <row r="1800" spans="1:4" x14ac:dyDescent="0.15">
      <c r="A1800" s="1" t="s">
        <v>8799</v>
      </c>
      <c r="B1800" s="1" t="s">
        <v>8799</v>
      </c>
      <c r="C1800" s="1" t="s">
        <v>11810</v>
      </c>
      <c r="D1800" s="1" t="s">
        <v>11810</v>
      </c>
    </row>
    <row r="1801" spans="1:4" x14ac:dyDescent="0.15">
      <c r="A1801" s="1" t="s">
        <v>11813</v>
      </c>
      <c r="B1801" s="1" t="s">
        <v>11813</v>
      </c>
      <c r="C1801" s="1" t="s">
        <v>11810</v>
      </c>
      <c r="D1801" s="1" t="s">
        <v>11810</v>
      </c>
    </row>
    <row r="1802" spans="1:4" x14ac:dyDescent="0.15">
      <c r="A1802" s="1" t="s">
        <v>7662</v>
      </c>
      <c r="B1802" s="1" t="s">
        <v>7662</v>
      </c>
      <c r="C1802" s="1" t="s">
        <v>11817</v>
      </c>
      <c r="D1802" s="1" t="s">
        <v>11817</v>
      </c>
    </row>
    <row r="1803" spans="1:4" x14ac:dyDescent="0.15">
      <c r="A1803" s="1" t="s">
        <v>11820</v>
      </c>
      <c r="B1803" s="1" t="s">
        <v>11820</v>
      </c>
      <c r="C1803" s="1" t="s">
        <v>11817</v>
      </c>
      <c r="D1803" s="1" t="s">
        <v>11817</v>
      </c>
    </row>
    <row r="1804" spans="1:4" x14ac:dyDescent="0.15">
      <c r="B1804" s="1" t="s">
        <v>7666</v>
      </c>
      <c r="D1804" s="1" t="s">
        <v>5328</v>
      </c>
    </row>
    <row r="1805" spans="1:4" x14ac:dyDescent="0.15">
      <c r="B1805" s="1" t="s">
        <v>8926</v>
      </c>
      <c r="D1805" s="1" t="s">
        <v>5329</v>
      </c>
    </row>
    <row r="1806" spans="1:4" x14ac:dyDescent="0.15">
      <c r="B1806" s="1" t="s">
        <v>8496</v>
      </c>
      <c r="D1806" s="1" t="s">
        <v>5330</v>
      </c>
    </row>
    <row r="1807" spans="1:4" x14ac:dyDescent="0.15">
      <c r="A1807" s="1" t="s">
        <v>7304</v>
      </c>
      <c r="B1807" s="1" t="s">
        <v>7304</v>
      </c>
      <c r="C1807" s="1" t="s">
        <v>5331</v>
      </c>
      <c r="D1807" s="1" t="s">
        <v>5332</v>
      </c>
    </row>
    <row r="1808" spans="1:4" x14ac:dyDescent="0.15">
      <c r="A1808" s="1" t="s">
        <v>11827</v>
      </c>
      <c r="B1808" s="1" t="s">
        <v>11827</v>
      </c>
      <c r="C1808" s="1" t="s">
        <v>5331</v>
      </c>
      <c r="D1808" s="1" t="s">
        <v>5333</v>
      </c>
    </row>
    <row r="1809" spans="1:4" x14ac:dyDescent="0.15">
      <c r="A1809" s="1" t="s">
        <v>7328</v>
      </c>
      <c r="C1809" s="1" t="s">
        <v>5334</v>
      </c>
      <c r="D1809" s="1" t="s">
        <v>6584</v>
      </c>
    </row>
    <row r="1810" spans="1:4" x14ac:dyDescent="0.15">
      <c r="A1810" s="1" t="s">
        <v>16162</v>
      </c>
      <c r="C1810" s="1" t="s">
        <v>5335</v>
      </c>
      <c r="D1810" s="1" t="s">
        <v>6584</v>
      </c>
    </row>
    <row r="1811" spans="1:4" x14ac:dyDescent="0.15">
      <c r="A1811" s="1" t="s">
        <v>16166</v>
      </c>
      <c r="C1811" s="1" t="s">
        <v>5336</v>
      </c>
      <c r="D1811" s="1" t="s">
        <v>6584</v>
      </c>
    </row>
    <row r="1812" spans="1:4" x14ac:dyDescent="0.15">
      <c r="A1812" s="1" t="s">
        <v>16170</v>
      </c>
      <c r="C1812" s="1" t="s">
        <v>5337</v>
      </c>
      <c r="D1812" s="1" t="s">
        <v>6584</v>
      </c>
    </row>
    <row r="1813" spans="1:4" x14ac:dyDescent="0.15">
      <c r="A1813" s="1" t="s">
        <v>16174</v>
      </c>
      <c r="C1813" s="1" t="s">
        <v>16175</v>
      </c>
      <c r="D1813" s="1" t="s">
        <v>6584</v>
      </c>
    </row>
    <row r="1814" spans="1:4" x14ac:dyDescent="0.15">
      <c r="A1814" s="1" t="s">
        <v>16178</v>
      </c>
      <c r="C1814" s="1" t="s">
        <v>5338</v>
      </c>
      <c r="D1814" s="1" t="s">
        <v>6584</v>
      </c>
    </row>
    <row r="1815" spans="1:4" x14ac:dyDescent="0.15">
      <c r="A1815" s="1" t="s">
        <v>16182</v>
      </c>
      <c r="C1815" s="1" t="s">
        <v>16183</v>
      </c>
      <c r="D1815" s="1" t="s">
        <v>6584</v>
      </c>
    </row>
    <row r="1816" spans="1:4" x14ac:dyDescent="0.15">
      <c r="A1816" s="1" t="s">
        <v>16186</v>
      </c>
      <c r="C1816" s="1" t="s">
        <v>5339</v>
      </c>
      <c r="D1816" s="1" t="s">
        <v>6584</v>
      </c>
    </row>
    <row r="1817" spans="1:4" x14ac:dyDescent="0.15">
      <c r="A1817" s="1" t="s">
        <v>16190</v>
      </c>
      <c r="C1817" s="1" t="s">
        <v>5340</v>
      </c>
      <c r="D1817" s="1" t="s">
        <v>6584</v>
      </c>
    </row>
    <row r="1818" spans="1:4" x14ac:dyDescent="0.15">
      <c r="A1818" s="1" t="s">
        <v>16194</v>
      </c>
      <c r="C1818" s="1" t="s">
        <v>16195</v>
      </c>
      <c r="D1818" s="1" t="s">
        <v>6584</v>
      </c>
    </row>
    <row r="1819" spans="1:4" x14ac:dyDescent="0.15">
      <c r="A1819" s="1" t="s">
        <v>16198</v>
      </c>
      <c r="C1819" s="1" t="s">
        <v>5341</v>
      </c>
      <c r="D1819" s="1" t="s">
        <v>6584</v>
      </c>
    </row>
    <row r="1820" spans="1:4" x14ac:dyDescent="0.15">
      <c r="A1820" s="1" t="s">
        <v>16202</v>
      </c>
      <c r="C1820" s="1" t="s">
        <v>5342</v>
      </c>
      <c r="D1820" s="1" t="s">
        <v>6584</v>
      </c>
    </row>
    <row r="1821" spans="1:4" x14ac:dyDescent="0.15">
      <c r="A1821" s="1" t="s">
        <v>5343</v>
      </c>
      <c r="B1821" s="1" t="s">
        <v>5343</v>
      </c>
      <c r="C1821" s="1" t="s">
        <v>5344</v>
      </c>
      <c r="D1821" s="1" t="s">
        <v>5345</v>
      </c>
    </row>
    <row r="1822" spans="1:4" x14ac:dyDescent="0.15">
      <c r="A1822" s="1" t="s">
        <v>9604</v>
      </c>
      <c r="B1822" s="1" t="s">
        <v>9604</v>
      </c>
      <c r="C1822" s="1" t="s">
        <v>5346</v>
      </c>
      <c r="D1822" s="1" t="s">
        <v>5346</v>
      </c>
    </row>
    <row r="1823" spans="1:4" x14ac:dyDescent="0.15">
      <c r="A1823" s="1" t="s">
        <v>7158</v>
      </c>
      <c r="B1823" s="1" t="s">
        <v>7158</v>
      </c>
      <c r="C1823" s="1" t="s">
        <v>15647</v>
      </c>
      <c r="D1823" s="1" t="s">
        <v>15647</v>
      </c>
    </row>
    <row r="1824" spans="1:4" x14ac:dyDescent="0.15">
      <c r="A1824" s="1" t="s">
        <v>15653</v>
      </c>
      <c r="B1824" s="1" t="s">
        <v>15653</v>
      </c>
      <c r="C1824" s="1" t="s">
        <v>15647</v>
      </c>
      <c r="D1824" s="1" t="s">
        <v>15647</v>
      </c>
    </row>
    <row r="1825" spans="1:4" x14ac:dyDescent="0.15">
      <c r="A1825" s="1" t="s">
        <v>9192</v>
      </c>
      <c r="B1825" s="1" t="s">
        <v>9192</v>
      </c>
      <c r="C1825" s="1" t="s">
        <v>5347</v>
      </c>
      <c r="D1825" s="1" t="s">
        <v>5348</v>
      </c>
    </row>
    <row r="1826" spans="1:4" x14ac:dyDescent="0.15">
      <c r="A1826" s="1" t="s">
        <v>7165</v>
      </c>
      <c r="B1826" s="1" t="s">
        <v>7165</v>
      </c>
      <c r="C1826" s="1" t="s">
        <v>5349</v>
      </c>
      <c r="D1826" s="1" t="s">
        <v>5350</v>
      </c>
    </row>
    <row r="1827" spans="1:4" x14ac:dyDescent="0.15">
      <c r="A1827" s="1" t="s">
        <v>15249</v>
      </c>
      <c r="B1827" s="1" t="s">
        <v>15249</v>
      </c>
      <c r="C1827" s="1" t="s">
        <v>15250</v>
      </c>
      <c r="D1827" s="1" t="s">
        <v>5350</v>
      </c>
    </row>
    <row r="1828" spans="1:4" x14ac:dyDescent="0.15">
      <c r="A1828" s="1" t="s">
        <v>7169</v>
      </c>
      <c r="B1828" s="1" t="s">
        <v>7169</v>
      </c>
      <c r="C1828" s="1" t="s">
        <v>5351</v>
      </c>
      <c r="D1828" s="1" t="s">
        <v>5352</v>
      </c>
    </row>
    <row r="1829" spans="1:4" x14ac:dyDescent="0.15">
      <c r="A1829" s="1" t="s">
        <v>15257</v>
      </c>
      <c r="B1829" s="1" t="s">
        <v>15257</v>
      </c>
      <c r="C1829" s="1" t="s">
        <v>15258</v>
      </c>
      <c r="D1829" s="1" t="s">
        <v>5352</v>
      </c>
    </row>
    <row r="1830" spans="1:4" x14ac:dyDescent="0.15">
      <c r="A1830" s="1" t="s">
        <v>7173</v>
      </c>
      <c r="B1830" s="1" t="s">
        <v>7173</v>
      </c>
      <c r="C1830" s="1" t="s">
        <v>5353</v>
      </c>
      <c r="D1830" s="1" t="s">
        <v>5354</v>
      </c>
    </row>
    <row r="1831" spans="1:4" x14ac:dyDescent="0.15">
      <c r="A1831" s="1" t="s">
        <v>15265</v>
      </c>
      <c r="B1831" s="1" t="s">
        <v>15265</v>
      </c>
      <c r="C1831" s="1" t="s">
        <v>15266</v>
      </c>
      <c r="D1831" s="1" t="s">
        <v>5354</v>
      </c>
    </row>
    <row r="1832" spans="1:4" x14ac:dyDescent="0.15">
      <c r="A1832" s="1" t="s">
        <v>7177</v>
      </c>
      <c r="B1832" s="1" t="s">
        <v>7177</v>
      </c>
      <c r="C1832" s="1" t="s">
        <v>5355</v>
      </c>
      <c r="D1832" s="1" t="s">
        <v>5355</v>
      </c>
    </row>
    <row r="1833" spans="1:4" x14ac:dyDescent="0.15">
      <c r="A1833" s="1" t="s">
        <v>7180</v>
      </c>
      <c r="B1833" s="1" t="s">
        <v>7180</v>
      </c>
      <c r="C1833" s="1" t="s">
        <v>15342</v>
      </c>
      <c r="D1833" s="1" t="s">
        <v>15342</v>
      </c>
    </row>
    <row r="1834" spans="1:4" x14ac:dyDescent="0.15">
      <c r="A1834" s="1" t="s">
        <v>15348</v>
      </c>
      <c r="B1834" s="1" t="s">
        <v>15348</v>
      </c>
      <c r="C1834" s="1" t="s">
        <v>15349</v>
      </c>
      <c r="D1834" s="1" t="s">
        <v>15349</v>
      </c>
    </row>
    <row r="1835" spans="1:4" x14ac:dyDescent="0.15">
      <c r="A1835" s="1" t="s">
        <v>15352</v>
      </c>
      <c r="B1835" s="1" t="s">
        <v>15352</v>
      </c>
      <c r="C1835" s="1" t="s">
        <v>15353</v>
      </c>
      <c r="D1835" s="1" t="s">
        <v>5356</v>
      </c>
    </row>
    <row r="1836" spans="1:4" x14ac:dyDescent="0.15">
      <c r="A1836" s="1" t="s">
        <v>15356</v>
      </c>
      <c r="B1836" s="1" t="s">
        <v>15356</v>
      </c>
      <c r="C1836" s="1" t="s">
        <v>5357</v>
      </c>
      <c r="D1836" s="1" t="s">
        <v>15357</v>
      </c>
    </row>
    <row r="1837" spans="1:4" x14ac:dyDescent="0.15">
      <c r="A1837" s="1" t="s">
        <v>15360</v>
      </c>
      <c r="B1837" s="1" t="s">
        <v>15360</v>
      </c>
      <c r="C1837" s="1" t="s">
        <v>15361</v>
      </c>
      <c r="D1837" s="1" t="s">
        <v>15361</v>
      </c>
    </row>
    <row r="1838" spans="1:4" x14ac:dyDescent="0.15">
      <c r="A1838" s="1" t="s">
        <v>15364</v>
      </c>
      <c r="B1838" s="1" t="s">
        <v>15364</v>
      </c>
      <c r="C1838" s="1" t="s">
        <v>5358</v>
      </c>
      <c r="D1838" s="1" t="s">
        <v>5359</v>
      </c>
    </row>
    <row r="1839" spans="1:4" x14ac:dyDescent="0.15">
      <c r="B1839" s="1" t="s">
        <v>7193</v>
      </c>
      <c r="D1839" s="1" t="s">
        <v>5360</v>
      </c>
    </row>
    <row r="1840" spans="1:4" x14ac:dyDescent="0.15">
      <c r="A1840" s="1" t="s">
        <v>15368</v>
      </c>
      <c r="B1840" s="1" t="s">
        <v>15368</v>
      </c>
      <c r="C1840" s="1" t="s">
        <v>15369</v>
      </c>
      <c r="D1840" s="1" t="s">
        <v>15369</v>
      </c>
    </row>
    <row r="1841" spans="1:4" x14ac:dyDescent="0.15">
      <c r="A1841" s="1" t="s">
        <v>7198</v>
      </c>
      <c r="B1841" s="1" t="s">
        <v>7198</v>
      </c>
      <c r="C1841" s="1" t="s">
        <v>5361</v>
      </c>
      <c r="D1841" s="1" t="s">
        <v>5361</v>
      </c>
    </row>
    <row r="1842" spans="1:4" x14ac:dyDescent="0.15">
      <c r="A1842" s="1" t="s">
        <v>7201</v>
      </c>
      <c r="B1842" s="1" t="s">
        <v>7201</v>
      </c>
      <c r="C1842" s="1" t="s">
        <v>15374</v>
      </c>
      <c r="D1842" s="1" t="s">
        <v>15374</v>
      </c>
    </row>
    <row r="1843" spans="1:4" x14ac:dyDescent="0.15">
      <c r="A1843" s="1" t="s">
        <v>15380</v>
      </c>
      <c r="B1843" s="1" t="s">
        <v>15380</v>
      </c>
      <c r="C1843" s="1" t="s">
        <v>15381</v>
      </c>
      <c r="D1843" s="1" t="s">
        <v>15381</v>
      </c>
    </row>
    <row r="1844" spans="1:4" x14ac:dyDescent="0.15">
      <c r="A1844" s="1" t="s">
        <v>15383</v>
      </c>
      <c r="B1844" s="1" t="s">
        <v>15383</v>
      </c>
      <c r="C1844" s="1" t="s">
        <v>5362</v>
      </c>
      <c r="D1844" s="1" t="s">
        <v>15384</v>
      </c>
    </row>
    <row r="1845" spans="1:4" x14ac:dyDescent="0.15">
      <c r="A1845" s="1" t="s">
        <v>15387</v>
      </c>
      <c r="B1845" s="1" t="s">
        <v>15387</v>
      </c>
      <c r="C1845" s="1" t="s">
        <v>15388</v>
      </c>
      <c r="D1845" s="1" t="s">
        <v>15388</v>
      </c>
    </row>
    <row r="1846" spans="1:4" x14ac:dyDescent="0.15">
      <c r="A1846" s="1" t="s">
        <v>15391</v>
      </c>
      <c r="B1846" s="1" t="s">
        <v>15391</v>
      </c>
      <c r="C1846" s="1" t="s">
        <v>15392</v>
      </c>
      <c r="D1846" s="1" t="s">
        <v>15392</v>
      </c>
    </row>
    <row r="1847" spans="1:4" x14ac:dyDescent="0.15">
      <c r="A1847" s="1" t="s">
        <v>15408</v>
      </c>
      <c r="B1847" s="1" t="s">
        <v>15408</v>
      </c>
      <c r="C1847" s="1" t="s">
        <v>5363</v>
      </c>
      <c r="D1847" s="1" t="s">
        <v>5363</v>
      </c>
    </row>
    <row r="1848" spans="1:4" x14ac:dyDescent="0.15">
      <c r="A1848" s="1" t="s">
        <v>15412</v>
      </c>
      <c r="B1848" s="1" t="s">
        <v>15412</v>
      </c>
      <c r="C1848" s="1" t="s">
        <v>5364</v>
      </c>
      <c r="D1848" s="1" t="s">
        <v>5364</v>
      </c>
    </row>
    <row r="1849" spans="1:4" x14ac:dyDescent="0.15">
      <c r="A1849" s="1" t="s">
        <v>15416</v>
      </c>
      <c r="B1849" s="1" t="s">
        <v>15416</v>
      </c>
      <c r="C1849" s="1" t="s">
        <v>5365</v>
      </c>
      <c r="D1849" s="1" t="s">
        <v>5365</v>
      </c>
    </row>
    <row r="1850" spans="1:4" x14ac:dyDescent="0.15">
      <c r="A1850" s="1" t="s">
        <v>7231</v>
      </c>
      <c r="B1850" s="1" t="s">
        <v>7231</v>
      </c>
      <c r="C1850" s="1" t="s">
        <v>5366</v>
      </c>
      <c r="D1850" s="1" t="s">
        <v>5366</v>
      </c>
    </row>
    <row r="1851" spans="1:4" x14ac:dyDescent="0.15">
      <c r="A1851" s="1" t="s">
        <v>7234</v>
      </c>
      <c r="B1851" s="1" t="s">
        <v>7234</v>
      </c>
      <c r="C1851" s="1" t="s">
        <v>15426</v>
      </c>
      <c r="D1851" s="1" t="s">
        <v>5367</v>
      </c>
    </row>
    <row r="1852" spans="1:4" x14ac:dyDescent="0.15">
      <c r="A1852" s="1" t="s">
        <v>15437</v>
      </c>
      <c r="B1852" s="1" t="s">
        <v>15437</v>
      </c>
      <c r="C1852" s="1" t="s">
        <v>15438</v>
      </c>
      <c r="D1852" s="1" t="s">
        <v>15438</v>
      </c>
    </row>
    <row r="1853" spans="1:4" x14ac:dyDescent="0.15">
      <c r="A1853" s="1" t="s">
        <v>15441</v>
      </c>
      <c r="B1853" s="1" t="s">
        <v>15441</v>
      </c>
      <c r="C1853" s="1" t="s">
        <v>5368</v>
      </c>
      <c r="D1853" s="1" t="s">
        <v>5368</v>
      </c>
    </row>
    <row r="1854" spans="1:4" x14ac:dyDescent="0.15">
      <c r="A1854" s="1" t="s">
        <v>15420</v>
      </c>
      <c r="B1854" s="1" t="s">
        <v>15420</v>
      </c>
      <c r="C1854" s="1" t="s">
        <v>5369</v>
      </c>
      <c r="D1854" s="1" t="s">
        <v>5369</v>
      </c>
    </row>
    <row r="1855" spans="1:4" x14ac:dyDescent="0.15">
      <c r="A1855" s="1" t="s">
        <v>15433</v>
      </c>
      <c r="B1855" s="1" t="s">
        <v>15433</v>
      </c>
      <c r="C1855" s="1" t="s">
        <v>5370</v>
      </c>
      <c r="D1855" s="1" t="s">
        <v>5370</v>
      </c>
    </row>
    <row r="1856" spans="1:4" x14ac:dyDescent="0.15">
      <c r="A1856" s="1" t="s">
        <v>15445</v>
      </c>
      <c r="B1856" s="1" t="s">
        <v>15445</v>
      </c>
      <c r="C1856" s="1" t="s">
        <v>5371</v>
      </c>
      <c r="D1856" s="1" t="s">
        <v>5372</v>
      </c>
    </row>
    <row r="1857" spans="1:4" x14ac:dyDescent="0.15">
      <c r="A1857" s="1" t="s">
        <v>7245</v>
      </c>
      <c r="B1857" s="1" t="s">
        <v>7245</v>
      </c>
      <c r="C1857" s="1" t="s">
        <v>5373</v>
      </c>
      <c r="D1857" s="1" t="s">
        <v>5373</v>
      </c>
    </row>
    <row r="1858" spans="1:4" x14ac:dyDescent="0.15">
      <c r="A1858" s="1" t="s">
        <v>7248</v>
      </c>
      <c r="B1858" s="1" t="s">
        <v>7248</v>
      </c>
      <c r="C1858" s="1" t="s">
        <v>15451</v>
      </c>
      <c r="D1858" s="1" t="s">
        <v>5374</v>
      </c>
    </row>
    <row r="1859" spans="1:4" x14ac:dyDescent="0.15">
      <c r="A1859" s="1" t="s">
        <v>15458</v>
      </c>
      <c r="B1859" s="1" t="s">
        <v>15458</v>
      </c>
      <c r="C1859" s="1" t="s">
        <v>5375</v>
      </c>
      <c r="D1859" s="1" t="s">
        <v>5376</v>
      </c>
    </row>
    <row r="1860" spans="1:4" x14ac:dyDescent="0.15">
      <c r="A1860" s="1" t="s">
        <v>15462</v>
      </c>
      <c r="B1860" s="1" t="s">
        <v>15462</v>
      </c>
      <c r="C1860" s="1" t="s">
        <v>5377</v>
      </c>
      <c r="D1860" s="1" t="s">
        <v>5377</v>
      </c>
    </row>
    <row r="1861" spans="1:4" x14ac:dyDescent="0.15">
      <c r="A1861" s="1" t="s">
        <v>15466</v>
      </c>
      <c r="B1861" s="1" t="s">
        <v>15466</v>
      </c>
      <c r="C1861" s="1" t="s">
        <v>5378</v>
      </c>
      <c r="D1861" s="1" t="s">
        <v>5378</v>
      </c>
    </row>
    <row r="1862" spans="1:4" x14ac:dyDescent="0.15">
      <c r="A1862" s="1" t="s">
        <v>15470</v>
      </c>
      <c r="B1862" s="1" t="s">
        <v>15470</v>
      </c>
      <c r="C1862" s="1" t="s">
        <v>5379</v>
      </c>
      <c r="D1862" s="1" t="s">
        <v>5379</v>
      </c>
    </row>
    <row r="1863" spans="1:4" x14ac:dyDescent="0.15">
      <c r="A1863" s="1" t="s">
        <v>15474</v>
      </c>
      <c r="B1863" s="1" t="s">
        <v>15474</v>
      </c>
      <c r="C1863" s="1" t="s">
        <v>15475</v>
      </c>
      <c r="D1863" s="1" t="s">
        <v>15475</v>
      </c>
    </row>
    <row r="1864" spans="1:4" x14ac:dyDescent="0.15">
      <c r="A1864" s="1" t="s">
        <v>15478</v>
      </c>
      <c r="B1864" s="1" t="s">
        <v>15478</v>
      </c>
      <c r="C1864" s="1" t="s">
        <v>5380</v>
      </c>
      <c r="D1864" s="1" t="s">
        <v>5380</v>
      </c>
    </row>
    <row r="1865" spans="1:4" x14ac:dyDescent="0.15">
      <c r="A1865" s="1" t="s">
        <v>15482</v>
      </c>
      <c r="B1865" s="1" t="s">
        <v>15482</v>
      </c>
      <c r="C1865" s="1" t="s">
        <v>5381</v>
      </c>
      <c r="D1865" s="1" t="s">
        <v>5381</v>
      </c>
    </row>
    <row r="1866" spans="1:4" x14ac:dyDescent="0.15">
      <c r="A1866" s="1" t="s">
        <v>15486</v>
      </c>
      <c r="B1866" s="1" t="s">
        <v>15486</v>
      </c>
      <c r="C1866" s="1" t="s">
        <v>5382</v>
      </c>
      <c r="D1866" s="1" t="s">
        <v>5382</v>
      </c>
    </row>
    <row r="1867" spans="1:4" x14ac:dyDescent="0.15">
      <c r="A1867" s="1" t="s">
        <v>15490</v>
      </c>
      <c r="B1867" s="1" t="s">
        <v>15490</v>
      </c>
      <c r="C1867" s="1" t="s">
        <v>15491</v>
      </c>
      <c r="D1867" s="1" t="s">
        <v>15491</v>
      </c>
    </row>
    <row r="1868" spans="1:4" x14ac:dyDescent="0.15">
      <c r="A1868" s="1" t="s">
        <v>15494</v>
      </c>
      <c r="B1868" s="1" t="s">
        <v>15494</v>
      </c>
      <c r="C1868" s="1" t="s">
        <v>15495</v>
      </c>
      <c r="D1868" s="1" t="s">
        <v>15495</v>
      </c>
    </row>
    <row r="1869" spans="1:4" x14ac:dyDescent="0.15">
      <c r="A1869" s="1" t="s">
        <v>15498</v>
      </c>
      <c r="B1869" s="1" t="s">
        <v>15498</v>
      </c>
      <c r="C1869" s="1" t="s">
        <v>5383</v>
      </c>
      <c r="D1869" s="1" t="s">
        <v>5383</v>
      </c>
    </row>
    <row r="1870" spans="1:4" x14ac:dyDescent="0.15">
      <c r="A1870" s="1" t="s">
        <v>15502</v>
      </c>
      <c r="B1870" s="1" t="s">
        <v>15502</v>
      </c>
      <c r="C1870" s="1" t="s">
        <v>5384</v>
      </c>
      <c r="D1870" s="1" t="s">
        <v>5384</v>
      </c>
    </row>
    <row r="1871" spans="1:4" x14ac:dyDescent="0.15">
      <c r="A1871" s="1" t="s">
        <v>15506</v>
      </c>
      <c r="B1871" s="1" t="s">
        <v>15506</v>
      </c>
      <c r="C1871" s="1" t="s">
        <v>15507</v>
      </c>
      <c r="D1871" s="1" t="s">
        <v>15507</v>
      </c>
    </row>
    <row r="1872" spans="1:4" x14ac:dyDescent="0.15">
      <c r="A1872" s="1" t="s">
        <v>15510</v>
      </c>
      <c r="B1872" s="1" t="s">
        <v>15510</v>
      </c>
      <c r="C1872" s="1" t="s">
        <v>15511</v>
      </c>
      <c r="D1872" s="1" t="s">
        <v>15511</v>
      </c>
    </row>
    <row r="1873" spans="1:4" x14ac:dyDescent="0.15">
      <c r="A1873" s="1" t="s">
        <v>15514</v>
      </c>
      <c r="B1873" s="1" t="s">
        <v>15514</v>
      </c>
      <c r="C1873" s="1" t="s">
        <v>15515</v>
      </c>
      <c r="D1873" s="1" t="s">
        <v>15515</v>
      </c>
    </row>
    <row r="1874" spans="1:4" x14ac:dyDescent="0.15">
      <c r="A1874" s="1" t="s">
        <v>15518</v>
      </c>
      <c r="B1874" s="1" t="s">
        <v>15518</v>
      </c>
      <c r="C1874" s="1" t="s">
        <v>15519</v>
      </c>
      <c r="D1874" s="1" t="s">
        <v>5385</v>
      </c>
    </row>
    <row r="1875" spans="1:4" x14ac:dyDescent="0.15">
      <c r="A1875" s="1" t="s">
        <v>15522</v>
      </c>
      <c r="B1875" s="1" t="s">
        <v>15522</v>
      </c>
      <c r="C1875" s="1" t="s">
        <v>15523</v>
      </c>
      <c r="D1875" s="1" t="s">
        <v>15523</v>
      </c>
    </row>
    <row r="1876" spans="1:4" x14ac:dyDescent="0.15">
      <c r="A1876" s="1" t="s">
        <v>15526</v>
      </c>
      <c r="B1876" s="1" t="s">
        <v>15526</v>
      </c>
      <c r="C1876" s="1" t="s">
        <v>5386</v>
      </c>
      <c r="D1876" s="1" t="s">
        <v>5386</v>
      </c>
    </row>
    <row r="1877" spans="1:4" x14ac:dyDescent="0.15">
      <c r="A1877" s="1" t="s">
        <v>6430</v>
      </c>
      <c r="B1877" s="1" t="s">
        <v>6430</v>
      </c>
      <c r="C1877" s="1" t="s">
        <v>5387</v>
      </c>
      <c r="D1877" s="1" t="s">
        <v>5387</v>
      </c>
    </row>
    <row r="1878" spans="1:4" x14ac:dyDescent="0.15">
      <c r="A1878" s="1" t="s">
        <v>13017</v>
      </c>
      <c r="B1878" s="1" t="s">
        <v>7392</v>
      </c>
      <c r="C1878" s="1" t="s">
        <v>5388</v>
      </c>
      <c r="D1878" s="1" t="s">
        <v>5389</v>
      </c>
    </row>
    <row r="1879" spans="1:4" x14ac:dyDescent="0.15">
      <c r="A1879" s="1" t="s">
        <v>13021</v>
      </c>
      <c r="B1879" s="1" t="s">
        <v>7395</v>
      </c>
      <c r="C1879" s="1" t="s">
        <v>13022</v>
      </c>
      <c r="D1879" s="1" t="s">
        <v>5390</v>
      </c>
    </row>
    <row r="1880" spans="1:4" x14ac:dyDescent="0.15">
      <c r="A1880" s="1" t="s">
        <v>6433</v>
      </c>
      <c r="B1880" s="1" t="s">
        <v>6433</v>
      </c>
      <c r="C1880" s="1" t="s">
        <v>15532</v>
      </c>
      <c r="D1880" s="1" t="s">
        <v>15532</v>
      </c>
    </row>
    <row r="1881" spans="1:4" x14ac:dyDescent="0.15">
      <c r="A1881" s="1" t="s">
        <v>15539</v>
      </c>
      <c r="B1881" s="1" t="s">
        <v>15539</v>
      </c>
      <c r="C1881" s="1" t="s">
        <v>5391</v>
      </c>
      <c r="D1881" s="1" t="s">
        <v>5391</v>
      </c>
    </row>
    <row r="1882" spans="1:4" x14ac:dyDescent="0.15">
      <c r="A1882" s="1" t="s">
        <v>15543</v>
      </c>
      <c r="B1882" s="1" t="s">
        <v>15543</v>
      </c>
      <c r="C1882" s="1" t="s">
        <v>5392</v>
      </c>
      <c r="D1882" s="1" t="s">
        <v>5392</v>
      </c>
    </row>
    <row r="1883" spans="1:4" x14ac:dyDescent="0.15">
      <c r="A1883" s="1" t="s">
        <v>15547</v>
      </c>
      <c r="B1883" s="1" t="s">
        <v>15547</v>
      </c>
      <c r="C1883" s="1" t="s">
        <v>15548</v>
      </c>
      <c r="D1883" s="1" t="s">
        <v>15548</v>
      </c>
    </row>
    <row r="1884" spans="1:4" x14ac:dyDescent="0.15">
      <c r="A1884" s="1" t="s">
        <v>15551</v>
      </c>
      <c r="B1884" s="1" t="s">
        <v>15551</v>
      </c>
      <c r="C1884" s="1" t="s">
        <v>5393</v>
      </c>
      <c r="D1884" s="1" t="s">
        <v>5393</v>
      </c>
    </row>
    <row r="1885" spans="1:4" x14ac:dyDescent="0.15">
      <c r="A1885" s="1" t="s">
        <v>15555</v>
      </c>
      <c r="B1885" s="1" t="s">
        <v>15555</v>
      </c>
      <c r="C1885" s="1" t="s">
        <v>5394</v>
      </c>
      <c r="D1885" s="1" t="s">
        <v>5394</v>
      </c>
    </row>
    <row r="1886" spans="1:4" x14ac:dyDescent="0.15">
      <c r="A1886" s="1" t="s">
        <v>5395</v>
      </c>
      <c r="B1886" s="1" t="s">
        <v>7335</v>
      </c>
      <c r="C1886" s="1" t="s">
        <v>13581</v>
      </c>
      <c r="D1886" s="1" t="s">
        <v>13581</v>
      </c>
    </row>
    <row r="1887" spans="1:4" x14ac:dyDescent="0.15">
      <c r="A1887" s="1" t="s">
        <v>13584</v>
      </c>
      <c r="B1887" s="1" t="s">
        <v>7338</v>
      </c>
      <c r="C1887" s="1" t="s">
        <v>13585</v>
      </c>
      <c r="D1887" s="1" t="s">
        <v>13585</v>
      </c>
    </row>
    <row r="1888" spans="1:4" x14ac:dyDescent="0.15">
      <c r="A1888" s="1" t="s">
        <v>13588</v>
      </c>
      <c r="B1888" s="1" t="s">
        <v>7341</v>
      </c>
      <c r="C1888" s="1" t="s">
        <v>13589</v>
      </c>
      <c r="D1888" s="1" t="s">
        <v>13589</v>
      </c>
    </row>
    <row r="1889" spans="1:4" x14ac:dyDescent="0.15">
      <c r="A1889" s="1" t="s">
        <v>13592</v>
      </c>
      <c r="B1889" s="1" t="s">
        <v>7344</v>
      </c>
      <c r="C1889" s="1" t="s">
        <v>13593</v>
      </c>
      <c r="D1889" s="1" t="s">
        <v>5396</v>
      </c>
    </row>
    <row r="1890" spans="1:4" x14ac:dyDescent="0.15">
      <c r="A1890" s="1" t="s">
        <v>13596</v>
      </c>
      <c r="B1890" s="1" t="s">
        <v>7347</v>
      </c>
      <c r="C1890" s="1" t="s">
        <v>13597</v>
      </c>
      <c r="D1890" s="1" t="s">
        <v>13597</v>
      </c>
    </row>
    <row r="1891" spans="1:4" x14ac:dyDescent="0.15">
      <c r="A1891" s="1" t="s">
        <v>12961</v>
      </c>
      <c r="B1891" s="1" t="s">
        <v>7350</v>
      </c>
      <c r="C1891" s="1" t="s">
        <v>12962</v>
      </c>
      <c r="D1891" s="1" t="s">
        <v>12962</v>
      </c>
    </row>
    <row r="1892" spans="1:4" x14ac:dyDescent="0.15">
      <c r="A1892" s="1" t="s">
        <v>12965</v>
      </c>
      <c r="B1892" s="1" t="s">
        <v>7353</v>
      </c>
      <c r="C1892" s="1" t="s">
        <v>12966</v>
      </c>
      <c r="D1892" s="1" t="s">
        <v>12966</v>
      </c>
    </row>
    <row r="1893" spans="1:4" x14ac:dyDescent="0.15">
      <c r="A1893" s="1" t="s">
        <v>12969</v>
      </c>
      <c r="B1893" s="1" t="s">
        <v>7356</v>
      </c>
      <c r="C1893" s="1" t="s">
        <v>12970</v>
      </c>
      <c r="D1893" s="1" t="s">
        <v>12970</v>
      </c>
    </row>
    <row r="1894" spans="1:4" x14ac:dyDescent="0.15">
      <c r="A1894" s="1" t="s">
        <v>12973</v>
      </c>
      <c r="B1894" s="1" t="s">
        <v>7359</v>
      </c>
      <c r="C1894" s="1" t="s">
        <v>12974</v>
      </c>
      <c r="D1894" s="1" t="s">
        <v>12974</v>
      </c>
    </row>
    <row r="1895" spans="1:4" x14ac:dyDescent="0.15">
      <c r="A1895" s="1" t="s">
        <v>12977</v>
      </c>
      <c r="B1895" s="1" t="s">
        <v>7362</v>
      </c>
      <c r="C1895" s="1" t="s">
        <v>12978</v>
      </c>
      <c r="D1895" s="1" t="s">
        <v>5397</v>
      </c>
    </row>
    <row r="1896" spans="1:4" x14ac:dyDescent="0.15">
      <c r="A1896" s="1" t="s">
        <v>5398</v>
      </c>
      <c r="B1896" s="1" t="s">
        <v>7365</v>
      </c>
      <c r="C1896" s="1" t="s">
        <v>12982</v>
      </c>
      <c r="D1896" s="1" t="s">
        <v>12982</v>
      </c>
    </row>
    <row r="1897" spans="1:4" x14ac:dyDescent="0.15">
      <c r="A1897" s="1" t="s">
        <v>12985</v>
      </c>
      <c r="B1897" s="1" t="s">
        <v>7368</v>
      </c>
      <c r="C1897" s="1" t="s">
        <v>12986</v>
      </c>
      <c r="D1897" s="1" t="s">
        <v>5399</v>
      </c>
    </row>
    <row r="1898" spans="1:4" x14ac:dyDescent="0.15">
      <c r="A1898" s="1" t="s">
        <v>12989</v>
      </c>
      <c r="B1898" s="1" t="s">
        <v>7371</v>
      </c>
      <c r="C1898" s="1" t="s">
        <v>5400</v>
      </c>
      <c r="D1898" s="1" t="s">
        <v>5401</v>
      </c>
    </row>
    <row r="1899" spans="1:4" x14ac:dyDescent="0.15">
      <c r="A1899" s="1" t="s">
        <v>12993</v>
      </c>
      <c r="B1899" s="1" t="s">
        <v>7374</v>
      </c>
      <c r="C1899" s="1" t="s">
        <v>12994</v>
      </c>
      <c r="D1899" s="1" t="s">
        <v>5402</v>
      </c>
    </row>
    <row r="1900" spans="1:4" x14ac:dyDescent="0.15">
      <c r="A1900" s="1" t="s">
        <v>12997</v>
      </c>
      <c r="B1900" s="1" t="s">
        <v>7377</v>
      </c>
      <c r="C1900" s="1" t="s">
        <v>12998</v>
      </c>
      <c r="D1900" s="1" t="s">
        <v>5403</v>
      </c>
    </row>
    <row r="1901" spans="1:4" x14ac:dyDescent="0.15">
      <c r="A1901" s="1" t="s">
        <v>13001</v>
      </c>
      <c r="B1901" s="1" t="s">
        <v>7380</v>
      </c>
      <c r="C1901" s="1" t="s">
        <v>13002</v>
      </c>
      <c r="D1901" s="1" t="s">
        <v>5404</v>
      </c>
    </row>
    <row r="1902" spans="1:4" x14ac:dyDescent="0.15">
      <c r="A1902" s="1" t="s">
        <v>13005</v>
      </c>
      <c r="B1902" s="1" t="s">
        <v>7383</v>
      </c>
      <c r="C1902" s="1" t="s">
        <v>13006</v>
      </c>
      <c r="D1902" s="1" t="s">
        <v>5405</v>
      </c>
    </row>
    <row r="1903" spans="1:4" x14ac:dyDescent="0.15">
      <c r="A1903" s="1" t="s">
        <v>13009</v>
      </c>
      <c r="B1903" s="1" t="s">
        <v>7386</v>
      </c>
      <c r="C1903" s="1" t="s">
        <v>13010</v>
      </c>
      <c r="D1903" s="1" t="s">
        <v>5406</v>
      </c>
    </row>
    <row r="1904" spans="1:4" x14ac:dyDescent="0.15">
      <c r="A1904" s="1" t="s">
        <v>13013</v>
      </c>
      <c r="B1904" s="1" t="s">
        <v>7389</v>
      </c>
      <c r="C1904" s="1" t="s">
        <v>13014</v>
      </c>
      <c r="D1904" s="1" t="s">
        <v>5407</v>
      </c>
    </row>
    <row r="1905" spans="1:4" x14ac:dyDescent="0.15">
      <c r="A1905" s="1" t="s">
        <v>13025</v>
      </c>
      <c r="B1905" s="1" t="s">
        <v>7398</v>
      </c>
      <c r="C1905" s="1" t="s">
        <v>13026</v>
      </c>
      <c r="D1905" s="1" t="s">
        <v>5408</v>
      </c>
    </row>
    <row r="1906" spans="1:4" x14ac:dyDescent="0.15">
      <c r="A1906" s="1" t="s">
        <v>13029</v>
      </c>
      <c r="B1906" s="1" t="s">
        <v>7401</v>
      </c>
      <c r="C1906" s="1" t="s">
        <v>13030</v>
      </c>
      <c r="D1906" s="1" t="s">
        <v>5409</v>
      </c>
    </row>
    <row r="1907" spans="1:4" x14ac:dyDescent="0.15">
      <c r="A1907" s="1" t="s">
        <v>13033</v>
      </c>
      <c r="B1907" s="1" t="s">
        <v>7404</v>
      </c>
      <c r="C1907" s="1" t="s">
        <v>13034</v>
      </c>
      <c r="D1907" s="1" t="s">
        <v>5410</v>
      </c>
    </row>
    <row r="1908" spans="1:4" x14ac:dyDescent="0.15">
      <c r="A1908" s="1" t="s">
        <v>13037</v>
      </c>
      <c r="B1908" s="1" t="s">
        <v>7407</v>
      </c>
      <c r="C1908" s="1" t="s">
        <v>13038</v>
      </c>
      <c r="D1908" s="1" t="s">
        <v>5411</v>
      </c>
    </row>
    <row r="1909" spans="1:4" x14ac:dyDescent="0.15">
      <c r="A1909" s="1" t="s">
        <v>13041</v>
      </c>
      <c r="B1909" s="1" t="s">
        <v>7410</v>
      </c>
      <c r="C1909" s="1" t="s">
        <v>13042</v>
      </c>
      <c r="D1909" s="1" t="s">
        <v>5412</v>
      </c>
    </row>
    <row r="1910" spans="1:4" x14ac:dyDescent="0.15">
      <c r="A1910" s="1" t="s">
        <v>13045</v>
      </c>
      <c r="B1910" s="1" t="s">
        <v>7413</v>
      </c>
      <c r="C1910" s="1" t="s">
        <v>13046</v>
      </c>
      <c r="D1910" s="1" t="s">
        <v>5413</v>
      </c>
    </row>
    <row r="1911" spans="1:4" x14ac:dyDescent="0.15">
      <c r="A1911" s="1" t="s">
        <v>13049</v>
      </c>
      <c r="B1911" s="1" t="s">
        <v>7416</v>
      </c>
      <c r="C1911" s="1" t="s">
        <v>5414</v>
      </c>
      <c r="D1911" s="1" t="s">
        <v>5415</v>
      </c>
    </row>
    <row r="1912" spans="1:4" x14ac:dyDescent="0.15">
      <c r="A1912" s="1" t="s">
        <v>13053</v>
      </c>
      <c r="B1912" s="1" t="s">
        <v>7419</v>
      </c>
      <c r="C1912" s="1" t="s">
        <v>13054</v>
      </c>
      <c r="D1912" s="1" t="s">
        <v>5416</v>
      </c>
    </row>
    <row r="1913" spans="1:4" x14ac:dyDescent="0.15">
      <c r="A1913" s="1" t="s">
        <v>13057</v>
      </c>
      <c r="B1913" s="1" t="s">
        <v>7422</v>
      </c>
      <c r="C1913" s="1" t="s">
        <v>13058</v>
      </c>
      <c r="D1913" s="1" t="s">
        <v>5417</v>
      </c>
    </row>
    <row r="1914" spans="1:4" x14ac:dyDescent="0.15">
      <c r="A1914" s="1" t="s">
        <v>13061</v>
      </c>
      <c r="B1914" s="1" t="s">
        <v>7425</v>
      </c>
      <c r="C1914" s="1" t="s">
        <v>13062</v>
      </c>
      <c r="D1914" s="1" t="s">
        <v>5418</v>
      </c>
    </row>
    <row r="1915" spans="1:4" x14ac:dyDescent="0.15">
      <c r="A1915" s="1" t="s">
        <v>13065</v>
      </c>
      <c r="B1915" s="1" t="s">
        <v>7428</v>
      </c>
      <c r="C1915" s="1" t="s">
        <v>13066</v>
      </c>
      <c r="D1915" s="1" t="s">
        <v>5419</v>
      </c>
    </row>
    <row r="1916" spans="1:4" x14ac:dyDescent="0.15">
      <c r="A1916" s="1" t="s">
        <v>13069</v>
      </c>
      <c r="B1916" s="1" t="s">
        <v>7431</v>
      </c>
      <c r="C1916" s="1" t="s">
        <v>5420</v>
      </c>
      <c r="D1916" s="1" t="s">
        <v>5421</v>
      </c>
    </row>
    <row r="1917" spans="1:4" x14ac:dyDescent="0.15">
      <c r="A1917" s="1" t="s">
        <v>13073</v>
      </c>
      <c r="B1917" s="1" t="s">
        <v>7434</v>
      </c>
      <c r="C1917" s="1" t="s">
        <v>13074</v>
      </c>
      <c r="D1917" s="1" t="s">
        <v>5422</v>
      </c>
    </row>
    <row r="1918" spans="1:4" x14ac:dyDescent="0.15">
      <c r="A1918" s="1" t="s">
        <v>13077</v>
      </c>
      <c r="B1918" s="1" t="s">
        <v>7437</v>
      </c>
      <c r="C1918" s="1" t="s">
        <v>13078</v>
      </c>
      <c r="D1918" s="1" t="s">
        <v>5423</v>
      </c>
    </row>
    <row r="1919" spans="1:4" x14ac:dyDescent="0.15">
      <c r="A1919" s="1" t="s">
        <v>13081</v>
      </c>
      <c r="B1919" s="1" t="s">
        <v>7440</v>
      </c>
      <c r="C1919" s="1" t="s">
        <v>13082</v>
      </c>
      <c r="D1919" s="1" t="s">
        <v>5424</v>
      </c>
    </row>
    <row r="1920" spans="1:4" x14ac:dyDescent="0.15">
      <c r="A1920" s="1" t="s">
        <v>13085</v>
      </c>
      <c r="B1920" s="1" t="s">
        <v>7443</v>
      </c>
      <c r="C1920" s="1" t="s">
        <v>13086</v>
      </c>
      <c r="D1920" s="1" t="s">
        <v>5425</v>
      </c>
    </row>
    <row r="1921" spans="1:4" x14ac:dyDescent="0.15">
      <c r="A1921" s="1" t="s">
        <v>13089</v>
      </c>
      <c r="B1921" s="1" t="s">
        <v>7446</v>
      </c>
      <c r="C1921" s="1" t="s">
        <v>13090</v>
      </c>
      <c r="D1921" s="1" t="s">
        <v>5426</v>
      </c>
    </row>
    <row r="1922" spans="1:4" x14ac:dyDescent="0.15">
      <c r="A1922" s="1" t="s">
        <v>13093</v>
      </c>
      <c r="B1922" s="1" t="s">
        <v>7449</v>
      </c>
      <c r="C1922" s="1" t="s">
        <v>13094</v>
      </c>
      <c r="D1922" s="1" t="s">
        <v>5427</v>
      </c>
    </row>
    <row r="1923" spans="1:4" x14ac:dyDescent="0.15">
      <c r="A1923" s="1" t="s">
        <v>13097</v>
      </c>
      <c r="B1923" s="1" t="s">
        <v>7452</v>
      </c>
      <c r="C1923" s="1" t="s">
        <v>13098</v>
      </c>
      <c r="D1923" s="1" t="s">
        <v>5428</v>
      </c>
    </row>
    <row r="1924" spans="1:4" x14ac:dyDescent="0.15">
      <c r="A1924" s="1" t="s">
        <v>13101</v>
      </c>
      <c r="B1924" s="1" t="s">
        <v>7455</v>
      </c>
      <c r="C1924" s="1" t="s">
        <v>13102</v>
      </c>
      <c r="D1924" s="1" t="s">
        <v>5429</v>
      </c>
    </row>
    <row r="1925" spans="1:4" x14ac:dyDescent="0.15">
      <c r="A1925" s="1" t="s">
        <v>13105</v>
      </c>
      <c r="B1925" s="1" t="s">
        <v>7458</v>
      </c>
      <c r="C1925" s="1" t="s">
        <v>5430</v>
      </c>
      <c r="D1925" s="1" t="s">
        <v>5431</v>
      </c>
    </row>
    <row r="1926" spans="1:4" x14ac:dyDescent="0.15">
      <c r="A1926" s="1" t="s">
        <v>13109</v>
      </c>
      <c r="B1926" s="1" t="s">
        <v>7461</v>
      </c>
      <c r="C1926" s="1" t="s">
        <v>13110</v>
      </c>
      <c r="D1926" s="1" t="s">
        <v>5432</v>
      </c>
    </row>
    <row r="1927" spans="1:4" x14ac:dyDescent="0.15">
      <c r="A1927" s="1" t="s">
        <v>13113</v>
      </c>
      <c r="B1927" s="1" t="s">
        <v>7464</v>
      </c>
      <c r="C1927" s="1" t="s">
        <v>5433</v>
      </c>
      <c r="D1927" s="1" t="s">
        <v>5434</v>
      </c>
    </row>
    <row r="1928" spans="1:4" x14ac:dyDescent="0.15">
      <c r="A1928" s="1" t="s">
        <v>13117</v>
      </c>
      <c r="B1928" s="1" t="s">
        <v>7467</v>
      </c>
      <c r="C1928" s="1" t="s">
        <v>13118</v>
      </c>
      <c r="D1928" s="1" t="s">
        <v>5435</v>
      </c>
    </row>
    <row r="1929" spans="1:4" x14ac:dyDescent="0.15">
      <c r="A1929" s="1" t="s">
        <v>13121</v>
      </c>
      <c r="B1929" s="1" t="s">
        <v>7470</v>
      </c>
      <c r="C1929" s="1" t="s">
        <v>13122</v>
      </c>
      <c r="D1929" s="1" t="s">
        <v>5436</v>
      </c>
    </row>
    <row r="1930" spans="1:4" x14ac:dyDescent="0.15">
      <c r="A1930" s="1" t="s">
        <v>13125</v>
      </c>
      <c r="B1930" s="1" t="s">
        <v>7473</v>
      </c>
      <c r="C1930" s="1" t="s">
        <v>13126</v>
      </c>
      <c r="D1930" s="1" t="s">
        <v>5437</v>
      </c>
    </row>
    <row r="1931" spans="1:4" x14ac:dyDescent="0.15">
      <c r="A1931" s="1" t="s">
        <v>13129</v>
      </c>
      <c r="B1931" s="1" t="s">
        <v>7476</v>
      </c>
      <c r="C1931" s="1" t="s">
        <v>13130</v>
      </c>
      <c r="D1931" s="1" t="s">
        <v>5438</v>
      </c>
    </row>
    <row r="1932" spans="1:4" x14ac:dyDescent="0.15">
      <c r="A1932" s="1" t="s">
        <v>13133</v>
      </c>
      <c r="B1932" s="1" t="s">
        <v>7479</v>
      </c>
      <c r="C1932" s="1" t="s">
        <v>5439</v>
      </c>
      <c r="D1932" s="1" t="s">
        <v>5440</v>
      </c>
    </row>
    <row r="1933" spans="1:4" x14ac:dyDescent="0.15">
      <c r="A1933" s="1" t="s">
        <v>13137</v>
      </c>
      <c r="B1933" s="1" t="s">
        <v>7482</v>
      </c>
      <c r="C1933" s="1" t="s">
        <v>13138</v>
      </c>
      <c r="D1933" s="1" t="s">
        <v>5441</v>
      </c>
    </row>
    <row r="1934" spans="1:4" x14ac:dyDescent="0.15">
      <c r="A1934" s="1" t="s">
        <v>13141</v>
      </c>
      <c r="B1934" s="1" t="s">
        <v>7485</v>
      </c>
      <c r="C1934" s="1" t="s">
        <v>13142</v>
      </c>
      <c r="D1934" s="1" t="s">
        <v>5442</v>
      </c>
    </row>
    <row r="1935" spans="1:4" x14ac:dyDescent="0.15">
      <c r="A1935" s="1" t="s">
        <v>13145</v>
      </c>
      <c r="B1935" s="1" t="s">
        <v>7488</v>
      </c>
      <c r="C1935" s="1" t="s">
        <v>13146</v>
      </c>
      <c r="D1935" s="1" t="s">
        <v>5443</v>
      </c>
    </row>
    <row r="1936" spans="1:4" x14ac:dyDescent="0.15">
      <c r="A1936" s="1" t="s">
        <v>13149</v>
      </c>
      <c r="B1936" s="1" t="s">
        <v>7491</v>
      </c>
      <c r="C1936" s="1" t="s">
        <v>5444</v>
      </c>
      <c r="D1936" s="1" t="s">
        <v>5445</v>
      </c>
    </row>
    <row r="1937" spans="1:4" x14ac:dyDescent="0.15">
      <c r="A1937" s="1" t="s">
        <v>13153</v>
      </c>
      <c r="B1937" s="1" t="s">
        <v>7494</v>
      </c>
      <c r="C1937" s="1" t="s">
        <v>13154</v>
      </c>
      <c r="D1937" s="1" t="s">
        <v>5446</v>
      </c>
    </row>
    <row r="1938" spans="1:4" x14ac:dyDescent="0.15">
      <c r="A1938" s="1" t="s">
        <v>13157</v>
      </c>
      <c r="B1938" s="1" t="s">
        <v>7497</v>
      </c>
      <c r="C1938" s="1" t="s">
        <v>13158</v>
      </c>
      <c r="D1938" s="1" t="s">
        <v>5447</v>
      </c>
    </row>
    <row r="1939" spans="1:4" x14ac:dyDescent="0.15">
      <c r="A1939" s="1" t="s">
        <v>13161</v>
      </c>
      <c r="B1939" s="1" t="s">
        <v>7500</v>
      </c>
      <c r="C1939" s="1" t="s">
        <v>13162</v>
      </c>
      <c r="D1939" s="1" t="s">
        <v>5448</v>
      </c>
    </row>
    <row r="1940" spans="1:4" x14ac:dyDescent="0.15">
      <c r="A1940" s="1" t="s">
        <v>13165</v>
      </c>
      <c r="B1940" s="1" t="s">
        <v>7503</v>
      </c>
      <c r="C1940" s="1" t="s">
        <v>13166</v>
      </c>
      <c r="D1940" s="1" t="s">
        <v>5449</v>
      </c>
    </row>
    <row r="1941" spans="1:4" x14ac:dyDescent="0.15">
      <c r="A1941" s="1" t="s">
        <v>13169</v>
      </c>
      <c r="B1941" s="1" t="s">
        <v>7021</v>
      </c>
      <c r="C1941" s="1" t="s">
        <v>5450</v>
      </c>
      <c r="D1941" s="1" t="s">
        <v>5451</v>
      </c>
    </row>
    <row r="1942" spans="1:4" x14ac:dyDescent="0.15">
      <c r="A1942" s="1" t="s">
        <v>13173</v>
      </c>
      <c r="B1942" s="1" t="s">
        <v>7024</v>
      </c>
      <c r="C1942" s="1" t="s">
        <v>13174</v>
      </c>
      <c r="D1942" s="1" t="s">
        <v>5452</v>
      </c>
    </row>
    <row r="1943" spans="1:4" x14ac:dyDescent="0.15">
      <c r="A1943" s="1" t="s">
        <v>13177</v>
      </c>
      <c r="B1943" s="1" t="s">
        <v>7027</v>
      </c>
      <c r="C1943" s="1" t="s">
        <v>13178</v>
      </c>
      <c r="D1943" s="1" t="s">
        <v>5453</v>
      </c>
    </row>
    <row r="1944" spans="1:4" x14ac:dyDescent="0.15">
      <c r="A1944" s="1" t="s">
        <v>13181</v>
      </c>
      <c r="B1944" s="1" t="s">
        <v>7030</v>
      </c>
      <c r="C1944" s="1" t="s">
        <v>13182</v>
      </c>
      <c r="D1944" s="1" t="s">
        <v>5454</v>
      </c>
    </row>
    <row r="1945" spans="1:4" x14ac:dyDescent="0.15">
      <c r="A1945" s="1" t="s">
        <v>13185</v>
      </c>
      <c r="B1945" s="1" t="s">
        <v>7033</v>
      </c>
      <c r="C1945" s="1" t="s">
        <v>13186</v>
      </c>
      <c r="D1945" s="1" t="s">
        <v>5455</v>
      </c>
    </row>
    <row r="1946" spans="1:4" x14ac:dyDescent="0.15">
      <c r="A1946" s="1" t="s">
        <v>13189</v>
      </c>
      <c r="B1946" s="1" t="s">
        <v>7036</v>
      </c>
      <c r="C1946" s="1" t="s">
        <v>5456</v>
      </c>
      <c r="D1946" s="1" t="s">
        <v>5457</v>
      </c>
    </row>
    <row r="1947" spans="1:4" x14ac:dyDescent="0.15">
      <c r="A1947" s="1" t="s">
        <v>13193</v>
      </c>
      <c r="B1947" s="1" t="s">
        <v>7039</v>
      </c>
      <c r="C1947" s="1" t="s">
        <v>13194</v>
      </c>
      <c r="D1947" s="1" t="s">
        <v>5458</v>
      </c>
    </row>
    <row r="1948" spans="1:4" x14ac:dyDescent="0.15">
      <c r="A1948" s="1" t="s">
        <v>13197</v>
      </c>
      <c r="B1948" s="1" t="s">
        <v>7042</v>
      </c>
      <c r="C1948" s="1" t="s">
        <v>13198</v>
      </c>
      <c r="D1948" s="1" t="s">
        <v>5459</v>
      </c>
    </row>
    <row r="1949" spans="1:4" x14ac:dyDescent="0.15">
      <c r="A1949" s="1" t="s">
        <v>13201</v>
      </c>
      <c r="B1949" s="1" t="s">
        <v>7045</v>
      </c>
      <c r="C1949" s="1" t="s">
        <v>13202</v>
      </c>
      <c r="D1949" s="1" t="s">
        <v>5460</v>
      </c>
    </row>
    <row r="1950" spans="1:4" x14ac:dyDescent="0.15">
      <c r="A1950" s="1" t="s">
        <v>13205</v>
      </c>
      <c r="B1950" s="1" t="s">
        <v>7048</v>
      </c>
      <c r="C1950" s="1" t="s">
        <v>13206</v>
      </c>
      <c r="D1950" s="1" t="s">
        <v>5461</v>
      </c>
    </row>
    <row r="1951" spans="1:4" x14ac:dyDescent="0.15">
      <c r="A1951" s="1" t="s">
        <v>13209</v>
      </c>
      <c r="B1951" s="1" t="s">
        <v>7051</v>
      </c>
      <c r="C1951" s="1" t="s">
        <v>13210</v>
      </c>
      <c r="D1951" s="1" t="s">
        <v>5462</v>
      </c>
    </row>
    <row r="1952" spans="1:4" x14ac:dyDescent="0.15">
      <c r="A1952" s="1" t="s">
        <v>13213</v>
      </c>
      <c r="B1952" s="1" t="s">
        <v>7054</v>
      </c>
      <c r="C1952" s="1" t="s">
        <v>13214</v>
      </c>
      <c r="D1952" s="1" t="s">
        <v>5463</v>
      </c>
    </row>
    <row r="1953" spans="1:4" x14ac:dyDescent="0.15">
      <c r="A1953" s="1" t="s">
        <v>13217</v>
      </c>
      <c r="B1953" s="1" t="s">
        <v>7057</v>
      </c>
      <c r="C1953" s="1" t="s">
        <v>13218</v>
      </c>
      <c r="D1953" s="1" t="s">
        <v>5464</v>
      </c>
    </row>
    <row r="1954" spans="1:4" x14ac:dyDescent="0.15">
      <c r="A1954" s="1" t="s">
        <v>13221</v>
      </c>
      <c r="B1954" s="1" t="s">
        <v>7060</v>
      </c>
      <c r="C1954" s="1" t="s">
        <v>13222</v>
      </c>
      <c r="D1954" s="1" t="s">
        <v>5465</v>
      </c>
    </row>
    <row r="1955" spans="1:4" x14ac:dyDescent="0.15">
      <c r="A1955" s="1" t="s">
        <v>13225</v>
      </c>
      <c r="B1955" s="1" t="s">
        <v>7063</v>
      </c>
      <c r="C1955" s="1" t="s">
        <v>13226</v>
      </c>
      <c r="D1955" s="1" t="s">
        <v>5466</v>
      </c>
    </row>
    <row r="1956" spans="1:4" x14ac:dyDescent="0.15">
      <c r="A1956" s="1" t="s">
        <v>13229</v>
      </c>
      <c r="B1956" s="1" t="s">
        <v>7066</v>
      </c>
      <c r="C1956" s="1" t="s">
        <v>13230</v>
      </c>
      <c r="D1956" s="1" t="s">
        <v>5467</v>
      </c>
    </row>
    <row r="1957" spans="1:4" x14ac:dyDescent="0.15">
      <c r="A1957" s="1" t="s">
        <v>13233</v>
      </c>
      <c r="B1957" s="1" t="s">
        <v>7069</v>
      </c>
      <c r="C1957" s="1" t="s">
        <v>13234</v>
      </c>
      <c r="D1957" s="1" t="s">
        <v>5468</v>
      </c>
    </row>
    <row r="1958" spans="1:4" x14ac:dyDescent="0.15">
      <c r="A1958" s="1" t="s">
        <v>13237</v>
      </c>
      <c r="B1958" s="1" t="s">
        <v>7072</v>
      </c>
      <c r="C1958" s="1" t="s">
        <v>13238</v>
      </c>
      <c r="D1958" s="1" t="s">
        <v>5469</v>
      </c>
    </row>
    <row r="1959" spans="1:4" x14ac:dyDescent="0.15">
      <c r="B1959" s="1" t="s">
        <v>7075</v>
      </c>
      <c r="D1959" s="1" t="s">
        <v>5470</v>
      </c>
    </row>
    <row r="1960" spans="1:4" x14ac:dyDescent="0.15">
      <c r="B1960" s="1" t="s">
        <v>7078</v>
      </c>
      <c r="D1960" s="1" t="s">
        <v>5471</v>
      </c>
    </row>
    <row r="1961" spans="1:4" x14ac:dyDescent="0.15">
      <c r="B1961" s="1" t="s">
        <v>7081</v>
      </c>
      <c r="D1961" s="1" t="s">
        <v>5472</v>
      </c>
    </row>
    <row r="1962" spans="1:4" x14ac:dyDescent="0.15">
      <c r="B1962" s="1" t="s">
        <v>7084</v>
      </c>
      <c r="D1962" s="1" t="s">
        <v>5473</v>
      </c>
    </row>
    <row r="1963" spans="1:4" x14ac:dyDescent="0.15">
      <c r="B1963" s="1" t="s">
        <v>7087</v>
      </c>
      <c r="D1963" s="1" t="s">
        <v>5474</v>
      </c>
    </row>
    <row r="1964" spans="1:4" x14ac:dyDescent="0.15">
      <c r="B1964" s="1" t="s">
        <v>7090</v>
      </c>
      <c r="D1964" s="1" t="s">
        <v>5475</v>
      </c>
    </row>
    <row r="1965" spans="1:4" x14ac:dyDescent="0.15">
      <c r="B1965" s="1" t="s">
        <v>7093</v>
      </c>
      <c r="D1965" s="1" t="s">
        <v>5476</v>
      </c>
    </row>
    <row r="1966" spans="1:4" x14ac:dyDescent="0.15">
      <c r="A1966" s="1" t="s">
        <v>13241</v>
      </c>
      <c r="B1966" s="1" t="s">
        <v>7096</v>
      </c>
      <c r="C1966" s="1" t="s">
        <v>13242</v>
      </c>
      <c r="D1966" s="1" t="s">
        <v>5477</v>
      </c>
    </row>
    <row r="1967" spans="1:4" x14ac:dyDescent="0.15">
      <c r="A1967" s="1" t="s">
        <v>5478</v>
      </c>
      <c r="B1967" s="1" t="s">
        <v>7099</v>
      </c>
      <c r="C1967" s="1" t="s">
        <v>13246</v>
      </c>
      <c r="D1967" s="1" t="s">
        <v>13246</v>
      </c>
    </row>
    <row r="1968" spans="1:4" x14ac:dyDescent="0.15">
      <c r="A1968" s="1" t="s">
        <v>13249</v>
      </c>
      <c r="B1968" s="1" t="s">
        <v>7102</v>
      </c>
      <c r="C1968" s="1" t="s">
        <v>13250</v>
      </c>
      <c r="D1968" s="1" t="s">
        <v>13250</v>
      </c>
    </row>
    <row r="1969" spans="1:4" x14ac:dyDescent="0.15">
      <c r="A1969" s="1" t="s">
        <v>13253</v>
      </c>
      <c r="B1969" s="1" t="s">
        <v>7105</v>
      </c>
      <c r="C1969" s="1" t="s">
        <v>13254</v>
      </c>
      <c r="D1969" s="1" t="s">
        <v>13254</v>
      </c>
    </row>
    <row r="1970" spans="1:4" x14ac:dyDescent="0.15">
      <c r="A1970" s="1" t="s">
        <v>13257</v>
      </c>
      <c r="B1970" s="1" t="s">
        <v>7108</v>
      </c>
      <c r="C1970" s="1" t="s">
        <v>13258</v>
      </c>
      <c r="D1970" s="1" t="s">
        <v>13258</v>
      </c>
    </row>
    <row r="1971" spans="1:4" x14ac:dyDescent="0.15">
      <c r="A1971" s="1" t="s">
        <v>13261</v>
      </c>
      <c r="B1971" s="1" t="s">
        <v>7111</v>
      </c>
      <c r="C1971" s="1" t="s">
        <v>5479</v>
      </c>
      <c r="D1971" s="1" t="s">
        <v>5479</v>
      </c>
    </row>
    <row r="1972" spans="1:4" x14ac:dyDescent="0.15">
      <c r="A1972" s="1" t="s">
        <v>13265</v>
      </c>
      <c r="B1972" s="1" t="s">
        <v>7114</v>
      </c>
      <c r="C1972" s="1" t="s">
        <v>13266</v>
      </c>
      <c r="D1972" s="1" t="s">
        <v>13266</v>
      </c>
    </row>
    <row r="1973" spans="1:4" x14ac:dyDescent="0.15">
      <c r="A1973" s="1" t="s">
        <v>13269</v>
      </c>
      <c r="B1973" s="1" t="s">
        <v>7117</v>
      </c>
      <c r="C1973" s="1" t="s">
        <v>13270</v>
      </c>
      <c r="D1973" s="1" t="s">
        <v>13270</v>
      </c>
    </row>
    <row r="1974" spans="1:4" x14ac:dyDescent="0.15">
      <c r="A1974" s="1" t="s">
        <v>13273</v>
      </c>
      <c r="B1974" s="1" t="s">
        <v>7120</v>
      </c>
      <c r="C1974" s="1" t="s">
        <v>13274</v>
      </c>
      <c r="D1974" s="1" t="s">
        <v>13274</v>
      </c>
    </row>
    <row r="1975" spans="1:4" x14ac:dyDescent="0.15">
      <c r="A1975" s="1" t="s">
        <v>13277</v>
      </c>
      <c r="B1975" s="1" t="s">
        <v>7123</v>
      </c>
      <c r="C1975" s="1" t="s">
        <v>13278</v>
      </c>
      <c r="D1975" s="1" t="s">
        <v>13278</v>
      </c>
    </row>
    <row r="1976" spans="1:4" x14ac:dyDescent="0.15">
      <c r="A1976" s="1" t="s">
        <v>13281</v>
      </c>
      <c r="B1976" s="1" t="s">
        <v>7126</v>
      </c>
      <c r="C1976" s="1" t="s">
        <v>13282</v>
      </c>
      <c r="D1976" s="1" t="s">
        <v>13282</v>
      </c>
    </row>
    <row r="1977" spans="1:4" x14ac:dyDescent="0.15">
      <c r="A1977" s="1" t="s">
        <v>13285</v>
      </c>
      <c r="B1977" s="1" t="s">
        <v>7129</v>
      </c>
      <c r="C1977" s="1" t="s">
        <v>13286</v>
      </c>
      <c r="D1977" s="1" t="s">
        <v>13286</v>
      </c>
    </row>
    <row r="1978" spans="1:4" x14ac:dyDescent="0.15">
      <c r="A1978" s="1" t="s">
        <v>13289</v>
      </c>
      <c r="B1978" s="1" t="s">
        <v>7132</v>
      </c>
      <c r="C1978" s="1" t="s">
        <v>13290</v>
      </c>
      <c r="D1978" s="1" t="s">
        <v>13290</v>
      </c>
    </row>
    <row r="1979" spans="1:4" x14ac:dyDescent="0.15">
      <c r="A1979" s="1" t="s">
        <v>12677</v>
      </c>
      <c r="B1979" s="1" t="s">
        <v>7135</v>
      </c>
      <c r="C1979" s="1" t="s">
        <v>12678</v>
      </c>
      <c r="D1979" s="1" t="s">
        <v>12678</v>
      </c>
    </row>
    <row r="1980" spans="1:4" x14ac:dyDescent="0.15">
      <c r="A1980" s="1" t="s">
        <v>12681</v>
      </c>
      <c r="B1980" s="1" t="s">
        <v>7138</v>
      </c>
      <c r="C1980" s="1" t="s">
        <v>12682</v>
      </c>
      <c r="D1980" s="1" t="s">
        <v>12682</v>
      </c>
    </row>
    <row r="1981" spans="1:4" x14ac:dyDescent="0.15">
      <c r="A1981" s="1" t="s">
        <v>12685</v>
      </c>
      <c r="B1981" s="1" t="s">
        <v>7141</v>
      </c>
      <c r="C1981" s="1" t="s">
        <v>12686</v>
      </c>
      <c r="D1981" s="1" t="s">
        <v>12686</v>
      </c>
    </row>
    <row r="1982" spans="1:4" x14ac:dyDescent="0.15">
      <c r="A1982" s="1" t="s">
        <v>12689</v>
      </c>
      <c r="B1982" s="1" t="s">
        <v>7144</v>
      </c>
      <c r="C1982" s="1" t="s">
        <v>12690</v>
      </c>
      <c r="D1982" s="1" t="s">
        <v>12690</v>
      </c>
    </row>
    <row r="1983" spans="1:4" x14ac:dyDescent="0.15">
      <c r="A1983" s="1" t="s">
        <v>12693</v>
      </c>
      <c r="B1983" s="1" t="s">
        <v>7147</v>
      </c>
      <c r="C1983" s="1" t="s">
        <v>12694</v>
      </c>
      <c r="D1983" s="1" t="s">
        <v>12694</v>
      </c>
    </row>
    <row r="1984" spans="1:4" x14ac:dyDescent="0.15">
      <c r="A1984" s="1" t="s">
        <v>12697</v>
      </c>
      <c r="B1984" s="1" t="s">
        <v>7150</v>
      </c>
      <c r="C1984" s="1" t="s">
        <v>12698</v>
      </c>
      <c r="D1984" s="1" t="s">
        <v>12698</v>
      </c>
    </row>
    <row r="1985" spans="1:4" x14ac:dyDescent="0.15">
      <c r="A1985" s="1" t="s">
        <v>12701</v>
      </c>
      <c r="B1985" s="1" t="s">
        <v>7153</v>
      </c>
      <c r="C1985" s="1" t="s">
        <v>12702</v>
      </c>
      <c r="D1985" s="1" t="s">
        <v>12702</v>
      </c>
    </row>
    <row r="1986" spans="1:4" x14ac:dyDescent="0.15">
      <c r="A1986" s="1" t="s">
        <v>6448</v>
      </c>
      <c r="B1986" s="1" t="s">
        <v>6448</v>
      </c>
      <c r="C1986" s="1" t="s">
        <v>11836</v>
      </c>
      <c r="D1986" s="1" t="s">
        <v>5480</v>
      </c>
    </row>
    <row r="1987" spans="1:4" x14ac:dyDescent="0.15">
      <c r="B1987" s="1" t="s">
        <v>6459</v>
      </c>
      <c r="D1987" s="1" t="s">
        <v>5481</v>
      </c>
    </row>
    <row r="1988" spans="1:4" x14ac:dyDescent="0.15">
      <c r="A1988" s="1" t="s">
        <v>11871</v>
      </c>
      <c r="B1988" s="1" t="s">
        <v>11871</v>
      </c>
      <c r="C1988" s="1" t="s">
        <v>11872</v>
      </c>
      <c r="D1988" s="1" t="s">
        <v>5482</v>
      </c>
    </row>
    <row r="1989" spans="1:4" x14ac:dyDescent="0.15">
      <c r="A1989" s="1" t="s">
        <v>11839</v>
      </c>
      <c r="B1989" s="1" t="s">
        <v>11839</v>
      </c>
      <c r="C1989" s="1" t="s">
        <v>11840</v>
      </c>
      <c r="D1989" s="1" t="s">
        <v>5483</v>
      </c>
    </row>
    <row r="1990" spans="1:4" x14ac:dyDescent="0.15">
      <c r="A1990" s="1" t="s">
        <v>11843</v>
      </c>
      <c r="B1990" s="1" t="s">
        <v>11843</v>
      </c>
      <c r="C1990" s="1" t="s">
        <v>11844</v>
      </c>
      <c r="D1990" s="1" t="s">
        <v>5484</v>
      </c>
    </row>
    <row r="1991" spans="1:4" x14ac:dyDescent="0.15">
      <c r="A1991" s="1" t="s">
        <v>11847</v>
      </c>
      <c r="B1991" s="1" t="s">
        <v>11847</v>
      </c>
      <c r="C1991" s="1" t="s">
        <v>11848</v>
      </c>
      <c r="D1991" s="1" t="s">
        <v>5485</v>
      </c>
    </row>
    <row r="1992" spans="1:4" x14ac:dyDescent="0.15">
      <c r="A1992" s="1" t="s">
        <v>11851</v>
      </c>
      <c r="B1992" s="1" t="s">
        <v>11851</v>
      </c>
      <c r="C1992" s="1" t="s">
        <v>5486</v>
      </c>
      <c r="D1992" s="1" t="s">
        <v>5487</v>
      </c>
    </row>
    <row r="1993" spans="1:4" x14ac:dyDescent="0.15">
      <c r="A1993" s="1" t="s">
        <v>11855</v>
      </c>
      <c r="B1993" s="1" t="s">
        <v>11855</v>
      </c>
      <c r="C1993" s="1" t="s">
        <v>5488</v>
      </c>
      <c r="D1993" s="1" t="s">
        <v>5489</v>
      </c>
    </row>
    <row r="1994" spans="1:4" x14ac:dyDescent="0.15">
      <c r="A1994" s="1" t="s">
        <v>6464</v>
      </c>
      <c r="B1994" s="1" t="s">
        <v>6464</v>
      </c>
      <c r="C1994" s="1" t="s">
        <v>5490</v>
      </c>
      <c r="D1994" s="1" t="s">
        <v>5491</v>
      </c>
    </row>
    <row r="1995" spans="1:4" x14ac:dyDescent="0.15">
      <c r="A1995" s="1" t="s">
        <v>11863</v>
      </c>
      <c r="B1995" s="1" t="s">
        <v>11863</v>
      </c>
      <c r="C1995" s="1" t="s">
        <v>5492</v>
      </c>
      <c r="D1995" s="1" t="s">
        <v>5493</v>
      </c>
    </row>
    <row r="1996" spans="1:4" x14ac:dyDescent="0.15">
      <c r="A1996" s="1" t="s">
        <v>11867</v>
      </c>
      <c r="B1996" s="1" t="s">
        <v>11867</v>
      </c>
      <c r="C1996" s="1" t="s">
        <v>5494</v>
      </c>
      <c r="D1996" s="1" t="s">
        <v>5494</v>
      </c>
    </row>
    <row r="1997" spans="1:4" x14ac:dyDescent="0.15">
      <c r="A1997" s="1" t="s">
        <v>11875</v>
      </c>
      <c r="B1997" s="1" t="s">
        <v>11875</v>
      </c>
      <c r="C1997" s="1" t="s">
        <v>5489</v>
      </c>
      <c r="D1997" s="1" t="s">
        <v>5495</v>
      </c>
    </row>
    <row r="1998" spans="1:4" x14ac:dyDescent="0.15">
      <c r="B1998" s="1" t="s">
        <v>7326</v>
      </c>
      <c r="D1998" s="1" t="s">
        <v>5496</v>
      </c>
    </row>
    <row r="1999" spans="1:4" x14ac:dyDescent="0.15">
      <c r="B1999" s="1" t="s">
        <v>5497</v>
      </c>
      <c r="D1999" s="1" t="s">
        <v>5498</v>
      </c>
    </row>
    <row r="2000" spans="1:4" x14ac:dyDescent="0.15">
      <c r="B2000" s="1" t="s">
        <v>5499</v>
      </c>
      <c r="D2000" s="1" t="s">
        <v>5498</v>
      </c>
    </row>
    <row r="2001" spans="2:4" x14ac:dyDescent="0.15">
      <c r="B2001" s="1" t="s">
        <v>5500</v>
      </c>
      <c r="D2001" s="1" t="s">
        <v>5501</v>
      </c>
    </row>
    <row r="2002" spans="2:4" x14ac:dyDescent="0.15">
      <c r="B2002" s="1" t="s">
        <v>5502</v>
      </c>
      <c r="D2002" s="1" t="s">
        <v>5501</v>
      </c>
    </row>
    <row r="2003" spans="2:4" x14ac:dyDescent="0.15">
      <c r="B2003" s="1" t="s">
        <v>5503</v>
      </c>
      <c r="D2003" s="1" t="s">
        <v>5504</v>
      </c>
    </row>
    <row r="2004" spans="2:4" x14ac:dyDescent="0.15">
      <c r="B2004" s="1" t="s">
        <v>5505</v>
      </c>
      <c r="D2004" s="1" t="s">
        <v>5504</v>
      </c>
    </row>
    <row r="2005" spans="2:4" x14ac:dyDescent="0.15">
      <c r="B2005" s="1" t="s">
        <v>5506</v>
      </c>
      <c r="D2005" s="1" t="s">
        <v>5507</v>
      </c>
    </row>
    <row r="2006" spans="2:4" x14ac:dyDescent="0.15">
      <c r="B2006" s="1" t="s">
        <v>5508</v>
      </c>
      <c r="D2006" s="1" t="s">
        <v>5507</v>
      </c>
    </row>
    <row r="2007" spans="2:4" x14ac:dyDescent="0.15">
      <c r="B2007" s="1" t="s">
        <v>5509</v>
      </c>
      <c r="D2007" s="1" t="s">
        <v>5510</v>
      </c>
    </row>
    <row r="2008" spans="2:4" x14ac:dyDescent="0.15">
      <c r="B2008" s="1" t="s">
        <v>5511</v>
      </c>
      <c r="D2008" s="1" t="s">
        <v>5510</v>
      </c>
    </row>
    <row r="2009" spans="2:4" x14ac:dyDescent="0.15">
      <c r="B2009" s="1" t="s">
        <v>5512</v>
      </c>
      <c r="D2009" s="1" t="s">
        <v>5513</v>
      </c>
    </row>
    <row r="2010" spans="2:4" x14ac:dyDescent="0.15">
      <c r="B2010" s="1" t="s">
        <v>5514</v>
      </c>
      <c r="D2010" s="1" t="s">
        <v>5515</v>
      </c>
    </row>
    <row r="2011" spans="2:4" x14ac:dyDescent="0.15">
      <c r="B2011" s="1" t="s">
        <v>5516</v>
      </c>
      <c r="D2011" s="1" t="s">
        <v>5517</v>
      </c>
    </row>
    <row r="2012" spans="2:4" x14ac:dyDescent="0.15">
      <c r="B2012" s="1" t="s">
        <v>5518</v>
      </c>
      <c r="D2012" s="1" t="s">
        <v>5517</v>
      </c>
    </row>
    <row r="2013" spans="2:4" x14ac:dyDescent="0.15">
      <c r="B2013" s="1" t="s">
        <v>5519</v>
      </c>
      <c r="D2013" s="1" t="s">
        <v>5520</v>
      </c>
    </row>
    <row r="2014" spans="2:4" x14ac:dyDescent="0.15">
      <c r="B2014" s="1" t="s">
        <v>5521</v>
      </c>
      <c r="D2014" s="1" t="s">
        <v>5520</v>
      </c>
    </row>
    <row r="2015" spans="2:4" x14ac:dyDescent="0.15">
      <c r="B2015" s="1" t="s">
        <v>5522</v>
      </c>
      <c r="D2015" s="1" t="s">
        <v>5523</v>
      </c>
    </row>
    <row r="2016" spans="2:4" x14ac:dyDescent="0.15">
      <c r="B2016" s="1" t="s">
        <v>5524</v>
      </c>
      <c r="D2016" s="1" t="s">
        <v>5523</v>
      </c>
    </row>
    <row r="2017" spans="2:4" x14ac:dyDescent="0.15">
      <c r="B2017" s="1" t="s">
        <v>5497</v>
      </c>
      <c r="D2017" s="1" t="s">
        <v>5525</v>
      </c>
    </row>
    <row r="2018" spans="2:4" x14ac:dyDescent="0.15">
      <c r="B2018" s="1" t="s">
        <v>5500</v>
      </c>
      <c r="D2018" s="1" t="s">
        <v>5501</v>
      </c>
    </row>
    <row r="2019" spans="2:4" x14ac:dyDescent="0.15">
      <c r="B2019" s="1" t="s">
        <v>5502</v>
      </c>
      <c r="D2019" s="1" t="s">
        <v>5501</v>
      </c>
    </row>
    <row r="2020" spans="2:4" x14ac:dyDescent="0.15">
      <c r="B2020" s="1" t="s">
        <v>5503</v>
      </c>
      <c r="D2020" s="1" t="s">
        <v>5504</v>
      </c>
    </row>
    <row r="2021" spans="2:4" x14ac:dyDescent="0.15">
      <c r="B2021" s="1" t="s">
        <v>5505</v>
      </c>
      <c r="D2021" s="1" t="s">
        <v>5504</v>
      </c>
    </row>
    <row r="2022" spans="2:4" x14ac:dyDescent="0.15">
      <c r="B2022" s="1" t="s">
        <v>5506</v>
      </c>
      <c r="D2022" s="1" t="s">
        <v>5507</v>
      </c>
    </row>
    <row r="2023" spans="2:4" x14ac:dyDescent="0.15">
      <c r="B2023" s="1" t="s">
        <v>5508</v>
      </c>
      <c r="D2023" s="1" t="s">
        <v>5507</v>
      </c>
    </row>
    <row r="2024" spans="2:4" x14ac:dyDescent="0.15">
      <c r="B2024" s="1" t="s">
        <v>5509</v>
      </c>
      <c r="D2024" s="1" t="s">
        <v>5510</v>
      </c>
    </row>
    <row r="2025" spans="2:4" x14ac:dyDescent="0.15">
      <c r="B2025" s="1" t="s">
        <v>5511</v>
      </c>
      <c r="D2025" s="1" t="s">
        <v>5510</v>
      </c>
    </row>
    <row r="2026" spans="2:4" x14ac:dyDescent="0.15">
      <c r="B2026" s="1" t="s">
        <v>5512</v>
      </c>
      <c r="D2026" s="1" t="s">
        <v>5513</v>
      </c>
    </row>
    <row r="2027" spans="2:4" x14ac:dyDescent="0.15">
      <c r="B2027" s="1" t="s">
        <v>5514</v>
      </c>
      <c r="D2027" s="1" t="s">
        <v>5515</v>
      </c>
    </row>
    <row r="2028" spans="2:4" x14ac:dyDescent="0.15">
      <c r="B2028" s="1" t="s">
        <v>5516</v>
      </c>
      <c r="D2028" s="1" t="s">
        <v>5517</v>
      </c>
    </row>
    <row r="2029" spans="2:4" x14ac:dyDescent="0.15">
      <c r="B2029" s="1" t="s">
        <v>5518</v>
      </c>
      <c r="D2029" s="1" t="s">
        <v>5517</v>
      </c>
    </row>
    <row r="2030" spans="2:4" x14ac:dyDescent="0.15">
      <c r="B2030" s="1" t="s">
        <v>5519</v>
      </c>
      <c r="D2030" s="1" t="s">
        <v>5520</v>
      </c>
    </row>
    <row r="2031" spans="2:4" x14ac:dyDescent="0.15">
      <c r="B2031" s="1" t="s">
        <v>5521</v>
      </c>
      <c r="D2031" s="1" t="s">
        <v>5520</v>
      </c>
    </row>
    <row r="2032" spans="2:4" x14ac:dyDescent="0.15">
      <c r="B2032" s="1" t="s">
        <v>5522</v>
      </c>
      <c r="D2032" s="1" t="s">
        <v>5523</v>
      </c>
    </row>
    <row r="2033" spans="2:4" x14ac:dyDescent="0.15">
      <c r="B2033" s="1" t="s">
        <v>5524</v>
      </c>
      <c r="D2033" s="1" t="s">
        <v>5523</v>
      </c>
    </row>
    <row r="2034" spans="2:4" x14ac:dyDescent="0.15">
      <c r="B2034" s="1" t="s">
        <v>7326</v>
      </c>
      <c r="D2034" s="1" t="s">
        <v>5526</v>
      </c>
    </row>
    <row r="2035" spans="2:4" x14ac:dyDescent="0.15">
      <c r="B2035" s="1" t="s">
        <v>5497</v>
      </c>
      <c r="D2035" s="1" t="s">
        <v>5498</v>
      </c>
    </row>
    <row r="2036" spans="2:4" x14ac:dyDescent="0.15">
      <c r="B2036" s="1" t="s">
        <v>5499</v>
      </c>
      <c r="D2036" s="1" t="s">
        <v>5498</v>
      </c>
    </row>
    <row r="2037" spans="2:4" x14ac:dyDescent="0.15">
      <c r="B2037" s="1" t="s">
        <v>5500</v>
      </c>
      <c r="D2037" s="1" t="s">
        <v>5501</v>
      </c>
    </row>
    <row r="2038" spans="2:4" x14ac:dyDescent="0.15">
      <c r="B2038" s="1" t="s">
        <v>5502</v>
      </c>
      <c r="D2038" s="1" t="s">
        <v>5501</v>
      </c>
    </row>
    <row r="2039" spans="2:4" x14ac:dyDescent="0.15">
      <c r="B2039" s="1" t="s">
        <v>5503</v>
      </c>
      <c r="D2039" s="1" t="s">
        <v>5504</v>
      </c>
    </row>
    <row r="2040" spans="2:4" x14ac:dyDescent="0.15">
      <c r="B2040" s="1" t="s">
        <v>5505</v>
      </c>
      <c r="D2040" s="1" t="s">
        <v>5504</v>
      </c>
    </row>
    <row r="2041" spans="2:4" x14ac:dyDescent="0.15">
      <c r="B2041" s="1" t="s">
        <v>5506</v>
      </c>
      <c r="D2041" s="1" t="s">
        <v>5507</v>
      </c>
    </row>
    <row r="2042" spans="2:4" x14ac:dyDescent="0.15">
      <c r="B2042" s="1" t="s">
        <v>5508</v>
      </c>
      <c r="D2042" s="1" t="s">
        <v>5507</v>
      </c>
    </row>
    <row r="2043" spans="2:4" x14ac:dyDescent="0.15">
      <c r="B2043" s="1" t="s">
        <v>5499</v>
      </c>
      <c r="D2043" s="1" t="s">
        <v>5527</v>
      </c>
    </row>
    <row r="2044" spans="2:4" x14ac:dyDescent="0.15">
      <c r="B2044" s="1" t="s">
        <v>5500</v>
      </c>
      <c r="D2044" s="1" t="s">
        <v>5528</v>
      </c>
    </row>
    <row r="2045" spans="2:4" x14ac:dyDescent="0.15">
      <c r="B2045" s="1" t="s">
        <v>5502</v>
      </c>
      <c r="D2045" s="1" t="s">
        <v>5529</v>
      </c>
    </row>
    <row r="2046" spans="2:4" x14ac:dyDescent="0.15">
      <c r="B2046" s="1" t="s">
        <v>5503</v>
      </c>
      <c r="D2046" s="1" t="s">
        <v>5530</v>
      </c>
    </row>
    <row r="2047" spans="2:4" x14ac:dyDescent="0.15">
      <c r="B2047" s="1" t="s">
        <v>5505</v>
      </c>
      <c r="D2047" s="1" t="s">
        <v>5531</v>
      </c>
    </row>
    <row r="2048" spans="2:4" x14ac:dyDescent="0.15">
      <c r="B2048" s="1" t="s">
        <v>5506</v>
      </c>
      <c r="D2048" s="1" t="s">
        <v>5532</v>
      </c>
    </row>
    <row r="2049" spans="2:4" x14ac:dyDescent="0.15">
      <c r="B2049" s="1" t="s">
        <v>5508</v>
      </c>
      <c r="D2049" s="1" t="s">
        <v>5532</v>
      </c>
    </row>
    <row r="2050" spans="2:4" x14ac:dyDescent="0.15">
      <c r="B2050" s="1" t="s">
        <v>5509</v>
      </c>
      <c r="D2050" s="1" t="s">
        <v>5533</v>
      </c>
    </row>
    <row r="2051" spans="2:4" x14ac:dyDescent="0.15">
      <c r="B2051" s="1" t="s">
        <v>5511</v>
      </c>
      <c r="D2051" s="1" t="s">
        <v>5533</v>
      </c>
    </row>
    <row r="2052" spans="2:4" x14ac:dyDescent="0.15">
      <c r="B2052" s="1" t="s">
        <v>5512</v>
      </c>
      <c r="D2052" s="1" t="s">
        <v>5534</v>
      </c>
    </row>
    <row r="2053" spans="2:4" x14ac:dyDescent="0.15">
      <c r="B2053" s="1" t="s">
        <v>5514</v>
      </c>
      <c r="D2053" s="1" t="s">
        <v>5534</v>
      </c>
    </row>
    <row r="2054" spans="2:4" x14ac:dyDescent="0.15">
      <c r="B2054" s="1" t="s">
        <v>5516</v>
      </c>
      <c r="D2054" s="1" t="s">
        <v>5535</v>
      </c>
    </row>
    <row r="2055" spans="2:4" x14ac:dyDescent="0.15">
      <c r="B2055" s="1" t="s">
        <v>5518</v>
      </c>
      <c r="D2055" s="1" t="s">
        <v>5536</v>
      </c>
    </row>
    <row r="2056" spans="2:4" x14ac:dyDescent="0.15">
      <c r="B2056" s="1" t="s">
        <v>5519</v>
      </c>
      <c r="D2056" s="1" t="s">
        <v>5537</v>
      </c>
    </row>
    <row r="2057" spans="2:4" x14ac:dyDescent="0.15">
      <c r="B2057" s="1" t="s">
        <v>5522</v>
      </c>
      <c r="D2057" s="1" t="s">
        <v>5523</v>
      </c>
    </row>
    <row r="2058" spans="2:4" x14ac:dyDescent="0.15">
      <c r="B2058" s="1" t="s">
        <v>5521</v>
      </c>
      <c r="D2058" s="1" t="s">
        <v>5537</v>
      </c>
    </row>
    <row r="2059" spans="2:4" x14ac:dyDescent="0.15">
      <c r="B2059" s="1" t="s">
        <v>5522</v>
      </c>
      <c r="D2059" s="1" t="s">
        <v>5538</v>
      </c>
    </row>
    <row r="2060" spans="2:4" x14ac:dyDescent="0.15">
      <c r="B2060" s="1" t="s">
        <v>5524</v>
      </c>
      <c r="D2060" s="1" t="s">
        <v>5538</v>
      </c>
    </row>
  </sheetData>
  <phoneticPr fontId="0" type="noConversion"/>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99"/>
  <sheetViews>
    <sheetView workbookViewId="0">
      <pane ySplit="1" topLeftCell="A2" activePane="bottomLeft" state="frozenSplit"/>
      <selection pane="bottomLeft" activeCell="B18" sqref="B18"/>
    </sheetView>
  </sheetViews>
  <sheetFormatPr baseColWidth="10" defaultRowHeight="13" x14ac:dyDescent="0.15"/>
  <cols>
    <col min="1" max="1" width="8.83203125" customWidth="1"/>
    <col min="2" max="2" width="38.5" customWidth="1"/>
    <col min="3" max="4" width="8.83203125" customWidth="1"/>
    <col min="5" max="5" width="42.83203125" customWidth="1"/>
    <col min="6" max="256" width="8.83203125" customWidth="1"/>
  </cols>
  <sheetData>
    <row r="1" spans="1:5" s="3" customFormat="1" x14ac:dyDescent="0.15">
      <c r="A1" s="2" t="s">
        <v>5539</v>
      </c>
      <c r="B1" s="2" t="s">
        <v>5540</v>
      </c>
      <c r="C1" s="2" t="s">
        <v>17842</v>
      </c>
      <c r="D1" s="2" t="s">
        <v>12579</v>
      </c>
      <c r="E1" s="2" t="s">
        <v>5541</v>
      </c>
    </row>
    <row r="2" spans="1:5" x14ac:dyDescent="0.15">
      <c r="A2" s="1" t="s">
        <v>5542</v>
      </c>
      <c r="B2" s="1" t="s">
        <v>5543</v>
      </c>
      <c r="C2" s="1" t="s">
        <v>18102</v>
      </c>
      <c r="D2" s="1" t="s">
        <v>18166</v>
      </c>
      <c r="E2" s="1" t="s">
        <v>12605</v>
      </c>
    </row>
    <row r="3" spans="1:5" x14ac:dyDescent="0.15">
      <c r="A3" s="1" t="s">
        <v>5544</v>
      </c>
      <c r="B3" s="1" t="s">
        <v>5545</v>
      </c>
      <c r="C3" s="1" t="s">
        <v>18102</v>
      </c>
      <c r="D3" s="1" t="s">
        <v>18190</v>
      </c>
      <c r="E3" s="1" t="s">
        <v>12641</v>
      </c>
    </row>
    <row r="4" spans="1:5" x14ac:dyDescent="0.15">
      <c r="A4" s="1" t="s">
        <v>5546</v>
      </c>
      <c r="B4" s="1" t="s">
        <v>5547</v>
      </c>
      <c r="C4" s="1" t="s">
        <v>18102</v>
      </c>
      <c r="D4" s="1" t="s">
        <v>18190</v>
      </c>
      <c r="E4" s="1" t="s">
        <v>12641</v>
      </c>
    </row>
    <row r="5" spans="1:5" x14ac:dyDescent="0.15">
      <c r="A5" s="1" t="s">
        <v>5548</v>
      </c>
      <c r="B5" s="1" t="s">
        <v>5549</v>
      </c>
      <c r="C5" s="1" t="s">
        <v>18200</v>
      </c>
      <c r="D5" s="1" t="s">
        <v>18209</v>
      </c>
      <c r="E5" s="1" t="s">
        <v>12658</v>
      </c>
    </row>
    <row r="6" spans="1:5" x14ac:dyDescent="0.15">
      <c r="A6" s="1" t="s">
        <v>5550</v>
      </c>
      <c r="B6" s="1" t="s">
        <v>5551</v>
      </c>
      <c r="C6" s="1" t="s">
        <v>18200</v>
      </c>
      <c r="D6" s="1" t="s">
        <v>18209</v>
      </c>
      <c r="E6" s="1" t="s">
        <v>12658</v>
      </c>
    </row>
    <row r="7" spans="1:5" x14ac:dyDescent="0.15">
      <c r="A7" s="1" t="s">
        <v>5552</v>
      </c>
      <c r="B7" s="1" t="s">
        <v>5553</v>
      </c>
      <c r="C7" s="1" t="s">
        <v>18200</v>
      </c>
      <c r="D7" s="1" t="s">
        <v>18216</v>
      </c>
      <c r="E7" s="1" t="s">
        <v>12667</v>
      </c>
    </row>
    <row r="8" spans="1:5" x14ac:dyDescent="0.15">
      <c r="A8" s="1" t="s">
        <v>5554</v>
      </c>
      <c r="B8" s="1" t="s">
        <v>5555</v>
      </c>
      <c r="C8" s="1" t="s">
        <v>18200</v>
      </c>
      <c r="D8" s="1" t="s">
        <v>18216</v>
      </c>
      <c r="E8" s="1" t="s">
        <v>12667</v>
      </c>
    </row>
    <row r="9" spans="1:5" x14ac:dyDescent="0.15">
      <c r="A9" s="1" t="s">
        <v>5556</v>
      </c>
      <c r="B9" s="1" t="s">
        <v>5557</v>
      </c>
      <c r="C9" s="1" t="s">
        <v>18200</v>
      </c>
      <c r="D9" s="1" t="s">
        <v>18223</v>
      </c>
      <c r="E9" s="1" t="s">
        <v>12674</v>
      </c>
    </row>
    <row r="10" spans="1:5" x14ac:dyDescent="0.15">
      <c r="A10" s="1" t="s">
        <v>5558</v>
      </c>
      <c r="B10" s="1" t="s">
        <v>5559</v>
      </c>
      <c r="C10" s="1" t="s">
        <v>18200</v>
      </c>
      <c r="D10" s="1" t="s">
        <v>18230</v>
      </c>
      <c r="E10" s="1" t="s">
        <v>11522</v>
      </c>
    </row>
    <row r="11" spans="1:5" x14ac:dyDescent="0.15">
      <c r="A11" s="1" t="s">
        <v>5560</v>
      </c>
      <c r="B11" s="1" t="s">
        <v>5561</v>
      </c>
      <c r="C11" s="1" t="s">
        <v>18200</v>
      </c>
      <c r="D11" s="1" t="s">
        <v>17387</v>
      </c>
      <c r="E11" s="1" t="s">
        <v>11528</v>
      </c>
    </row>
    <row r="12" spans="1:5" x14ac:dyDescent="0.15">
      <c r="A12" s="1" t="s">
        <v>5562</v>
      </c>
      <c r="B12" s="1" t="s">
        <v>5563</v>
      </c>
      <c r="C12" s="1" t="s">
        <v>18200</v>
      </c>
      <c r="D12" s="1" t="s">
        <v>17401</v>
      </c>
      <c r="E12" s="1" t="s">
        <v>11551</v>
      </c>
    </row>
    <row r="13" spans="1:5" x14ac:dyDescent="0.15">
      <c r="A13" s="1" t="s">
        <v>5564</v>
      </c>
      <c r="B13" s="1" t="s">
        <v>5565</v>
      </c>
      <c r="C13" s="1" t="s">
        <v>17404</v>
      </c>
      <c r="D13" s="1" t="s">
        <v>17413</v>
      </c>
      <c r="E13" s="1" t="s">
        <v>11564</v>
      </c>
    </row>
    <row r="14" spans="1:5" x14ac:dyDescent="0.15">
      <c r="A14" s="1" t="s">
        <v>5566</v>
      </c>
      <c r="B14" s="1" t="s">
        <v>5567</v>
      </c>
      <c r="C14" s="1" t="s">
        <v>17404</v>
      </c>
      <c r="D14" s="1" t="s">
        <v>17417</v>
      </c>
      <c r="E14" s="1" t="s">
        <v>11568</v>
      </c>
    </row>
    <row r="15" spans="1:5" x14ac:dyDescent="0.15">
      <c r="A15" s="1" t="s">
        <v>5568</v>
      </c>
      <c r="B15" s="1" t="s">
        <v>5569</v>
      </c>
      <c r="C15" s="1" t="s">
        <v>17847</v>
      </c>
      <c r="D15" s="1" t="s">
        <v>17848</v>
      </c>
      <c r="E15" s="1" t="s">
        <v>11580</v>
      </c>
    </row>
    <row r="16" spans="1:5" x14ac:dyDescent="0.15">
      <c r="A16" s="1" t="s">
        <v>5570</v>
      </c>
      <c r="B16" s="1" t="s">
        <v>5571</v>
      </c>
      <c r="C16" s="1" t="s">
        <v>17847</v>
      </c>
      <c r="D16" s="1" t="s">
        <v>17848</v>
      </c>
      <c r="E16" s="1" t="s">
        <v>11580</v>
      </c>
    </row>
    <row r="17" spans="1:5" x14ac:dyDescent="0.15">
      <c r="A17" s="1" t="s">
        <v>5572</v>
      </c>
      <c r="B17" s="1" t="s">
        <v>5573</v>
      </c>
      <c r="C17" s="1" t="s">
        <v>17847</v>
      </c>
      <c r="D17" s="1" t="s">
        <v>17856</v>
      </c>
      <c r="E17" s="1" t="s">
        <v>11587</v>
      </c>
    </row>
    <row r="18" spans="1:5" x14ac:dyDescent="0.15">
      <c r="A18" s="1" t="s">
        <v>5574</v>
      </c>
      <c r="B18" s="1" t="s">
        <v>5575</v>
      </c>
      <c r="C18" s="1" t="s">
        <v>17847</v>
      </c>
      <c r="D18" s="1" t="s">
        <v>17856</v>
      </c>
      <c r="E18" s="1" t="s">
        <v>11587</v>
      </c>
    </row>
    <row r="19" spans="1:5" x14ac:dyDescent="0.15">
      <c r="A19" s="1" t="s">
        <v>5576</v>
      </c>
      <c r="B19" s="1" t="s">
        <v>5577</v>
      </c>
      <c r="C19" s="1" t="s">
        <v>17847</v>
      </c>
      <c r="D19" s="1" t="s">
        <v>17864</v>
      </c>
      <c r="E19" s="1" t="s">
        <v>11593</v>
      </c>
    </row>
    <row r="20" spans="1:5" x14ac:dyDescent="0.15">
      <c r="A20" s="1" t="s">
        <v>5578</v>
      </c>
      <c r="B20" s="1" t="s">
        <v>5579</v>
      </c>
      <c r="C20" s="1" t="s">
        <v>17847</v>
      </c>
      <c r="D20" s="1" t="s">
        <v>17952</v>
      </c>
      <c r="E20" s="1" t="s">
        <v>11673</v>
      </c>
    </row>
    <row r="21" spans="1:5" x14ac:dyDescent="0.15">
      <c r="A21" s="1" t="s">
        <v>5580</v>
      </c>
      <c r="B21" s="1" t="s">
        <v>5581</v>
      </c>
      <c r="C21" s="1" t="s">
        <v>17847</v>
      </c>
      <c r="D21" s="1" t="s">
        <v>11710</v>
      </c>
      <c r="E21" s="1" t="s">
        <v>11711</v>
      </c>
    </row>
    <row r="22" spans="1:5" x14ac:dyDescent="0.15">
      <c r="A22" s="1" t="s">
        <v>5582</v>
      </c>
      <c r="B22" s="1" t="s">
        <v>5583</v>
      </c>
      <c r="C22" s="1" t="s">
        <v>17847</v>
      </c>
      <c r="D22" s="1" t="s">
        <v>11748</v>
      </c>
      <c r="E22" s="1" t="s">
        <v>11749</v>
      </c>
    </row>
    <row r="23" spans="1:5" x14ac:dyDescent="0.15">
      <c r="A23" s="1" t="s">
        <v>5584</v>
      </c>
      <c r="B23" s="1" t="s">
        <v>5585</v>
      </c>
      <c r="C23" s="1" t="s">
        <v>17847</v>
      </c>
      <c r="D23" s="1" t="s">
        <v>11754</v>
      </c>
      <c r="E23" s="1" t="s">
        <v>11755</v>
      </c>
    </row>
    <row r="24" spans="1:5" x14ac:dyDescent="0.15">
      <c r="A24" s="1" t="s">
        <v>5586</v>
      </c>
      <c r="B24" s="1" t="s">
        <v>5587</v>
      </c>
      <c r="C24" s="1" t="s">
        <v>17847</v>
      </c>
      <c r="D24" s="1" t="s">
        <v>11763</v>
      </c>
      <c r="E24" s="1" t="s">
        <v>11764</v>
      </c>
    </row>
    <row r="25" spans="1:5" x14ac:dyDescent="0.15">
      <c r="A25" s="1" t="s">
        <v>5588</v>
      </c>
      <c r="B25" s="1" t="s">
        <v>5589</v>
      </c>
      <c r="C25" s="1" t="s">
        <v>17847</v>
      </c>
      <c r="D25" s="1" t="s">
        <v>11227</v>
      </c>
      <c r="E25" s="1" t="s">
        <v>11228</v>
      </c>
    </row>
    <row r="26" spans="1:5" x14ac:dyDescent="0.15">
      <c r="A26" s="1" t="s">
        <v>5590</v>
      </c>
      <c r="B26" s="1" t="s">
        <v>5591</v>
      </c>
      <c r="C26" s="1" t="s">
        <v>17847</v>
      </c>
      <c r="D26" s="1" t="s">
        <v>11230</v>
      </c>
      <c r="E26" s="1" t="s">
        <v>11231</v>
      </c>
    </row>
    <row r="27" spans="1:5" x14ac:dyDescent="0.15">
      <c r="A27" s="1" t="s">
        <v>5592</v>
      </c>
      <c r="B27" s="1" t="s">
        <v>5593</v>
      </c>
      <c r="C27" s="1" t="s">
        <v>17847</v>
      </c>
      <c r="D27" s="1" t="s">
        <v>12607</v>
      </c>
      <c r="E27" s="1" t="s">
        <v>12608</v>
      </c>
    </row>
    <row r="28" spans="1:5" x14ac:dyDescent="0.15">
      <c r="A28" s="1" t="s">
        <v>5594</v>
      </c>
      <c r="B28" s="1" t="s">
        <v>5595</v>
      </c>
      <c r="C28" s="1" t="s">
        <v>17847</v>
      </c>
      <c r="D28" s="1" t="s">
        <v>11251</v>
      </c>
      <c r="E28" s="1" t="s">
        <v>11252</v>
      </c>
    </row>
    <row r="29" spans="1:5" x14ac:dyDescent="0.15">
      <c r="A29" s="1" t="s">
        <v>5594</v>
      </c>
      <c r="B29" s="1" t="s">
        <v>5595</v>
      </c>
      <c r="C29" s="1" t="s">
        <v>17847</v>
      </c>
      <c r="D29" s="1" t="s">
        <v>11251</v>
      </c>
      <c r="E29" s="1" t="s">
        <v>11253</v>
      </c>
    </row>
    <row r="30" spans="1:5" x14ac:dyDescent="0.15">
      <c r="A30" s="1" t="s">
        <v>5596</v>
      </c>
      <c r="B30" s="1" t="s">
        <v>5597</v>
      </c>
      <c r="C30" s="1" t="s">
        <v>17847</v>
      </c>
      <c r="D30" s="1" t="s">
        <v>17987</v>
      </c>
      <c r="E30" s="1" t="s">
        <v>11267</v>
      </c>
    </row>
    <row r="31" spans="1:5" x14ac:dyDescent="0.15">
      <c r="A31" s="1" t="s">
        <v>5598</v>
      </c>
      <c r="B31" s="1" t="s">
        <v>5599</v>
      </c>
      <c r="C31" s="1" t="s">
        <v>17847</v>
      </c>
      <c r="D31" s="1" t="s">
        <v>17987</v>
      </c>
      <c r="E31" s="1" t="s">
        <v>11267</v>
      </c>
    </row>
    <row r="32" spans="1:5" x14ac:dyDescent="0.15">
      <c r="A32" s="1" t="s">
        <v>5600</v>
      </c>
      <c r="B32" s="1" t="s">
        <v>5601</v>
      </c>
      <c r="C32" s="1" t="s">
        <v>18102</v>
      </c>
      <c r="D32" s="1" t="s">
        <v>18111</v>
      </c>
      <c r="E32" s="1" t="s">
        <v>11280</v>
      </c>
    </row>
    <row r="33" spans="1:5" x14ac:dyDescent="0.15">
      <c r="A33" s="1" t="s">
        <v>5602</v>
      </c>
      <c r="B33" s="1" t="s">
        <v>5603</v>
      </c>
      <c r="C33" s="1" t="s">
        <v>18102</v>
      </c>
      <c r="D33" s="1" t="s">
        <v>18111</v>
      </c>
      <c r="E33" s="1" t="s">
        <v>11280</v>
      </c>
    </row>
    <row r="34" spans="1:5" x14ac:dyDescent="0.15">
      <c r="A34" s="1" t="s">
        <v>5604</v>
      </c>
      <c r="B34" s="1" t="s">
        <v>5605</v>
      </c>
      <c r="C34" s="1" t="s">
        <v>17404</v>
      </c>
      <c r="D34" s="1" t="s">
        <v>17421</v>
      </c>
      <c r="E34" s="1" t="s">
        <v>11314</v>
      </c>
    </row>
    <row r="35" spans="1:5" x14ac:dyDescent="0.15">
      <c r="A35" s="1" t="s">
        <v>5606</v>
      </c>
      <c r="B35" s="1" t="s">
        <v>5607</v>
      </c>
      <c r="C35" s="1" t="s">
        <v>17404</v>
      </c>
      <c r="D35" s="1" t="s">
        <v>17425</v>
      </c>
      <c r="E35" s="1" t="s">
        <v>11330</v>
      </c>
    </row>
    <row r="36" spans="1:5" x14ac:dyDescent="0.15">
      <c r="A36" s="1" t="s">
        <v>5608</v>
      </c>
      <c r="B36" s="1" t="s">
        <v>5609</v>
      </c>
      <c r="C36" s="1" t="s">
        <v>17404</v>
      </c>
      <c r="D36" s="1" t="s">
        <v>17429</v>
      </c>
      <c r="E36" s="1" t="s">
        <v>11333</v>
      </c>
    </row>
    <row r="37" spans="1:5" x14ac:dyDescent="0.15">
      <c r="A37" s="1" t="s">
        <v>5610</v>
      </c>
      <c r="B37" s="1" t="s">
        <v>5611</v>
      </c>
      <c r="C37" s="1" t="s">
        <v>17404</v>
      </c>
      <c r="D37" s="1" t="s">
        <v>17433</v>
      </c>
      <c r="E37" s="1" t="s">
        <v>11344</v>
      </c>
    </row>
    <row r="38" spans="1:5" x14ac:dyDescent="0.15">
      <c r="A38" s="1" t="s">
        <v>5612</v>
      </c>
      <c r="B38" s="1" t="s">
        <v>5613</v>
      </c>
      <c r="C38" s="1" t="s">
        <v>17404</v>
      </c>
      <c r="D38" s="1" t="s">
        <v>17437</v>
      </c>
      <c r="E38" s="1" t="s">
        <v>11354</v>
      </c>
    </row>
    <row r="39" spans="1:5" x14ac:dyDescent="0.15">
      <c r="A39" s="1" t="s">
        <v>5614</v>
      </c>
      <c r="B39" s="1" t="s">
        <v>5615</v>
      </c>
      <c r="C39" s="1" t="s">
        <v>17404</v>
      </c>
      <c r="D39" s="1" t="s">
        <v>17441</v>
      </c>
      <c r="E39" s="1" t="s">
        <v>11358</v>
      </c>
    </row>
    <row r="40" spans="1:5" x14ac:dyDescent="0.15">
      <c r="A40" s="1" t="s">
        <v>5616</v>
      </c>
      <c r="B40" s="1" t="s">
        <v>5617</v>
      </c>
      <c r="C40" s="1" t="s">
        <v>17404</v>
      </c>
      <c r="D40" s="1" t="s">
        <v>17445</v>
      </c>
      <c r="E40" s="1" t="s">
        <v>11360</v>
      </c>
    </row>
    <row r="41" spans="1:5" x14ac:dyDescent="0.15">
      <c r="A41" s="1" t="s">
        <v>5618</v>
      </c>
      <c r="B41" s="1" t="s">
        <v>5619</v>
      </c>
      <c r="C41" s="1" t="s">
        <v>17404</v>
      </c>
      <c r="D41" s="1" t="s">
        <v>17449</v>
      </c>
      <c r="E41" s="1" t="s">
        <v>11363</v>
      </c>
    </row>
    <row r="42" spans="1:5" x14ac:dyDescent="0.15">
      <c r="A42" s="1" t="s">
        <v>5620</v>
      </c>
      <c r="B42" s="1" t="s">
        <v>5621</v>
      </c>
      <c r="C42" s="1" t="s">
        <v>17404</v>
      </c>
      <c r="D42" s="1" t="s">
        <v>17457</v>
      </c>
      <c r="E42" s="1" t="s">
        <v>11369</v>
      </c>
    </row>
    <row r="43" spans="1:5" x14ac:dyDescent="0.15">
      <c r="A43" s="1" t="s">
        <v>5622</v>
      </c>
      <c r="B43" s="1" t="s">
        <v>5623</v>
      </c>
      <c r="C43" s="1" t="s">
        <v>17404</v>
      </c>
      <c r="D43" s="1" t="s">
        <v>17461</v>
      </c>
      <c r="E43" s="1" t="s">
        <v>11371</v>
      </c>
    </row>
    <row r="44" spans="1:5" x14ac:dyDescent="0.15">
      <c r="A44" s="1" t="s">
        <v>5624</v>
      </c>
      <c r="B44" s="1" t="s">
        <v>5625</v>
      </c>
      <c r="C44" s="1" t="s">
        <v>17404</v>
      </c>
      <c r="D44" s="1" t="s">
        <v>17465</v>
      </c>
      <c r="E44" s="1" t="s">
        <v>11373</v>
      </c>
    </row>
    <row r="45" spans="1:5" x14ac:dyDescent="0.15">
      <c r="A45" s="1" t="s">
        <v>5626</v>
      </c>
      <c r="B45" s="1" t="s">
        <v>5627</v>
      </c>
      <c r="C45" s="1" t="s">
        <v>17404</v>
      </c>
      <c r="D45" s="1" t="s">
        <v>17481</v>
      </c>
      <c r="E45" s="1" t="s">
        <v>11452</v>
      </c>
    </row>
    <row r="46" spans="1:5" x14ac:dyDescent="0.15">
      <c r="A46" s="1" t="s">
        <v>5628</v>
      </c>
      <c r="B46" s="1" t="s">
        <v>5629</v>
      </c>
      <c r="C46" s="1" t="s">
        <v>17404</v>
      </c>
      <c r="D46" s="1" t="s">
        <v>17485</v>
      </c>
      <c r="E46" s="1" t="s">
        <v>11313</v>
      </c>
    </row>
    <row r="47" spans="1:5" x14ac:dyDescent="0.15">
      <c r="A47" s="1" t="s">
        <v>5630</v>
      </c>
      <c r="B47" s="1" t="s">
        <v>5631</v>
      </c>
      <c r="C47" s="1" t="s">
        <v>17404</v>
      </c>
      <c r="D47" s="1" t="s">
        <v>17489</v>
      </c>
      <c r="E47" s="1" t="s">
        <v>11455</v>
      </c>
    </row>
    <row r="48" spans="1:5" x14ac:dyDescent="0.15">
      <c r="A48" s="1" t="s">
        <v>5632</v>
      </c>
      <c r="B48" s="1" t="s">
        <v>5633</v>
      </c>
      <c r="C48" s="1" t="s">
        <v>17404</v>
      </c>
      <c r="D48" s="1" t="s">
        <v>17517</v>
      </c>
      <c r="E48" s="1" t="s">
        <v>11469</v>
      </c>
    </row>
    <row r="49" spans="1:5" x14ac:dyDescent="0.15">
      <c r="A49" s="1" t="s">
        <v>5634</v>
      </c>
      <c r="B49" s="1" t="s">
        <v>5635</v>
      </c>
      <c r="C49" s="1" t="s">
        <v>17404</v>
      </c>
      <c r="D49" s="1" t="s">
        <v>17517</v>
      </c>
      <c r="E49" s="1" t="s">
        <v>11469</v>
      </c>
    </row>
    <row r="50" spans="1:5" x14ac:dyDescent="0.15">
      <c r="A50" s="1" t="s">
        <v>5636</v>
      </c>
      <c r="B50" s="1" t="s">
        <v>5637</v>
      </c>
      <c r="C50" s="1" t="s">
        <v>17716</v>
      </c>
      <c r="D50" s="1" t="s">
        <v>17725</v>
      </c>
      <c r="E50" s="1" t="s">
        <v>11483</v>
      </c>
    </row>
    <row r="51" spans="1:5" x14ac:dyDescent="0.15">
      <c r="A51" s="1" t="s">
        <v>5638</v>
      </c>
      <c r="B51" s="1" t="s">
        <v>5639</v>
      </c>
      <c r="C51" s="1" t="s">
        <v>17716</v>
      </c>
      <c r="D51" s="1" t="s">
        <v>17725</v>
      </c>
      <c r="E51" s="1" t="s">
        <v>11483</v>
      </c>
    </row>
    <row r="52" spans="1:5" x14ac:dyDescent="0.15">
      <c r="A52" s="1" t="s">
        <v>5640</v>
      </c>
      <c r="B52" s="1" t="s">
        <v>5641</v>
      </c>
      <c r="C52" s="1" t="s">
        <v>17716</v>
      </c>
      <c r="D52" s="1" t="s">
        <v>17739</v>
      </c>
      <c r="E52" s="1" t="s">
        <v>11701</v>
      </c>
    </row>
    <row r="53" spans="1:5" x14ac:dyDescent="0.15">
      <c r="A53" s="1" t="s">
        <v>5642</v>
      </c>
      <c r="B53" s="1" t="s">
        <v>5643</v>
      </c>
      <c r="C53" s="1" t="s">
        <v>17716</v>
      </c>
      <c r="D53" s="1" t="s">
        <v>17766</v>
      </c>
      <c r="E53" s="1" t="s">
        <v>11517</v>
      </c>
    </row>
    <row r="54" spans="1:5" x14ac:dyDescent="0.15">
      <c r="A54" s="1" t="s">
        <v>5644</v>
      </c>
      <c r="B54" s="1" t="s">
        <v>5645</v>
      </c>
      <c r="C54" s="1" t="s">
        <v>17716</v>
      </c>
      <c r="D54" s="1" t="s">
        <v>10996</v>
      </c>
      <c r="E54" s="1" t="s">
        <v>11492</v>
      </c>
    </row>
    <row r="55" spans="1:5" x14ac:dyDescent="0.15">
      <c r="A55" s="1" t="s">
        <v>5646</v>
      </c>
      <c r="B55" s="1" t="s">
        <v>5647</v>
      </c>
      <c r="C55" s="1" t="s">
        <v>17716</v>
      </c>
      <c r="D55" s="1" t="s">
        <v>17773</v>
      </c>
      <c r="E55" s="1" t="s">
        <v>11014</v>
      </c>
    </row>
    <row r="56" spans="1:5" x14ac:dyDescent="0.15">
      <c r="A56" s="1" t="s">
        <v>5648</v>
      </c>
      <c r="B56" s="1" t="s">
        <v>5649</v>
      </c>
      <c r="C56" s="1" t="s">
        <v>17775</v>
      </c>
      <c r="D56" s="1" t="s">
        <v>10975</v>
      </c>
      <c r="E56" s="1" t="s">
        <v>11035</v>
      </c>
    </row>
    <row r="57" spans="1:5" x14ac:dyDescent="0.15">
      <c r="A57" s="1" t="s">
        <v>5650</v>
      </c>
      <c r="B57" s="1" t="s">
        <v>5651</v>
      </c>
      <c r="C57" s="1" t="s">
        <v>17775</v>
      </c>
      <c r="D57" s="1" t="s">
        <v>10976</v>
      </c>
      <c r="E57" s="1" t="s">
        <v>10977</v>
      </c>
    </row>
    <row r="58" spans="1:5" x14ac:dyDescent="0.15">
      <c r="A58" s="1" t="s">
        <v>5652</v>
      </c>
      <c r="B58" s="1" t="s">
        <v>5653</v>
      </c>
      <c r="C58" s="1" t="s">
        <v>17775</v>
      </c>
      <c r="D58" s="1" t="s">
        <v>10976</v>
      </c>
      <c r="E58" s="1" t="s">
        <v>10977</v>
      </c>
    </row>
    <row r="59" spans="1:5" x14ac:dyDescent="0.15">
      <c r="A59" s="1" t="s">
        <v>5654</v>
      </c>
      <c r="B59" s="1" t="s">
        <v>5655</v>
      </c>
      <c r="C59" s="1" t="s">
        <v>17775</v>
      </c>
      <c r="D59" s="1" t="s">
        <v>11122</v>
      </c>
      <c r="E59" s="1" t="s">
        <v>11123</v>
      </c>
    </row>
    <row r="60" spans="1:5" x14ac:dyDescent="0.15">
      <c r="A60" s="1" t="s">
        <v>5656</v>
      </c>
      <c r="B60" s="1" t="s">
        <v>5657</v>
      </c>
      <c r="C60" s="1" t="s">
        <v>17799</v>
      </c>
      <c r="D60" s="1" t="s">
        <v>17808</v>
      </c>
      <c r="E60" s="1" t="s">
        <v>11147</v>
      </c>
    </row>
    <row r="61" spans="1:5" x14ac:dyDescent="0.15">
      <c r="A61" s="1" t="s">
        <v>5658</v>
      </c>
      <c r="B61" s="1" t="s">
        <v>5659</v>
      </c>
      <c r="C61" s="1" t="s">
        <v>17799</v>
      </c>
      <c r="D61" s="1" t="s">
        <v>17815</v>
      </c>
      <c r="E61" s="1" t="s">
        <v>11169</v>
      </c>
    </row>
    <row r="62" spans="1:5" x14ac:dyDescent="0.15">
      <c r="A62" s="1" t="s">
        <v>5660</v>
      </c>
      <c r="B62" s="1" t="s">
        <v>5661</v>
      </c>
      <c r="C62" s="1" t="s">
        <v>17799</v>
      </c>
      <c r="D62" s="1" t="s">
        <v>17815</v>
      </c>
      <c r="E62" s="1" t="s">
        <v>11169</v>
      </c>
    </row>
    <row r="63" spans="1:5" x14ac:dyDescent="0.15">
      <c r="A63" s="1" t="s">
        <v>5662</v>
      </c>
      <c r="B63" s="1" t="s">
        <v>5663</v>
      </c>
      <c r="C63" s="1" t="s">
        <v>17799</v>
      </c>
      <c r="D63" s="1" t="s">
        <v>17822</v>
      </c>
      <c r="E63" s="1" t="s">
        <v>11185</v>
      </c>
    </row>
    <row r="64" spans="1:5" x14ac:dyDescent="0.15">
      <c r="A64" s="1" t="s">
        <v>5664</v>
      </c>
      <c r="B64" s="1" t="s">
        <v>5665</v>
      </c>
      <c r="C64" s="1" t="s">
        <v>17799</v>
      </c>
      <c r="D64" s="1" t="s">
        <v>17822</v>
      </c>
      <c r="E64" s="1" t="s">
        <v>11185</v>
      </c>
    </row>
    <row r="65" spans="1:5" x14ac:dyDescent="0.15">
      <c r="A65" s="1" t="s">
        <v>5666</v>
      </c>
      <c r="B65" s="1" t="s">
        <v>5667</v>
      </c>
      <c r="C65" s="1" t="s">
        <v>17799</v>
      </c>
      <c r="D65" s="1" t="s">
        <v>17829</v>
      </c>
      <c r="E65" s="1" t="s">
        <v>11188</v>
      </c>
    </row>
    <row r="66" spans="1:5" x14ac:dyDescent="0.15">
      <c r="A66" s="1" t="s">
        <v>5668</v>
      </c>
      <c r="B66" s="1" t="s">
        <v>5669</v>
      </c>
      <c r="C66" s="1" t="s">
        <v>17799</v>
      </c>
      <c r="D66" s="1" t="s">
        <v>17836</v>
      </c>
      <c r="E66" s="1" t="s">
        <v>11198</v>
      </c>
    </row>
    <row r="67" spans="1:5" x14ac:dyDescent="0.15">
      <c r="A67" s="1" t="s">
        <v>5670</v>
      </c>
      <c r="B67" s="1" t="s">
        <v>5671</v>
      </c>
      <c r="C67" s="1" t="s">
        <v>17799</v>
      </c>
      <c r="D67" s="1" t="s">
        <v>10822</v>
      </c>
      <c r="E67" s="1" t="s">
        <v>10823</v>
      </c>
    </row>
    <row r="68" spans="1:5" x14ac:dyDescent="0.15">
      <c r="A68" s="1" t="s">
        <v>5672</v>
      </c>
      <c r="B68" s="1" t="s">
        <v>5673</v>
      </c>
      <c r="C68" s="1" t="s">
        <v>17799</v>
      </c>
      <c r="D68" s="1" t="s">
        <v>17097</v>
      </c>
      <c r="E68" s="1" t="s">
        <v>10826</v>
      </c>
    </row>
    <row r="69" spans="1:5" x14ac:dyDescent="0.15">
      <c r="A69" s="1" t="s">
        <v>5674</v>
      </c>
      <c r="B69" s="1" t="s">
        <v>5675</v>
      </c>
      <c r="C69" s="1" t="s">
        <v>17799</v>
      </c>
      <c r="D69" s="1" t="s">
        <v>17097</v>
      </c>
      <c r="E69" s="1" t="s">
        <v>10826</v>
      </c>
    </row>
    <row r="70" spans="1:5" x14ac:dyDescent="0.15">
      <c r="A70" s="1" t="s">
        <v>5676</v>
      </c>
      <c r="B70" s="1" t="s">
        <v>5677</v>
      </c>
      <c r="C70" s="1" t="s">
        <v>17100</v>
      </c>
      <c r="D70" s="1" t="s">
        <v>17132</v>
      </c>
      <c r="E70" s="1" t="s">
        <v>10853</v>
      </c>
    </row>
    <row r="71" spans="1:5" x14ac:dyDescent="0.15">
      <c r="A71" s="1" t="s">
        <v>5678</v>
      </c>
      <c r="B71" s="1" t="s">
        <v>5679</v>
      </c>
      <c r="C71" s="1" t="s">
        <v>17100</v>
      </c>
      <c r="D71" s="1" t="s">
        <v>16902</v>
      </c>
      <c r="E71" s="1" t="s">
        <v>10911</v>
      </c>
    </row>
    <row r="72" spans="1:5" x14ac:dyDescent="0.15">
      <c r="A72" s="1" t="s">
        <v>5680</v>
      </c>
      <c r="B72" s="1" t="s">
        <v>5681</v>
      </c>
      <c r="C72" s="1" t="s">
        <v>16912</v>
      </c>
      <c r="D72" s="1" t="s">
        <v>16921</v>
      </c>
      <c r="E72" s="1" t="s">
        <v>10923</v>
      </c>
    </row>
    <row r="73" spans="1:5" x14ac:dyDescent="0.15">
      <c r="A73" s="1" t="s">
        <v>5682</v>
      </c>
      <c r="B73" s="1" t="s">
        <v>5683</v>
      </c>
      <c r="C73" s="1" t="s">
        <v>16912</v>
      </c>
      <c r="D73" s="1" t="s">
        <v>16921</v>
      </c>
      <c r="E73" s="1" t="s">
        <v>10923</v>
      </c>
    </row>
    <row r="74" spans="1:5" x14ac:dyDescent="0.15">
      <c r="A74" s="1" t="s">
        <v>5684</v>
      </c>
      <c r="B74" s="1" t="s">
        <v>5685</v>
      </c>
      <c r="C74" s="1" t="s">
        <v>16912</v>
      </c>
      <c r="D74" s="1" t="s">
        <v>16935</v>
      </c>
      <c r="E74" s="1" t="s">
        <v>10944</v>
      </c>
    </row>
    <row r="75" spans="1:5" x14ac:dyDescent="0.15">
      <c r="A75" s="1" t="s">
        <v>5686</v>
      </c>
      <c r="B75" s="1" t="s">
        <v>5687</v>
      </c>
      <c r="C75" s="1" t="s">
        <v>16912</v>
      </c>
      <c r="D75" s="1" t="s">
        <v>16942</v>
      </c>
      <c r="E75" s="1" t="s">
        <v>10950</v>
      </c>
    </row>
    <row r="76" spans="1:5" x14ac:dyDescent="0.15">
      <c r="A76" s="1" t="s">
        <v>5688</v>
      </c>
      <c r="B76" s="1" t="s">
        <v>5689</v>
      </c>
      <c r="C76" s="1" t="s">
        <v>16912</v>
      </c>
      <c r="D76" s="1" t="s">
        <v>16946</v>
      </c>
      <c r="E76" s="1" t="s">
        <v>10952</v>
      </c>
    </row>
    <row r="77" spans="1:5" x14ac:dyDescent="0.15">
      <c r="A77" s="1" t="s">
        <v>5690</v>
      </c>
      <c r="B77" s="1" t="s">
        <v>5691</v>
      </c>
      <c r="C77" s="1" t="s">
        <v>16912</v>
      </c>
      <c r="D77" s="1" t="s">
        <v>16954</v>
      </c>
      <c r="E77" s="1" t="s">
        <v>10956</v>
      </c>
    </row>
    <row r="78" spans="1:5" x14ac:dyDescent="0.15">
      <c r="A78" s="1" t="s">
        <v>5692</v>
      </c>
      <c r="B78" s="1" t="s">
        <v>5693</v>
      </c>
      <c r="C78" s="1" t="s">
        <v>16912</v>
      </c>
      <c r="D78" s="1" t="s">
        <v>16962</v>
      </c>
      <c r="E78" s="1" t="s">
        <v>10960</v>
      </c>
    </row>
    <row r="79" spans="1:5" x14ac:dyDescent="0.15">
      <c r="A79" s="1" t="s">
        <v>5694</v>
      </c>
      <c r="B79" s="1" t="s">
        <v>5695</v>
      </c>
      <c r="C79" s="1" t="s">
        <v>16912</v>
      </c>
      <c r="D79" s="1" t="s">
        <v>16966</v>
      </c>
      <c r="E79" s="1" t="s">
        <v>10962</v>
      </c>
    </row>
    <row r="80" spans="1:5" x14ac:dyDescent="0.15">
      <c r="A80" s="1" t="s">
        <v>5696</v>
      </c>
      <c r="B80" s="1" t="s">
        <v>5697</v>
      </c>
      <c r="C80" s="1" t="s">
        <v>16912</v>
      </c>
      <c r="D80" s="1" t="s">
        <v>16989</v>
      </c>
      <c r="E80" s="1" t="s">
        <v>11104</v>
      </c>
    </row>
    <row r="81" spans="1:5" x14ac:dyDescent="0.15">
      <c r="A81" s="1" t="s">
        <v>5698</v>
      </c>
      <c r="B81" s="1" t="s">
        <v>5699</v>
      </c>
      <c r="C81" s="1" t="s">
        <v>16912</v>
      </c>
      <c r="D81" s="1" t="s">
        <v>16993</v>
      </c>
      <c r="E81" s="1" t="s">
        <v>11106</v>
      </c>
    </row>
    <row r="82" spans="1:5" x14ac:dyDescent="0.15">
      <c r="A82" s="1" t="s">
        <v>5700</v>
      </c>
      <c r="B82" s="1" t="s">
        <v>5701</v>
      </c>
      <c r="C82" s="1" t="s">
        <v>16912</v>
      </c>
      <c r="D82" s="1" t="s">
        <v>17019</v>
      </c>
      <c r="E82" s="1" t="s">
        <v>11119</v>
      </c>
    </row>
    <row r="83" spans="1:5" x14ac:dyDescent="0.15">
      <c r="A83" s="1" t="s">
        <v>5702</v>
      </c>
      <c r="B83" s="1" t="s">
        <v>5703</v>
      </c>
      <c r="C83" s="1" t="s">
        <v>16912</v>
      </c>
      <c r="D83" s="1" t="s">
        <v>17026</v>
      </c>
      <c r="E83" s="1" t="s">
        <v>10606</v>
      </c>
    </row>
    <row r="84" spans="1:5" x14ac:dyDescent="0.15">
      <c r="A84" s="1" t="s">
        <v>5704</v>
      </c>
      <c r="B84" s="1" t="s">
        <v>5705</v>
      </c>
      <c r="C84" s="1" t="s">
        <v>16912</v>
      </c>
      <c r="D84" s="1" t="s">
        <v>17030</v>
      </c>
      <c r="E84" s="1" t="s">
        <v>10608</v>
      </c>
    </row>
    <row r="85" spans="1:5" x14ac:dyDescent="0.15">
      <c r="A85" s="1" t="s">
        <v>5706</v>
      </c>
      <c r="B85" s="1" t="s">
        <v>5707</v>
      </c>
      <c r="C85" s="1" t="s">
        <v>16912</v>
      </c>
      <c r="D85" s="1" t="s">
        <v>17034</v>
      </c>
      <c r="E85" s="1" t="s">
        <v>10611</v>
      </c>
    </row>
    <row r="86" spans="1:5" x14ac:dyDescent="0.15">
      <c r="A86" s="1" t="s">
        <v>5708</v>
      </c>
      <c r="B86" s="1" t="s">
        <v>5709</v>
      </c>
      <c r="C86" s="1" t="s">
        <v>16912</v>
      </c>
      <c r="D86" s="1" t="s">
        <v>17038</v>
      </c>
      <c r="E86" s="1" t="s">
        <v>10613</v>
      </c>
    </row>
    <row r="87" spans="1:5" x14ac:dyDescent="0.15">
      <c r="A87" s="1" t="s">
        <v>5710</v>
      </c>
      <c r="B87" s="1" t="s">
        <v>5711</v>
      </c>
      <c r="C87" s="1" t="s">
        <v>16912</v>
      </c>
      <c r="D87" s="1" t="s">
        <v>17042</v>
      </c>
      <c r="E87" s="1" t="s">
        <v>10509</v>
      </c>
    </row>
    <row r="88" spans="1:5" x14ac:dyDescent="0.15">
      <c r="A88" s="1" t="s">
        <v>5712</v>
      </c>
      <c r="B88" s="1" t="s">
        <v>5713</v>
      </c>
      <c r="C88" s="1" t="s">
        <v>16912</v>
      </c>
      <c r="D88" s="1" t="s">
        <v>17046</v>
      </c>
      <c r="E88" s="1" t="s">
        <v>10511</v>
      </c>
    </row>
    <row r="89" spans="1:5" x14ac:dyDescent="0.15">
      <c r="A89" s="1" t="s">
        <v>5714</v>
      </c>
      <c r="B89" s="1" t="s">
        <v>5715</v>
      </c>
      <c r="C89" s="1" t="s">
        <v>16912</v>
      </c>
      <c r="D89" s="1" t="s">
        <v>17050</v>
      </c>
      <c r="E89" s="1" t="s">
        <v>10513</v>
      </c>
    </row>
    <row r="90" spans="1:5" x14ac:dyDescent="0.15">
      <c r="A90" s="1" t="s">
        <v>5716</v>
      </c>
      <c r="B90" s="1" t="s">
        <v>5717</v>
      </c>
      <c r="C90" s="1" t="s">
        <v>16912</v>
      </c>
      <c r="D90" s="1" t="s">
        <v>17054</v>
      </c>
      <c r="E90" s="1" t="s">
        <v>10515</v>
      </c>
    </row>
    <row r="91" spans="1:5" x14ac:dyDescent="0.15">
      <c r="A91" s="1" t="s">
        <v>5718</v>
      </c>
      <c r="B91" s="1" t="s">
        <v>5719</v>
      </c>
      <c r="C91" s="1" t="s">
        <v>16912</v>
      </c>
      <c r="D91" s="1" t="s">
        <v>17058</v>
      </c>
      <c r="E91" s="1" t="s">
        <v>10517</v>
      </c>
    </row>
    <row r="92" spans="1:5" x14ac:dyDescent="0.15">
      <c r="A92" s="1" t="s">
        <v>5720</v>
      </c>
      <c r="B92" s="1" t="s">
        <v>3551</v>
      </c>
      <c r="C92" s="1" t="s">
        <v>16912</v>
      </c>
      <c r="D92" s="1" t="s">
        <v>17062</v>
      </c>
      <c r="E92" s="1" t="s">
        <v>10519</v>
      </c>
    </row>
    <row r="93" spans="1:5" x14ac:dyDescent="0.15">
      <c r="A93" s="1" t="s">
        <v>3552</v>
      </c>
      <c r="B93" s="1" t="s">
        <v>3553</v>
      </c>
      <c r="C93" s="1" t="s">
        <v>16912</v>
      </c>
      <c r="D93" s="1" t="s">
        <v>17070</v>
      </c>
      <c r="E93" s="1" t="s">
        <v>10533</v>
      </c>
    </row>
    <row r="94" spans="1:5" x14ac:dyDescent="0.15">
      <c r="A94" s="1" t="s">
        <v>3554</v>
      </c>
      <c r="B94" s="1" t="s">
        <v>3555</v>
      </c>
      <c r="C94" s="1" t="s">
        <v>16912</v>
      </c>
      <c r="D94" s="1" t="s">
        <v>17078</v>
      </c>
      <c r="E94" s="1" t="s">
        <v>11070</v>
      </c>
    </row>
    <row r="95" spans="1:5" x14ac:dyDescent="0.15">
      <c r="A95" s="1" t="s">
        <v>3556</v>
      </c>
      <c r="B95" s="1" t="s">
        <v>3557</v>
      </c>
      <c r="C95" s="1" t="s">
        <v>16912</v>
      </c>
      <c r="D95" s="1" t="s">
        <v>16495</v>
      </c>
      <c r="E95" s="1" t="s">
        <v>10546</v>
      </c>
    </row>
    <row r="96" spans="1:5" x14ac:dyDescent="0.15">
      <c r="A96" s="1" t="s">
        <v>3558</v>
      </c>
      <c r="B96" s="1" t="s">
        <v>3559</v>
      </c>
      <c r="C96" s="1" t="s">
        <v>16912</v>
      </c>
      <c r="D96" s="1" t="s">
        <v>16499</v>
      </c>
      <c r="E96" s="1" t="s">
        <v>10548</v>
      </c>
    </row>
    <row r="97" spans="1:5" x14ac:dyDescent="0.15">
      <c r="A97" s="1" t="s">
        <v>3560</v>
      </c>
      <c r="B97" s="1" t="s">
        <v>3561</v>
      </c>
      <c r="C97" s="1" t="s">
        <v>16912</v>
      </c>
      <c r="D97" s="1" t="s">
        <v>16503</v>
      </c>
      <c r="E97" s="1" t="s">
        <v>10615</v>
      </c>
    </row>
    <row r="98" spans="1:5" x14ac:dyDescent="0.15">
      <c r="A98" s="1" t="s">
        <v>3562</v>
      </c>
      <c r="B98" s="1" t="s">
        <v>3563</v>
      </c>
      <c r="C98" s="1" t="s">
        <v>16912</v>
      </c>
      <c r="D98" s="1" t="s">
        <v>16511</v>
      </c>
      <c r="E98" s="1" t="s">
        <v>10619</v>
      </c>
    </row>
    <row r="99" spans="1:5" x14ac:dyDescent="0.15">
      <c r="A99" s="1" t="s">
        <v>3564</v>
      </c>
      <c r="B99" s="1" t="s">
        <v>3565</v>
      </c>
      <c r="C99" s="1" t="s">
        <v>16912</v>
      </c>
      <c r="D99" s="1" t="s">
        <v>10629</v>
      </c>
      <c r="E99" s="1" t="s">
        <v>10630</v>
      </c>
    </row>
    <row r="100" spans="1:5" x14ac:dyDescent="0.15">
      <c r="A100" s="1" t="s">
        <v>3566</v>
      </c>
      <c r="B100" s="1" t="s">
        <v>3567</v>
      </c>
      <c r="C100" s="1" t="s">
        <v>16912</v>
      </c>
      <c r="D100" s="1" t="s">
        <v>16531</v>
      </c>
      <c r="E100" s="1" t="s">
        <v>10641</v>
      </c>
    </row>
    <row r="101" spans="1:5" x14ac:dyDescent="0.15">
      <c r="A101" s="1" t="s">
        <v>3568</v>
      </c>
      <c r="B101" s="1" t="s">
        <v>3569</v>
      </c>
      <c r="C101" s="1" t="s">
        <v>16912</v>
      </c>
      <c r="D101" s="1" t="s">
        <v>16535</v>
      </c>
      <c r="E101" s="1" t="s">
        <v>10644</v>
      </c>
    </row>
    <row r="102" spans="1:5" x14ac:dyDescent="0.15">
      <c r="A102" s="1" t="s">
        <v>3570</v>
      </c>
      <c r="B102" s="1" t="s">
        <v>3571</v>
      </c>
      <c r="C102" s="1" t="s">
        <v>16912</v>
      </c>
      <c r="D102" s="1" t="s">
        <v>16539</v>
      </c>
      <c r="E102" s="1" t="s">
        <v>10647</v>
      </c>
    </row>
    <row r="103" spans="1:5" x14ac:dyDescent="0.15">
      <c r="A103" s="1" t="s">
        <v>3572</v>
      </c>
      <c r="B103" s="1" t="s">
        <v>3573</v>
      </c>
      <c r="C103" s="1" t="s">
        <v>16912</v>
      </c>
      <c r="D103" s="1" t="s">
        <v>16551</v>
      </c>
      <c r="E103" s="1" t="s">
        <v>10655</v>
      </c>
    </row>
    <row r="104" spans="1:5" x14ac:dyDescent="0.15">
      <c r="A104" s="1" t="s">
        <v>3574</v>
      </c>
      <c r="B104" s="1" t="s">
        <v>3575</v>
      </c>
      <c r="C104" s="1" t="s">
        <v>16912</v>
      </c>
      <c r="D104" s="1" t="s">
        <v>16567</v>
      </c>
      <c r="E104" s="1" t="s">
        <v>10665</v>
      </c>
    </row>
    <row r="105" spans="1:5" x14ac:dyDescent="0.15">
      <c r="A105" s="1" t="s">
        <v>3576</v>
      </c>
      <c r="B105" s="1" t="s">
        <v>3577</v>
      </c>
      <c r="C105" s="1" t="s">
        <v>16912</v>
      </c>
      <c r="D105" s="1" t="s">
        <v>16571</v>
      </c>
      <c r="E105" s="1" t="s">
        <v>10668</v>
      </c>
    </row>
    <row r="106" spans="1:5" x14ac:dyDescent="0.15">
      <c r="A106" s="1" t="s">
        <v>3578</v>
      </c>
      <c r="B106" s="1" t="s">
        <v>3579</v>
      </c>
      <c r="C106" s="1" t="s">
        <v>16912</v>
      </c>
      <c r="D106" s="1" t="s">
        <v>16575</v>
      </c>
      <c r="E106" s="1" t="s">
        <v>10672</v>
      </c>
    </row>
    <row r="107" spans="1:5" x14ac:dyDescent="0.15">
      <c r="A107" s="1" t="s">
        <v>3580</v>
      </c>
      <c r="B107" s="1" t="s">
        <v>3581</v>
      </c>
      <c r="C107" s="1" t="s">
        <v>16912</v>
      </c>
      <c r="D107" s="1" t="s">
        <v>16579</v>
      </c>
      <c r="E107" s="1" t="s">
        <v>10674</v>
      </c>
    </row>
    <row r="108" spans="1:5" x14ac:dyDescent="0.15">
      <c r="A108" s="1" t="s">
        <v>3582</v>
      </c>
      <c r="B108" s="1" t="s">
        <v>3583</v>
      </c>
      <c r="C108" s="1" t="s">
        <v>16912</v>
      </c>
      <c r="D108" s="1" t="s">
        <v>16583</v>
      </c>
      <c r="E108" s="1" t="s">
        <v>10676</v>
      </c>
    </row>
    <row r="109" spans="1:5" x14ac:dyDescent="0.15">
      <c r="A109" s="1" t="s">
        <v>3584</v>
      </c>
      <c r="B109" s="1" t="s">
        <v>3585</v>
      </c>
      <c r="C109" s="1" t="s">
        <v>16912</v>
      </c>
      <c r="D109" s="1" t="s">
        <v>16655</v>
      </c>
      <c r="E109" s="1" t="s">
        <v>10931</v>
      </c>
    </row>
    <row r="110" spans="1:5" x14ac:dyDescent="0.15">
      <c r="A110" s="1" t="s">
        <v>3586</v>
      </c>
      <c r="B110" s="1" t="s">
        <v>3587</v>
      </c>
      <c r="C110" s="1" t="s">
        <v>16912</v>
      </c>
      <c r="D110" s="1" t="s">
        <v>16662</v>
      </c>
      <c r="E110" s="1" t="s">
        <v>10770</v>
      </c>
    </row>
    <row r="111" spans="1:5" x14ac:dyDescent="0.15">
      <c r="A111" s="1" t="s">
        <v>3588</v>
      </c>
      <c r="B111" s="1" t="s">
        <v>3589</v>
      </c>
      <c r="C111" s="1" t="s">
        <v>16912</v>
      </c>
      <c r="D111" s="1" t="s">
        <v>16669</v>
      </c>
      <c r="E111" s="1" t="s">
        <v>10779</v>
      </c>
    </row>
    <row r="112" spans="1:5" x14ac:dyDescent="0.15">
      <c r="A112" s="1" t="s">
        <v>3590</v>
      </c>
      <c r="B112" s="1" t="s">
        <v>3591</v>
      </c>
      <c r="C112" s="1" t="s">
        <v>16912</v>
      </c>
      <c r="D112" s="1" t="s">
        <v>16669</v>
      </c>
      <c r="E112" s="1" t="s">
        <v>10779</v>
      </c>
    </row>
    <row r="113" spans="1:5" x14ac:dyDescent="0.15">
      <c r="A113" s="1" t="s">
        <v>3592</v>
      </c>
      <c r="B113" s="1" t="s">
        <v>3593</v>
      </c>
      <c r="C113" s="1" t="s">
        <v>16672</v>
      </c>
      <c r="D113" s="1" t="s">
        <v>16681</v>
      </c>
      <c r="E113" s="1" t="s">
        <v>10283</v>
      </c>
    </row>
    <row r="114" spans="1:5" x14ac:dyDescent="0.15">
      <c r="A114" s="1" t="s">
        <v>3594</v>
      </c>
      <c r="B114" s="1" t="s">
        <v>3595</v>
      </c>
      <c r="C114" s="1" t="s">
        <v>16672</v>
      </c>
      <c r="D114" s="1" t="s">
        <v>16681</v>
      </c>
      <c r="E114" s="1" t="s">
        <v>10283</v>
      </c>
    </row>
    <row r="115" spans="1:5" x14ac:dyDescent="0.15">
      <c r="A115" s="1" t="s">
        <v>3596</v>
      </c>
      <c r="B115" s="1" t="s">
        <v>3597</v>
      </c>
      <c r="C115" s="1" t="s">
        <v>16672</v>
      </c>
      <c r="D115" s="1" t="s">
        <v>16688</v>
      </c>
      <c r="E115" s="1" t="s">
        <v>10289</v>
      </c>
    </row>
    <row r="116" spans="1:5" x14ac:dyDescent="0.15">
      <c r="A116" s="1" t="s">
        <v>3598</v>
      </c>
      <c r="B116" s="1" t="s">
        <v>3599</v>
      </c>
      <c r="C116" s="1" t="s">
        <v>16672</v>
      </c>
      <c r="D116" s="1" t="s">
        <v>16695</v>
      </c>
      <c r="E116" s="1" t="s">
        <v>10294</v>
      </c>
    </row>
    <row r="117" spans="1:5" x14ac:dyDescent="0.15">
      <c r="A117" s="1" t="s">
        <v>3600</v>
      </c>
      <c r="B117" s="1" t="s">
        <v>3601</v>
      </c>
      <c r="C117" s="1" t="s">
        <v>16672</v>
      </c>
      <c r="D117" s="1" t="s">
        <v>16702</v>
      </c>
      <c r="E117" s="1" t="s">
        <v>12660</v>
      </c>
    </row>
    <row r="118" spans="1:5" x14ac:dyDescent="0.15">
      <c r="A118" s="1" t="s">
        <v>3602</v>
      </c>
      <c r="B118" s="1" t="s">
        <v>3603</v>
      </c>
      <c r="C118" s="1" t="s">
        <v>16672</v>
      </c>
      <c r="D118" s="1" t="s">
        <v>16709</v>
      </c>
      <c r="E118" s="1" t="s">
        <v>10301</v>
      </c>
    </row>
    <row r="119" spans="1:5" x14ac:dyDescent="0.15">
      <c r="A119" s="1" t="s">
        <v>3604</v>
      </c>
      <c r="B119" s="1" t="s">
        <v>3605</v>
      </c>
      <c r="C119" s="1" t="s">
        <v>16672</v>
      </c>
      <c r="D119" s="1" t="s">
        <v>16716</v>
      </c>
      <c r="E119" s="1" t="s">
        <v>10311</v>
      </c>
    </row>
    <row r="120" spans="1:5" x14ac:dyDescent="0.15">
      <c r="A120" s="1" t="s">
        <v>3606</v>
      </c>
      <c r="B120" s="1" t="s">
        <v>3607</v>
      </c>
      <c r="C120" s="1" t="s">
        <v>16672</v>
      </c>
      <c r="D120" s="1" t="s">
        <v>16723</v>
      </c>
      <c r="E120" s="1" t="s">
        <v>10315</v>
      </c>
    </row>
    <row r="121" spans="1:5" x14ac:dyDescent="0.15">
      <c r="A121" s="1" t="s">
        <v>3608</v>
      </c>
      <c r="B121" s="1" t="s">
        <v>3609</v>
      </c>
      <c r="C121" s="1" t="s">
        <v>16672</v>
      </c>
      <c r="D121" s="1" t="s">
        <v>16730</v>
      </c>
      <c r="E121" s="1" t="s">
        <v>10322</v>
      </c>
    </row>
    <row r="122" spans="1:5" x14ac:dyDescent="0.15">
      <c r="A122" s="1" t="s">
        <v>3610</v>
      </c>
      <c r="B122" s="1" t="s">
        <v>3611</v>
      </c>
      <c r="C122" s="1" t="s">
        <v>16672</v>
      </c>
      <c r="D122" s="1" t="s">
        <v>16765</v>
      </c>
      <c r="E122" s="1" t="s">
        <v>10582</v>
      </c>
    </row>
    <row r="123" spans="1:5" x14ac:dyDescent="0.15">
      <c r="A123" s="1" t="s">
        <v>3612</v>
      </c>
      <c r="B123" s="1" t="s">
        <v>3613</v>
      </c>
      <c r="C123" s="1" t="s">
        <v>16672</v>
      </c>
      <c r="D123" s="1" t="s">
        <v>16772</v>
      </c>
      <c r="E123" s="1" t="s">
        <v>10349</v>
      </c>
    </row>
    <row r="124" spans="1:5" x14ac:dyDescent="0.15">
      <c r="A124" s="1" t="s">
        <v>3614</v>
      </c>
      <c r="B124" s="1" t="s">
        <v>3615</v>
      </c>
      <c r="C124" s="1" t="s">
        <v>16672</v>
      </c>
      <c r="D124" s="1" t="s">
        <v>16779</v>
      </c>
      <c r="E124" s="1" t="s">
        <v>10353</v>
      </c>
    </row>
    <row r="125" spans="1:5" x14ac:dyDescent="0.15">
      <c r="A125" s="1" t="s">
        <v>3616</v>
      </c>
      <c r="B125" s="1" t="s">
        <v>3617</v>
      </c>
      <c r="C125" s="1" t="s">
        <v>16672</v>
      </c>
      <c r="D125" s="1" t="s">
        <v>16793</v>
      </c>
      <c r="E125" s="1" t="s">
        <v>10361</v>
      </c>
    </row>
    <row r="126" spans="1:5" x14ac:dyDescent="0.15">
      <c r="A126" s="1" t="s">
        <v>3618</v>
      </c>
      <c r="B126" s="1" t="s">
        <v>3619</v>
      </c>
      <c r="C126" s="1" t="s">
        <v>16672</v>
      </c>
      <c r="D126" s="1" t="s">
        <v>16821</v>
      </c>
      <c r="E126" s="1" t="s">
        <v>10377</v>
      </c>
    </row>
    <row r="127" spans="1:5" x14ac:dyDescent="0.15">
      <c r="A127" s="1" t="s">
        <v>3620</v>
      </c>
      <c r="B127" s="1" t="s">
        <v>3621</v>
      </c>
      <c r="C127" s="1" t="s">
        <v>16672</v>
      </c>
      <c r="D127" s="1" t="s">
        <v>16828</v>
      </c>
      <c r="E127" s="1" t="s">
        <v>10381</v>
      </c>
    </row>
    <row r="128" spans="1:5" x14ac:dyDescent="0.15">
      <c r="A128" s="1" t="s">
        <v>3622</v>
      </c>
      <c r="B128" s="1" t="s">
        <v>3623</v>
      </c>
      <c r="C128" s="1" t="s">
        <v>16672</v>
      </c>
      <c r="D128" s="1" t="s">
        <v>16835</v>
      </c>
      <c r="E128" s="1" t="s">
        <v>10385</v>
      </c>
    </row>
    <row r="129" spans="1:5" x14ac:dyDescent="0.15">
      <c r="A129" s="1" t="s">
        <v>3624</v>
      </c>
      <c r="B129" s="1" t="s">
        <v>3625</v>
      </c>
      <c r="C129" s="1" t="s">
        <v>16672</v>
      </c>
      <c r="D129" s="1" t="s">
        <v>16258</v>
      </c>
      <c r="E129" s="1" t="s">
        <v>10390</v>
      </c>
    </row>
    <row r="130" spans="1:5" x14ac:dyDescent="0.15">
      <c r="A130" s="1" t="s">
        <v>3626</v>
      </c>
      <c r="B130" s="1" t="s">
        <v>3627</v>
      </c>
      <c r="C130" s="1" t="s">
        <v>16672</v>
      </c>
      <c r="D130" s="1" t="s">
        <v>16265</v>
      </c>
      <c r="E130" s="1" t="s">
        <v>10395</v>
      </c>
    </row>
    <row r="131" spans="1:5" x14ac:dyDescent="0.15">
      <c r="A131" s="1" t="s">
        <v>3628</v>
      </c>
      <c r="B131" s="1" t="s">
        <v>3629</v>
      </c>
      <c r="C131" s="1" t="s">
        <v>16672</v>
      </c>
      <c r="D131" s="1" t="s">
        <v>16272</v>
      </c>
      <c r="E131" s="1" t="s">
        <v>10399</v>
      </c>
    </row>
    <row r="132" spans="1:5" x14ac:dyDescent="0.15">
      <c r="A132" s="1" t="s">
        <v>3630</v>
      </c>
      <c r="B132" s="1" t="s">
        <v>3631</v>
      </c>
      <c r="C132" s="1" t="s">
        <v>16672</v>
      </c>
      <c r="D132" s="1" t="s">
        <v>16279</v>
      </c>
      <c r="E132" s="1" t="s">
        <v>10405</v>
      </c>
    </row>
    <row r="133" spans="1:5" x14ac:dyDescent="0.15">
      <c r="A133" s="1" t="s">
        <v>3632</v>
      </c>
      <c r="B133" s="1" t="s">
        <v>3633</v>
      </c>
      <c r="C133" s="1" t="s">
        <v>16672</v>
      </c>
      <c r="D133" s="1" t="s">
        <v>16286</v>
      </c>
      <c r="E133" s="1" t="s">
        <v>10410</v>
      </c>
    </row>
    <row r="134" spans="1:5" x14ac:dyDescent="0.15">
      <c r="A134" s="1" t="s">
        <v>3634</v>
      </c>
      <c r="B134" s="1" t="s">
        <v>3635</v>
      </c>
      <c r="C134" s="1" t="s">
        <v>16672</v>
      </c>
      <c r="D134" s="1" t="s">
        <v>16300</v>
      </c>
      <c r="E134" s="1" t="s">
        <v>10418</v>
      </c>
    </row>
    <row r="135" spans="1:5" x14ac:dyDescent="0.15">
      <c r="A135" s="1" t="s">
        <v>3636</v>
      </c>
      <c r="B135" s="1" t="s">
        <v>3637</v>
      </c>
      <c r="C135" s="1" t="s">
        <v>16672</v>
      </c>
      <c r="D135" s="1" t="s">
        <v>10445</v>
      </c>
      <c r="E135" s="1" t="s">
        <v>10443</v>
      </c>
    </row>
    <row r="136" spans="1:5" x14ac:dyDescent="0.15">
      <c r="A136" s="1" t="s">
        <v>3638</v>
      </c>
      <c r="B136" s="1" t="s">
        <v>3639</v>
      </c>
      <c r="C136" s="1" t="s">
        <v>16672</v>
      </c>
      <c r="D136" s="1" t="s">
        <v>10457</v>
      </c>
      <c r="E136" s="1" t="s">
        <v>10455</v>
      </c>
    </row>
    <row r="137" spans="1:5" x14ac:dyDescent="0.15">
      <c r="A137" s="1" t="s">
        <v>3640</v>
      </c>
      <c r="B137" s="1" t="s">
        <v>3641</v>
      </c>
      <c r="C137" s="1" t="s">
        <v>16672</v>
      </c>
      <c r="D137" s="1" t="s">
        <v>10553</v>
      </c>
      <c r="E137" s="1" t="s">
        <v>10551</v>
      </c>
    </row>
    <row r="138" spans="1:5" x14ac:dyDescent="0.15">
      <c r="A138" s="1" t="s">
        <v>3642</v>
      </c>
      <c r="B138" s="1" t="s">
        <v>3643</v>
      </c>
      <c r="C138" s="1" t="s">
        <v>16672</v>
      </c>
      <c r="D138" s="1" t="s">
        <v>10553</v>
      </c>
      <c r="E138" s="1" t="s">
        <v>10551</v>
      </c>
    </row>
    <row r="139" spans="1:5" x14ac:dyDescent="0.15">
      <c r="A139" s="1" t="s">
        <v>3644</v>
      </c>
      <c r="B139" s="1" t="s">
        <v>3645</v>
      </c>
      <c r="C139" s="1" t="s">
        <v>16672</v>
      </c>
      <c r="D139" s="1" t="s">
        <v>16335</v>
      </c>
      <c r="E139" s="1" t="s">
        <v>10557</v>
      </c>
    </row>
    <row r="140" spans="1:5" x14ac:dyDescent="0.15">
      <c r="A140" s="1" t="s">
        <v>3646</v>
      </c>
      <c r="B140" s="1" t="s">
        <v>3647</v>
      </c>
      <c r="C140" s="1" t="s">
        <v>16338</v>
      </c>
      <c r="D140" s="1" t="s">
        <v>16355</v>
      </c>
      <c r="E140" s="1" t="s">
        <v>10572</v>
      </c>
    </row>
    <row r="141" spans="1:5" x14ac:dyDescent="0.15">
      <c r="A141" s="1" t="s">
        <v>3648</v>
      </c>
      <c r="B141" s="1" t="s">
        <v>3649</v>
      </c>
      <c r="C141" s="1" t="s">
        <v>16338</v>
      </c>
      <c r="D141" s="1" t="s">
        <v>16367</v>
      </c>
      <c r="E141" s="1" t="s">
        <v>10580</v>
      </c>
    </row>
    <row r="142" spans="1:5" x14ac:dyDescent="0.15">
      <c r="A142" s="1" t="s">
        <v>3650</v>
      </c>
      <c r="B142" s="1" t="s">
        <v>3651</v>
      </c>
      <c r="C142" s="1" t="s">
        <v>16338</v>
      </c>
      <c r="D142" s="1" t="s">
        <v>16391</v>
      </c>
      <c r="E142" s="1" t="s">
        <v>10472</v>
      </c>
    </row>
    <row r="143" spans="1:5" x14ac:dyDescent="0.15">
      <c r="A143" s="1" t="s">
        <v>3652</v>
      </c>
      <c r="B143" s="1" t="s">
        <v>3653</v>
      </c>
      <c r="C143" s="1" t="s">
        <v>16338</v>
      </c>
      <c r="D143" s="1" t="s">
        <v>16395</v>
      </c>
      <c r="E143" s="1" t="s">
        <v>10474</v>
      </c>
    </row>
    <row r="144" spans="1:5" x14ac:dyDescent="0.15">
      <c r="A144" s="1" t="s">
        <v>3654</v>
      </c>
      <c r="B144" s="1" t="s">
        <v>3655</v>
      </c>
      <c r="C144" s="1" t="s">
        <v>16338</v>
      </c>
      <c r="D144" s="1" t="s">
        <v>16427</v>
      </c>
      <c r="E144" s="1" t="s">
        <v>10488</v>
      </c>
    </row>
    <row r="145" spans="1:5" x14ac:dyDescent="0.15">
      <c r="A145" s="1" t="s">
        <v>3656</v>
      </c>
      <c r="B145" s="1" t="s">
        <v>3657</v>
      </c>
      <c r="C145" s="1" t="s">
        <v>16338</v>
      </c>
      <c r="D145" s="1" t="s">
        <v>10447</v>
      </c>
      <c r="E145" s="1" t="s">
        <v>10448</v>
      </c>
    </row>
    <row r="146" spans="1:5" x14ac:dyDescent="0.15">
      <c r="A146" s="1" t="s">
        <v>3658</v>
      </c>
      <c r="B146" s="1" t="s">
        <v>3659</v>
      </c>
      <c r="C146" s="1" t="s">
        <v>16338</v>
      </c>
      <c r="D146" s="1" t="s">
        <v>16451</v>
      </c>
      <c r="E146" s="1" t="s">
        <v>10506</v>
      </c>
    </row>
    <row r="147" spans="1:5" x14ac:dyDescent="0.15">
      <c r="A147" s="1" t="s">
        <v>3660</v>
      </c>
      <c r="B147" s="1" t="s">
        <v>3661</v>
      </c>
      <c r="C147" s="1" t="s">
        <v>16338</v>
      </c>
      <c r="D147" s="1" t="s">
        <v>16483</v>
      </c>
      <c r="E147" s="1" t="s">
        <v>10109</v>
      </c>
    </row>
    <row r="148" spans="1:5" x14ac:dyDescent="0.15">
      <c r="A148" s="1" t="s">
        <v>3662</v>
      </c>
      <c r="B148" s="1" t="s">
        <v>3663</v>
      </c>
      <c r="C148" s="1" t="s">
        <v>16338</v>
      </c>
      <c r="D148" s="1" t="s">
        <v>16483</v>
      </c>
      <c r="E148" s="1" t="s">
        <v>10109</v>
      </c>
    </row>
    <row r="149" spans="1:5" x14ac:dyDescent="0.15">
      <c r="A149" s="1" t="s">
        <v>3664</v>
      </c>
      <c r="B149" s="1" t="s">
        <v>3665</v>
      </c>
      <c r="C149" s="1" t="s">
        <v>16338</v>
      </c>
      <c r="D149" s="1" t="s">
        <v>15934</v>
      </c>
      <c r="E149" s="1" t="s">
        <v>10328</v>
      </c>
    </row>
    <row r="150" spans="1:5" x14ac:dyDescent="0.15">
      <c r="A150" s="1" t="s">
        <v>3666</v>
      </c>
      <c r="B150" s="1" t="s">
        <v>3667</v>
      </c>
      <c r="C150" s="1" t="s">
        <v>16338</v>
      </c>
      <c r="D150" s="1" t="s">
        <v>12664</v>
      </c>
      <c r="E150" s="1" t="s">
        <v>10156</v>
      </c>
    </row>
    <row r="151" spans="1:5" x14ac:dyDescent="0.15">
      <c r="A151" s="1" t="s">
        <v>3668</v>
      </c>
      <c r="B151" s="1" t="s">
        <v>3669</v>
      </c>
      <c r="C151" s="1" t="s">
        <v>16338</v>
      </c>
      <c r="D151" s="1" t="s">
        <v>10164</v>
      </c>
      <c r="E151" s="1" t="s">
        <v>10165</v>
      </c>
    </row>
    <row r="152" spans="1:5" x14ac:dyDescent="0.15">
      <c r="A152" s="1" t="s">
        <v>3670</v>
      </c>
      <c r="B152" s="1" t="s">
        <v>3671</v>
      </c>
      <c r="C152" s="1" t="s">
        <v>16338</v>
      </c>
      <c r="D152" s="1" t="s">
        <v>15958</v>
      </c>
      <c r="E152" s="1" t="s">
        <v>10182</v>
      </c>
    </row>
    <row r="153" spans="1:5" x14ac:dyDescent="0.15">
      <c r="A153" s="1" t="s">
        <v>3672</v>
      </c>
      <c r="B153" s="1" t="s">
        <v>3673</v>
      </c>
      <c r="C153" s="1" t="s">
        <v>16338</v>
      </c>
      <c r="D153" s="1" t="s">
        <v>15958</v>
      </c>
      <c r="E153" s="1" t="s">
        <v>10182</v>
      </c>
    </row>
    <row r="154" spans="1:5" x14ac:dyDescent="0.15">
      <c r="A154" s="1" t="s">
        <v>3674</v>
      </c>
      <c r="B154" s="1" t="s">
        <v>3675</v>
      </c>
      <c r="C154" s="1" t="s">
        <v>15962</v>
      </c>
      <c r="D154" s="1" t="s">
        <v>15971</v>
      </c>
      <c r="E154" s="1" t="s">
        <v>10654</v>
      </c>
    </row>
    <row r="155" spans="1:5" x14ac:dyDescent="0.15">
      <c r="A155" s="1" t="s">
        <v>3676</v>
      </c>
      <c r="B155" s="1" t="s">
        <v>3677</v>
      </c>
      <c r="C155" s="1" t="s">
        <v>15962</v>
      </c>
      <c r="D155" s="1" t="s">
        <v>15971</v>
      </c>
      <c r="E155" s="1" t="s">
        <v>10654</v>
      </c>
    </row>
    <row r="156" spans="1:5" x14ac:dyDescent="0.15">
      <c r="A156" s="1" t="s">
        <v>3678</v>
      </c>
      <c r="B156" s="1" t="s">
        <v>3679</v>
      </c>
      <c r="C156" s="1" t="s">
        <v>15962</v>
      </c>
      <c r="D156" s="1" t="s">
        <v>15975</v>
      </c>
      <c r="E156" s="1" t="s">
        <v>10586</v>
      </c>
    </row>
    <row r="157" spans="1:5" x14ac:dyDescent="0.15">
      <c r="A157" s="1" t="s">
        <v>3680</v>
      </c>
      <c r="B157" s="1" t="s">
        <v>3681</v>
      </c>
      <c r="C157" s="1" t="s">
        <v>15962</v>
      </c>
      <c r="D157" s="1" t="s">
        <v>10197</v>
      </c>
      <c r="E157" s="1" t="s">
        <v>10198</v>
      </c>
    </row>
    <row r="158" spans="1:5" x14ac:dyDescent="0.15">
      <c r="A158" s="1" t="s">
        <v>3682</v>
      </c>
      <c r="B158" s="1" t="s">
        <v>3683</v>
      </c>
      <c r="C158" s="1" t="s">
        <v>15962</v>
      </c>
      <c r="D158" s="1" t="s">
        <v>15987</v>
      </c>
      <c r="E158" s="1" t="s">
        <v>11408</v>
      </c>
    </row>
    <row r="159" spans="1:5" x14ac:dyDescent="0.15">
      <c r="A159" s="1" t="s">
        <v>3684</v>
      </c>
      <c r="B159" s="1" t="s">
        <v>3685</v>
      </c>
      <c r="C159" s="1" t="s">
        <v>15962</v>
      </c>
      <c r="D159" s="1" t="s">
        <v>15991</v>
      </c>
      <c r="E159" s="1" t="s">
        <v>11423</v>
      </c>
    </row>
    <row r="160" spans="1:5" x14ac:dyDescent="0.15">
      <c r="A160" s="1" t="s">
        <v>3686</v>
      </c>
      <c r="B160" s="1" t="s">
        <v>3687</v>
      </c>
      <c r="C160" s="1" t="s">
        <v>15962</v>
      </c>
      <c r="D160" s="1" t="s">
        <v>15999</v>
      </c>
      <c r="E160" s="1" t="s">
        <v>10217</v>
      </c>
    </row>
    <row r="161" spans="1:5" x14ac:dyDescent="0.15">
      <c r="A161" s="1" t="s">
        <v>3688</v>
      </c>
      <c r="B161" s="1" t="s">
        <v>3689</v>
      </c>
      <c r="C161" s="1" t="s">
        <v>15962</v>
      </c>
      <c r="D161" s="1" t="s">
        <v>16003</v>
      </c>
      <c r="E161" s="1" t="s">
        <v>11365</v>
      </c>
    </row>
    <row r="162" spans="1:5" x14ac:dyDescent="0.15">
      <c r="A162" s="1" t="s">
        <v>3690</v>
      </c>
      <c r="B162" s="1" t="s">
        <v>3691</v>
      </c>
      <c r="C162" s="1" t="s">
        <v>15962</v>
      </c>
      <c r="D162" s="1" t="s">
        <v>16021</v>
      </c>
      <c r="E162" s="1" t="s">
        <v>11415</v>
      </c>
    </row>
    <row r="163" spans="1:5" x14ac:dyDescent="0.15">
      <c r="A163" s="1" t="s">
        <v>3692</v>
      </c>
      <c r="B163" s="1" t="s">
        <v>3693</v>
      </c>
      <c r="C163" s="1" t="s">
        <v>15962</v>
      </c>
      <c r="D163" s="1" t="s">
        <v>16025</v>
      </c>
      <c r="E163" s="1" t="s">
        <v>11368</v>
      </c>
    </row>
    <row r="164" spans="1:5" x14ac:dyDescent="0.15">
      <c r="A164" s="1" t="s">
        <v>3694</v>
      </c>
      <c r="B164" s="1" t="s">
        <v>3695</v>
      </c>
      <c r="C164" s="1" t="s">
        <v>15962</v>
      </c>
      <c r="D164" s="1" t="s">
        <v>16040</v>
      </c>
      <c r="E164" s="1" t="s">
        <v>10264</v>
      </c>
    </row>
    <row r="165" spans="1:5" x14ac:dyDescent="0.15">
      <c r="A165" s="1" t="s">
        <v>3696</v>
      </c>
      <c r="B165" s="1" t="s">
        <v>3697</v>
      </c>
      <c r="C165" s="1" t="s">
        <v>15962</v>
      </c>
      <c r="D165" s="1" t="s">
        <v>16051</v>
      </c>
      <c r="E165" s="1" t="s">
        <v>11380</v>
      </c>
    </row>
    <row r="166" spans="1:5" x14ac:dyDescent="0.15">
      <c r="A166" s="1" t="s">
        <v>3698</v>
      </c>
      <c r="B166" s="1" t="s">
        <v>3699</v>
      </c>
      <c r="C166" s="1" t="s">
        <v>15962</v>
      </c>
      <c r="D166" s="1" t="s">
        <v>16055</v>
      </c>
      <c r="E166" s="1" t="s">
        <v>11419</v>
      </c>
    </row>
    <row r="167" spans="1:5" x14ac:dyDescent="0.15">
      <c r="A167" s="1" t="s">
        <v>3700</v>
      </c>
      <c r="B167" s="1" t="s">
        <v>3701</v>
      </c>
      <c r="C167" s="1" t="s">
        <v>15962</v>
      </c>
      <c r="D167" s="1" t="s">
        <v>16063</v>
      </c>
      <c r="E167" s="1" t="s">
        <v>10739</v>
      </c>
    </row>
    <row r="168" spans="1:5" x14ac:dyDescent="0.15">
      <c r="A168" s="1" t="s">
        <v>3702</v>
      </c>
      <c r="B168" s="1" t="s">
        <v>3703</v>
      </c>
      <c r="C168" s="1" t="s">
        <v>15962</v>
      </c>
      <c r="D168" s="1" t="s">
        <v>16075</v>
      </c>
      <c r="E168" s="1" t="s">
        <v>9877</v>
      </c>
    </row>
    <row r="169" spans="1:5" x14ac:dyDescent="0.15">
      <c r="A169" s="1" t="s">
        <v>3704</v>
      </c>
      <c r="B169" s="1" t="s">
        <v>3705</v>
      </c>
      <c r="C169" s="1" t="s">
        <v>15962</v>
      </c>
      <c r="D169" s="1" t="s">
        <v>16079</v>
      </c>
      <c r="E169" s="1" t="s">
        <v>9879</v>
      </c>
    </row>
    <row r="170" spans="1:5" x14ac:dyDescent="0.15">
      <c r="A170" s="1" t="s">
        <v>3706</v>
      </c>
      <c r="B170" s="1" t="s">
        <v>3707</v>
      </c>
      <c r="C170" s="1" t="s">
        <v>15962</v>
      </c>
      <c r="D170" s="1" t="s">
        <v>9885</v>
      </c>
      <c r="E170" s="1" t="s">
        <v>9886</v>
      </c>
    </row>
    <row r="171" spans="1:5" x14ac:dyDescent="0.15">
      <c r="A171" s="1" t="s">
        <v>3708</v>
      </c>
      <c r="B171" s="1" t="s">
        <v>3709</v>
      </c>
      <c r="C171" s="1" t="s">
        <v>15962</v>
      </c>
      <c r="D171" s="1" t="s">
        <v>16087</v>
      </c>
      <c r="E171" s="1" t="s">
        <v>9894</v>
      </c>
    </row>
    <row r="172" spans="1:5" x14ac:dyDescent="0.15">
      <c r="A172" s="1" t="s">
        <v>3710</v>
      </c>
      <c r="B172" s="1" t="s">
        <v>3711</v>
      </c>
      <c r="C172" s="1" t="s">
        <v>15962</v>
      </c>
      <c r="D172" s="1" t="s">
        <v>16095</v>
      </c>
      <c r="E172" s="1" t="s">
        <v>9901</v>
      </c>
    </row>
    <row r="173" spans="1:5" x14ac:dyDescent="0.15">
      <c r="A173" s="1" t="s">
        <v>3712</v>
      </c>
      <c r="B173" s="1" t="s">
        <v>3713</v>
      </c>
      <c r="C173" s="1" t="s">
        <v>15962</v>
      </c>
      <c r="D173" s="1" t="s">
        <v>16099</v>
      </c>
      <c r="E173" s="1" t="s">
        <v>9903</v>
      </c>
    </row>
    <row r="174" spans="1:5" x14ac:dyDescent="0.15">
      <c r="A174" s="1" t="s">
        <v>3714</v>
      </c>
      <c r="B174" s="1" t="s">
        <v>3715</v>
      </c>
      <c r="C174" s="1" t="s">
        <v>15962</v>
      </c>
      <c r="D174" s="1" t="s">
        <v>16111</v>
      </c>
      <c r="E174" s="1" t="s">
        <v>9973</v>
      </c>
    </row>
    <row r="175" spans="1:5" x14ac:dyDescent="0.15">
      <c r="A175" s="1" t="s">
        <v>3716</v>
      </c>
      <c r="B175" s="1" t="s">
        <v>3717</v>
      </c>
      <c r="C175" s="1" t="s">
        <v>15962</v>
      </c>
      <c r="D175" s="1" t="s">
        <v>16111</v>
      </c>
      <c r="E175" s="1" t="s">
        <v>9973</v>
      </c>
    </row>
    <row r="176" spans="1:5" x14ac:dyDescent="0.15">
      <c r="A176" s="1" t="s">
        <v>3718</v>
      </c>
      <c r="B176" s="1" t="s">
        <v>3719</v>
      </c>
      <c r="C176" s="1" t="s">
        <v>17136</v>
      </c>
      <c r="D176" s="1" t="s">
        <v>17137</v>
      </c>
      <c r="E176" s="1" t="s">
        <v>10660</v>
      </c>
    </row>
    <row r="177" spans="1:5" x14ac:dyDescent="0.15">
      <c r="A177" s="1" t="s">
        <v>3720</v>
      </c>
      <c r="B177" s="1" t="s">
        <v>3721</v>
      </c>
      <c r="C177" s="1" t="s">
        <v>17136</v>
      </c>
      <c r="D177" s="1" t="s">
        <v>17137</v>
      </c>
      <c r="E177" s="1" t="s">
        <v>10660</v>
      </c>
    </row>
    <row r="178" spans="1:5" x14ac:dyDescent="0.15">
      <c r="A178" s="1" t="s">
        <v>3722</v>
      </c>
      <c r="B178" s="1" t="s">
        <v>3723</v>
      </c>
      <c r="C178" s="1" t="s">
        <v>17136</v>
      </c>
      <c r="D178" s="1" t="s">
        <v>17168</v>
      </c>
      <c r="E178" s="1" t="s">
        <v>10010</v>
      </c>
    </row>
    <row r="179" spans="1:5" x14ac:dyDescent="0.15">
      <c r="A179" s="1" t="s">
        <v>3724</v>
      </c>
      <c r="B179" s="1" t="s">
        <v>3725</v>
      </c>
      <c r="C179" s="1" t="s">
        <v>17136</v>
      </c>
      <c r="D179" s="1" t="s">
        <v>17180</v>
      </c>
      <c r="E179" s="1" t="s">
        <v>10021</v>
      </c>
    </row>
    <row r="180" spans="1:5" x14ac:dyDescent="0.15">
      <c r="A180" s="1" t="s">
        <v>3726</v>
      </c>
      <c r="B180" s="1" t="s">
        <v>3727</v>
      </c>
      <c r="C180" s="1" t="s">
        <v>17136</v>
      </c>
      <c r="D180" s="1" t="s">
        <v>17192</v>
      </c>
      <c r="E180" s="1" t="s">
        <v>10029</v>
      </c>
    </row>
    <row r="181" spans="1:5" x14ac:dyDescent="0.15">
      <c r="A181" s="1" t="s">
        <v>3728</v>
      </c>
      <c r="B181" s="1" t="s">
        <v>3729</v>
      </c>
      <c r="C181" s="1" t="s">
        <v>17136</v>
      </c>
      <c r="D181" s="1" t="s">
        <v>17204</v>
      </c>
      <c r="E181" s="1" t="s">
        <v>10036</v>
      </c>
    </row>
    <row r="182" spans="1:5" x14ac:dyDescent="0.15">
      <c r="A182" s="1" t="s">
        <v>3730</v>
      </c>
      <c r="B182" s="1" t="s">
        <v>3731</v>
      </c>
      <c r="C182" s="1" t="s">
        <v>17136</v>
      </c>
      <c r="D182" s="1" t="s">
        <v>17220</v>
      </c>
      <c r="E182" s="1" t="s">
        <v>10051</v>
      </c>
    </row>
    <row r="183" spans="1:5" x14ac:dyDescent="0.15">
      <c r="A183" s="1" t="s">
        <v>3732</v>
      </c>
      <c r="B183" s="1" t="s">
        <v>3733</v>
      </c>
      <c r="C183" s="1" t="s">
        <v>17136</v>
      </c>
      <c r="D183" s="1" t="s">
        <v>16143</v>
      </c>
      <c r="E183" s="1" t="s">
        <v>10085</v>
      </c>
    </row>
    <row r="184" spans="1:5" x14ac:dyDescent="0.15">
      <c r="A184" s="1" t="s">
        <v>3734</v>
      </c>
      <c r="B184" s="1" t="s">
        <v>3735</v>
      </c>
      <c r="C184" s="1" t="s">
        <v>15656</v>
      </c>
      <c r="D184" s="1" t="s">
        <v>15665</v>
      </c>
      <c r="E184" s="1" t="s">
        <v>9618</v>
      </c>
    </row>
    <row r="185" spans="1:5" x14ac:dyDescent="0.15">
      <c r="A185" s="1" t="s">
        <v>3736</v>
      </c>
      <c r="B185" s="1" t="s">
        <v>3737</v>
      </c>
      <c r="C185" s="1" t="s">
        <v>15656</v>
      </c>
      <c r="D185" s="1" t="s">
        <v>9685</v>
      </c>
      <c r="E185" s="1" t="s">
        <v>9683</v>
      </c>
    </row>
    <row r="186" spans="1:5" x14ac:dyDescent="0.15">
      <c r="A186" s="1" t="s">
        <v>3738</v>
      </c>
      <c r="B186" s="1" t="s">
        <v>3739</v>
      </c>
      <c r="C186" s="1" t="s">
        <v>15685</v>
      </c>
      <c r="D186" s="1" t="s">
        <v>15694</v>
      </c>
      <c r="E186" s="1" t="s">
        <v>10651</v>
      </c>
    </row>
    <row r="187" spans="1:5" x14ac:dyDescent="0.15">
      <c r="A187" s="1" t="s">
        <v>3740</v>
      </c>
      <c r="B187" s="1" t="s">
        <v>3741</v>
      </c>
      <c r="C187" s="1" t="s">
        <v>15685</v>
      </c>
      <c r="D187" s="1" t="s">
        <v>15694</v>
      </c>
      <c r="E187" s="1" t="s">
        <v>10651</v>
      </c>
    </row>
    <row r="188" spans="1:5" x14ac:dyDescent="0.15">
      <c r="A188" s="1" t="s">
        <v>3742</v>
      </c>
      <c r="B188" s="1" t="s">
        <v>3743</v>
      </c>
      <c r="C188" s="1" t="s">
        <v>15685</v>
      </c>
      <c r="D188" s="1" t="s">
        <v>15715</v>
      </c>
      <c r="E188" s="1" t="s">
        <v>9698</v>
      </c>
    </row>
    <row r="189" spans="1:5" x14ac:dyDescent="0.15">
      <c r="A189" s="1" t="s">
        <v>3744</v>
      </c>
      <c r="B189" s="1" t="s">
        <v>3745</v>
      </c>
      <c r="C189" s="1" t="s">
        <v>15685</v>
      </c>
      <c r="D189" s="1" t="s">
        <v>15729</v>
      </c>
      <c r="E189" s="1" t="s">
        <v>11375</v>
      </c>
    </row>
    <row r="190" spans="1:5" x14ac:dyDescent="0.15">
      <c r="A190" s="1" t="s">
        <v>3746</v>
      </c>
      <c r="B190" s="1" t="s">
        <v>3747</v>
      </c>
      <c r="C190" s="1" t="s">
        <v>15685</v>
      </c>
      <c r="D190" s="1" t="s">
        <v>15736</v>
      </c>
      <c r="E190" s="1" t="s">
        <v>10742</v>
      </c>
    </row>
    <row r="191" spans="1:5" x14ac:dyDescent="0.15">
      <c r="A191" s="1" t="s">
        <v>3748</v>
      </c>
      <c r="B191" s="1" t="s">
        <v>3749</v>
      </c>
      <c r="C191" s="1" t="s">
        <v>15685</v>
      </c>
      <c r="D191" s="1" t="s">
        <v>15750</v>
      </c>
      <c r="E191" s="1" t="s">
        <v>9717</v>
      </c>
    </row>
    <row r="192" spans="1:5" x14ac:dyDescent="0.15">
      <c r="A192" s="1" t="s">
        <v>3750</v>
      </c>
      <c r="B192" s="1" t="s">
        <v>3751</v>
      </c>
      <c r="C192" s="1" t="s">
        <v>15753</v>
      </c>
      <c r="D192" s="1" t="s">
        <v>15762</v>
      </c>
      <c r="E192" s="1" t="s">
        <v>9726</v>
      </c>
    </row>
    <row r="193" spans="1:5" x14ac:dyDescent="0.15">
      <c r="A193" s="1" t="s">
        <v>3752</v>
      </c>
      <c r="B193" s="1" t="s">
        <v>3753</v>
      </c>
      <c r="C193" s="1" t="s">
        <v>15753</v>
      </c>
      <c r="D193" s="1" t="s">
        <v>15762</v>
      </c>
      <c r="E193" s="1" t="s">
        <v>9726</v>
      </c>
    </row>
    <row r="194" spans="1:5" x14ac:dyDescent="0.15">
      <c r="A194" s="1" t="s">
        <v>3754</v>
      </c>
      <c r="B194" s="1" t="s">
        <v>3755</v>
      </c>
      <c r="C194" s="1" t="s">
        <v>15753</v>
      </c>
      <c r="D194" s="1" t="s">
        <v>15770</v>
      </c>
      <c r="E194" s="1" t="s">
        <v>9730</v>
      </c>
    </row>
    <row r="195" spans="1:5" x14ac:dyDescent="0.15">
      <c r="A195" s="1" t="s">
        <v>3756</v>
      </c>
      <c r="B195" s="1" t="s">
        <v>3757</v>
      </c>
      <c r="C195" s="1" t="s">
        <v>15753</v>
      </c>
      <c r="D195" s="1" t="s">
        <v>15774</v>
      </c>
      <c r="E195" s="1" t="s">
        <v>9732</v>
      </c>
    </row>
    <row r="196" spans="1:5" x14ac:dyDescent="0.15">
      <c r="A196" s="1" t="s">
        <v>3758</v>
      </c>
      <c r="B196" s="1" t="s">
        <v>3759</v>
      </c>
      <c r="C196" s="1" t="s">
        <v>15778</v>
      </c>
      <c r="D196" s="1" t="s">
        <v>15787</v>
      </c>
      <c r="E196" s="1" t="s">
        <v>11191</v>
      </c>
    </row>
    <row r="197" spans="1:5" x14ac:dyDescent="0.15">
      <c r="A197" s="1" t="s">
        <v>3760</v>
      </c>
      <c r="B197" s="1" t="s">
        <v>3761</v>
      </c>
      <c r="C197" s="1" t="s">
        <v>15778</v>
      </c>
      <c r="D197" s="1" t="s">
        <v>15794</v>
      </c>
      <c r="E197" s="1" t="s">
        <v>9745</v>
      </c>
    </row>
    <row r="198" spans="1:5" x14ac:dyDescent="0.15">
      <c r="A198" s="1" t="s">
        <v>3762</v>
      </c>
      <c r="B198" s="1" t="s">
        <v>3763</v>
      </c>
      <c r="C198" s="1" t="s">
        <v>15778</v>
      </c>
      <c r="D198" s="1" t="s">
        <v>15801</v>
      </c>
      <c r="E198" s="1" t="s">
        <v>9750</v>
      </c>
    </row>
    <row r="199" spans="1:5" x14ac:dyDescent="0.15">
      <c r="A199" s="1" t="s">
        <v>3764</v>
      </c>
      <c r="B199" s="1" t="s">
        <v>3765</v>
      </c>
      <c r="C199" s="1" t="s">
        <v>15803</v>
      </c>
      <c r="D199" s="1" t="s">
        <v>15812</v>
      </c>
      <c r="E199" s="1" t="s">
        <v>10707</v>
      </c>
    </row>
    <row r="200" spans="1:5" x14ac:dyDescent="0.15">
      <c r="A200" s="1" t="s">
        <v>3766</v>
      </c>
      <c r="B200" s="1" t="s">
        <v>3767</v>
      </c>
      <c r="C200" s="1" t="s">
        <v>15803</v>
      </c>
      <c r="D200" s="1" t="s">
        <v>15812</v>
      </c>
      <c r="E200" s="1" t="s">
        <v>10707</v>
      </c>
    </row>
    <row r="201" spans="1:5" x14ac:dyDescent="0.15">
      <c r="A201" s="1" t="s">
        <v>3768</v>
      </c>
      <c r="B201" s="1" t="s">
        <v>3769</v>
      </c>
      <c r="C201" s="1" t="s">
        <v>15803</v>
      </c>
      <c r="D201" s="1" t="s">
        <v>15819</v>
      </c>
      <c r="E201" s="1" t="s">
        <v>9765</v>
      </c>
    </row>
    <row r="202" spans="1:5" x14ac:dyDescent="0.15">
      <c r="A202" s="1" t="s">
        <v>3770</v>
      </c>
      <c r="B202" s="1" t="s">
        <v>3771</v>
      </c>
      <c r="C202" s="1" t="s">
        <v>15803</v>
      </c>
      <c r="D202" s="1" t="s">
        <v>15823</v>
      </c>
      <c r="E202" s="1" t="s">
        <v>9767</v>
      </c>
    </row>
    <row r="203" spans="1:5" x14ac:dyDescent="0.15">
      <c r="A203" s="1" t="s">
        <v>3772</v>
      </c>
      <c r="B203" s="1" t="s">
        <v>3773</v>
      </c>
      <c r="C203" s="1" t="s">
        <v>15803</v>
      </c>
      <c r="D203" s="1" t="s">
        <v>9769</v>
      </c>
      <c r="E203" s="1" t="s">
        <v>9770</v>
      </c>
    </row>
    <row r="204" spans="1:5" x14ac:dyDescent="0.15">
      <c r="A204" s="1" t="s">
        <v>3774</v>
      </c>
      <c r="B204" s="1" t="s">
        <v>3775</v>
      </c>
      <c r="C204" s="1" t="s">
        <v>15803</v>
      </c>
      <c r="D204" s="1" t="s">
        <v>9784</v>
      </c>
      <c r="E204" s="1" t="s">
        <v>9785</v>
      </c>
    </row>
    <row r="205" spans="1:5" x14ac:dyDescent="0.15">
      <c r="A205" s="1" t="s">
        <v>3776</v>
      </c>
      <c r="B205" s="1" t="s">
        <v>3777</v>
      </c>
      <c r="C205" s="1" t="s">
        <v>15803</v>
      </c>
      <c r="D205" s="1" t="s">
        <v>15831</v>
      </c>
      <c r="E205" s="1" t="s">
        <v>11226</v>
      </c>
    </row>
    <row r="206" spans="1:5" x14ac:dyDescent="0.15">
      <c r="A206" s="1" t="s">
        <v>3778</v>
      </c>
      <c r="B206" s="1" t="s">
        <v>3779</v>
      </c>
      <c r="C206" s="1" t="s">
        <v>15803</v>
      </c>
      <c r="D206" s="1" t="s">
        <v>15835</v>
      </c>
      <c r="E206" s="1" t="s">
        <v>9795</v>
      </c>
    </row>
    <row r="207" spans="1:5" x14ac:dyDescent="0.15">
      <c r="A207" s="1" t="s">
        <v>3780</v>
      </c>
      <c r="B207" s="1" t="s">
        <v>3781</v>
      </c>
      <c r="C207" s="1" t="s">
        <v>15803</v>
      </c>
      <c r="D207" s="1" t="s">
        <v>15839</v>
      </c>
      <c r="E207" s="1" t="s">
        <v>9797</v>
      </c>
    </row>
    <row r="208" spans="1:5" x14ac:dyDescent="0.15">
      <c r="A208" s="1" t="s">
        <v>3782</v>
      </c>
      <c r="B208" s="1" t="s">
        <v>3783</v>
      </c>
      <c r="C208" s="1" t="s">
        <v>15803</v>
      </c>
      <c r="D208" s="1" t="s">
        <v>15843</v>
      </c>
      <c r="E208" s="1" t="s">
        <v>9802</v>
      </c>
    </row>
    <row r="209" spans="1:5" x14ac:dyDescent="0.15">
      <c r="A209" s="1" t="s">
        <v>3784</v>
      </c>
      <c r="B209" s="1" t="s">
        <v>3785</v>
      </c>
      <c r="C209" s="1" t="s">
        <v>15803</v>
      </c>
      <c r="D209" s="1" t="s">
        <v>15851</v>
      </c>
      <c r="E209" s="1" t="s">
        <v>9806</v>
      </c>
    </row>
    <row r="210" spans="1:5" x14ac:dyDescent="0.15">
      <c r="A210" s="1" t="s">
        <v>3786</v>
      </c>
      <c r="B210" s="1" t="s">
        <v>3787</v>
      </c>
      <c r="C210" s="1" t="s">
        <v>15803</v>
      </c>
      <c r="D210" s="1" t="s">
        <v>9809</v>
      </c>
      <c r="E210" s="1" t="s">
        <v>9810</v>
      </c>
    </row>
    <row r="211" spans="1:5" x14ac:dyDescent="0.15">
      <c r="A211" s="1" t="s">
        <v>3788</v>
      </c>
      <c r="B211" s="1" t="s">
        <v>3789</v>
      </c>
      <c r="C211" s="1" t="s">
        <v>15803</v>
      </c>
      <c r="D211" s="1" t="s">
        <v>9832</v>
      </c>
      <c r="E211" s="1" t="s">
        <v>9833</v>
      </c>
    </row>
    <row r="212" spans="1:5" x14ac:dyDescent="0.15">
      <c r="A212" s="1" t="s">
        <v>3790</v>
      </c>
      <c r="B212" s="1" t="s">
        <v>3791</v>
      </c>
      <c r="C212" s="1" t="s">
        <v>15803</v>
      </c>
      <c r="D212" s="1" t="s">
        <v>9832</v>
      </c>
      <c r="E212" s="1" t="s">
        <v>9833</v>
      </c>
    </row>
    <row r="213" spans="1:5" x14ac:dyDescent="0.15">
      <c r="A213" s="1" t="s">
        <v>3792</v>
      </c>
      <c r="B213" s="1" t="s">
        <v>3793</v>
      </c>
      <c r="C213" s="1" t="s">
        <v>15803</v>
      </c>
      <c r="D213" s="1" t="s">
        <v>15169</v>
      </c>
      <c r="E213" s="1" t="s">
        <v>11716</v>
      </c>
    </row>
    <row r="214" spans="1:5" x14ac:dyDescent="0.15">
      <c r="A214" s="1" t="s">
        <v>3794</v>
      </c>
      <c r="B214" s="1" t="s">
        <v>3795</v>
      </c>
      <c r="C214" s="1" t="s">
        <v>15803</v>
      </c>
      <c r="D214" s="1" t="s">
        <v>15173</v>
      </c>
      <c r="E214" s="1" t="s">
        <v>11757</v>
      </c>
    </row>
    <row r="215" spans="1:5" x14ac:dyDescent="0.15">
      <c r="A215" s="1" t="s">
        <v>3796</v>
      </c>
      <c r="B215" s="1" t="s">
        <v>3797</v>
      </c>
      <c r="C215" s="1" t="s">
        <v>15803</v>
      </c>
      <c r="D215" s="1" t="s">
        <v>11746</v>
      </c>
      <c r="E215" s="1" t="s">
        <v>11747</v>
      </c>
    </row>
    <row r="216" spans="1:5" x14ac:dyDescent="0.15">
      <c r="A216" s="1" t="s">
        <v>3798</v>
      </c>
      <c r="B216" s="1" t="s">
        <v>3799</v>
      </c>
      <c r="C216" s="1" t="s">
        <v>15803</v>
      </c>
      <c r="D216" s="1" t="s">
        <v>11725</v>
      </c>
      <c r="E216" s="1" t="s">
        <v>11726</v>
      </c>
    </row>
    <row r="217" spans="1:5" x14ac:dyDescent="0.15">
      <c r="A217" s="1" t="s">
        <v>3800</v>
      </c>
      <c r="B217" s="1" t="s">
        <v>3801</v>
      </c>
      <c r="C217" s="1" t="s">
        <v>15803</v>
      </c>
      <c r="D217" s="1" t="s">
        <v>9514</v>
      </c>
      <c r="E217" s="1" t="s">
        <v>11238</v>
      </c>
    </row>
    <row r="218" spans="1:5" x14ac:dyDescent="0.15">
      <c r="A218" s="1" t="s">
        <v>3802</v>
      </c>
      <c r="B218" s="1" t="s">
        <v>3803</v>
      </c>
      <c r="C218" s="1" t="s">
        <v>15803</v>
      </c>
      <c r="D218" s="1" t="s">
        <v>9523</v>
      </c>
      <c r="E218" s="1" t="s">
        <v>9453</v>
      </c>
    </row>
    <row r="219" spans="1:5" x14ac:dyDescent="0.15">
      <c r="A219" s="1" t="s">
        <v>3804</v>
      </c>
      <c r="B219" s="1" t="s">
        <v>3805</v>
      </c>
      <c r="C219" s="1" t="s">
        <v>15803</v>
      </c>
      <c r="D219" s="1" t="s">
        <v>9532</v>
      </c>
      <c r="E219" s="1" t="s">
        <v>9433</v>
      </c>
    </row>
    <row r="220" spans="1:5" x14ac:dyDescent="0.15">
      <c r="A220" s="1" t="s">
        <v>3806</v>
      </c>
      <c r="B220" s="1" t="s">
        <v>3807</v>
      </c>
      <c r="C220" s="1" t="s">
        <v>15803</v>
      </c>
      <c r="D220" s="1" t="s">
        <v>11717</v>
      </c>
      <c r="E220" s="1" t="s">
        <v>11718</v>
      </c>
    </row>
    <row r="221" spans="1:5" x14ac:dyDescent="0.15">
      <c r="A221" s="1" t="s">
        <v>3808</v>
      </c>
      <c r="B221" s="1" t="s">
        <v>3809</v>
      </c>
      <c r="C221" s="1" t="s">
        <v>15803</v>
      </c>
      <c r="D221" s="1" t="s">
        <v>12616</v>
      </c>
      <c r="E221" s="1" t="s">
        <v>12617</v>
      </c>
    </row>
    <row r="222" spans="1:5" x14ac:dyDescent="0.15">
      <c r="A222" s="1" t="s">
        <v>3810</v>
      </c>
      <c r="B222" s="1" t="s">
        <v>3811</v>
      </c>
      <c r="C222" s="1" t="s">
        <v>15803</v>
      </c>
      <c r="D222" s="1" t="s">
        <v>12587</v>
      </c>
      <c r="E222" s="1" t="s">
        <v>12588</v>
      </c>
    </row>
    <row r="223" spans="1:5" x14ac:dyDescent="0.15">
      <c r="A223" s="1" t="s">
        <v>3812</v>
      </c>
      <c r="B223" s="1" t="s">
        <v>3813</v>
      </c>
      <c r="C223" s="1" t="s">
        <v>15803</v>
      </c>
      <c r="D223" s="1" t="s">
        <v>15197</v>
      </c>
      <c r="E223" s="1" t="s">
        <v>9580</v>
      </c>
    </row>
    <row r="224" spans="1:5" x14ac:dyDescent="0.15">
      <c r="A224" s="1" t="s">
        <v>3814</v>
      </c>
      <c r="B224" s="1" t="s">
        <v>3815</v>
      </c>
      <c r="C224" s="1" t="s">
        <v>15199</v>
      </c>
      <c r="D224" s="1" t="s">
        <v>15207</v>
      </c>
      <c r="E224" s="1" t="s">
        <v>9148</v>
      </c>
    </row>
    <row r="225" spans="1:5" x14ac:dyDescent="0.15">
      <c r="A225" s="1" t="s">
        <v>3816</v>
      </c>
      <c r="B225" s="1" t="s">
        <v>3817</v>
      </c>
      <c r="C225" s="1" t="s">
        <v>15199</v>
      </c>
      <c r="D225" s="1" t="s">
        <v>15207</v>
      </c>
      <c r="E225" s="1" t="s">
        <v>9148</v>
      </c>
    </row>
    <row r="226" spans="1:5" x14ac:dyDescent="0.15">
      <c r="A226" s="1" t="s">
        <v>3818</v>
      </c>
      <c r="B226" s="1" t="s">
        <v>3819</v>
      </c>
      <c r="C226" s="1" t="s">
        <v>15199</v>
      </c>
      <c r="D226" s="1" t="s">
        <v>15214</v>
      </c>
      <c r="E226" s="1" t="s">
        <v>9166</v>
      </c>
    </row>
    <row r="227" spans="1:5" x14ac:dyDescent="0.15">
      <c r="A227" s="1" t="s">
        <v>3820</v>
      </c>
      <c r="B227" s="1" t="s">
        <v>3821</v>
      </c>
      <c r="C227" s="1" t="s">
        <v>15199</v>
      </c>
      <c r="D227" s="1" t="s">
        <v>15230</v>
      </c>
      <c r="E227" s="1" t="s">
        <v>9176</v>
      </c>
    </row>
    <row r="228" spans="1:5" x14ac:dyDescent="0.15">
      <c r="A228" s="1" t="s">
        <v>3822</v>
      </c>
      <c r="B228" s="1" t="s">
        <v>3823</v>
      </c>
      <c r="C228" s="1" t="s">
        <v>15199</v>
      </c>
      <c r="D228" s="1" t="s">
        <v>15237</v>
      </c>
      <c r="E228" s="1" t="s">
        <v>9189</v>
      </c>
    </row>
    <row r="229" spans="1:5" x14ac:dyDescent="0.15">
      <c r="A229" s="1" t="s">
        <v>3824</v>
      </c>
      <c r="B229" s="1" t="s">
        <v>3825</v>
      </c>
      <c r="C229" s="1" t="s">
        <v>17235</v>
      </c>
      <c r="D229" s="1" t="s">
        <v>17244</v>
      </c>
      <c r="E229" s="1" t="s">
        <v>10678</v>
      </c>
    </row>
    <row r="230" spans="1:5" x14ac:dyDescent="0.15">
      <c r="A230" s="1" t="s">
        <v>3826</v>
      </c>
      <c r="B230" s="1" t="s">
        <v>3827</v>
      </c>
      <c r="C230" s="1" t="s">
        <v>17235</v>
      </c>
      <c r="D230" s="1" t="s">
        <v>11743</v>
      </c>
      <c r="E230" s="1" t="s">
        <v>11744</v>
      </c>
    </row>
    <row r="231" spans="1:5" x14ac:dyDescent="0.15">
      <c r="A231" s="1" t="s">
        <v>3828</v>
      </c>
      <c r="B231" s="1" t="s">
        <v>3829</v>
      </c>
      <c r="C231" s="1" t="s">
        <v>17235</v>
      </c>
      <c r="D231" s="1" t="s">
        <v>9502</v>
      </c>
      <c r="E231" s="1" t="s">
        <v>9428</v>
      </c>
    </row>
    <row r="232" spans="1:5" x14ac:dyDescent="0.15">
      <c r="A232" s="1" t="s">
        <v>3830</v>
      </c>
      <c r="B232" s="1" t="s">
        <v>3831</v>
      </c>
      <c r="C232" s="1" t="s">
        <v>17235</v>
      </c>
      <c r="D232" s="1" t="s">
        <v>15280</v>
      </c>
      <c r="E232" s="1" t="s">
        <v>9289</v>
      </c>
    </row>
    <row r="233" spans="1:5" x14ac:dyDescent="0.15">
      <c r="A233" s="1" t="s">
        <v>3832</v>
      </c>
      <c r="B233" s="1" t="s">
        <v>3833</v>
      </c>
      <c r="C233" s="1" t="s">
        <v>17235</v>
      </c>
      <c r="D233" s="1" t="s">
        <v>15280</v>
      </c>
      <c r="E233" s="1" t="s">
        <v>9289</v>
      </c>
    </row>
    <row r="234" spans="1:5" x14ac:dyDescent="0.15">
      <c r="A234" s="1" t="s">
        <v>3834</v>
      </c>
      <c r="B234" s="1" t="s">
        <v>3835</v>
      </c>
      <c r="C234" s="1" t="s">
        <v>15282</v>
      </c>
      <c r="D234" s="1" t="s">
        <v>15298</v>
      </c>
      <c r="E234" s="1" t="s">
        <v>12644</v>
      </c>
    </row>
    <row r="235" spans="1:5" x14ac:dyDescent="0.15">
      <c r="A235" s="1" t="s">
        <v>3836</v>
      </c>
      <c r="B235" s="1" t="s">
        <v>3837</v>
      </c>
      <c r="C235" s="1" t="s">
        <v>15559</v>
      </c>
      <c r="D235" s="1" t="s">
        <v>15568</v>
      </c>
      <c r="E235" s="1" t="s">
        <v>9327</v>
      </c>
    </row>
    <row r="236" spans="1:5" x14ac:dyDescent="0.15">
      <c r="A236" s="1" t="s">
        <v>3838</v>
      </c>
      <c r="B236" s="1" t="s">
        <v>3839</v>
      </c>
      <c r="C236" s="1" t="s">
        <v>15559</v>
      </c>
      <c r="D236" s="1" t="s">
        <v>15575</v>
      </c>
      <c r="E236" s="1" t="s">
        <v>9340</v>
      </c>
    </row>
    <row r="237" spans="1:5" x14ac:dyDescent="0.15">
      <c r="A237" s="1" t="s">
        <v>3840</v>
      </c>
      <c r="B237" s="1" t="s">
        <v>3841</v>
      </c>
      <c r="C237" s="1" t="s">
        <v>15559</v>
      </c>
      <c r="D237" s="1" t="s">
        <v>15575</v>
      </c>
      <c r="E237" s="1" t="s">
        <v>9340</v>
      </c>
    </row>
    <row r="238" spans="1:5" x14ac:dyDescent="0.15">
      <c r="A238" s="1" t="s">
        <v>3842</v>
      </c>
      <c r="B238" s="1" t="s">
        <v>3843</v>
      </c>
      <c r="C238" s="1" t="s">
        <v>15559</v>
      </c>
      <c r="D238" s="1" t="s">
        <v>11324</v>
      </c>
      <c r="E238" s="1" t="s">
        <v>11325</v>
      </c>
    </row>
    <row r="239" spans="1:5" x14ac:dyDescent="0.15">
      <c r="A239" s="1" t="s">
        <v>3844</v>
      </c>
      <c r="B239" s="1" t="s">
        <v>3845</v>
      </c>
      <c r="C239" s="1" t="s">
        <v>14855</v>
      </c>
      <c r="D239" s="1" t="s">
        <v>14885</v>
      </c>
      <c r="E239" s="1" t="s">
        <v>9369</v>
      </c>
    </row>
    <row r="240" spans="1:5" x14ac:dyDescent="0.15">
      <c r="A240" s="1" t="s">
        <v>3846</v>
      </c>
      <c r="B240" s="1" t="s">
        <v>3847</v>
      </c>
      <c r="C240" s="1" t="s">
        <v>14855</v>
      </c>
      <c r="D240" s="1" t="s">
        <v>14892</v>
      </c>
      <c r="E240" s="1" t="s">
        <v>9373</v>
      </c>
    </row>
    <row r="241" spans="1:5" x14ac:dyDescent="0.15">
      <c r="A241" s="1" t="s">
        <v>3848</v>
      </c>
      <c r="B241" s="1" t="s">
        <v>3849</v>
      </c>
      <c r="C241" s="1" t="s">
        <v>14855</v>
      </c>
      <c r="D241" s="1" t="s">
        <v>14899</v>
      </c>
      <c r="E241" s="1" t="s">
        <v>9379</v>
      </c>
    </row>
    <row r="242" spans="1:5" x14ac:dyDescent="0.15">
      <c r="A242" s="1" t="s">
        <v>3850</v>
      </c>
      <c r="B242" s="1" t="s">
        <v>3851</v>
      </c>
      <c r="C242" s="1" t="s">
        <v>14855</v>
      </c>
      <c r="D242" s="1" t="s">
        <v>14930</v>
      </c>
      <c r="E242" s="1" t="s">
        <v>9402</v>
      </c>
    </row>
    <row r="243" spans="1:5" x14ac:dyDescent="0.15">
      <c r="A243" s="1" t="s">
        <v>3852</v>
      </c>
      <c r="B243" s="1" t="s">
        <v>3853</v>
      </c>
      <c r="C243" s="1" t="s">
        <v>14855</v>
      </c>
      <c r="D243" s="1" t="s">
        <v>14930</v>
      </c>
      <c r="E243" s="1" t="s">
        <v>9402</v>
      </c>
    </row>
    <row r="244" spans="1:5" x14ac:dyDescent="0.15">
      <c r="A244" s="1" t="s">
        <v>3854</v>
      </c>
      <c r="B244" s="1" t="s">
        <v>3855</v>
      </c>
      <c r="C244" s="1" t="s">
        <v>14933</v>
      </c>
      <c r="D244" s="1" t="s">
        <v>14942</v>
      </c>
      <c r="E244" s="1" t="s">
        <v>9407</v>
      </c>
    </row>
    <row r="245" spans="1:5" x14ac:dyDescent="0.15">
      <c r="A245" s="1" t="s">
        <v>3856</v>
      </c>
      <c r="B245" s="1" t="s">
        <v>3857</v>
      </c>
      <c r="C245" s="1" t="s">
        <v>14933</v>
      </c>
      <c r="D245" s="1" t="s">
        <v>14942</v>
      </c>
      <c r="E245" s="1" t="s">
        <v>9407</v>
      </c>
    </row>
    <row r="246" spans="1:5" x14ac:dyDescent="0.15">
      <c r="A246" s="1" t="s">
        <v>3858</v>
      </c>
      <c r="B246" s="1" t="s">
        <v>3859</v>
      </c>
      <c r="C246" s="1" t="s">
        <v>14933</v>
      </c>
      <c r="D246" s="1" t="s">
        <v>14949</v>
      </c>
      <c r="E246" s="1" t="s">
        <v>9413</v>
      </c>
    </row>
    <row r="247" spans="1:5" x14ac:dyDescent="0.15">
      <c r="A247" s="1" t="s">
        <v>3860</v>
      </c>
      <c r="B247" s="1" t="s">
        <v>3861</v>
      </c>
      <c r="C247" s="1" t="s">
        <v>14933</v>
      </c>
      <c r="D247" s="1" t="s">
        <v>8952</v>
      </c>
      <c r="E247" s="1" t="s">
        <v>8953</v>
      </c>
    </row>
    <row r="248" spans="1:5" x14ac:dyDescent="0.15">
      <c r="A248" s="1" t="s">
        <v>3862</v>
      </c>
      <c r="B248" s="1" t="s">
        <v>3863</v>
      </c>
      <c r="C248" s="1" t="s">
        <v>14933</v>
      </c>
      <c r="D248" s="1" t="s">
        <v>14963</v>
      </c>
      <c r="E248" s="1" t="s">
        <v>8966</v>
      </c>
    </row>
    <row r="249" spans="1:5" x14ac:dyDescent="0.15">
      <c r="A249" s="1" t="s">
        <v>3864</v>
      </c>
      <c r="B249" s="1" t="s">
        <v>3865</v>
      </c>
      <c r="C249" s="1" t="s">
        <v>14933</v>
      </c>
      <c r="D249" s="1" t="s">
        <v>14970</v>
      </c>
      <c r="E249" s="1" t="s">
        <v>10710</v>
      </c>
    </row>
    <row r="250" spans="1:5" x14ac:dyDescent="0.15">
      <c r="A250" s="1" t="s">
        <v>3866</v>
      </c>
      <c r="B250" s="1" t="s">
        <v>3867</v>
      </c>
      <c r="C250" s="1" t="s">
        <v>14933</v>
      </c>
      <c r="D250" s="1" t="s">
        <v>14974</v>
      </c>
      <c r="E250" s="1" t="s">
        <v>8982</v>
      </c>
    </row>
    <row r="251" spans="1:5" x14ac:dyDescent="0.15">
      <c r="A251" s="1" t="s">
        <v>3868</v>
      </c>
      <c r="B251" s="1" t="s">
        <v>3869</v>
      </c>
      <c r="C251" s="1" t="s">
        <v>14933</v>
      </c>
      <c r="D251" s="1" t="s">
        <v>14978</v>
      </c>
      <c r="E251" s="1" t="s">
        <v>8984</v>
      </c>
    </row>
    <row r="252" spans="1:5" x14ac:dyDescent="0.15">
      <c r="A252" s="1" t="s">
        <v>3870</v>
      </c>
      <c r="B252" s="1" t="s">
        <v>3871</v>
      </c>
      <c r="C252" s="1" t="s">
        <v>14933</v>
      </c>
      <c r="D252" s="1" t="s">
        <v>14982</v>
      </c>
      <c r="E252" s="1" t="s">
        <v>8986</v>
      </c>
    </row>
    <row r="253" spans="1:5" x14ac:dyDescent="0.15">
      <c r="A253" s="1" t="s">
        <v>3872</v>
      </c>
      <c r="B253" s="1" t="s">
        <v>3873</v>
      </c>
      <c r="C253" s="1" t="s">
        <v>14933</v>
      </c>
      <c r="D253" s="1" t="s">
        <v>14990</v>
      </c>
      <c r="E253" s="1" t="s">
        <v>8990</v>
      </c>
    </row>
    <row r="254" spans="1:5" x14ac:dyDescent="0.15">
      <c r="A254" s="1" t="s">
        <v>3874</v>
      </c>
      <c r="B254" s="1" t="s">
        <v>3875</v>
      </c>
      <c r="C254" s="1" t="s">
        <v>14933</v>
      </c>
      <c r="D254" s="1" t="s">
        <v>15006</v>
      </c>
      <c r="E254" s="1" t="s">
        <v>9001</v>
      </c>
    </row>
    <row r="255" spans="1:5" x14ac:dyDescent="0.15">
      <c r="A255" s="1" t="s">
        <v>3876</v>
      </c>
      <c r="B255" s="1" t="s">
        <v>3877</v>
      </c>
      <c r="C255" s="1" t="s">
        <v>14933</v>
      </c>
      <c r="D255" s="1" t="s">
        <v>15006</v>
      </c>
      <c r="E255" s="1" t="s">
        <v>9001</v>
      </c>
    </row>
    <row r="256" spans="1:5" x14ac:dyDescent="0.15">
      <c r="A256" s="1" t="s">
        <v>3878</v>
      </c>
      <c r="B256" s="1" t="s">
        <v>3879</v>
      </c>
      <c r="C256" s="1" t="s">
        <v>14933</v>
      </c>
      <c r="D256" s="1" t="s">
        <v>15010</v>
      </c>
      <c r="E256" s="1" t="s">
        <v>9003</v>
      </c>
    </row>
    <row r="257" spans="1:5" x14ac:dyDescent="0.15">
      <c r="A257" s="1" t="s">
        <v>3880</v>
      </c>
      <c r="B257" s="1" t="s">
        <v>3881</v>
      </c>
      <c r="C257" s="1" t="s">
        <v>14933</v>
      </c>
      <c r="D257" s="1" t="s">
        <v>15014</v>
      </c>
      <c r="E257" s="1" t="s">
        <v>10555</v>
      </c>
    </row>
    <row r="258" spans="1:5" x14ac:dyDescent="0.15">
      <c r="A258" s="1" t="s">
        <v>3882</v>
      </c>
      <c r="B258" s="1" t="s">
        <v>3883</v>
      </c>
      <c r="C258" s="1" t="s">
        <v>14933</v>
      </c>
      <c r="D258" s="1" t="s">
        <v>15018</v>
      </c>
      <c r="E258" s="1" t="s">
        <v>9006</v>
      </c>
    </row>
    <row r="259" spans="1:5" x14ac:dyDescent="0.15">
      <c r="A259" s="1" t="s">
        <v>3884</v>
      </c>
      <c r="B259" s="1" t="s">
        <v>3885</v>
      </c>
      <c r="C259" s="1" t="s">
        <v>14933</v>
      </c>
      <c r="D259" s="1" t="s">
        <v>10408</v>
      </c>
      <c r="E259" s="1" t="s">
        <v>9012</v>
      </c>
    </row>
    <row r="260" spans="1:5" x14ac:dyDescent="0.15">
      <c r="A260" s="1" t="s">
        <v>3886</v>
      </c>
      <c r="B260" s="1" t="s">
        <v>3887</v>
      </c>
      <c r="C260" s="1" t="s">
        <v>14933</v>
      </c>
      <c r="D260" s="1" t="s">
        <v>10408</v>
      </c>
      <c r="E260" s="1" t="s">
        <v>9012</v>
      </c>
    </row>
    <row r="261" spans="1:5" x14ac:dyDescent="0.15">
      <c r="A261" s="1" t="s">
        <v>3888</v>
      </c>
      <c r="B261" s="1" t="s">
        <v>3889</v>
      </c>
      <c r="C261" s="1" t="s">
        <v>14933</v>
      </c>
      <c r="D261" s="1" t="s">
        <v>15046</v>
      </c>
      <c r="E261" s="1" t="s">
        <v>9025</v>
      </c>
    </row>
    <row r="262" spans="1:5" x14ac:dyDescent="0.15">
      <c r="A262" s="1" t="s">
        <v>3890</v>
      </c>
      <c r="B262" s="1" t="s">
        <v>3891</v>
      </c>
      <c r="C262" s="1" t="s">
        <v>14933</v>
      </c>
      <c r="D262" s="1" t="s">
        <v>15050</v>
      </c>
      <c r="E262" s="1" t="s">
        <v>9028</v>
      </c>
    </row>
    <row r="263" spans="1:5" x14ac:dyDescent="0.15">
      <c r="A263" s="1" t="s">
        <v>3892</v>
      </c>
      <c r="B263" s="1" t="s">
        <v>3893</v>
      </c>
      <c r="C263" s="1" t="s">
        <v>14933</v>
      </c>
      <c r="D263" s="1" t="s">
        <v>15062</v>
      </c>
      <c r="E263" s="1" t="s">
        <v>10402</v>
      </c>
    </row>
    <row r="264" spans="1:5" x14ac:dyDescent="0.15">
      <c r="A264" s="1" t="s">
        <v>3894</v>
      </c>
      <c r="B264" s="1" t="s">
        <v>3895</v>
      </c>
      <c r="C264" s="1" t="s">
        <v>14933</v>
      </c>
      <c r="D264" s="1" t="s">
        <v>15090</v>
      </c>
      <c r="E264" s="1" t="s">
        <v>9046</v>
      </c>
    </row>
    <row r="265" spans="1:5" x14ac:dyDescent="0.15">
      <c r="A265" s="1" t="s">
        <v>3896</v>
      </c>
      <c r="B265" s="1" t="s">
        <v>3897</v>
      </c>
      <c r="C265" s="1" t="s">
        <v>15092</v>
      </c>
      <c r="D265" s="1" t="s">
        <v>15113</v>
      </c>
      <c r="E265" s="1" t="s">
        <v>10403</v>
      </c>
    </row>
    <row r="266" spans="1:5" x14ac:dyDescent="0.15">
      <c r="A266" s="1" t="s">
        <v>3898</v>
      </c>
      <c r="B266" s="1" t="s">
        <v>3899</v>
      </c>
      <c r="C266" s="1" t="s">
        <v>15092</v>
      </c>
      <c r="D266" s="1" t="s">
        <v>15125</v>
      </c>
      <c r="E266" s="1" t="s">
        <v>10320</v>
      </c>
    </row>
    <row r="267" spans="1:5" x14ac:dyDescent="0.15">
      <c r="A267" s="1" t="s">
        <v>3900</v>
      </c>
      <c r="B267" s="1" t="s">
        <v>3901</v>
      </c>
      <c r="C267" s="1" t="s">
        <v>15092</v>
      </c>
      <c r="D267" s="1" t="s">
        <v>15137</v>
      </c>
      <c r="E267" s="1" t="s">
        <v>9069</v>
      </c>
    </row>
    <row r="268" spans="1:5" x14ac:dyDescent="0.15">
      <c r="A268" s="1" t="s">
        <v>3902</v>
      </c>
      <c r="B268" s="1" t="s">
        <v>3903</v>
      </c>
      <c r="C268" s="1" t="s">
        <v>15092</v>
      </c>
      <c r="D268" s="1" t="s">
        <v>15137</v>
      </c>
      <c r="E268" s="1" t="s">
        <v>9069</v>
      </c>
    </row>
    <row r="269" spans="1:5" x14ac:dyDescent="0.15">
      <c r="A269" s="1" t="s">
        <v>3904</v>
      </c>
      <c r="B269" s="1" t="s">
        <v>3905</v>
      </c>
      <c r="C269" s="1" t="s">
        <v>15092</v>
      </c>
      <c r="D269" s="1" t="s">
        <v>15137</v>
      </c>
      <c r="E269" s="1" t="s">
        <v>9069</v>
      </c>
    </row>
    <row r="270" spans="1:5" x14ac:dyDescent="0.15">
      <c r="A270" s="1" t="s">
        <v>3906</v>
      </c>
      <c r="B270" s="1" t="s">
        <v>3907</v>
      </c>
      <c r="C270" s="1" t="s">
        <v>17303</v>
      </c>
      <c r="D270" s="1" t="s">
        <v>14580</v>
      </c>
      <c r="E270" s="1" t="s">
        <v>10681</v>
      </c>
    </row>
    <row r="271" spans="1:5" x14ac:dyDescent="0.15">
      <c r="A271" s="1" t="s">
        <v>3908</v>
      </c>
      <c r="B271" s="1" t="s">
        <v>3909</v>
      </c>
      <c r="C271" s="1" t="s">
        <v>17303</v>
      </c>
      <c r="D271" s="1" t="s">
        <v>14580</v>
      </c>
      <c r="E271" s="1" t="s">
        <v>10681</v>
      </c>
    </row>
    <row r="272" spans="1:5" x14ac:dyDescent="0.15">
      <c r="A272" s="1" t="s">
        <v>3910</v>
      </c>
      <c r="B272" s="1" t="s">
        <v>3911</v>
      </c>
      <c r="C272" s="1" t="s">
        <v>17303</v>
      </c>
      <c r="D272" s="1" t="s">
        <v>14587</v>
      </c>
      <c r="E272" s="1" t="s">
        <v>9077</v>
      </c>
    </row>
    <row r="273" spans="1:5" x14ac:dyDescent="0.15">
      <c r="A273" s="1" t="s">
        <v>3912</v>
      </c>
      <c r="B273" s="1" t="s">
        <v>3913</v>
      </c>
      <c r="C273" s="1" t="s">
        <v>17303</v>
      </c>
      <c r="D273" s="1" t="s">
        <v>17322</v>
      </c>
      <c r="E273" s="1" t="s">
        <v>10600</v>
      </c>
    </row>
    <row r="274" spans="1:5" x14ac:dyDescent="0.15">
      <c r="A274" s="1" t="s">
        <v>3914</v>
      </c>
      <c r="B274" s="1" t="s">
        <v>3915</v>
      </c>
      <c r="C274" s="1" t="s">
        <v>17303</v>
      </c>
      <c r="D274" s="1" t="s">
        <v>17329</v>
      </c>
      <c r="E274" s="1" t="s">
        <v>11077</v>
      </c>
    </row>
    <row r="275" spans="1:5" x14ac:dyDescent="0.15">
      <c r="A275" s="1" t="s">
        <v>3916</v>
      </c>
      <c r="B275" s="1" t="s">
        <v>3917</v>
      </c>
      <c r="C275" s="1" t="s">
        <v>17303</v>
      </c>
      <c r="D275" s="1" t="s">
        <v>17336</v>
      </c>
      <c r="E275" s="1" t="s">
        <v>11083</v>
      </c>
    </row>
    <row r="276" spans="1:5" x14ac:dyDescent="0.15">
      <c r="A276" s="1" t="s">
        <v>3918</v>
      </c>
      <c r="B276" s="1" t="s">
        <v>3919</v>
      </c>
      <c r="C276" s="1" t="s">
        <v>17303</v>
      </c>
      <c r="D276" s="1" t="s">
        <v>17343</v>
      </c>
      <c r="E276" s="1" t="s">
        <v>11087</v>
      </c>
    </row>
    <row r="277" spans="1:5" x14ac:dyDescent="0.15">
      <c r="A277" s="1" t="s">
        <v>3920</v>
      </c>
      <c r="B277" s="1" t="s">
        <v>3921</v>
      </c>
      <c r="C277" s="1" t="s">
        <v>17303</v>
      </c>
      <c r="D277" s="1" t="s">
        <v>17350</v>
      </c>
      <c r="E277" s="1" t="s">
        <v>9221</v>
      </c>
    </row>
    <row r="278" spans="1:5" x14ac:dyDescent="0.15">
      <c r="A278" s="1" t="s">
        <v>3922</v>
      </c>
      <c r="B278" s="1" t="s">
        <v>3923</v>
      </c>
      <c r="C278" s="1" t="s">
        <v>17303</v>
      </c>
      <c r="D278" s="1" t="s">
        <v>17357</v>
      </c>
      <c r="E278" s="1" t="s">
        <v>9093</v>
      </c>
    </row>
    <row r="279" spans="1:5" x14ac:dyDescent="0.15">
      <c r="A279" s="1" t="s">
        <v>3924</v>
      </c>
      <c r="B279" s="1" t="s">
        <v>3925</v>
      </c>
      <c r="C279" s="1" t="s">
        <v>17303</v>
      </c>
      <c r="D279" s="1" t="s">
        <v>9102</v>
      </c>
      <c r="E279" s="1" t="s">
        <v>11115</v>
      </c>
    </row>
    <row r="280" spans="1:5" x14ac:dyDescent="0.15">
      <c r="A280" s="1" t="s">
        <v>3926</v>
      </c>
      <c r="B280" s="1" t="s">
        <v>3927</v>
      </c>
      <c r="C280" s="1" t="s">
        <v>17303</v>
      </c>
      <c r="D280" s="1" t="s">
        <v>17371</v>
      </c>
      <c r="E280" s="1" t="s">
        <v>9138</v>
      </c>
    </row>
    <row r="281" spans="1:5" x14ac:dyDescent="0.15">
      <c r="A281" s="1" t="s">
        <v>3928</v>
      </c>
      <c r="B281" s="1" t="s">
        <v>3929</v>
      </c>
      <c r="C281" s="1" t="s">
        <v>17303</v>
      </c>
      <c r="D281" s="1" t="s">
        <v>17371</v>
      </c>
      <c r="E281" s="1" t="s">
        <v>9138</v>
      </c>
    </row>
    <row r="282" spans="1:5" x14ac:dyDescent="0.15">
      <c r="A282" s="1" t="s">
        <v>3930</v>
      </c>
      <c r="B282" s="1" t="s">
        <v>3931</v>
      </c>
      <c r="C282" s="1" t="s">
        <v>17303</v>
      </c>
      <c r="D282" s="1" t="s">
        <v>17371</v>
      </c>
      <c r="E282" s="1" t="s">
        <v>9138</v>
      </c>
    </row>
    <row r="283" spans="1:5" x14ac:dyDescent="0.15">
      <c r="A283" s="1" t="s">
        <v>3932</v>
      </c>
      <c r="B283" s="1" t="s">
        <v>3933</v>
      </c>
      <c r="C283" s="1" t="s">
        <v>17374</v>
      </c>
      <c r="D283" s="1" t="s">
        <v>14590</v>
      </c>
      <c r="E283" s="1" t="s">
        <v>8750</v>
      </c>
    </row>
    <row r="284" spans="1:5" x14ac:dyDescent="0.15">
      <c r="A284" s="1" t="s">
        <v>3934</v>
      </c>
      <c r="B284" s="1" t="s">
        <v>3935</v>
      </c>
      <c r="C284" s="1" t="s">
        <v>17374</v>
      </c>
      <c r="D284" s="1" t="s">
        <v>14602</v>
      </c>
      <c r="E284" s="1" t="s">
        <v>8756</v>
      </c>
    </row>
    <row r="285" spans="1:5" x14ac:dyDescent="0.15">
      <c r="A285" s="1" t="s">
        <v>3936</v>
      </c>
      <c r="B285" s="1" t="s">
        <v>3937</v>
      </c>
      <c r="C285" s="1" t="s">
        <v>17374</v>
      </c>
      <c r="D285" s="1" t="s">
        <v>14618</v>
      </c>
      <c r="E285" s="1" t="s">
        <v>8777</v>
      </c>
    </row>
    <row r="286" spans="1:5" x14ac:dyDescent="0.15">
      <c r="A286" s="1" t="s">
        <v>3938</v>
      </c>
      <c r="B286" s="1" t="s">
        <v>3939</v>
      </c>
      <c r="C286" s="1" t="s">
        <v>14641</v>
      </c>
      <c r="D286" s="1" t="s">
        <v>14650</v>
      </c>
      <c r="E286" s="1" t="s">
        <v>10591</v>
      </c>
    </row>
    <row r="287" spans="1:5" x14ac:dyDescent="0.15">
      <c r="A287" s="1" t="s">
        <v>3940</v>
      </c>
      <c r="B287" s="1" t="s">
        <v>3941</v>
      </c>
      <c r="C287" s="1" t="s">
        <v>14641</v>
      </c>
      <c r="D287" s="1" t="s">
        <v>14650</v>
      </c>
      <c r="E287" s="1" t="s">
        <v>10591</v>
      </c>
    </row>
    <row r="288" spans="1:5" x14ac:dyDescent="0.15">
      <c r="A288" s="1" t="s">
        <v>3942</v>
      </c>
      <c r="B288" s="1" t="s">
        <v>3943</v>
      </c>
      <c r="C288" s="1" t="s">
        <v>14641</v>
      </c>
      <c r="D288" s="1" t="s">
        <v>14657</v>
      </c>
      <c r="E288" s="1" t="s">
        <v>8801</v>
      </c>
    </row>
    <row r="289" spans="1:5" x14ac:dyDescent="0.15">
      <c r="A289" s="1" t="s">
        <v>3944</v>
      </c>
      <c r="B289" s="1" t="s">
        <v>3945</v>
      </c>
      <c r="C289" s="1" t="s">
        <v>14641</v>
      </c>
      <c r="D289" s="1" t="s">
        <v>14671</v>
      </c>
      <c r="E289" s="1" t="s">
        <v>10071</v>
      </c>
    </row>
    <row r="290" spans="1:5" x14ac:dyDescent="0.15">
      <c r="A290" s="1" t="s">
        <v>3946</v>
      </c>
      <c r="B290" s="1" t="s">
        <v>3947</v>
      </c>
      <c r="C290" s="1" t="s">
        <v>14641</v>
      </c>
      <c r="D290" s="1" t="s">
        <v>14678</v>
      </c>
      <c r="E290" s="1" t="s">
        <v>8814</v>
      </c>
    </row>
    <row r="291" spans="1:5" x14ac:dyDescent="0.15">
      <c r="A291" s="1" t="s">
        <v>3948</v>
      </c>
      <c r="B291" s="1" t="s">
        <v>3949</v>
      </c>
      <c r="C291" s="1" t="s">
        <v>14641</v>
      </c>
      <c r="D291" s="1" t="s">
        <v>14678</v>
      </c>
      <c r="E291" s="1" t="s">
        <v>8814</v>
      </c>
    </row>
    <row r="292" spans="1:5" x14ac:dyDescent="0.15">
      <c r="A292" s="1" t="s">
        <v>3950</v>
      </c>
      <c r="B292" s="1" t="s">
        <v>3951</v>
      </c>
      <c r="C292" s="1" t="s">
        <v>14641</v>
      </c>
      <c r="D292" s="1" t="s">
        <v>14678</v>
      </c>
      <c r="E292" s="1" t="s">
        <v>8814</v>
      </c>
    </row>
    <row r="293" spans="1:5" x14ac:dyDescent="0.15">
      <c r="A293" s="1" t="s">
        <v>3952</v>
      </c>
      <c r="B293" s="1" t="s">
        <v>3953</v>
      </c>
      <c r="C293" s="1" t="s">
        <v>14641</v>
      </c>
      <c r="D293" s="1" t="s">
        <v>14678</v>
      </c>
      <c r="E293" s="1" t="s">
        <v>8814</v>
      </c>
    </row>
    <row r="294" spans="1:5" x14ac:dyDescent="0.15">
      <c r="A294" s="1" t="s">
        <v>3954</v>
      </c>
      <c r="B294" s="1" t="s">
        <v>3955</v>
      </c>
      <c r="C294" s="1" t="s">
        <v>14681</v>
      </c>
      <c r="D294" s="1" t="s">
        <v>14690</v>
      </c>
      <c r="E294" s="1" t="s">
        <v>10688</v>
      </c>
    </row>
    <row r="295" spans="1:5" x14ac:dyDescent="0.15">
      <c r="A295" s="1" t="s">
        <v>3956</v>
      </c>
      <c r="B295" s="1" t="s">
        <v>3957</v>
      </c>
      <c r="C295" s="1" t="s">
        <v>14681</v>
      </c>
      <c r="D295" s="1" t="s">
        <v>14690</v>
      </c>
      <c r="E295" s="1" t="s">
        <v>10688</v>
      </c>
    </row>
    <row r="296" spans="1:5" x14ac:dyDescent="0.15">
      <c r="A296" s="1" t="s">
        <v>3958</v>
      </c>
      <c r="B296" s="1" t="s">
        <v>3959</v>
      </c>
      <c r="C296" s="1" t="s">
        <v>14681</v>
      </c>
      <c r="D296" s="1" t="s">
        <v>14697</v>
      </c>
      <c r="E296" s="1" t="s">
        <v>10682</v>
      </c>
    </row>
    <row r="297" spans="1:5" x14ac:dyDescent="0.15">
      <c r="A297" s="1" t="s">
        <v>3960</v>
      </c>
      <c r="B297" s="1" t="s">
        <v>3961</v>
      </c>
      <c r="C297" s="1" t="s">
        <v>14681</v>
      </c>
      <c r="D297" s="1" t="s">
        <v>14704</v>
      </c>
      <c r="E297" s="1" t="s">
        <v>8831</v>
      </c>
    </row>
    <row r="298" spans="1:5" x14ac:dyDescent="0.15">
      <c r="A298" s="1" t="s">
        <v>3962</v>
      </c>
      <c r="B298" s="1" t="s">
        <v>3963</v>
      </c>
      <c r="C298" s="1" t="s">
        <v>14681</v>
      </c>
      <c r="D298" s="1" t="s">
        <v>14711</v>
      </c>
      <c r="E298" s="1" t="s">
        <v>8747</v>
      </c>
    </row>
    <row r="299" spans="1:5" x14ac:dyDescent="0.15">
      <c r="A299" s="1" t="s">
        <v>3964</v>
      </c>
      <c r="B299" s="1" t="s">
        <v>3965</v>
      </c>
      <c r="C299" s="1" t="s">
        <v>14681</v>
      </c>
      <c r="D299" s="1" t="s">
        <v>14718</v>
      </c>
      <c r="E299" s="1" t="s">
        <v>8837</v>
      </c>
    </row>
    <row r="300" spans="1:5" x14ac:dyDescent="0.15">
      <c r="A300" s="1" t="s">
        <v>3966</v>
      </c>
      <c r="B300" s="1" t="s">
        <v>3967</v>
      </c>
      <c r="C300" s="1" t="s">
        <v>14681</v>
      </c>
      <c r="D300" s="1" t="s">
        <v>14725</v>
      </c>
      <c r="E300" s="1" t="s">
        <v>10683</v>
      </c>
    </row>
    <row r="301" spans="1:5" x14ac:dyDescent="0.15">
      <c r="A301" s="1" t="s">
        <v>3968</v>
      </c>
      <c r="B301" s="1" t="s">
        <v>3969</v>
      </c>
      <c r="C301" s="1" t="s">
        <v>14681</v>
      </c>
      <c r="D301" s="1" t="s">
        <v>14753</v>
      </c>
      <c r="E301" s="1" t="s">
        <v>10746</v>
      </c>
    </row>
    <row r="302" spans="1:5" x14ac:dyDescent="0.15">
      <c r="A302" s="1" t="s">
        <v>3970</v>
      </c>
      <c r="B302" s="1" t="s">
        <v>3971</v>
      </c>
      <c r="C302" s="1" t="s">
        <v>14681</v>
      </c>
      <c r="D302" s="1" t="s">
        <v>14792</v>
      </c>
      <c r="E302" s="1" t="s">
        <v>9210</v>
      </c>
    </row>
    <row r="303" spans="1:5" x14ac:dyDescent="0.15">
      <c r="A303" s="1" t="s">
        <v>3972</v>
      </c>
      <c r="B303" s="1" t="s">
        <v>3973</v>
      </c>
      <c r="C303" s="1" t="s">
        <v>14681</v>
      </c>
      <c r="D303" s="1" t="s">
        <v>14792</v>
      </c>
      <c r="E303" s="1" t="s">
        <v>9210</v>
      </c>
    </row>
    <row r="304" spans="1:5" x14ac:dyDescent="0.15">
      <c r="A304" s="1" t="s">
        <v>3974</v>
      </c>
      <c r="B304" s="1" t="s">
        <v>3975</v>
      </c>
      <c r="C304" s="1" t="s">
        <v>14681</v>
      </c>
      <c r="D304" s="1" t="s">
        <v>14799</v>
      </c>
      <c r="E304" s="1" t="s">
        <v>10684</v>
      </c>
    </row>
    <row r="305" spans="1:5" x14ac:dyDescent="0.15">
      <c r="A305" s="1" t="s">
        <v>3976</v>
      </c>
      <c r="B305" s="1" t="s">
        <v>3977</v>
      </c>
      <c r="C305" s="1" t="s">
        <v>14681</v>
      </c>
      <c r="D305" s="1" t="s">
        <v>14815</v>
      </c>
      <c r="E305" s="1" t="s">
        <v>10685</v>
      </c>
    </row>
    <row r="306" spans="1:5" x14ac:dyDescent="0.15">
      <c r="A306" s="1" t="s">
        <v>3978</v>
      </c>
      <c r="B306" s="1" t="s">
        <v>3979</v>
      </c>
      <c r="C306" s="1" t="s">
        <v>14681</v>
      </c>
      <c r="D306" s="1" t="s">
        <v>14822</v>
      </c>
      <c r="E306" s="1" t="s">
        <v>12670</v>
      </c>
    </row>
    <row r="307" spans="1:5" x14ac:dyDescent="0.15">
      <c r="A307" s="1" t="s">
        <v>3980</v>
      </c>
      <c r="B307" s="1" t="s">
        <v>3981</v>
      </c>
      <c r="C307" s="1" t="s">
        <v>14681</v>
      </c>
      <c r="D307" s="1" t="s">
        <v>14829</v>
      </c>
      <c r="E307" s="1" t="s">
        <v>8895</v>
      </c>
    </row>
    <row r="308" spans="1:5" x14ac:dyDescent="0.15">
      <c r="A308" s="1" t="s">
        <v>3982</v>
      </c>
      <c r="B308" s="1" t="s">
        <v>3983</v>
      </c>
      <c r="C308" s="1" t="s">
        <v>14275</v>
      </c>
      <c r="D308" s="1" t="s">
        <v>14296</v>
      </c>
      <c r="E308" s="1" t="s">
        <v>10141</v>
      </c>
    </row>
    <row r="309" spans="1:5" x14ac:dyDescent="0.15">
      <c r="A309" s="1" t="s">
        <v>3984</v>
      </c>
      <c r="B309" s="1" t="s">
        <v>3985</v>
      </c>
      <c r="C309" s="1" t="s">
        <v>14275</v>
      </c>
      <c r="D309" s="1" t="s">
        <v>14380</v>
      </c>
      <c r="E309" s="1" t="s">
        <v>10108</v>
      </c>
    </row>
    <row r="310" spans="1:5" x14ac:dyDescent="0.15">
      <c r="A310" s="1" t="s">
        <v>3986</v>
      </c>
      <c r="B310" s="1" t="s">
        <v>3987</v>
      </c>
      <c r="C310" s="1" t="s">
        <v>14275</v>
      </c>
      <c r="D310" s="1" t="s">
        <v>14384</v>
      </c>
      <c r="E310" s="1" t="s">
        <v>8587</v>
      </c>
    </row>
    <row r="311" spans="1:5" x14ac:dyDescent="0.15">
      <c r="A311" s="1" t="s">
        <v>3988</v>
      </c>
      <c r="B311" s="1" t="s">
        <v>3989</v>
      </c>
      <c r="C311" s="1" t="s">
        <v>14275</v>
      </c>
      <c r="D311" s="1" t="s">
        <v>14400</v>
      </c>
      <c r="E311" s="1" t="s">
        <v>10105</v>
      </c>
    </row>
    <row r="312" spans="1:5" x14ac:dyDescent="0.15">
      <c r="A312" s="1" t="s">
        <v>3990</v>
      </c>
      <c r="B312" s="1" t="s">
        <v>3991</v>
      </c>
      <c r="C312" s="1" t="s">
        <v>14422</v>
      </c>
      <c r="D312" s="1" t="s">
        <v>14522</v>
      </c>
      <c r="E312" s="1" t="s">
        <v>8673</v>
      </c>
    </row>
    <row r="313" spans="1:5" x14ac:dyDescent="0.15">
      <c r="A313" s="1" t="s">
        <v>3992</v>
      </c>
      <c r="B313" s="1" t="s">
        <v>3993</v>
      </c>
      <c r="C313" s="1" t="s">
        <v>14556</v>
      </c>
      <c r="D313" s="1" t="s">
        <v>13977</v>
      </c>
      <c r="E313" s="1" t="s">
        <v>8321</v>
      </c>
    </row>
    <row r="314" spans="1:5" x14ac:dyDescent="0.15">
      <c r="A314" s="1" t="s">
        <v>3994</v>
      </c>
      <c r="B314" s="1" t="s">
        <v>3995</v>
      </c>
      <c r="C314" s="1" t="s">
        <v>14556</v>
      </c>
      <c r="D314" s="1" t="s">
        <v>13977</v>
      </c>
      <c r="E314" s="1" t="s">
        <v>8321</v>
      </c>
    </row>
    <row r="315" spans="1:5" x14ac:dyDescent="0.15">
      <c r="A315" s="1" t="s">
        <v>3996</v>
      </c>
      <c r="B315" s="1" t="s">
        <v>3997</v>
      </c>
      <c r="C315" s="1" t="s">
        <v>13980</v>
      </c>
      <c r="D315" s="1" t="s">
        <v>13989</v>
      </c>
      <c r="E315" s="1" t="s">
        <v>8327</v>
      </c>
    </row>
    <row r="316" spans="1:5" x14ac:dyDescent="0.15">
      <c r="A316" s="1" t="s">
        <v>3998</v>
      </c>
      <c r="B316" s="1" t="s">
        <v>3999</v>
      </c>
      <c r="C316" s="1" t="s">
        <v>13980</v>
      </c>
      <c r="D316" s="1" t="s">
        <v>14003</v>
      </c>
      <c r="E316" s="1" t="s">
        <v>8338</v>
      </c>
    </row>
    <row r="317" spans="1:5" x14ac:dyDescent="0.15">
      <c r="A317" s="1" t="s">
        <v>4000</v>
      </c>
      <c r="B317" s="1" t="s">
        <v>4001</v>
      </c>
      <c r="C317" s="1" t="s">
        <v>13980</v>
      </c>
      <c r="D317" s="1" t="s">
        <v>14014</v>
      </c>
      <c r="E317" s="1" t="s">
        <v>11056</v>
      </c>
    </row>
    <row r="318" spans="1:5" x14ac:dyDescent="0.15">
      <c r="A318" s="1" t="s">
        <v>4002</v>
      </c>
      <c r="B318" s="1" t="s">
        <v>4003</v>
      </c>
      <c r="C318" s="1" t="s">
        <v>13980</v>
      </c>
      <c r="D318" s="1" t="s">
        <v>14014</v>
      </c>
      <c r="E318" s="1" t="s">
        <v>11056</v>
      </c>
    </row>
    <row r="319" spans="1:5" x14ac:dyDescent="0.15">
      <c r="A319" s="1" t="s">
        <v>4004</v>
      </c>
      <c r="B319" s="1" t="s">
        <v>4005</v>
      </c>
      <c r="C319" s="1" t="s">
        <v>13980</v>
      </c>
      <c r="D319" s="1" t="s">
        <v>14042</v>
      </c>
      <c r="E319" s="1" t="s">
        <v>8366</v>
      </c>
    </row>
    <row r="320" spans="1:5" x14ac:dyDescent="0.15">
      <c r="A320" s="1" t="s">
        <v>4006</v>
      </c>
      <c r="B320" s="1" t="s">
        <v>4007</v>
      </c>
      <c r="C320" s="1" t="s">
        <v>13980</v>
      </c>
      <c r="D320" s="1" t="s">
        <v>14074</v>
      </c>
      <c r="E320" s="1" t="s">
        <v>11038</v>
      </c>
    </row>
    <row r="321" spans="1:5" x14ac:dyDescent="0.15">
      <c r="A321" s="1" t="s">
        <v>4008</v>
      </c>
      <c r="B321" s="1" t="s">
        <v>4009</v>
      </c>
      <c r="C321" s="1" t="s">
        <v>13980</v>
      </c>
      <c r="D321" s="1" t="s">
        <v>14078</v>
      </c>
      <c r="E321" s="1" t="s">
        <v>11039</v>
      </c>
    </row>
    <row r="322" spans="1:5" x14ac:dyDescent="0.15">
      <c r="A322" s="1" t="s">
        <v>4010</v>
      </c>
      <c r="B322" s="1" t="s">
        <v>4011</v>
      </c>
      <c r="C322" s="1" t="s">
        <v>13980</v>
      </c>
      <c r="D322" s="1" t="s">
        <v>14094</v>
      </c>
      <c r="E322" s="1" t="s">
        <v>8398</v>
      </c>
    </row>
    <row r="323" spans="1:5" x14ac:dyDescent="0.15">
      <c r="A323" s="1" t="s">
        <v>4012</v>
      </c>
      <c r="B323" s="1" t="s">
        <v>4013</v>
      </c>
      <c r="C323" s="1" t="s">
        <v>13980</v>
      </c>
      <c r="D323" s="1" t="s">
        <v>14098</v>
      </c>
      <c r="E323" s="1" t="s">
        <v>11544</v>
      </c>
    </row>
    <row r="324" spans="1:5" x14ac:dyDescent="0.15">
      <c r="A324" s="1" t="s">
        <v>4014</v>
      </c>
      <c r="B324" s="1" t="s">
        <v>4015</v>
      </c>
      <c r="C324" s="1" t="s">
        <v>13980</v>
      </c>
      <c r="D324" s="1" t="s">
        <v>14138</v>
      </c>
      <c r="E324" s="1" t="s">
        <v>8417</v>
      </c>
    </row>
    <row r="325" spans="1:5" x14ac:dyDescent="0.15">
      <c r="A325" s="1" t="s">
        <v>4016</v>
      </c>
      <c r="B325" s="1" t="s">
        <v>4017</v>
      </c>
      <c r="C325" s="1" t="s">
        <v>13980</v>
      </c>
      <c r="D325" s="1" t="s">
        <v>14145</v>
      </c>
      <c r="E325" s="1" t="s">
        <v>8420</v>
      </c>
    </row>
    <row r="326" spans="1:5" x14ac:dyDescent="0.15">
      <c r="A326" s="1" t="s">
        <v>4018</v>
      </c>
      <c r="B326" s="1" t="s">
        <v>4019</v>
      </c>
      <c r="C326" s="1" t="s">
        <v>13980</v>
      </c>
      <c r="D326" s="1" t="s">
        <v>14149</v>
      </c>
      <c r="E326" s="1" t="s">
        <v>8423</v>
      </c>
    </row>
    <row r="327" spans="1:5" x14ac:dyDescent="0.15">
      <c r="A327" s="1" t="s">
        <v>4020</v>
      </c>
      <c r="B327" s="1" t="s">
        <v>4021</v>
      </c>
      <c r="C327" s="1" t="s">
        <v>13980</v>
      </c>
      <c r="D327" s="1" t="s">
        <v>14153</v>
      </c>
      <c r="E327" s="1" t="s">
        <v>8425</v>
      </c>
    </row>
    <row r="328" spans="1:5" x14ac:dyDescent="0.15">
      <c r="A328" s="1" t="s">
        <v>4022</v>
      </c>
      <c r="B328" s="1" t="s">
        <v>4023</v>
      </c>
      <c r="C328" s="1" t="s">
        <v>13980</v>
      </c>
      <c r="D328" s="1" t="s">
        <v>14189</v>
      </c>
      <c r="E328" s="1" t="s">
        <v>8451</v>
      </c>
    </row>
    <row r="329" spans="1:5" x14ac:dyDescent="0.15">
      <c r="A329" s="1" t="s">
        <v>4024</v>
      </c>
      <c r="B329" s="1" t="s">
        <v>4025</v>
      </c>
      <c r="C329" s="1" t="s">
        <v>14191</v>
      </c>
      <c r="D329" s="1" t="s">
        <v>14200</v>
      </c>
      <c r="E329" s="1" t="s">
        <v>8460</v>
      </c>
    </row>
    <row r="330" spans="1:5" x14ac:dyDescent="0.15">
      <c r="A330" s="1" t="s">
        <v>4026</v>
      </c>
      <c r="B330" s="1" t="s">
        <v>4027</v>
      </c>
      <c r="C330" s="1" t="s">
        <v>14191</v>
      </c>
      <c r="D330" s="1" t="s">
        <v>13604</v>
      </c>
      <c r="E330" s="1" t="s">
        <v>8471</v>
      </c>
    </row>
    <row r="331" spans="1:5" x14ac:dyDescent="0.15">
      <c r="A331" s="1" t="s">
        <v>4028</v>
      </c>
      <c r="B331" s="1" t="s">
        <v>4029</v>
      </c>
      <c r="C331" s="1" t="s">
        <v>14191</v>
      </c>
      <c r="D331" s="1" t="s">
        <v>13628</v>
      </c>
      <c r="E331" s="1" t="s">
        <v>8482</v>
      </c>
    </row>
    <row r="332" spans="1:5" x14ac:dyDescent="0.15">
      <c r="A332" s="1" t="s">
        <v>4030</v>
      </c>
      <c r="B332" s="1" t="s">
        <v>4031</v>
      </c>
      <c r="C332" s="1" t="s">
        <v>14191</v>
      </c>
      <c r="D332" s="1" t="s">
        <v>13635</v>
      </c>
      <c r="E332" s="1" t="s">
        <v>8488</v>
      </c>
    </row>
    <row r="333" spans="1:5" x14ac:dyDescent="0.15">
      <c r="A333" s="1" t="s">
        <v>4032</v>
      </c>
      <c r="B333" s="1" t="s">
        <v>4033</v>
      </c>
      <c r="C333" s="1" t="s">
        <v>14191</v>
      </c>
      <c r="D333" s="1" t="s">
        <v>13642</v>
      </c>
      <c r="E333" s="1" t="s">
        <v>8214</v>
      </c>
    </row>
    <row r="334" spans="1:5" x14ac:dyDescent="0.15">
      <c r="A334" s="1" t="s">
        <v>4034</v>
      </c>
      <c r="B334" s="1" t="s">
        <v>4035</v>
      </c>
      <c r="C334" s="1" t="s">
        <v>14191</v>
      </c>
      <c r="D334" s="1" t="s">
        <v>13646</v>
      </c>
      <c r="E334" s="1" t="s">
        <v>8216</v>
      </c>
    </row>
    <row r="335" spans="1:5" x14ac:dyDescent="0.15">
      <c r="A335" s="1" t="s">
        <v>4036</v>
      </c>
      <c r="B335" s="1" t="s">
        <v>4037</v>
      </c>
      <c r="C335" s="1" t="s">
        <v>14191</v>
      </c>
      <c r="D335" s="1" t="s">
        <v>13646</v>
      </c>
      <c r="E335" s="1" t="s">
        <v>8216</v>
      </c>
    </row>
    <row r="336" spans="1:5" x14ac:dyDescent="0.15">
      <c r="A336" s="1" t="s">
        <v>4038</v>
      </c>
      <c r="B336" s="1" t="s">
        <v>4039</v>
      </c>
      <c r="C336" s="1" t="s">
        <v>14191</v>
      </c>
      <c r="D336" s="1" t="s">
        <v>13650</v>
      </c>
      <c r="E336" s="1" t="s">
        <v>8218</v>
      </c>
    </row>
    <row r="337" spans="1:5" x14ac:dyDescent="0.15">
      <c r="A337" s="1" t="s">
        <v>4040</v>
      </c>
      <c r="B337" s="1" t="s">
        <v>4041</v>
      </c>
      <c r="C337" s="1" t="s">
        <v>14191</v>
      </c>
      <c r="D337" s="1" t="s">
        <v>13650</v>
      </c>
      <c r="E337" s="1" t="s">
        <v>8218</v>
      </c>
    </row>
    <row r="338" spans="1:5" x14ac:dyDescent="0.15">
      <c r="A338" s="1" t="s">
        <v>4042</v>
      </c>
      <c r="B338" s="1" t="s">
        <v>4043</v>
      </c>
      <c r="C338" s="1" t="s">
        <v>14191</v>
      </c>
      <c r="D338" s="1" t="s">
        <v>13666</v>
      </c>
      <c r="E338" s="1" t="s">
        <v>8225</v>
      </c>
    </row>
    <row r="339" spans="1:5" x14ac:dyDescent="0.15">
      <c r="A339" s="1" t="s">
        <v>4044</v>
      </c>
      <c r="B339" s="1" t="s">
        <v>4045</v>
      </c>
      <c r="C339" s="1" t="s">
        <v>14191</v>
      </c>
      <c r="D339" s="1" t="s">
        <v>13670</v>
      </c>
      <c r="E339" s="1" t="s">
        <v>8227</v>
      </c>
    </row>
    <row r="340" spans="1:5" x14ac:dyDescent="0.15">
      <c r="A340" s="1" t="s">
        <v>4046</v>
      </c>
      <c r="B340" s="1" t="s">
        <v>4047</v>
      </c>
      <c r="C340" s="1" t="s">
        <v>14191</v>
      </c>
      <c r="D340" s="1" t="s">
        <v>13682</v>
      </c>
      <c r="E340" s="1" t="s">
        <v>8233</v>
      </c>
    </row>
    <row r="341" spans="1:5" x14ac:dyDescent="0.15">
      <c r="A341" s="1" t="s">
        <v>4048</v>
      </c>
      <c r="B341" s="1" t="s">
        <v>4049</v>
      </c>
      <c r="C341" s="1" t="s">
        <v>14191</v>
      </c>
      <c r="D341" s="1" t="s">
        <v>13686</v>
      </c>
      <c r="E341" s="1" t="s">
        <v>8235</v>
      </c>
    </row>
    <row r="342" spans="1:5" x14ac:dyDescent="0.15">
      <c r="A342" s="1" t="s">
        <v>4050</v>
      </c>
      <c r="B342" s="1" t="s">
        <v>4051</v>
      </c>
      <c r="C342" s="1" t="s">
        <v>14191</v>
      </c>
      <c r="D342" s="1" t="s">
        <v>13702</v>
      </c>
      <c r="E342" s="1" t="s">
        <v>8265</v>
      </c>
    </row>
    <row r="343" spans="1:5" x14ac:dyDescent="0.15">
      <c r="A343" s="1" t="s">
        <v>4052</v>
      </c>
      <c r="B343" s="1" t="s">
        <v>4053</v>
      </c>
      <c r="C343" s="1" t="s">
        <v>14191</v>
      </c>
      <c r="D343" s="1" t="s">
        <v>13710</v>
      </c>
      <c r="E343" s="1" t="s">
        <v>8269</v>
      </c>
    </row>
    <row r="344" spans="1:5" x14ac:dyDescent="0.15">
      <c r="A344" s="1" t="s">
        <v>4054</v>
      </c>
      <c r="B344" s="1" t="s">
        <v>4055</v>
      </c>
      <c r="C344" s="1" t="s">
        <v>14191</v>
      </c>
      <c r="D344" s="1" t="s">
        <v>13722</v>
      </c>
      <c r="E344" s="1" t="s">
        <v>8275</v>
      </c>
    </row>
    <row r="345" spans="1:5" x14ac:dyDescent="0.15">
      <c r="A345" s="1" t="s">
        <v>4056</v>
      </c>
      <c r="B345" s="1" t="s">
        <v>4057</v>
      </c>
      <c r="C345" s="1" t="s">
        <v>14191</v>
      </c>
      <c r="D345" s="1" t="s">
        <v>13730</v>
      </c>
      <c r="E345" s="1" t="s">
        <v>8279</v>
      </c>
    </row>
    <row r="346" spans="1:5" x14ac:dyDescent="0.15">
      <c r="A346" s="1" t="s">
        <v>4058</v>
      </c>
      <c r="B346" s="1" t="s">
        <v>4059</v>
      </c>
      <c r="C346" s="1" t="s">
        <v>14191</v>
      </c>
      <c r="D346" s="1" t="s">
        <v>13742</v>
      </c>
      <c r="E346" s="1" t="s">
        <v>8300</v>
      </c>
    </row>
    <row r="347" spans="1:5" x14ac:dyDescent="0.15">
      <c r="A347" s="1" t="s">
        <v>4060</v>
      </c>
      <c r="B347" s="1" t="s">
        <v>4061</v>
      </c>
      <c r="C347" s="1" t="s">
        <v>14191</v>
      </c>
      <c r="D347" s="1" t="s">
        <v>13766</v>
      </c>
      <c r="E347" s="1" t="s">
        <v>8312</v>
      </c>
    </row>
    <row r="348" spans="1:5" x14ac:dyDescent="0.15">
      <c r="A348" s="1" t="s">
        <v>4062</v>
      </c>
      <c r="B348" s="1" t="s">
        <v>4063</v>
      </c>
      <c r="C348" s="1" t="s">
        <v>14191</v>
      </c>
      <c r="D348" s="1" t="s">
        <v>13766</v>
      </c>
      <c r="E348" s="1" t="s">
        <v>8312</v>
      </c>
    </row>
    <row r="349" spans="1:5" x14ac:dyDescent="0.15">
      <c r="A349" s="1" t="s">
        <v>4064</v>
      </c>
      <c r="B349" s="1" t="s">
        <v>4065</v>
      </c>
      <c r="C349" s="1" t="s">
        <v>14191</v>
      </c>
      <c r="D349" s="1" t="s">
        <v>13770</v>
      </c>
      <c r="E349" s="1" t="s">
        <v>8314</v>
      </c>
    </row>
    <row r="350" spans="1:5" x14ac:dyDescent="0.15">
      <c r="A350" s="1" t="s">
        <v>4066</v>
      </c>
      <c r="B350" s="1" t="s">
        <v>4067</v>
      </c>
      <c r="C350" s="1" t="s">
        <v>14191</v>
      </c>
      <c r="D350" s="1" t="s">
        <v>13774</v>
      </c>
      <c r="E350" s="1" t="s">
        <v>8316</v>
      </c>
    </row>
    <row r="351" spans="1:5" x14ac:dyDescent="0.15">
      <c r="A351" s="1" t="s">
        <v>4068</v>
      </c>
      <c r="B351" s="1" t="s">
        <v>4069</v>
      </c>
      <c r="C351" s="1" t="s">
        <v>14191</v>
      </c>
      <c r="D351" s="1" t="s">
        <v>13802</v>
      </c>
      <c r="E351" s="1" t="s">
        <v>8037</v>
      </c>
    </row>
    <row r="352" spans="1:5" x14ac:dyDescent="0.15">
      <c r="A352" s="1" t="s">
        <v>4070</v>
      </c>
      <c r="B352" s="1" t="s">
        <v>4071</v>
      </c>
      <c r="C352" s="1" t="s">
        <v>14191</v>
      </c>
      <c r="D352" s="1" t="s">
        <v>13806</v>
      </c>
      <c r="E352" s="1" t="s">
        <v>8039</v>
      </c>
    </row>
    <row r="353" spans="1:5" x14ac:dyDescent="0.15">
      <c r="A353" s="1" t="s">
        <v>4072</v>
      </c>
      <c r="B353" s="1" t="s">
        <v>4073</v>
      </c>
      <c r="C353" s="1" t="s">
        <v>14191</v>
      </c>
      <c r="D353" s="1" t="s">
        <v>13846</v>
      </c>
      <c r="E353" s="1" t="s">
        <v>8077</v>
      </c>
    </row>
    <row r="354" spans="1:5" x14ac:dyDescent="0.15">
      <c r="A354" s="1" t="s">
        <v>4074</v>
      </c>
      <c r="B354" s="1" t="s">
        <v>4075</v>
      </c>
      <c r="C354" s="1" t="s">
        <v>14191</v>
      </c>
      <c r="D354" s="1" t="s">
        <v>13293</v>
      </c>
      <c r="E354" s="1" t="s">
        <v>8111</v>
      </c>
    </row>
    <row r="355" spans="1:5" x14ac:dyDescent="0.15">
      <c r="A355" s="1" t="s">
        <v>4076</v>
      </c>
      <c r="B355" s="1" t="s">
        <v>4077</v>
      </c>
      <c r="C355" s="1" t="s">
        <v>14191</v>
      </c>
      <c r="D355" s="1" t="s">
        <v>13304</v>
      </c>
      <c r="E355" s="1" t="s">
        <v>8117</v>
      </c>
    </row>
    <row r="356" spans="1:5" x14ac:dyDescent="0.15">
      <c r="A356" s="1" t="s">
        <v>4078</v>
      </c>
      <c r="B356" s="1" t="s">
        <v>4079</v>
      </c>
      <c r="C356" s="1" t="s">
        <v>14191</v>
      </c>
      <c r="D356" s="1" t="s">
        <v>13320</v>
      </c>
      <c r="E356" s="1" t="s">
        <v>8133</v>
      </c>
    </row>
    <row r="357" spans="1:5" x14ac:dyDescent="0.15">
      <c r="A357" s="1" t="s">
        <v>4080</v>
      </c>
      <c r="B357" s="1" t="s">
        <v>4081</v>
      </c>
      <c r="C357" s="1" t="s">
        <v>14191</v>
      </c>
      <c r="D357" s="1" t="s">
        <v>13320</v>
      </c>
      <c r="E357" s="1" t="s">
        <v>8133</v>
      </c>
    </row>
    <row r="358" spans="1:5" x14ac:dyDescent="0.15">
      <c r="A358" s="1" t="s">
        <v>4082</v>
      </c>
      <c r="B358" s="1" t="s">
        <v>4083</v>
      </c>
      <c r="C358" s="1" t="s">
        <v>14191</v>
      </c>
      <c r="D358" s="1" t="s">
        <v>13368</v>
      </c>
      <c r="E358" s="1" t="s">
        <v>8157</v>
      </c>
    </row>
    <row r="359" spans="1:5" x14ac:dyDescent="0.15">
      <c r="A359" s="1" t="s">
        <v>4084</v>
      </c>
      <c r="B359" s="1" t="s">
        <v>4085</v>
      </c>
      <c r="C359" s="1" t="s">
        <v>14191</v>
      </c>
      <c r="D359" s="1" t="s">
        <v>13388</v>
      </c>
      <c r="E359" s="1" t="s">
        <v>8175</v>
      </c>
    </row>
    <row r="360" spans="1:5" x14ac:dyDescent="0.15">
      <c r="A360" s="1" t="s">
        <v>4086</v>
      </c>
      <c r="B360" s="1" t="s">
        <v>4087</v>
      </c>
      <c r="C360" s="1" t="s">
        <v>14191</v>
      </c>
      <c r="D360" s="1" t="s">
        <v>13400</v>
      </c>
      <c r="E360" s="1" t="s">
        <v>8183</v>
      </c>
    </row>
    <row r="361" spans="1:5" x14ac:dyDescent="0.15">
      <c r="A361" s="1" t="s">
        <v>4088</v>
      </c>
      <c r="B361" s="1" t="s">
        <v>4089</v>
      </c>
      <c r="C361" s="1" t="s">
        <v>14191</v>
      </c>
      <c r="D361" s="1" t="s">
        <v>13420</v>
      </c>
      <c r="E361" s="1" t="s">
        <v>7879</v>
      </c>
    </row>
    <row r="362" spans="1:5" x14ac:dyDescent="0.15">
      <c r="A362" s="1" t="s">
        <v>4090</v>
      </c>
      <c r="B362" s="1" t="s">
        <v>4091</v>
      </c>
      <c r="C362" s="1" t="s">
        <v>14191</v>
      </c>
      <c r="D362" s="1" t="s">
        <v>13427</v>
      </c>
      <c r="E362" s="1" t="s">
        <v>7885</v>
      </c>
    </row>
    <row r="363" spans="1:5" x14ac:dyDescent="0.15">
      <c r="A363" s="1" t="s">
        <v>4092</v>
      </c>
      <c r="B363" s="1" t="s">
        <v>4093</v>
      </c>
      <c r="C363" s="1" t="s">
        <v>14191</v>
      </c>
      <c r="D363" s="1" t="s">
        <v>7891</v>
      </c>
      <c r="E363" s="1" t="s">
        <v>7892</v>
      </c>
    </row>
    <row r="364" spans="1:5" x14ac:dyDescent="0.15">
      <c r="A364" s="1" t="s">
        <v>4094</v>
      </c>
      <c r="B364" s="1" t="s">
        <v>4095</v>
      </c>
      <c r="C364" s="1" t="s">
        <v>14191</v>
      </c>
      <c r="D364" s="1" t="s">
        <v>13447</v>
      </c>
      <c r="E364" s="1" t="s">
        <v>7912</v>
      </c>
    </row>
    <row r="365" spans="1:5" x14ac:dyDescent="0.15">
      <c r="A365" s="1" t="s">
        <v>4096</v>
      </c>
      <c r="B365" s="1" t="s">
        <v>4097</v>
      </c>
      <c r="C365" s="1" t="s">
        <v>14191</v>
      </c>
      <c r="D365" s="1" t="s">
        <v>13454</v>
      </c>
      <c r="E365" s="1" t="s">
        <v>7918</v>
      </c>
    </row>
    <row r="366" spans="1:5" x14ac:dyDescent="0.15">
      <c r="A366" s="1" t="s">
        <v>4098</v>
      </c>
      <c r="B366" s="1" t="s">
        <v>4099</v>
      </c>
      <c r="C366" s="1" t="s">
        <v>14191</v>
      </c>
      <c r="D366" s="1" t="s">
        <v>13510</v>
      </c>
      <c r="E366" s="1" t="s">
        <v>7960</v>
      </c>
    </row>
    <row r="367" spans="1:5" x14ac:dyDescent="0.15">
      <c r="A367" s="1" t="s">
        <v>4100</v>
      </c>
      <c r="B367" s="1" t="s">
        <v>4101</v>
      </c>
      <c r="C367" s="1" t="s">
        <v>14191</v>
      </c>
      <c r="D367" s="1" t="s">
        <v>13518</v>
      </c>
      <c r="E367" s="1" t="s">
        <v>7964</v>
      </c>
    </row>
    <row r="368" spans="1:5" x14ac:dyDescent="0.15">
      <c r="A368" s="1" t="s">
        <v>4102</v>
      </c>
      <c r="B368" s="1" t="s">
        <v>4103</v>
      </c>
      <c r="C368" s="1" t="s">
        <v>14191</v>
      </c>
      <c r="D368" s="1" t="s">
        <v>13538</v>
      </c>
      <c r="E368" s="1" t="s">
        <v>11652</v>
      </c>
    </row>
    <row r="369" spans="1:5" x14ac:dyDescent="0.15">
      <c r="A369" s="1" t="s">
        <v>4104</v>
      </c>
      <c r="B369" s="1" t="s">
        <v>4105</v>
      </c>
      <c r="C369" s="1" t="s">
        <v>14191</v>
      </c>
      <c r="D369" s="1" t="s">
        <v>13545</v>
      </c>
      <c r="E369" s="1" t="s">
        <v>7982</v>
      </c>
    </row>
    <row r="370" spans="1:5" x14ac:dyDescent="0.15">
      <c r="A370" s="1" t="s">
        <v>4106</v>
      </c>
      <c r="B370" s="1" t="s">
        <v>4107</v>
      </c>
      <c r="C370" s="1" t="s">
        <v>14191</v>
      </c>
      <c r="D370" s="1" t="s">
        <v>13568</v>
      </c>
      <c r="E370" s="1" t="s">
        <v>7727</v>
      </c>
    </row>
    <row r="371" spans="1:5" x14ac:dyDescent="0.15">
      <c r="A371" s="1" t="s">
        <v>4108</v>
      </c>
      <c r="B371" s="1" t="s">
        <v>4109</v>
      </c>
      <c r="C371" s="1" t="s">
        <v>14191</v>
      </c>
      <c r="D371" s="1" t="s">
        <v>12709</v>
      </c>
      <c r="E371" s="1" t="s">
        <v>7835</v>
      </c>
    </row>
    <row r="372" spans="1:5" x14ac:dyDescent="0.15">
      <c r="A372" s="1" t="s">
        <v>4110</v>
      </c>
      <c r="B372" s="1" t="s">
        <v>4111</v>
      </c>
      <c r="C372" s="1" t="s">
        <v>14191</v>
      </c>
      <c r="D372" s="1" t="s">
        <v>12709</v>
      </c>
      <c r="E372" s="1" t="s">
        <v>7835</v>
      </c>
    </row>
    <row r="373" spans="1:5" x14ac:dyDescent="0.15">
      <c r="A373" s="1" t="s">
        <v>4112</v>
      </c>
      <c r="B373" s="1" t="s">
        <v>4113</v>
      </c>
      <c r="C373" s="1" t="s">
        <v>14191</v>
      </c>
      <c r="D373" s="1" t="s">
        <v>12709</v>
      </c>
      <c r="E373" s="1" t="s">
        <v>7835</v>
      </c>
    </row>
    <row r="374" spans="1:5" x14ac:dyDescent="0.15">
      <c r="A374" s="1" t="s">
        <v>4114</v>
      </c>
      <c r="B374" s="1" t="s">
        <v>4115</v>
      </c>
      <c r="C374" s="1" t="s">
        <v>14191</v>
      </c>
      <c r="D374" s="1" t="s">
        <v>12709</v>
      </c>
      <c r="E374" s="1" t="s">
        <v>7835</v>
      </c>
    </row>
    <row r="375" spans="1:5" x14ac:dyDescent="0.15">
      <c r="A375" s="1" t="s">
        <v>4116</v>
      </c>
      <c r="B375" s="1" t="s">
        <v>4117</v>
      </c>
      <c r="C375" s="1" t="s">
        <v>12713</v>
      </c>
      <c r="D375" s="1" t="s">
        <v>12722</v>
      </c>
      <c r="E375" s="1" t="s">
        <v>7841</v>
      </c>
    </row>
    <row r="376" spans="1:5" x14ac:dyDescent="0.15">
      <c r="A376" s="1" t="s">
        <v>4118</v>
      </c>
      <c r="B376" s="1" t="s">
        <v>4119</v>
      </c>
      <c r="C376" s="1" t="s">
        <v>12713</v>
      </c>
      <c r="D376" s="1" t="s">
        <v>12722</v>
      </c>
      <c r="E376" s="1" t="s">
        <v>7841</v>
      </c>
    </row>
    <row r="377" spans="1:5" x14ac:dyDescent="0.15">
      <c r="A377" s="1" t="s">
        <v>4120</v>
      </c>
      <c r="B377" s="1" t="s">
        <v>4121</v>
      </c>
      <c r="C377" s="1" t="s">
        <v>12713</v>
      </c>
      <c r="D377" s="1" t="s">
        <v>12730</v>
      </c>
      <c r="E377" s="1" t="s">
        <v>11589</v>
      </c>
    </row>
    <row r="378" spans="1:5" x14ac:dyDescent="0.15">
      <c r="A378" s="1" t="s">
        <v>4122</v>
      </c>
      <c r="B378" s="1" t="s">
        <v>4123</v>
      </c>
      <c r="C378" s="1" t="s">
        <v>12713</v>
      </c>
      <c r="D378" s="1" t="s">
        <v>12730</v>
      </c>
      <c r="E378" s="1" t="s">
        <v>11589</v>
      </c>
    </row>
    <row r="379" spans="1:5" x14ac:dyDescent="0.15">
      <c r="A379" s="1" t="s">
        <v>4124</v>
      </c>
      <c r="B379" s="1" t="s">
        <v>4125</v>
      </c>
      <c r="C379" s="1" t="s">
        <v>12713</v>
      </c>
      <c r="D379" s="1" t="s">
        <v>12762</v>
      </c>
      <c r="E379" s="1" t="s">
        <v>7869</v>
      </c>
    </row>
    <row r="380" spans="1:5" x14ac:dyDescent="0.15">
      <c r="A380" s="1" t="s">
        <v>4126</v>
      </c>
      <c r="B380" s="1" t="s">
        <v>4127</v>
      </c>
      <c r="C380" s="1" t="s">
        <v>12713</v>
      </c>
      <c r="D380" s="1" t="s">
        <v>12765</v>
      </c>
      <c r="E380" s="1" t="s">
        <v>7505</v>
      </c>
    </row>
    <row r="381" spans="1:5" x14ac:dyDescent="0.15">
      <c r="A381" s="1" t="s">
        <v>4128</v>
      </c>
      <c r="B381" s="1" t="s">
        <v>4129</v>
      </c>
      <c r="C381" s="1" t="s">
        <v>12713</v>
      </c>
      <c r="D381" s="1" t="s">
        <v>12777</v>
      </c>
      <c r="E381" s="1" t="s">
        <v>7521</v>
      </c>
    </row>
    <row r="382" spans="1:5" x14ac:dyDescent="0.15">
      <c r="A382" s="1" t="s">
        <v>4130</v>
      </c>
      <c r="B382" s="1" t="s">
        <v>4131</v>
      </c>
      <c r="C382" s="1" t="s">
        <v>12713</v>
      </c>
      <c r="D382" s="1" t="s">
        <v>12777</v>
      </c>
      <c r="E382" s="1" t="s">
        <v>7521</v>
      </c>
    </row>
    <row r="383" spans="1:5" x14ac:dyDescent="0.15">
      <c r="A383" s="1" t="s">
        <v>4132</v>
      </c>
      <c r="B383" s="1" t="s">
        <v>4133</v>
      </c>
      <c r="C383" s="1" t="s">
        <v>12713</v>
      </c>
      <c r="D383" s="1" t="s">
        <v>12801</v>
      </c>
      <c r="E383" s="1" t="s">
        <v>7531</v>
      </c>
    </row>
    <row r="384" spans="1:5" x14ac:dyDescent="0.15">
      <c r="A384" s="1" t="s">
        <v>4134</v>
      </c>
      <c r="B384" s="1" t="s">
        <v>4135</v>
      </c>
      <c r="C384" s="1" t="s">
        <v>12713</v>
      </c>
      <c r="D384" s="1" t="s">
        <v>12824</v>
      </c>
      <c r="E384" s="1" t="s">
        <v>8843</v>
      </c>
    </row>
    <row r="385" spans="1:5" x14ac:dyDescent="0.15">
      <c r="A385" s="1" t="s">
        <v>4136</v>
      </c>
      <c r="B385" s="1" t="s">
        <v>4137</v>
      </c>
      <c r="C385" s="1" t="s">
        <v>12713</v>
      </c>
      <c r="D385" s="1" t="s">
        <v>12847</v>
      </c>
      <c r="E385" s="1" t="s">
        <v>7566</v>
      </c>
    </row>
    <row r="386" spans="1:5" x14ac:dyDescent="0.15">
      <c r="A386" s="1" t="s">
        <v>4138</v>
      </c>
      <c r="B386" s="1" t="s">
        <v>4139</v>
      </c>
      <c r="C386" s="1" t="s">
        <v>12713</v>
      </c>
      <c r="D386" s="1" t="s">
        <v>12855</v>
      </c>
      <c r="E386" s="1" t="s">
        <v>7569</v>
      </c>
    </row>
    <row r="387" spans="1:5" x14ac:dyDescent="0.15">
      <c r="A387" s="1" t="s">
        <v>4140</v>
      </c>
      <c r="B387" s="1" t="s">
        <v>4141</v>
      </c>
      <c r="C387" s="1" t="s">
        <v>12713</v>
      </c>
      <c r="D387" s="1" t="s">
        <v>12871</v>
      </c>
      <c r="E387" s="1" t="s">
        <v>7575</v>
      </c>
    </row>
    <row r="388" spans="1:5" x14ac:dyDescent="0.15">
      <c r="A388" s="1" t="s">
        <v>4142</v>
      </c>
      <c r="B388" s="1" t="s">
        <v>4143</v>
      </c>
      <c r="C388" s="1" t="s">
        <v>12713</v>
      </c>
      <c r="D388" s="1" t="s">
        <v>7592</v>
      </c>
      <c r="E388" s="1" t="s">
        <v>7593</v>
      </c>
    </row>
    <row r="389" spans="1:5" x14ac:dyDescent="0.15">
      <c r="A389" s="1" t="s">
        <v>4144</v>
      </c>
      <c r="B389" s="1" t="s">
        <v>4145</v>
      </c>
      <c r="C389" s="1" t="s">
        <v>12713</v>
      </c>
      <c r="D389" s="1" t="s">
        <v>7592</v>
      </c>
      <c r="E389" s="1" t="s">
        <v>7593</v>
      </c>
    </row>
    <row r="390" spans="1:5" x14ac:dyDescent="0.15">
      <c r="A390" s="1" t="s">
        <v>4146</v>
      </c>
      <c r="B390" s="1" t="s">
        <v>4147</v>
      </c>
      <c r="C390" s="1" t="s">
        <v>12713</v>
      </c>
      <c r="D390" s="1" t="s">
        <v>12907</v>
      </c>
      <c r="E390" s="1" t="s">
        <v>7605</v>
      </c>
    </row>
    <row r="391" spans="1:5" x14ac:dyDescent="0.15">
      <c r="A391" s="1" t="s">
        <v>4148</v>
      </c>
      <c r="B391" s="1" t="s">
        <v>4149</v>
      </c>
      <c r="C391" s="1" t="s">
        <v>12713</v>
      </c>
      <c r="D391" s="1" t="s">
        <v>12910</v>
      </c>
      <c r="E391" s="1" t="s">
        <v>7607</v>
      </c>
    </row>
    <row r="392" spans="1:5" x14ac:dyDescent="0.15">
      <c r="A392" s="1" t="s">
        <v>4150</v>
      </c>
      <c r="B392" s="1" t="s">
        <v>4151</v>
      </c>
      <c r="C392" s="1" t="s">
        <v>12713</v>
      </c>
      <c r="D392" s="1" t="s">
        <v>12926</v>
      </c>
      <c r="E392" s="1" t="s">
        <v>8852</v>
      </c>
    </row>
    <row r="393" spans="1:5" x14ac:dyDescent="0.15">
      <c r="A393" s="1" t="s">
        <v>4152</v>
      </c>
      <c r="B393" s="1" t="s">
        <v>4153</v>
      </c>
      <c r="C393" s="1" t="s">
        <v>12713</v>
      </c>
      <c r="D393" s="1" t="s">
        <v>11781</v>
      </c>
      <c r="E393" s="1" t="s">
        <v>7646</v>
      </c>
    </row>
    <row r="394" spans="1:5" x14ac:dyDescent="0.15">
      <c r="A394" s="1" t="s">
        <v>4154</v>
      </c>
      <c r="B394" s="1" t="s">
        <v>4155</v>
      </c>
      <c r="C394" s="1" t="s">
        <v>12713</v>
      </c>
      <c r="D394" s="1" t="s">
        <v>11813</v>
      </c>
      <c r="E394" s="1" t="s">
        <v>7659</v>
      </c>
    </row>
    <row r="395" spans="1:5" x14ac:dyDescent="0.15">
      <c r="A395" s="1" t="s">
        <v>4156</v>
      </c>
      <c r="B395" s="1" t="s">
        <v>4157</v>
      </c>
      <c r="C395" s="1" t="s">
        <v>12713</v>
      </c>
      <c r="D395" s="1" t="s">
        <v>7669</v>
      </c>
      <c r="E395" s="1" t="s">
        <v>7667</v>
      </c>
    </row>
    <row r="396" spans="1:5" x14ac:dyDescent="0.15">
      <c r="A396" s="1" t="s">
        <v>4158</v>
      </c>
      <c r="B396" s="1" t="s">
        <v>4159</v>
      </c>
      <c r="C396" s="1" t="s">
        <v>12713</v>
      </c>
      <c r="D396" s="1" t="s">
        <v>9994</v>
      </c>
      <c r="E396" s="1" t="s">
        <v>7674</v>
      </c>
    </row>
    <row r="397" spans="1:5" x14ac:dyDescent="0.15">
      <c r="A397" s="1" t="s">
        <v>4160</v>
      </c>
      <c r="B397" s="1" t="s">
        <v>4161</v>
      </c>
      <c r="C397" s="1" t="s">
        <v>12713</v>
      </c>
      <c r="D397" s="1" t="s">
        <v>11827</v>
      </c>
      <c r="E397" s="1" t="s">
        <v>7305</v>
      </c>
    </row>
    <row r="398" spans="1:5" x14ac:dyDescent="0.15">
      <c r="A398" s="1" t="s">
        <v>4162</v>
      </c>
      <c r="B398" s="1" t="s">
        <v>4163</v>
      </c>
      <c r="C398" s="1" t="s">
        <v>12713</v>
      </c>
      <c r="D398" s="1" t="s">
        <v>11827</v>
      </c>
      <c r="E398" s="1" t="s">
        <v>7305</v>
      </c>
    </row>
    <row r="399" spans="1:5" x14ac:dyDescent="0.15">
      <c r="A399" s="1" t="s">
        <v>4164</v>
      </c>
      <c r="B399" s="1" t="s">
        <v>4165</v>
      </c>
      <c r="C399" s="1" t="s">
        <v>7310</v>
      </c>
      <c r="D399" s="1" t="s">
        <v>7314</v>
      </c>
      <c r="E399" s="1" t="s">
        <v>8866</v>
      </c>
    </row>
  </sheetData>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CIP1990</vt:lpstr>
      <vt:lpstr>CIP1985</vt:lpstr>
      <vt:lpstr>CIP2000</vt:lpstr>
      <vt:lpstr>CIP2000nces</vt:lpstr>
      <vt:lpstr>CIP2010</vt:lpstr>
      <vt:lpstr>CIPFAMILY</vt:lpstr>
      <vt:lpstr>Crosswalk_CIP85toCIP90</vt:lpstr>
      <vt:lpstr>Crosswalk_CIP90toCIP2K</vt:lpstr>
      <vt:lpstr>Crosswalk_HEGIStoCIP2K</vt:lpstr>
      <vt:lpstr>Crosswalk_HEGIStoCIP85</vt:lpstr>
      <vt:lpstr>Crosswalk_HEGIStoCIP90</vt:lpstr>
      <vt:lpstr>OccupationalCrosswalk</vt:lpstr>
      <vt:lpstr>_CIP1985</vt:lpstr>
      <vt:lpstr>_CIP1990</vt:lpstr>
      <vt:lpstr>_CIP2000</vt:lpstr>
      <vt:lpstr>CIPFAMILY</vt:lpstr>
      <vt:lpstr>Crosswalk_CIP85toCIP90</vt:lpstr>
      <vt:lpstr>Crosswalk_CIP90toCIP2K</vt:lpstr>
      <vt:lpstr>Crosswalk_HEGIStoCIP2K</vt:lpstr>
      <vt:lpstr>Crosswalk_HEGIStoCIP85</vt:lpstr>
      <vt:lpstr>Crosswalk_HEGIStoCIP90</vt:lpstr>
      <vt:lpstr>OccupationalCrosswalk</vt:lpstr>
    </vt:vector>
  </TitlesOfParts>
  <Company>todmassa.org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 R. Massa</dc:creator>
  <cp:lastModifiedBy>Microsoft Office User</cp:lastModifiedBy>
  <dcterms:created xsi:type="dcterms:W3CDTF">2002-11-21T02:57:02Z</dcterms:created>
  <dcterms:modified xsi:type="dcterms:W3CDTF">2020-05-11T02:28:37Z</dcterms:modified>
</cp:coreProperties>
</file>